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3.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omments5.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6.xml" ContentType="application/vnd.openxmlformats-officedocument.spreadsheetml.comment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omments7.xml" ContentType="application/vnd.openxmlformats-officedocument.spreadsheetml.comments+xml"/>
  <Override PartName="/xl/drawings/drawing4.xml" ContentType="application/vnd.openxmlformats-officedocument.drawing+xml"/>
  <Override PartName="/xl/comments8.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6.xml" ContentType="application/vnd.openxmlformats-officedocument.drawing+xml"/>
  <Override PartName="/xl/comments10.xml" ContentType="application/vnd.openxmlformats-officedocument.spreadsheetml.comments+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8.xml" ContentType="application/vnd.openxmlformats-officedocument.drawing+xml"/>
  <Override PartName="/xl/comments12.xml" ContentType="application/vnd.openxmlformats-officedocument.spreadsheetml.comments+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drawings/drawing9.xml" ContentType="application/vnd.openxmlformats-officedocument.drawing+xml"/>
  <Override PartName="/xl/comments13.xml" ContentType="application/vnd.openxmlformats-officedocument.spreadsheetml.comments+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drawings/drawing11.xml" ContentType="application/vnd.openxmlformats-officedocument.drawing+xml"/>
  <Override PartName="/xl/comments16.xml" ContentType="application/vnd.openxmlformats-officedocument.spreadsheetml.comments+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omments17.xml" ContentType="application/vnd.openxmlformats-officedocument.spreadsheetml.comments+xml"/>
  <Override PartName="/xl/drawings/drawing12.xml" ContentType="application/vnd.openxmlformats-officedocument.drawing+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omments18.xml" ContentType="application/vnd.openxmlformats-officedocument.spreadsheetml.comments+xml"/>
  <Override PartName="/xl/drawings/drawing13.xml" ContentType="application/vnd.openxmlformats-officedocument.drawing+xml"/>
  <Override PartName="/xl/comments19.xml" ContentType="application/vnd.openxmlformats-officedocument.spreadsheetml.comments+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omments20.xml" ContentType="application/vnd.openxmlformats-officedocument.spreadsheetml.comments+xml"/>
  <Override PartName="/xl/drawings/drawing14.xml" ContentType="application/vnd.openxmlformats-officedocument.drawing+xml"/>
  <Override PartName="/xl/charts/chart66.xml" ContentType="application/vnd.openxmlformats-officedocument.drawingml.chart+xml"/>
  <Override PartName="/xl/comments21.xml" ContentType="application/vnd.openxmlformats-officedocument.spreadsheetml.comments+xml"/>
  <Override PartName="/xl/comments22.xml" ContentType="application/vnd.openxmlformats-officedocument.spreadsheetml.comments+xml"/>
  <Override PartName="/xl/drawings/drawing15.xml" ContentType="application/vnd.openxmlformats-officedocument.drawing+xml"/>
  <Override PartName="/xl/comments23.xml" ContentType="application/vnd.openxmlformats-officedocument.spreadsheetml.comments+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omments24.xml" ContentType="application/vnd.openxmlformats-officedocument.spreadsheetml.comments+xml"/>
  <Override PartName="/xl/drawings/drawing16.xml" ContentType="application/vnd.openxmlformats-officedocument.drawing+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omments25.xml" ContentType="application/vnd.openxmlformats-officedocument.spreadsheetml.comments+xml"/>
  <Override PartName="/xl/comments26.xml" ContentType="application/vnd.openxmlformats-officedocument.spreadsheetml.comments+xml"/>
  <Override PartName="/xl/drawings/drawing17.xml" ContentType="application/vnd.openxmlformats-officedocument.drawing+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omments27.xml" ContentType="application/vnd.openxmlformats-officedocument.spreadsheetml.comments+xml"/>
  <Override PartName="/xl/comments28.xml" ContentType="application/vnd.openxmlformats-officedocument.spreadsheetml.comments+xml"/>
  <Override PartName="/xl/drawings/drawing18.xml" ContentType="application/vnd.openxmlformats-officedocument.drawing+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omments29.xml" ContentType="application/vnd.openxmlformats-officedocument.spreadsheetml.comments+xml"/>
  <Override PartName="/xl/drawings/drawing19.xml" ContentType="application/vnd.openxmlformats-officedocument.drawing+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omments30.xml" ContentType="application/vnd.openxmlformats-officedocument.spreadsheetml.comments+xml"/>
  <Override PartName="/xl/comments3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24226"/>
  <mc:AlternateContent xmlns:mc="http://schemas.openxmlformats.org/markup-compatibility/2006">
    <mc:Choice Requires="x15">
      <x15ac:absPath xmlns:x15ac="http://schemas.microsoft.com/office/spreadsheetml/2010/11/ac" url="https://worleyparsons-my.sharepoint.com/personal/timothy_sippel_worley_com/Documents/Projects/WDFW/Coho/Coho_in-river_harvest_accounting_R_Project/Coho_in-river_harvest_accounting_R_Project/"/>
    </mc:Choice>
  </mc:AlternateContent>
  <xr:revisionPtr revIDLastSave="15" documentId="13_ncr:1_{327CE098-8A97-43C9-8521-0778D1DFC2C4}" xr6:coauthVersionLast="47" xr6:coauthVersionMax="47" xr10:uidLastSave="{0830B952-014D-4988-BC47-EFB6EC3F096C}"/>
  <bookViews>
    <workbookView xWindow="-57720" yWindow="-120" windowWidth="29040" windowHeight="15840" tabRatio="667" firstSheet="2" activeTab="3" xr2:uid="{00000000-000D-0000-FFFF-FFFF00000000}"/>
  </bookViews>
  <sheets>
    <sheet name="Mean Unmarked Rates" sheetId="13" state="hidden" r:id="rId1"/>
    <sheet name="sampling pivot" sheetId="52" state="hidden" r:id="rId2"/>
    <sheet name="2022 comm sample" sheetId="71" r:id="rId3"/>
    <sheet name="2022 Comm catch" sheetId="72" r:id="rId4"/>
    <sheet name="2021 comm sample" sheetId="69" r:id="rId5"/>
    <sheet name="2021 Comm catch" sheetId="70" r:id="rId6"/>
    <sheet name="2020 comm sample" sheetId="67" state="hidden" r:id="rId7"/>
    <sheet name="2020 Comm catch" sheetId="68" state="hidden" r:id="rId8"/>
    <sheet name="2019 comm sample" sheetId="66" state="hidden" r:id="rId9"/>
    <sheet name="2019 Comm catch" sheetId="65" state="hidden" r:id="rId10"/>
    <sheet name="2018 comm sample" sheetId="63" state="hidden" r:id="rId11"/>
    <sheet name="2018 Comm catch" sheetId="64" state="hidden" r:id="rId12"/>
    <sheet name="2017 comm sample" sheetId="62" state="hidden" r:id="rId13"/>
    <sheet name="2017 Comm catch" sheetId="61" state="hidden" r:id="rId14"/>
    <sheet name="2016 comm sample" sheetId="59" state="hidden" r:id="rId15"/>
    <sheet name="2016 Comm catch" sheetId="60" state="hidden" r:id="rId16"/>
    <sheet name="2015 comm sample" sheetId="58" state="hidden" r:id="rId17"/>
    <sheet name="2015 Comm catch" sheetId="57" state="hidden" r:id="rId18"/>
    <sheet name="2014 comm sample" sheetId="56" state="hidden" r:id="rId19"/>
    <sheet name="2014 Comm catch" sheetId="55" state="hidden" r:id="rId20"/>
    <sheet name="2013 Comm catch" sheetId="54" state="hidden" r:id="rId21"/>
    <sheet name="2013 comm sample" sheetId="53" state="hidden" r:id="rId22"/>
    <sheet name="2012 Comm catch" sheetId="50" state="hidden" r:id="rId23"/>
    <sheet name="2012 comm sample" sheetId="51" state="hidden" r:id="rId24"/>
    <sheet name="2011 Comm catch" sheetId="49" state="hidden" r:id="rId25"/>
    <sheet name="2011 comm sample" sheetId="48" state="hidden" r:id="rId26"/>
    <sheet name="2011 Summary" sheetId="47" state="hidden" r:id="rId27"/>
    <sheet name="2010 Comm catch" sheetId="46" state="hidden" r:id="rId28"/>
    <sheet name="2010 comm sample" sheetId="45" state="hidden" r:id="rId29"/>
    <sheet name="2010 Summary" sheetId="44" state="hidden" r:id="rId30"/>
    <sheet name="Catch Summary by week and zone" sheetId="25" state="hidden" r:id="rId31"/>
    <sheet name="Sports" sheetId="11" state="hidden" r:id="rId32"/>
    <sheet name="Escapement" sheetId="24" state="hidden" r:id="rId33"/>
    <sheet name="Catch summary" sheetId="12" state="hidden" r:id="rId34"/>
    <sheet name="2000 catch" sheetId="10" state="hidden" r:id="rId35"/>
    <sheet name="2000 sampling" sheetId="9" state="hidden" r:id="rId36"/>
    <sheet name="2001 catch" sheetId="14" state="hidden" r:id="rId37"/>
    <sheet name="2001 sampling" sheetId="8" state="hidden" r:id="rId38"/>
    <sheet name="2002 catch" sheetId="15" state="hidden" r:id="rId39"/>
    <sheet name="2002 sampling" sheetId="17" state="hidden" r:id="rId40"/>
    <sheet name="2003 catch" sheetId="19" state="hidden" r:id="rId41"/>
    <sheet name="2003 sampling" sheetId="18" state="hidden" r:id="rId42"/>
    <sheet name="2004 Catch" sheetId="21" state="hidden" r:id="rId43"/>
    <sheet name="2004 sampling" sheetId="20" state="hidden" r:id="rId44"/>
    <sheet name="2005 catch" sheetId="23" state="hidden" r:id="rId45"/>
    <sheet name="2005 sampling" sheetId="22" state="hidden" r:id="rId46"/>
    <sheet name="2006 Catch" sheetId="16" state="hidden" r:id="rId47"/>
    <sheet name="2006 Sampling" sheetId="1" state="hidden" r:id="rId48"/>
    <sheet name="2007 B10 and MS Rec" sheetId="30" state="hidden" r:id="rId49"/>
    <sheet name="2007 Comm Catch" sheetId="29" state="hidden" r:id="rId50"/>
    <sheet name="2007 Comm Sampling" sheetId="28" state="hidden" r:id="rId51"/>
    <sheet name="2007 summary" sheetId="27" state="hidden" r:id="rId52"/>
    <sheet name="2008 Sport" sheetId="33" state="hidden" r:id="rId53"/>
    <sheet name="2008 new catch form" sheetId="35" state="hidden" r:id="rId54"/>
    <sheet name="2008 new sample form" sheetId="36" state="hidden" r:id="rId55"/>
    <sheet name="2008 Summary" sheetId="34" state="hidden" r:id="rId56"/>
    <sheet name="samples as a % catch" sheetId="5" state="hidden" r:id="rId57"/>
    <sheet name="SAF samples % catch" sheetId="6" state="hidden" r:id="rId58"/>
    <sheet name="2008 Comm Catch" sheetId="32" state="hidden" r:id="rId59"/>
    <sheet name="2008 Comm Sample" sheetId="31" state="hidden" r:id="rId60"/>
    <sheet name="2009 Summary" sheetId="37" state="hidden" r:id="rId61"/>
    <sheet name="2009 comm sample" sheetId="43" state="hidden" r:id="rId62"/>
    <sheet name="2009 Comm catch" sheetId="42" state="hidden" r:id="rId63"/>
    <sheet name="2009 Sport" sheetId="41" state="hidden" r:id="rId64"/>
  </sheets>
  <definedNames>
    <definedName name="_xlnm.Print_Area" localSheetId="34">'2000 catch'!$Z$23:$AF$46</definedName>
    <definedName name="_xlnm.Print_Area" localSheetId="36">'2001 catch'!$Z$26:$AB$44</definedName>
    <definedName name="_xlnm.Print_Area" localSheetId="38">'2002 catch'!$Z$27:$AB$44</definedName>
    <definedName name="_xlnm.Print_Area" localSheetId="40">'2003 catch'!$Z$28:$AB$43</definedName>
    <definedName name="_xlnm.Print_Area" localSheetId="42">'2004 Catch'!$Z$27:$AB$44</definedName>
    <definedName name="_xlnm.Print_Area" localSheetId="44">'2005 catch'!$Z$28:$AB$43</definedName>
    <definedName name="_xlnm.Print_Area" localSheetId="31">Sports!$A$1:$H$15</definedName>
  </definedNames>
  <calcPr calcId="191029"/>
  <pivotCaches>
    <pivotCache cacheId="8" r:id="rId6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2" i="71" l="1"/>
  <c r="E42" i="72"/>
  <c r="D42" i="72"/>
  <c r="C42" i="72"/>
  <c r="AB41" i="72"/>
  <c r="T41" i="72"/>
  <c r="S41" i="72"/>
  <c r="R41" i="72"/>
  <c r="Q41" i="72"/>
  <c r="P41" i="72"/>
  <c r="M41" i="72"/>
  <c r="W41" i="72" s="1"/>
  <c r="J41" i="72"/>
  <c r="T40" i="72"/>
  <c r="S40" i="72"/>
  <c r="R40" i="72"/>
  <c r="Q40" i="72"/>
  <c r="P40" i="72"/>
  <c r="I40" i="72"/>
  <c r="F40" i="72"/>
  <c r="J40" i="72" s="1"/>
  <c r="T39" i="72"/>
  <c r="S39" i="72"/>
  <c r="R39" i="72"/>
  <c r="Q39" i="72"/>
  <c r="P39" i="72"/>
  <c r="I39" i="72"/>
  <c r="F39" i="72"/>
  <c r="J39" i="72" s="1"/>
  <c r="T38" i="72"/>
  <c r="S38" i="72"/>
  <c r="R38" i="72"/>
  <c r="Q38" i="72"/>
  <c r="P38" i="72"/>
  <c r="M38" i="72"/>
  <c r="W38" i="72" s="1"/>
  <c r="I38" i="72"/>
  <c r="F38" i="72"/>
  <c r="J38" i="72" s="1"/>
  <c r="T37" i="72"/>
  <c r="S37" i="72"/>
  <c r="R37" i="72"/>
  <c r="Q37" i="72"/>
  <c r="P37" i="72"/>
  <c r="I37" i="72"/>
  <c r="F37" i="72"/>
  <c r="T36" i="72"/>
  <c r="S36" i="72"/>
  <c r="R36" i="72"/>
  <c r="Q36" i="72"/>
  <c r="P36" i="72"/>
  <c r="I36" i="72"/>
  <c r="F36" i="72"/>
  <c r="R35" i="72"/>
  <c r="Q35" i="72"/>
  <c r="P35" i="72"/>
  <c r="H42" i="72"/>
  <c r="T42" i="72" s="1"/>
  <c r="S35" i="72"/>
  <c r="F35" i="72"/>
  <c r="T34" i="72"/>
  <c r="S34" i="72"/>
  <c r="R34" i="72"/>
  <c r="Q34" i="72"/>
  <c r="P34" i="72"/>
  <c r="J34" i="72"/>
  <c r="I34" i="72"/>
  <c r="T33" i="72"/>
  <c r="S33" i="72"/>
  <c r="R33" i="72"/>
  <c r="Q33" i="72"/>
  <c r="P33" i="72"/>
  <c r="M33" i="72"/>
  <c r="W33" i="72" s="1"/>
  <c r="I33" i="72"/>
  <c r="J33" i="72" s="1"/>
  <c r="T32" i="72"/>
  <c r="S32" i="72"/>
  <c r="R32" i="72"/>
  <c r="Q32" i="72"/>
  <c r="P32" i="72"/>
  <c r="I32" i="72"/>
  <c r="T31" i="72"/>
  <c r="S31" i="72"/>
  <c r="R31" i="72"/>
  <c r="Q31" i="72"/>
  <c r="P31" i="72"/>
  <c r="I31" i="72"/>
  <c r="J31" i="72" s="1"/>
  <c r="T30" i="72"/>
  <c r="S30" i="72"/>
  <c r="R30" i="72"/>
  <c r="Q30" i="72"/>
  <c r="P30" i="72"/>
  <c r="I30" i="72"/>
  <c r="J30" i="72" s="1"/>
  <c r="T29" i="72"/>
  <c r="S29" i="72"/>
  <c r="R29" i="72"/>
  <c r="Q29" i="72"/>
  <c r="P29" i="72"/>
  <c r="I29" i="72"/>
  <c r="J29" i="72" s="1"/>
  <c r="T28" i="72"/>
  <c r="S28" i="72"/>
  <c r="R28" i="72"/>
  <c r="Q28" i="72"/>
  <c r="P28" i="72"/>
  <c r="L28" i="72"/>
  <c r="V28" i="72" s="1"/>
  <c r="AD27" i="72"/>
  <c r="AC27" i="72"/>
  <c r="F22" i="72"/>
  <c r="N22" i="72" s="1"/>
  <c r="E22" i="72"/>
  <c r="M22" i="72" s="1"/>
  <c r="D22" i="72"/>
  <c r="L22" i="72" s="1"/>
  <c r="C22" i="72"/>
  <c r="K22" i="72" s="1"/>
  <c r="N21" i="72"/>
  <c r="M21" i="72"/>
  <c r="L21" i="72"/>
  <c r="K21" i="72"/>
  <c r="H21" i="72"/>
  <c r="P21" i="72" s="1"/>
  <c r="G21" i="72"/>
  <c r="O21" i="72" s="1"/>
  <c r="N20" i="72"/>
  <c r="M20" i="72"/>
  <c r="L20" i="72"/>
  <c r="K20" i="72"/>
  <c r="N19" i="72"/>
  <c r="M19" i="72"/>
  <c r="L19" i="72"/>
  <c r="K19" i="72"/>
  <c r="G19" i="72"/>
  <c r="O19" i="72" s="1"/>
  <c r="N18" i="72"/>
  <c r="M18" i="72"/>
  <c r="L18" i="72"/>
  <c r="K18" i="72"/>
  <c r="N17" i="72"/>
  <c r="M17" i="72"/>
  <c r="L17" i="72"/>
  <c r="K17" i="72"/>
  <c r="N16" i="72"/>
  <c r="M16" i="72"/>
  <c r="L16" i="72"/>
  <c r="K16" i="72"/>
  <c r="N15" i="72"/>
  <c r="M15" i="72"/>
  <c r="L15" i="72"/>
  <c r="K15" i="72"/>
  <c r="N14" i="72"/>
  <c r="M14" i="72"/>
  <c r="L14" i="72"/>
  <c r="K14" i="72"/>
  <c r="N13" i="72"/>
  <c r="M13" i="72"/>
  <c r="L13" i="72"/>
  <c r="K13" i="72"/>
  <c r="N12" i="72"/>
  <c r="M12" i="72"/>
  <c r="L12" i="72"/>
  <c r="K12" i="72"/>
  <c r="N11" i="72"/>
  <c r="M11" i="72"/>
  <c r="L11" i="72"/>
  <c r="K11" i="72"/>
  <c r="N10" i="72"/>
  <c r="M10" i="72"/>
  <c r="L10" i="72"/>
  <c r="K10" i="72"/>
  <c r="N9" i="72"/>
  <c r="M9" i="72"/>
  <c r="L9" i="72"/>
  <c r="K9" i="72"/>
  <c r="N8" i="72"/>
  <c r="M8" i="72"/>
  <c r="L8" i="72"/>
  <c r="K8" i="72"/>
  <c r="J8" i="72"/>
  <c r="R8" i="72" s="1"/>
  <c r="N7" i="72"/>
  <c r="M7" i="72"/>
  <c r="L7" i="72"/>
  <c r="K7" i="72"/>
  <c r="J7" i="72"/>
  <c r="R7" i="72" s="1"/>
  <c r="N6" i="72"/>
  <c r="M6" i="72"/>
  <c r="L6" i="72"/>
  <c r="K6" i="72"/>
  <c r="N5" i="72"/>
  <c r="M5" i="72"/>
  <c r="L5" i="72"/>
  <c r="K5" i="72"/>
  <c r="J5" i="72"/>
  <c r="R5" i="72" s="1"/>
  <c r="L42" i="71"/>
  <c r="K42" i="71"/>
  <c r="J42" i="71"/>
  <c r="I42" i="71"/>
  <c r="H42" i="71"/>
  <c r="G42" i="71"/>
  <c r="F42" i="71"/>
  <c r="E42" i="71"/>
  <c r="D42" i="71"/>
  <c r="C42" i="71"/>
  <c r="M42" i="71" s="1"/>
  <c r="K42" i="72" s="1"/>
  <c r="Q41" i="71"/>
  <c r="O41" i="72" s="1"/>
  <c r="Z41" i="72" s="1"/>
  <c r="P41" i="71"/>
  <c r="N41" i="72" s="1"/>
  <c r="Y41" i="72" s="1"/>
  <c r="O41" i="71"/>
  <c r="N41" i="71"/>
  <c r="L41" i="72" s="1"/>
  <c r="V41" i="72" s="1"/>
  <c r="M41" i="71"/>
  <c r="K41" i="72" s="1"/>
  <c r="U41" i="72" s="1"/>
  <c r="A41" i="71"/>
  <c r="Q40" i="71"/>
  <c r="O40" i="72" s="1"/>
  <c r="Z40" i="72" s="1"/>
  <c r="P40" i="71"/>
  <c r="N40" i="72" s="1"/>
  <c r="Y40" i="72" s="1"/>
  <c r="O40" i="71"/>
  <c r="M40" i="72" s="1"/>
  <c r="W40" i="72" s="1"/>
  <c r="N40" i="71"/>
  <c r="L40" i="72" s="1"/>
  <c r="V40" i="72" s="1"/>
  <c r="M40" i="71"/>
  <c r="K40" i="72" s="1"/>
  <c r="U40" i="72" s="1"/>
  <c r="A40" i="71"/>
  <c r="Q39" i="71"/>
  <c r="O39" i="72" s="1"/>
  <c r="Z39" i="72" s="1"/>
  <c r="P39" i="71"/>
  <c r="N39" i="72" s="1"/>
  <c r="Y39" i="72" s="1"/>
  <c r="O39" i="71"/>
  <c r="M39" i="72" s="1"/>
  <c r="W39" i="72" s="1"/>
  <c r="N39" i="71"/>
  <c r="L39" i="72" s="1"/>
  <c r="V39" i="72" s="1"/>
  <c r="M39" i="71"/>
  <c r="K39" i="72" s="1"/>
  <c r="U39" i="72" s="1"/>
  <c r="A39" i="71"/>
  <c r="Q38" i="71"/>
  <c r="O38" i="72" s="1"/>
  <c r="Z38" i="72" s="1"/>
  <c r="P38" i="71"/>
  <c r="N38" i="72" s="1"/>
  <c r="Y38" i="72" s="1"/>
  <c r="O38" i="71"/>
  <c r="N38" i="71"/>
  <c r="L38" i="72" s="1"/>
  <c r="V38" i="72" s="1"/>
  <c r="A38" i="71"/>
  <c r="S37" i="71"/>
  <c r="Q37" i="71"/>
  <c r="O37" i="72" s="1"/>
  <c r="Z37" i="72" s="1"/>
  <c r="P37" i="71"/>
  <c r="N37" i="72" s="1"/>
  <c r="Y37" i="72" s="1"/>
  <c r="O37" i="71"/>
  <c r="M37" i="72" s="1"/>
  <c r="W37" i="72" s="1"/>
  <c r="N37" i="71"/>
  <c r="L37" i="72" s="1"/>
  <c r="V37" i="72" s="1"/>
  <c r="M37" i="71"/>
  <c r="K37" i="72" s="1"/>
  <c r="U37" i="72" s="1"/>
  <c r="A37" i="71"/>
  <c r="Q36" i="71"/>
  <c r="O36" i="72" s="1"/>
  <c r="Z36" i="72" s="1"/>
  <c r="P36" i="71"/>
  <c r="N36" i="72" s="1"/>
  <c r="Y36" i="72" s="1"/>
  <c r="O36" i="71"/>
  <c r="M36" i="72" s="1"/>
  <c r="W36" i="72" s="1"/>
  <c r="N36" i="71"/>
  <c r="L36" i="72" s="1"/>
  <c r="V36" i="72" s="1"/>
  <c r="M36" i="71"/>
  <c r="K36" i="72" s="1"/>
  <c r="U36" i="72" s="1"/>
  <c r="A36" i="71"/>
  <c r="Q35" i="71"/>
  <c r="O35" i="72" s="1"/>
  <c r="Z35" i="72" s="1"/>
  <c r="P35" i="71"/>
  <c r="N35" i="72" s="1"/>
  <c r="Y35" i="72" s="1"/>
  <c r="O35" i="71"/>
  <c r="M35" i="72" s="1"/>
  <c r="W35" i="72" s="1"/>
  <c r="N35" i="71"/>
  <c r="L35" i="72" s="1"/>
  <c r="V35" i="72" s="1"/>
  <c r="M35" i="71"/>
  <c r="K35" i="72" s="1"/>
  <c r="U35" i="72" s="1"/>
  <c r="A35" i="71"/>
  <c r="Q34" i="71"/>
  <c r="O34" i="72" s="1"/>
  <c r="Z34" i="72" s="1"/>
  <c r="P34" i="71"/>
  <c r="N34" i="72" s="1"/>
  <c r="Y34" i="72" s="1"/>
  <c r="O34" i="71"/>
  <c r="M34" i="72" s="1"/>
  <c r="W34" i="72" s="1"/>
  <c r="N34" i="71"/>
  <c r="L34" i="72" s="1"/>
  <c r="V34" i="72" s="1"/>
  <c r="M34" i="71"/>
  <c r="K34" i="72" s="1"/>
  <c r="U34" i="72" s="1"/>
  <c r="A34" i="71"/>
  <c r="Q33" i="71"/>
  <c r="O33" i="72" s="1"/>
  <c r="Z33" i="72" s="1"/>
  <c r="P33" i="71"/>
  <c r="N33" i="72" s="1"/>
  <c r="Y33" i="72" s="1"/>
  <c r="O33" i="71"/>
  <c r="N33" i="71"/>
  <c r="L33" i="72" s="1"/>
  <c r="V33" i="72" s="1"/>
  <c r="M33" i="71"/>
  <c r="K33" i="72" s="1"/>
  <c r="U33" i="72" s="1"/>
  <c r="A33" i="71"/>
  <c r="S32" i="71"/>
  <c r="Q32" i="71"/>
  <c r="O32" i="72" s="1"/>
  <c r="Z32" i="72" s="1"/>
  <c r="P32" i="71"/>
  <c r="N32" i="72" s="1"/>
  <c r="Y32" i="72" s="1"/>
  <c r="O32" i="71"/>
  <c r="M32" i="72" s="1"/>
  <c r="W32" i="72" s="1"/>
  <c r="N32" i="71"/>
  <c r="L32" i="72" s="1"/>
  <c r="V32" i="72" s="1"/>
  <c r="M32" i="71"/>
  <c r="K32" i="72" s="1"/>
  <c r="U32" i="72" s="1"/>
  <c r="X32" i="72" s="1"/>
  <c r="A32" i="71"/>
  <c r="Q31" i="71"/>
  <c r="O31" i="72" s="1"/>
  <c r="Z31" i="72" s="1"/>
  <c r="P31" i="71"/>
  <c r="N31" i="72" s="1"/>
  <c r="Y31" i="72" s="1"/>
  <c r="O31" i="71"/>
  <c r="M31" i="72" s="1"/>
  <c r="W31" i="72" s="1"/>
  <c r="N31" i="71"/>
  <c r="L31" i="72" s="1"/>
  <c r="V31" i="72" s="1"/>
  <c r="M31" i="71"/>
  <c r="K31" i="72" s="1"/>
  <c r="U31" i="72" s="1"/>
  <c r="A31" i="71"/>
  <c r="Q30" i="71"/>
  <c r="O30" i="72" s="1"/>
  <c r="Z30" i="72" s="1"/>
  <c r="P30" i="71"/>
  <c r="N30" i="72" s="1"/>
  <c r="Y30" i="72" s="1"/>
  <c r="O30" i="71"/>
  <c r="M30" i="72" s="1"/>
  <c r="W30" i="72" s="1"/>
  <c r="N30" i="71"/>
  <c r="L30" i="72" s="1"/>
  <c r="V30" i="72" s="1"/>
  <c r="M30" i="71"/>
  <c r="K30" i="72" s="1"/>
  <c r="U30" i="72" s="1"/>
  <c r="A30" i="71"/>
  <c r="Q29" i="71"/>
  <c r="O29" i="72" s="1"/>
  <c r="Z29" i="72" s="1"/>
  <c r="P29" i="71"/>
  <c r="N29" i="72" s="1"/>
  <c r="Y29" i="72" s="1"/>
  <c r="O29" i="71"/>
  <c r="M29" i="72" s="1"/>
  <c r="W29" i="72" s="1"/>
  <c r="N29" i="71"/>
  <c r="L29" i="72" s="1"/>
  <c r="V29" i="72" s="1"/>
  <c r="M29" i="71"/>
  <c r="K29" i="72" s="1"/>
  <c r="U29" i="72" s="1"/>
  <c r="A29" i="71"/>
  <c r="Q28" i="71"/>
  <c r="O28" i="72" s="1"/>
  <c r="Z28" i="72" s="1"/>
  <c r="P28" i="71"/>
  <c r="N28" i="72" s="1"/>
  <c r="Y28" i="72" s="1"/>
  <c r="O28" i="71"/>
  <c r="M28" i="72" s="1"/>
  <c r="W28" i="72" s="1"/>
  <c r="N28" i="71"/>
  <c r="M28" i="71"/>
  <c r="K28" i="72" s="1"/>
  <c r="U28" i="72" s="1"/>
  <c r="A28" i="71"/>
  <c r="J22" i="71"/>
  <c r="H22" i="71"/>
  <c r="G22" i="71"/>
  <c r="F22" i="71"/>
  <c r="E22" i="71"/>
  <c r="D22" i="71"/>
  <c r="C22" i="71"/>
  <c r="N21" i="71"/>
  <c r="J21" i="72" s="1"/>
  <c r="R21" i="72" s="1"/>
  <c r="M21" i="71"/>
  <c r="I21" i="72" s="1"/>
  <c r="Q21" i="72" s="1"/>
  <c r="L21" i="71"/>
  <c r="K21" i="71"/>
  <c r="N20" i="71"/>
  <c r="J20" i="72" s="1"/>
  <c r="R20" i="72" s="1"/>
  <c r="M20" i="71"/>
  <c r="I20" i="72" s="1"/>
  <c r="Q20" i="72" s="1"/>
  <c r="L20" i="71"/>
  <c r="H20" i="72" s="1"/>
  <c r="P20" i="72" s="1"/>
  <c r="K20" i="71"/>
  <c r="G20" i="72" s="1"/>
  <c r="O20" i="72" s="1"/>
  <c r="N19" i="71"/>
  <c r="J19" i="72" s="1"/>
  <c r="R19" i="72" s="1"/>
  <c r="M19" i="71"/>
  <c r="I19" i="72" s="1"/>
  <c r="Q19" i="72" s="1"/>
  <c r="L19" i="71"/>
  <c r="H19" i="72" s="1"/>
  <c r="P19" i="72" s="1"/>
  <c r="K19" i="71"/>
  <c r="N18" i="71"/>
  <c r="J18" i="72" s="1"/>
  <c r="R18" i="72" s="1"/>
  <c r="M18" i="71"/>
  <c r="I18" i="72" s="1"/>
  <c r="Q18" i="72" s="1"/>
  <c r="L18" i="71"/>
  <c r="H18" i="72" s="1"/>
  <c r="P18" i="72" s="1"/>
  <c r="K18" i="71"/>
  <c r="G18" i="72" s="1"/>
  <c r="O18" i="72" s="1"/>
  <c r="N17" i="71"/>
  <c r="J17" i="72" s="1"/>
  <c r="R17" i="72" s="1"/>
  <c r="M17" i="71"/>
  <c r="I17" i="72" s="1"/>
  <c r="Q17" i="72" s="1"/>
  <c r="L17" i="71"/>
  <c r="H17" i="72" s="1"/>
  <c r="P17" i="72" s="1"/>
  <c r="K17" i="71"/>
  <c r="G17" i="72" s="1"/>
  <c r="O17" i="72" s="1"/>
  <c r="N16" i="71"/>
  <c r="J16" i="72" s="1"/>
  <c r="R16" i="72" s="1"/>
  <c r="M16" i="71"/>
  <c r="I16" i="72" s="1"/>
  <c r="Q16" i="72" s="1"/>
  <c r="L16" i="71"/>
  <c r="H16" i="72" s="1"/>
  <c r="P16" i="72" s="1"/>
  <c r="K16" i="71"/>
  <c r="G16" i="72" s="1"/>
  <c r="O16" i="72" s="1"/>
  <c r="N15" i="71"/>
  <c r="J15" i="72" s="1"/>
  <c r="R15" i="72" s="1"/>
  <c r="M15" i="71"/>
  <c r="I15" i="72" s="1"/>
  <c r="Q15" i="72" s="1"/>
  <c r="L15" i="71"/>
  <c r="H15" i="72" s="1"/>
  <c r="P15" i="72" s="1"/>
  <c r="K15" i="71"/>
  <c r="G15" i="72" s="1"/>
  <c r="O15" i="72" s="1"/>
  <c r="N14" i="71"/>
  <c r="J14" i="72" s="1"/>
  <c r="R14" i="72" s="1"/>
  <c r="M14" i="71"/>
  <c r="I14" i="72" s="1"/>
  <c r="Q14" i="72" s="1"/>
  <c r="L14" i="71"/>
  <c r="H14" i="72" s="1"/>
  <c r="P14" i="72" s="1"/>
  <c r="K14" i="71"/>
  <c r="G14" i="72" s="1"/>
  <c r="O14" i="72" s="1"/>
  <c r="N13" i="71"/>
  <c r="J13" i="72" s="1"/>
  <c r="R13" i="72" s="1"/>
  <c r="M13" i="71"/>
  <c r="I13" i="72" s="1"/>
  <c r="Q13" i="72" s="1"/>
  <c r="L13" i="71"/>
  <c r="H13" i="72" s="1"/>
  <c r="P13" i="72" s="1"/>
  <c r="K13" i="71"/>
  <c r="G13" i="72" s="1"/>
  <c r="O13" i="72" s="1"/>
  <c r="N12" i="71"/>
  <c r="J12" i="72" s="1"/>
  <c r="R12" i="72" s="1"/>
  <c r="M12" i="71"/>
  <c r="I12" i="72" s="1"/>
  <c r="Q12" i="72" s="1"/>
  <c r="L12" i="71"/>
  <c r="H12" i="72" s="1"/>
  <c r="P12" i="72" s="1"/>
  <c r="K12" i="71"/>
  <c r="G12" i="72" s="1"/>
  <c r="O12" i="72" s="1"/>
  <c r="N11" i="71"/>
  <c r="J11" i="72" s="1"/>
  <c r="R11" i="72" s="1"/>
  <c r="M11" i="71"/>
  <c r="I11" i="72" s="1"/>
  <c r="Q11" i="72" s="1"/>
  <c r="L11" i="71"/>
  <c r="H11" i="72" s="1"/>
  <c r="P11" i="72" s="1"/>
  <c r="K11" i="71"/>
  <c r="G11" i="72" s="1"/>
  <c r="O11" i="72" s="1"/>
  <c r="N10" i="71"/>
  <c r="J10" i="72" s="1"/>
  <c r="R10" i="72" s="1"/>
  <c r="M10" i="71"/>
  <c r="I10" i="72" s="1"/>
  <c r="Q10" i="72" s="1"/>
  <c r="L10" i="71"/>
  <c r="H10" i="72" s="1"/>
  <c r="P10" i="72" s="1"/>
  <c r="K10" i="71"/>
  <c r="G10" i="72" s="1"/>
  <c r="O10" i="72" s="1"/>
  <c r="N9" i="71"/>
  <c r="J9" i="72" s="1"/>
  <c r="R9" i="72" s="1"/>
  <c r="M9" i="71"/>
  <c r="I9" i="72" s="1"/>
  <c r="L9" i="71"/>
  <c r="H9" i="72" s="1"/>
  <c r="K9" i="71"/>
  <c r="G9" i="72" s="1"/>
  <c r="N8" i="71"/>
  <c r="M8" i="71"/>
  <c r="I8" i="72" s="1"/>
  <c r="Q8" i="72" s="1"/>
  <c r="L8" i="71"/>
  <c r="H8" i="72" s="1"/>
  <c r="P8" i="72" s="1"/>
  <c r="K8" i="71"/>
  <c r="G8" i="72" s="1"/>
  <c r="O8" i="72" s="1"/>
  <c r="N7" i="71"/>
  <c r="M7" i="71"/>
  <c r="I7" i="72" s="1"/>
  <c r="Q7" i="72" s="1"/>
  <c r="L7" i="71"/>
  <c r="H7" i="72" s="1"/>
  <c r="P7" i="72" s="1"/>
  <c r="K7" i="71"/>
  <c r="G7" i="72" s="1"/>
  <c r="O7" i="72" s="1"/>
  <c r="N6" i="71"/>
  <c r="J6" i="72" s="1"/>
  <c r="R6" i="72" s="1"/>
  <c r="M6" i="71"/>
  <c r="I6" i="72" s="1"/>
  <c r="Q6" i="72" s="1"/>
  <c r="L6" i="71"/>
  <c r="H6" i="72" s="1"/>
  <c r="P6" i="72" s="1"/>
  <c r="K6" i="71"/>
  <c r="G6" i="72" s="1"/>
  <c r="O6" i="72" s="1"/>
  <c r="N5" i="71"/>
  <c r="M5" i="71"/>
  <c r="I5" i="72" s="1"/>
  <c r="Q5" i="72" s="1"/>
  <c r="L5" i="71"/>
  <c r="H5" i="72" s="1"/>
  <c r="P5" i="72" s="1"/>
  <c r="K5" i="71"/>
  <c r="G5" i="72" s="1"/>
  <c r="O5" i="72" s="1"/>
  <c r="R22" i="70"/>
  <c r="S32" i="69"/>
  <c r="AD32" i="70"/>
  <c r="F37" i="70"/>
  <c r="H35" i="70"/>
  <c r="H42" i="70" s="1"/>
  <c r="T42" i="70" s="1"/>
  <c r="G35" i="70"/>
  <c r="S35" i="70" s="1"/>
  <c r="AB41" i="70"/>
  <c r="T41" i="70"/>
  <c r="S41" i="70"/>
  <c r="R41" i="70"/>
  <c r="Q41" i="70"/>
  <c r="P41" i="70"/>
  <c r="L41" i="70"/>
  <c r="V41" i="70" s="1"/>
  <c r="J41" i="70"/>
  <c r="T40" i="70"/>
  <c r="S40" i="70"/>
  <c r="P40" i="70"/>
  <c r="M40" i="70"/>
  <c r="W40" i="70" s="1"/>
  <c r="I40" i="70"/>
  <c r="F40" i="70"/>
  <c r="J40" i="70" s="1"/>
  <c r="R40" i="70"/>
  <c r="Q40" i="70"/>
  <c r="R39" i="70"/>
  <c r="T39" i="70"/>
  <c r="I39" i="70"/>
  <c r="F39" i="70"/>
  <c r="Q39" i="70"/>
  <c r="P39" i="70"/>
  <c r="P38" i="70"/>
  <c r="T38" i="70"/>
  <c r="I38" i="70"/>
  <c r="D42" i="70"/>
  <c r="Q42" i="70" s="1"/>
  <c r="T37" i="70"/>
  <c r="S37" i="70"/>
  <c r="Q37" i="70"/>
  <c r="P37" i="70"/>
  <c r="I37" i="70"/>
  <c r="E42" i="70"/>
  <c r="T36" i="70"/>
  <c r="S36" i="70"/>
  <c r="R36" i="70"/>
  <c r="Q36" i="70"/>
  <c r="P36" i="70"/>
  <c r="I36" i="70"/>
  <c r="F36" i="70"/>
  <c r="C42" i="70"/>
  <c r="R35" i="70"/>
  <c r="Q35" i="70"/>
  <c r="P35" i="70"/>
  <c r="F35" i="70"/>
  <c r="T34" i="70"/>
  <c r="S34" i="70"/>
  <c r="R34" i="70"/>
  <c r="Q34" i="70"/>
  <c r="P34" i="70"/>
  <c r="N34" i="70"/>
  <c r="Y34" i="70" s="1"/>
  <c r="I34" i="70"/>
  <c r="J34" i="70" s="1"/>
  <c r="T33" i="70"/>
  <c r="S33" i="70"/>
  <c r="R33" i="70"/>
  <c r="Q33" i="70"/>
  <c r="P33" i="70"/>
  <c r="J33" i="70"/>
  <c r="I33" i="70"/>
  <c r="T32" i="70"/>
  <c r="S32" i="70"/>
  <c r="R32" i="70"/>
  <c r="Q32" i="70"/>
  <c r="P32" i="70"/>
  <c r="I32" i="70"/>
  <c r="J32" i="70" s="1"/>
  <c r="T31" i="70"/>
  <c r="S31" i="70"/>
  <c r="R31" i="70"/>
  <c r="Q31" i="70"/>
  <c r="P31" i="70"/>
  <c r="I31" i="70"/>
  <c r="J31" i="70" s="1"/>
  <c r="T30" i="70"/>
  <c r="S30" i="70"/>
  <c r="R30" i="70"/>
  <c r="Q30" i="70"/>
  <c r="P30" i="70"/>
  <c r="M30" i="70"/>
  <c r="W30" i="70" s="1"/>
  <c r="L30" i="70"/>
  <c r="V30" i="70" s="1"/>
  <c r="I30" i="70"/>
  <c r="J30" i="70" s="1"/>
  <c r="T29" i="70"/>
  <c r="S29" i="70"/>
  <c r="R29" i="70"/>
  <c r="Q29" i="70"/>
  <c r="P29" i="70"/>
  <c r="I29" i="70"/>
  <c r="J29" i="70" s="1"/>
  <c r="T28" i="70"/>
  <c r="S28" i="70"/>
  <c r="R28" i="70"/>
  <c r="Q28" i="70"/>
  <c r="P28" i="70"/>
  <c r="N28" i="70"/>
  <c r="Y28" i="70" s="1"/>
  <c r="AD27" i="70"/>
  <c r="AC27" i="70"/>
  <c r="F22" i="70"/>
  <c r="N22" i="70" s="1"/>
  <c r="E22" i="70"/>
  <c r="M22" i="70" s="1"/>
  <c r="D22" i="70"/>
  <c r="L22" i="70" s="1"/>
  <c r="C22" i="70"/>
  <c r="K22" i="70" s="1"/>
  <c r="N21" i="70"/>
  <c r="M21" i="70"/>
  <c r="L21" i="70"/>
  <c r="K21" i="70"/>
  <c r="N20" i="70"/>
  <c r="M20" i="70"/>
  <c r="L20" i="70"/>
  <c r="K20" i="70"/>
  <c r="N19" i="70"/>
  <c r="M19" i="70"/>
  <c r="L19" i="70"/>
  <c r="K19" i="70"/>
  <c r="G19" i="70"/>
  <c r="O19" i="70" s="1"/>
  <c r="N18" i="70"/>
  <c r="M18" i="70"/>
  <c r="L18" i="70"/>
  <c r="K18" i="70"/>
  <c r="N17" i="70"/>
  <c r="M17" i="70"/>
  <c r="L17" i="70"/>
  <c r="K17" i="70"/>
  <c r="N16" i="70"/>
  <c r="M16" i="70"/>
  <c r="L16" i="70"/>
  <c r="K16" i="70"/>
  <c r="N15" i="70"/>
  <c r="M15" i="70"/>
  <c r="L15" i="70"/>
  <c r="K15" i="70"/>
  <c r="N14" i="70"/>
  <c r="M14" i="70"/>
  <c r="L14" i="70"/>
  <c r="K14" i="70"/>
  <c r="N13" i="70"/>
  <c r="M13" i="70"/>
  <c r="L13" i="70"/>
  <c r="K13" i="70"/>
  <c r="N12" i="70"/>
  <c r="M12" i="70"/>
  <c r="L12" i="70"/>
  <c r="K12" i="70"/>
  <c r="N11" i="70"/>
  <c r="M11" i="70"/>
  <c r="L11" i="70"/>
  <c r="K11" i="70"/>
  <c r="N10" i="70"/>
  <c r="M10" i="70"/>
  <c r="L10" i="70"/>
  <c r="K10" i="70"/>
  <c r="N9" i="70"/>
  <c r="M9" i="70"/>
  <c r="L9" i="70"/>
  <c r="K9" i="70"/>
  <c r="N8" i="70"/>
  <c r="M8" i="70"/>
  <c r="L8" i="70"/>
  <c r="K8" i="70"/>
  <c r="N7" i="70"/>
  <c r="M7" i="70"/>
  <c r="L7" i="70"/>
  <c r="K7" i="70"/>
  <c r="N6" i="70"/>
  <c r="M6" i="70"/>
  <c r="L6" i="70"/>
  <c r="K6" i="70"/>
  <c r="N5" i="70"/>
  <c r="M5" i="70"/>
  <c r="L5" i="70"/>
  <c r="K5" i="70"/>
  <c r="J5" i="70"/>
  <c r="R5" i="70" s="1"/>
  <c r="I5" i="70"/>
  <c r="Q5" i="70" s="1"/>
  <c r="H5" i="70"/>
  <c r="P5" i="70" s="1"/>
  <c r="L42" i="69"/>
  <c r="K42" i="69"/>
  <c r="J42" i="69"/>
  <c r="I42" i="69"/>
  <c r="H42" i="69"/>
  <c r="G42" i="69"/>
  <c r="F42" i="69"/>
  <c r="E42" i="69"/>
  <c r="D42" i="69"/>
  <c r="C42" i="69"/>
  <c r="Q41" i="69"/>
  <c r="O41" i="70" s="1"/>
  <c r="Z41" i="70" s="1"/>
  <c r="P41" i="69"/>
  <c r="N41" i="70" s="1"/>
  <c r="Y41" i="70" s="1"/>
  <c r="O41" i="69"/>
  <c r="M41" i="70" s="1"/>
  <c r="W41" i="70" s="1"/>
  <c r="N41" i="69"/>
  <c r="M41" i="69"/>
  <c r="K41" i="70" s="1"/>
  <c r="U41" i="70" s="1"/>
  <c r="A41" i="69"/>
  <c r="Q40" i="69"/>
  <c r="O40" i="70" s="1"/>
  <c r="Z40" i="70" s="1"/>
  <c r="P40" i="69"/>
  <c r="N40" i="70" s="1"/>
  <c r="Y40" i="70" s="1"/>
  <c r="O40" i="69"/>
  <c r="N40" i="69"/>
  <c r="L40" i="70" s="1"/>
  <c r="V40" i="70" s="1"/>
  <c r="M40" i="69"/>
  <c r="K40" i="70" s="1"/>
  <c r="U40" i="70" s="1"/>
  <c r="A40" i="69"/>
  <c r="Q39" i="69"/>
  <c r="O39" i="70" s="1"/>
  <c r="Z39" i="70" s="1"/>
  <c r="P39" i="69"/>
  <c r="N39" i="70" s="1"/>
  <c r="Y39" i="70" s="1"/>
  <c r="O39" i="69"/>
  <c r="M39" i="70" s="1"/>
  <c r="W39" i="70" s="1"/>
  <c r="N39" i="69"/>
  <c r="L39" i="70" s="1"/>
  <c r="V39" i="70" s="1"/>
  <c r="M39" i="69"/>
  <c r="K39" i="70" s="1"/>
  <c r="U39" i="70" s="1"/>
  <c r="A39" i="69"/>
  <c r="Q38" i="69"/>
  <c r="O38" i="70" s="1"/>
  <c r="Z38" i="70" s="1"/>
  <c r="P38" i="69"/>
  <c r="N38" i="70" s="1"/>
  <c r="Y38" i="70" s="1"/>
  <c r="O38" i="69"/>
  <c r="M38" i="70" s="1"/>
  <c r="N38" i="69"/>
  <c r="L38" i="70" s="1"/>
  <c r="V38" i="70" s="1"/>
  <c r="M38" i="69"/>
  <c r="K38" i="70" s="1"/>
  <c r="U38" i="70" s="1"/>
  <c r="A38" i="69"/>
  <c r="S37" i="69"/>
  <c r="Q37" i="69"/>
  <c r="O37" i="70" s="1"/>
  <c r="Z37" i="70" s="1"/>
  <c r="P37" i="69"/>
  <c r="N37" i="70" s="1"/>
  <c r="Y37" i="70" s="1"/>
  <c r="O37" i="69"/>
  <c r="M37" i="70" s="1"/>
  <c r="W37" i="70" s="1"/>
  <c r="N37" i="69"/>
  <c r="L37" i="70" s="1"/>
  <c r="V37" i="70" s="1"/>
  <c r="M37" i="69"/>
  <c r="K37" i="70" s="1"/>
  <c r="U37" i="70" s="1"/>
  <c r="A37" i="69"/>
  <c r="Q36" i="69"/>
  <c r="O36" i="70" s="1"/>
  <c r="Z36" i="70" s="1"/>
  <c r="P36" i="69"/>
  <c r="N36" i="70" s="1"/>
  <c r="Y36" i="70" s="1"/>
  <c r="O36" i="69"/>
  <c r="M36" i="70" s="1"/>
  <c r="W36" i="70" s="1"/>
  <c r="N36" i="69"/>
  <c r="L36" i="70" s="1"/>
  <c r="V36" i="70" s="1"/>
  <c r="M36" i="69"/>
  <c r="K36" i="70" s="1"/>
  <c r="U36" i="70" s="1"/>
  <c r="A36" i="69"/>
  <c r="Q35" i="69"/>
  <c r="O35" i="70" s="1"/>
  <c r="Z35" i="70" s="1"/>
  <c r="P35" i="69"/>
  <c r="N35" i="70" s="1"/>
  <c r="Y35" i="70" s="1"/>
  <c r="O35" i="69"/>
  <c r="M35" i="70" s="1"/>
  <c r="W35" i="70" s="1"/>
  <c r="N35" i="69"/>
  <c r="L35" i="70" s="1"/>
  <c r="V35" i="70" s="1"/>
  <c r="M35" i="69"/>
  <c r="K35" i="70" s="1"/>
  <c r="U35" i="70" s="1"/>
  <c r="A35" i="69"/>
  <c r="Q34" i="69"/>
  <c r="O34" i="70" s="1"/>
  <c r="Z34" i="70" s="1"/>
  <c r="P34" i="69"/>
  <c r="O34" i="69"/>
  <c r="M34" i="70" s="1"/>
  <c r="W34" i="70" s="1"/>
  <c r="N34" i="69"/>
  <c r="L34" i="70" s="1"/>
  <c r="V34" i="70" s="1"/>
  <c r="M34" i="69"/>
  <c r="K34" i="70" s="1"/>
  <c r="U34" i="70" s="1"/>
  <c r="A34" i="69"/>
  <c r="Q33" i="69"/>
  <c r="O33" i="70" s="1"/>
  <c r="Z33" i="70" s="1"/>
  <c r="P33" i="69"/>
  <c r="N33" i="70" s="1"/>
  <c r="Y33" i="70" s="1"/>
  <c r="O33" i="69"/>
  <c r="M33" i="70" s="1"/>
  <c r="W33" i="70" s="1"/>
  <c r="N33" i="69"/>
  <c r="L33" i="70" s="1"/>
  <c r="V33" i="70" s="1"/>
  <c r="M33" i="69"/>
  <c r="K33" i="70" s="1"/>
  <c r="U33" i="70" s="1"/>
  <c r="A33" i="69"/>
  <c r="Q32" i="69"/>
  <c r="O32" i="70" s="1"/>
  <c r="Z32" i="70" s="1"/>
  <c r="P32" i="69"/>
  <c r="N32" i="70" s="1"/>
  <c r="Y32" i="70" s="1"/>
  <c r="O32" i="69"/>
  <c r="M32" i="70" s="1"/>
  <c r="W32" i="70" s="1"/>
  <c r="N32" i="69"/>
  <c r="L32" i="70" s="1"/>
  <c r="V32" i="70" s="1"/>
  <c r="M32" i="69"/>
  <c r="K32" i="70" s="1"/>
  <c r="U32" i="70" s="1"/>
  <c r="X32" i="70" s="1"/>
  <c r="A32" i="69"/>
  <c r="Q31" i="69"/>
  <c r="O31" i="70" s="1"/>
  <c r="Z31" i="70" s="1"/>
  <c r="P31" i="69"/>
  <c r="N31" i="70" s="1"/>
  <c r="Y31" i="70" s="1"/>
  <c r="O31" i="69"/>
  <c r="M31" i="70" s="1"/>
  <c r="W31" i="70" s="1"/>
  <c r="N31" i="69"/>
  <c r="L31" i="70" s="1"/>
  <c r="V31" i="70" s="1"/>
  <c r="M31" i="69"/>
  <c r="K31" i="70" s="1"/>
  <c r="U31" i="70" s="1"/>
  <c r="A31" i="69"/>
  <c r="Q30" i="69"/>
  <c r="O30" i="70" s="1"/>
  <c r="Z30" i="70" s="1"/>
  <c r="P30" i="69"/>
  <c r="N30" i="70" s="1"/>
  <c r="Y30" i="70" s="1"/>
  <c r="O30" i="69"/>
  <c r="N30" i="69"/>
  <c r="M30" i="69"/>
  <c r="K30" i="70" s="1"/>
  <c r="U30" i="70" s="1"/>
  <c r="A30" i="69"/>
  <c r="Q29" i="69"/>
  <c r="O29" i="70" s="1"/>
  <c r="Z29" i="70" s="1"/>
  <c r="P29" i="69"/>
  <c r="N29" i="70" s="1"/>
  <c r="Y29" i="70" s="1"/>
  <c r="O29" i="69"/>
  <c r="M29" i="70" s="1"/>
  <c r="W29" i="70" s="1"/>
  <c r="N29" i="69"/>
  <c r="L29" i="70" s="1"/>
  <c r="V29" i="70" s="1"/>
  <c r="M29" i="69"/>
  <c r="K29" i="70" s="1"/>
  <c r="U29" i="70" s="1"/>
  <c r="A29" i="69"/>
  <c r="Q28" i="69"/>
  <c r="O28" i="70" s="1"/>
  <c r="Z28" i="70" s="1"/>
  <c r="P28" i="69"/>
  <c r="O28" i="69"/>
  <c r="M28" i="70" s="1"/>
  <c r="W28" i="70" s="1"/>
  <c r="N28" i="69"/>
  <c r="L28" i="70" s="1"/>
  <c r="V28" i="70" s="1"/>
  <c r="M28" i="69"/>
  <c r="K28" i="70" s="1"/>
  <c r="U28" i="70" s="1"/>
  <c r="A28" i="69"/>
  <c r="J22" i="69"/>
  <c r="I22" i="69"/>
  <c r="H22" i="69"/>
  <c r="G22" i="69"/>
  <c r="F22" i="69"/>
  <c r="E22" i="69"/>
  <c r="D22" i="69"/>
  <c r="C22" i="69"/>
  <c r="N21" i="69"/>
  <c r="J21" i="70" s="1"/>
  <c r="R21" i="70" s="1"/>
  <c r="M21" i="69"/>
  <c r="I21" i="70" s="1"/>
  <c r="Q21" i="70" s="1"/>
  <c r="L21" i="69"/>
  <c r="H21" i="70" s="1"/>
  <c r="P21" i="70" s="1"/>
  <c r="K21" i="69"/>
  <c r="G21" i="70" s="1"/>
  <c r="O21" i="70" s="1"/>
  <c r="N20" i="69"/>
  <c r="J20" i="70" s="1"/>
  <c r="R20" i="70" s="1"/>
  <c r="M20" i="69"/>
  <c r="I20" i="70" s="1"/>
  <c r="Q20" i="70" s="1"/>
  <c r="L20" i="69"/>
  <c r="H20" i="70" s="1"/>
  <c r="P20" i="70" s="1"/>
  <c r="K20" i="69"/>
  <c r="G20" i="70" s="1"/>
  <c r="O20" i="70" s="1"/>
  <c r="N19" i="69"/>
  <c r="J19" i="70" s="1"/>
  <c r="R19" i="70" s="1"/>
  <c r="M19" i="69"/>
  <c r="I19" i="70" s="1"/>
  <c r="Q19" i="70" s="1"/>
  <c r="L19" i="69"/>
  <c r="H19" i="70" s="1"/>
  <c r="P19" i="70" s="1"/>
  <c r="K19" i="69"/>
  <c r="N18" i="69"/>
  <c r="J18" i="70" s="1"/>
  <c r="R18" i="70" s="1"/>
  <c r="M18" i="69"/>
  <c r="I18" i="70" s="1"/>
  <c r="Q18" i="70" s="1"/>
  <c r="L18" i="69"/>
  <c r="H18" i="70" s="1"/>
  <c r="P18" i="70" s="1"/>
  <c r="K18" i="69"/>
  <c r="G18" i="70" s="1"/>
  <c r="O18" i="70" s="1"/>
  <c r="N17" i="69"/>
  <c r="J17" i="70" s="1"/>
  <c r="R17" i="70" s="1"/>
  <c r="M17" i="69"/>
  <c r="I17" i="70" s="1"/>
  <c r="Q17" i="70" s="1"/>
  <c r="L17" i="69"/>
  <c r="H17" i="70" s="1"/>
  <c r="P17" i="70" s="1"/>
  <c r="K17" i="69"/>
  <c r="G17" i="70" s="1"/>
  <c r="O17" i="70" s="1"/>
  <c r="N16" i="69"/>
  <c r="J16" i="70" s="1"/>
  <c r="R16" i="70" s="1"/>
  <c r="M16" i="69"/>
  <c r="I16" i="70" s="1"/>
  <c r="Q16" i="70" s="1"/>
  <c r="L16" i="69"/>
  <c r="H16" i="70" s="1"/>
  <c r="P16" i="70" s="1"/>
  <c r="K16" i="69"/>
  <c r="G16" i="70" s="1"/>
  <c r="O16" i="70" s="1"/>
  <c r="N15" i="69"/>
  <c r="J15" i="70" s="1"/>
  <c r="R15" i="70" s="1"/>
  <c r="M15" i="69"/>
  <c r="I15" i="70" s="1"/>
  <c r="Q15" i="70" s="1"/>
  <c r="L15" i="69"/>
  <c r="H15" i="70" s="1"/>
  <c r="P15" i="70" s="1"/>
  <c r="K15" i="69"/>
  <c r="G15" i="70" s="1"/>
  <c r="O15" i="70" s="1"/>
  <c r="N14" i="69"/>
  <c r="J14" i="70" s="1"/>
  <c r="R14" i="70" s="1"/>
  <c r="M14" i="69"/>
  <c r="I14" i="70" s="1"/>
  <c r="Q14" i="70" s="1"/>
  <c r="L14" i="69"/>
  <c r="H14" i="70" s="1"/>
  <c r="P14" i="70" s="1"/>
  <c r="K14" i="69"/>
  <c r="G14" i="70" s="1"/>
  <c r="O14" i="70" s="1"/>
  <c r="N13" i="69"/>
  <c r="J13" i="70" s="1"/>
  <c r="R13" i="70" s="1"/>
  <c r="M13" i="69"/>
  <c r="I13" i="70" s="1"/>
  <c r="Q13" i="70" s="1"/>
  <c r="L13" i="69"/>
  <c r="H13" i="70" s="1"/>
  <c r="P13" i="70" s="1"/>
  <c r="K13" i="69"/>
  <c r="G13" i="70" s="1"/>
  <c r="O13" i="70" s="1"/>
  <c r="N12" i="69"/>
  <c r="J12" i="70" s="1"/>
  <c r="R12" i="70" s="1"/>
  <c r="M12" i="69"/>
  <c r="I12" i="70" s="1"/>
  <c r="Q12" i="70" s="1"/>
  <c r="L12" i="69"/>
  <c r="H12" i="70" s="1"/>
  <c r="P12" i="70" s="1"/>
  <c r="K12" i="69"/>
  <c r="G12" i="70" s="1"/>
  <c r="O12" i="70" s="1"/>
  <c r="N11" i="69"/>
  <c r="J11" i="70" s="1"/>
  <c r="R11" i="70" s="1"/>
  <c r="M11" i="69"/>
  <c r="I11" i="70" s="1"/>
  <c r="Q11" i="70" s="1"/>
  <c r="L11" i="69"/>
  <c r="H11" i="70" s="1"/>
  <c r="P11" i="70" s="1"/>
  <c r="K11" i="69"/>
  <c r="G11" i="70" s="1"/>
  <c r="O11" i="70" s="1"/>
  <c r="N10" i="69"/>
  <c r="J10" i="70" s="1"/>
  <c r="R10" i="70" s="1"/>
  <c r="M10" i="69"/>
  <c r="I10" i="70" s="1"/>
  <c r="Q10" i="70" s="1"/>
  <c r="L10" i="69"/>
  <c r="H10" i="70" s="1"/>
  <c r="P10" i="70" s="1"/>
  <c r="K10" i="69"/>
  <c r="G10" i="70" s="1"/>
  <c r="O10" i="70" s="1"/>
  <c r="N9" i="69"/>
  <c r="J9" i="70" s="1"/>
  <c r="R9" i="70" s="1"/>
  <c r="M9" i="69"/>
  <c r="I9" i="70" s="1"/>
  <c r="Q9" i="70" s="1"/>
  <c r="L9" i="69"/>
  <c r="H9" i="70" s="1"/>
  <c r="T11" i="70" s="1"/>
  <c r="K9" i="69"/>
  <c r="G9" i="70" s="1"/>
  <c r="S18" i="70" s="1"/>
  <c r="N8" i="69"/>
  <c r="J8" i="70" s="1"/>
  <c r="R8" i="70" s="1"/>
  <c r="M8" i="69"/>
  <c r="I8" i="70" s="1"/>
  <c r="Q8" i="70" s="1"/>
  <c r="L8" i="69"/>
  <c r="H8" i="70" s="1"/>
  <c r="P8" i="70" s="1"/>
  <c r="K8" i="69"/>
  <c r="G8" i="70" s="1"/>
  <c r="O8" i="70" s="1"/>
  <c r="N7" i="69"/>
  <c r="J7" i="70" s="1"/>
  <c r="R7" i="70" s="1"/>
  <c r="M7" i="69"/>
  <c r="I7" i="70" s="1"/>
  <c r="Q7" i="70" s="1"/>
  <c r="L7" i="69"/>
  <c r="H7" i="70" s="1"/>
  <c r="P7" i="70" s="1"/>
  <c r="K7" i="69"/>
  <c r="G7" i="70" s="1"/>
  <c r="O7" i="70" s="1"/>
  <c r="N6" i="69"/>
  <c r="J6" i="70" s="1"/>
  <c r="R6" i="70" s="1"/>
  <c r="M6" i="69"/>
  <c r="I6" i="70" s="1"/>
  <c r="Q6" i="70" s="1"/>
  <c r="L6" i="69"/>
  <c r="H6" i="70" s="1"/>
  <c r="P6" i="70" s="1"/>
  <c r="K6" i="69"/>
  <c r="G6" i="70" s="1"/>
  <c r="O6" i="70" s="1"/>
  <c r="N5" i="69"/>
  <c r="M5" i="69"/>
  <c r="L5" i="69"/>
  <c r="K5" i="69"/>
  <c r="G5" i="70" s="1"/>
  <c r="O5" i="70" s="1"/>
  <c r="R21" i="68"/>
  <c r="P21" i="68"/>
  <c r="N21" i="68"/>
  <c r="M21" i="68"/>
  <c r="L21" i="68"/>
  <c r="K21" i="68"/>
  <c r="N20" i="68"/>
  <c r="M20" i="68"/>
  <c r="L20" i="68"/>
  <c r="K20" i="68"/>
  <c r="J21" i="68"/>
  <c r="I21" i="68"/>
  <c r="Q21" i="68" s="1"/>
  <c r="H21" i="68"/>
  <c r="M21" i="67"/>
  <c r="L21" i="67"/>
  <c r="K21" i="67"/>
  <c r="G21" i="68" s="1"/>
  <c r="O21" i="68" s="1"/>
  <c r="M20" i="67"/>
  <c r="I20" i="68" s="1"/>
  <c r="Q20" i="68" s="1"/>
  <c r="L20" i="67"/>
  <c r="H20" i="68" s="1"/>
  <c r="P20" i="68" s="1"/>
  <c r="K20" i="67"/>
  <c r="G20" i="68" s="1"/>
  <c r="O20" i="68" s="1"/>
  <c r="J22" i="67"/>
  <c r="N21" i="67"/>
  <c r="N20" i="67"/>
  <c r="J20" i="68" s="1"/>
  <c r="R20" i="68" s="1"/>
  <c r="F22" i="68"/>
  <c r="F22" i="67"/>
  <c r="AD37" i="72" l="1"/>
  <c r="J37" i="72"/>
  <c r="J36" i="72"/>
  <c r="M38" i="71"/>
  <c r="K38" i="72" s="1"/>
  <c r="U38" i="72" s="1"/>
  <c r="U42" i="72" s="1"/>
  <c r="O42" i="71"/>
  <c r="M42" i="72" s="1"/>
  <c r="N42" i="71"/>
  <c r="L42" i="72" s="1"/>
  <c r="N22" i="71"/>
  <c r="J22" i="72" s="1"/>
  <c r="K22" i="71"/>
  <c r="G22" i="72" s="1"/>
  <c r="M22" i="71"/>
  <c r="I22" i="72" s="1"/>
  <c r="L22" i="71"/>
  <c r="H22" i="72" s="1"/>
  <c r="P42" i="71"/>
  <c r="N42" i="72" s="1"/>
  <c r="AD32" i="72"/>
  <c r="AA32" i="72"/>
  <c r="AB32" i="72" s="1"/>
  <c r="AA34" i="72"/>
  <c r="AA36" i="72"/>
  <c r="X30" i="72"/>
  <c r="X29" i="72"/>
  <c r="X31" i="72"/>
  <c r="X35" i="72"/>
  <c r="X37" i="72"/>
  <c r="P42" i="72"/>
  <c r="V42" i="72"/>
  <c r="Q42" i="72"/>
  <c r="AA33" i="72"/>
  <c r="AA35" i="72"/>
  <c r="AA37" i="72"/>
  <c r="Q42" i="71"/>
  <c r="O42" i="72" s="1"/>
  <c r="R42" i="72"/>
  <c r="J23" i="71"/>
  <c r="Z42" i="72"/>
  <c r="Y42" i="72"/>
  <c r="AA28" i="72"/>
  <c r="X33" i="72"/>
  <c r="P22" i="72"/>
  <c r="X39" i="72"/>
  <c r="AB39" i="72" s="1"/>
  <c r="AA29" i="72"/>
  <c r="AB29" i="72" s="1"/>
  <c r="AA31" i="72"/>
  <c r="AA40" i="72"/>
  <c r="S18" i="72"/>
  <c r="O9" i="72"/>
  <c r="O22" i="72" s="1"/>
  <c r="T11" i="72"/>
  <c r="P9" i="72"/>
  <c r="AA39" i="72"/>
  <c r="X34" i="72"/>
  <c r="AB34" i="72" s="1"/>
  <c r="AA38" i="72"/>
  <c r="AA30" i="72"/>
  <c r="AB30" i="72" s="1"/>
  <c r="U10" i="72"/>
  <c r="Q9" i="72"/>
  <c r="Q22" i="72" s="1"/>
  <c r="X28" i="72"/>
  <c r="X36" i="72"/>
  <c r="R22" i="72"/>
  <c r="W42" i="72"/>
  <c r="X40" i="72"/>
  <c r="AB40" i="72" s="1"/>
  <c r="J32" i="72"/>
  <c r="T35" i="72"/>
  <c r="F23" i="71"/>
  <c r="I35" i="72"/>
  <c r="J35" i="72" s="1"/>
  <c r="G42" i="72"/>
  <c r="S42" i="72" s="1"/>
  <c r="U10" i="70"/>
  <c r="O42" i="69"/>
  <c r="M42" i="70" s="1"/>
  <c r="N22" i="69"/>
  <c r="J22" i="70" s="1"/>
  <c r="AA35" i="70"/>
  <c r="Q42" i="69"/>
  <c r="O42" i="70" s="1"/>
  <c r="P42" i="69"/>
  <c r="N42" i="70" s="1"/>
  <c r="M22" i="69"/>
  <c r="I22" i="70" s="1"/>
  <c r="J23" i="69"/>
  <c r="L22" i="69"/>
  <c r="H22" i="70" s="1"/>
  <c r="K22" i="69"/>
  <c r="G22" i="70" s="1"/>
  <c r="AA31" i="70"/>
  <c r="M42" i="69"/>
  <c r="K42" i="70" s="1"/>
  <c r="AA33" i="70"/>
  <c r="AA37" i="70"/>
  <c r="AA34" i="70"/>
  <c r="X39" i="70"/>
  <c r="X34" i="70"/>
  <c r="AB34" i="70" s="1"/>
  <c r="X36" i="70"/>
  <c r="W38" i="70"/>
  <c r="X38" i="70" s="1"/>
  <c r="R42" i="70"/>
  <c r="AD37" i="70"/>
  <c r="N42" i="69"/>
  <c r="L42" i="70" s="1"/>
  <c r="X35" i="70"/>
  <c r="F23" i="69"/>
  <c r="Z42" i="70"/>
  <c r="AA30" i="70"/>
  <c r="AA39" i="70"/>
  <c r="J39" i="70"/>
  <c r="X29" i="70"/>
  <c r="AA32" i="70"/>
  <c r="AB32" i="70" s="1"/>
  <c r="Q22" i="70"/>
  <c r="X40" i="70"/>
  <c r="Y42" i="70"/>
  <c r="AA28" i="70"/>
  <c r="X31" i="70"/>
  <c r="AA38" i="70"/>
  <c r="P42" i="70"/>
  <c r="P9" i="70"/>
  <c r="P22" i="70" s="1"/>
  <c r="X37" i="70"/>
  <c r="AA40" i="70"/>
  <c r="AA29" i="70"/>
  <c r="X28" i="70"/>
  <c r="U42" i="70"/>
  <c r="O9" i="70"/>
  <c r="O22" i="70" s="1"/>
  <c r="X33" i="70"/>
  <c r="AB33" i="70" s="1"/>
  <c r="V42" i="70"/>
  <c r="X30" i="70"/>
  <c r="AA36" i="70"/>
  <c r="R37" i="70"/>
  <c r="J36" i="70"/>
  <c r="F38" i="70"/>
  <c r="R38" i="70"/>
  <c r="G42" i="70"/>
  <c r="S42" i="70" s="1"/>
  <c r="T35" i="70"/>
  <c r="I35" i="70"/>
  <c r="J35" i="70" s="1"/>
  <c r="S38" i="70"/>
  <c r="J37" i="70"/>
  <c r="Q38" i="70"/>
  <c r="S39" i="70"/>
  <c r="D39" i="68"/>
  <c r="G35" i="68"/>
  <c r="J42" i="72" l="1"/>
  <c r="X38" i="72"/>
  <c r="X42" i="72" s="1"/>
  <c r="AB36" i="72"/>
  <c r="AB37" i="72"/>
  <c r="N23" i="71"/>
  <c r="AB35" i="72"/>
  <c r="AB33" i="72"/>
  <c r="AB31" i="72"/>
  <c r="AA42" i="72"/>
  <c r="AB28" i="72"/>
  <c r="AB39" i="70"/>
  <c r="AB38" i="70"/>
  <c r="AB35" i="70"/>
  <c r="AB31" i="70"/>
  <c r="N23" i="69"/>
  <c r="AB36" i="70"/>
  <c r="W42" i="70"/>
  <c r="AB37" i="70"/>
  <c r="J38" i="70"/>
  <c r="AB28" i="70"/>
  <c r="X42" i="70"/>
  <c r="AB40" i="70"/>
  <c r="J42" i="70"/>
  <c r="AB29" i="70"/>
  <c r="AA42" i="70"/>
  <c r="AB30" i="70"/>
  <c r="R40" i="67"/>
  <c r="R38" i="67"/>
  <c r="S38" i="67"/>
  <c r="S37" i="67"/>
  <c r="R36" i="67"/>
  <c r="E40" i="68"/>
  <c r="D40" i="68"/>
  <c r="C40" i="68"/>
  <c r="H39" i="68"/>
  <c r="G39" i="68"/>
  <c r="E39" i="68"/>
  <c r="C39" i="68"/>
  <c r="H38" i="68"/>
  <c r="G38" i="68"/>
  <c r="E38" i="68"/>
  <c r="D38" i="68"/>
  <c r="C38" i="68"/>
  <c r="AB38" i="72" l="1"/>
  <c r="AB42" i="72"/>
  <c r="AB42" i="70"/>
  <c r="E37" i="68"/>
  <c r="D37" i="68"/>
  <c r="C37" i="68"/>
  <c r="E36" i="68"/>
  <c r="D36" i="68"/>
  <c r="C36" i="68"/>
  <c r="H35" i="68"/>
  <c r="H42" i="68" l="1"/>
  <c r="G42" i="68"/>
  <c r="E42" i="68"/>
  <c r="AB41" i="68"/>
  <c r="T41" i="68"/>
  <c r="S41" i="68"/>
  <c r="R41" i="68"/>
  <c r="Q41" i="68"/>
  <c r="P41" i="68"/>
  <c r="J41" i="68"/>
  <c r="T40" i="68"/>
  <c r="S40" i="68"/>
  <c r="R40" i="68"/>
  <c r="Q40" i="68"/>
  <c r="P40" i="68"/>
  <c r="I40" i="68"/>
  <c r="F40" i="68"/>
  <c r="AC40" i="68" s="1"/>
  <c r="T39" i="68"/>
  <c r="S39" i="68"/>
  <c r="R39" i="68"/>
  <c r="P39" i="68"/>
  <c r="I39" i="68"/>
  <c r="T38" i="68"/>
  <c r="S38" i="68"/>
  <c r="R38" i="68"/>
  <c r="P38" i="68"/>
  <c r="I38" i="68"/>
  <c r="AD38" i="68" s="1"/>
  <c r="T37" i="68"/>
  <c r="S37" i="68"/>
  <c r="R37" i="68"/>
  <c r="P37" i="68"/>
  <c r="I37" i="68"/>
  <c r="AD37" i="68" s="1"/>
  <c r="T36" i="68"/>
  <c r="S36" i="68"/>
  <c r="R36" i="68"/>
  <c r="P36" i="68"/>
  <c r="I36" i="68"/>
  <c r="C42" i="68"/>
  <c r="T35" i="68"/>
  <c r="S35" i="68"/>
  <c r="R35" i="68"/>
  <c r="Q35" i="68"/>
  <c r="P35" i="68"/>
  <c r="I35" i="68"/>
  <c r="J35" i="68" s="1"/>
  <c r="F35" i="68"/>
  <c r="T34" i="68"/>
  <c r="S34" i="68"/>
  <c r="R34" i="68"/>
  <c r="Q34" i="68"/>
  <c r="P34" i="68"/>
  <c r="I34" i="68"/>
  <c r="J34" i="68" s="1"/>
  <c r="T33" i="68"/>
  <c r="S33" i="68"/>
  <c r="R33" i="68"/>
  <c r="Q33" i="68"/>
  <c r="P33" i="68"/>
  <c r="I33" i="68"/>
  <c r="J33" i="68" s="1"/>
  <c r="T32" i="68"/>
  <c r="S32" i="68"/>
  <c r="R32" i="68"/>
  <c r="Q32" i="68"/>
  <c r="P32" i="68"/>
  <c r="I32" i="68"/>
  <c r="J32" i="68" s="1"/>
  <c r="T31" i="68"/>
  <c r="S31" i="68"/>
  <c r="R31" i="68"/>
  <c r="Q31" i="68"/>
  <c r="P31" i="68"/>
  <c r="I31" i="68"/>
  <c r="J31" i="68" s="1"/>
  <c r="T30" i="68"/>
  <c r="S30" i="68"/>
  <c r="R30" i="68"/>
  <c r="Q30" i="68"/>
  <c r="P30" i="68"/>
  <c r="I30" i="68"/>
  <c r="J30" i="68" s="1"/>
  <c r="T29" i="68"/>
  <c r="S29" i="68"/>
  <c r="R29" i="68"/>
  <c r="Q29" i="68"/>
  <c r="P29" i="68"/>
  <c r="I29" i="68"/>
  <c r="J29" i="68" s="1"/>
  <c r="T28" i="68"/>
  <c r="S28" i="68"/>
  <c r="R28" i="68"/>
  <c r="Q28" i="68"/>
  <c r="P28" i="68"/>
  <c r="AD27" i="68"/>
  <c r="AC27" i="68"/>
  <c r="E22" i="68"/>
  <c r="D22" i="68"/>
  <c r="C22" i="68"/>
  <c r="N19" i="68"/>
  <c r="M19" i="68"/>
  <c r="L19" i="68"/>
  <c r="K19" i="68"/>
  <c r="N18" i="68"/>
  <c r="M18" i="68"/>
  <c r="L18" i="68"/>
  <c r="K18" i="68"/>
  <c r="N17" i="68"/>
  <c r="M17" i="68"/>
  <c r="L17" i="68"/>
  <c r="K17" i="68"/>
  <c r="N16" i="68"/>
  <c r="M16" i="68"/>
  <c r="L16" i="68"/>
  <c r="K16" i="68"/>
  <c r="N15" i="68"/>
  <c r="M15" i="68"/>
  <c r="L15" i="68"/>
  <c r="K15" i="68"/>
  <c r="N14" i="68"/>
  <c r="M14" i="68"/>
  <c r="L14" i="68"/>
  <c r="K14" i="68"/>
  <c r="N13" i="68"/>
  <c r="M13" i="68"/>
  <c r="L13" i="68"/>
  <c r="K13" i="68"/>
  <c r="N12" i="68"/>
  <c r="M12" i="68"/>
  <c r="L12" i="68"/>
  <c r="K12" i="68"/>
  <c r="N11" i="68"/>
  <c r="M11" i="68"/>
  <c r="L11" i="68"/>
  <c r="K11" i="68"/>
  <c r="N10" i="68"/>
  <c r="M10" i="68"/>
  <c r="L10" i="68"/>
  <c r="K10" i="68"/>
  <c r="N9" i="68"/>
  <c r="M9" i="68"/>
  <c r="L9" i="68"/>
  <c r="K9" i="68"/>
  <c r="N8" i="68"/>
  <c r="M8" i="68"/>
  <c r="L8" i="68"/>
  <c r="K8" i="68"/>
  <c r="N7" i="68"/>
  <c r="M7" i="68"/>
  <c r="L7" i="68"/>
  <c r="K7" i="68"/>
  <c r="N6" i="68"/>
  <c r="M6" i="68"/>
  <c r="L6" i="68"/>
  <c r="K6" i="68"/>
  <c r="N5" i="68"/>
  <c r="M5" i="68"/>
  <c r="L5" i="68"/>
  <c r="K5" i="68"/>
  <c r="L42" i="67"/>
  <c r="K42" i="67"/>
  <c r="J42" i="67"/>
  <c r="I42" i="67"/>
  <c r="H42" i="67"/>
  <c r="G42" i="67"/>
  <c r="F42" i="67"/>
  <c r="E42" i="67"/>
  <c r="D42" i="67"/>
  <c r="C42" i="67"/>
  <c r="Q41" i="67"/>
  <c r="O41" i="68" s="1"/>
  <c r="Z41" i="68" s="1"/>
  <c r="P41" i="67"/>
  <c r="N41" i="68" s="1"/>
  <c r="Y41" i="68" s="1"/>
  <c r="O41" i="67"/>
  <c r="M41" i="68" s="1"/>
  <c r="W41" i="68" s="1"/>
  <c r="N41" i="67"/>
  <c r="L41" i="68" s="1"/>
  <c r="V41" i="68" s="1"/>
  <c r="M41" i="67"/>
  <c r="K41" i="68" s="1"/>
  <c r="U41" i="68" s="1"/>
  <c r="A41" i="67"/>
  <c r="Q40" i="67"/>
  <c r="O40" i="68" s="1"/>
  <c r="Z40" i="68" s="1"/>
  <c r="P40" i="67"/>
  <c r="N40" i="68" s="1"/>
  <c r="Y40" i="68" s="1"/>
  <c r="O40" i="67"/>
  <c r="M40" i="68" s="1"/>
  <c r="W40" i="68" s="1"/>
  <c r="N40" i="67"/>
  <c r="L40" i="68" s="1"/>
  <c r="V40" i="68" s="1"/>
  <c r="M40" i="67"/>
  <c r="K40" i="68" s="1"/>
  <c r="U40" i="68" s="1"/>
  <c r="A40" i="67"/>
  <c r="Q39" i="67"/>
  <c r="O39" i="68" s="1"/>
  <c r="Z39" i="68" s="1"/>
  <c r="P39" i="67"/>
  <c r="N39" i="68" s="1"/>
  <c r="Y39" i="68" s="1"/>
  <c r="O39" i="67"/>
  <c r="M39" i="68" s="1"/>
  <c r="W39" i="68" s="1"/>
  <c r="N39" i="67"/>
  <c r="L39" i="68" s="1"/>
  <c r="M39" i="67"/>
  <c r="K39" i="68" s="1"/>
  <c r="U39" i="68" s="1"/>
  <c r="A39" i="67"/>
  <c r="Q38" i="67"/>
  <c r="O38" i="68" s="1"/>
  <c r="Z38" i="68" s="1"/>
  <c r="P38" i="67"/>
  <c r="N38" i="68" s="1"/>
  <c r="Y38" i="68" s="1"/>
  <c r="O38" i="67"/>
  <c r="M38" i="68" s="1"/>
  <c r="W38" i="68" s="1"/>
  <c r="N38" i="67"/>
  <c r="A38" i="67"/>
  <c r="Q37" i="67"/>
  <c r="O37" i="68" s="1"/>
  <c r="Z37" i="68" s="1"/>
  <c r="P37" i="67"/>
  <c r="N37" i="68" s="1"/>
  <c r="Y37" i="68" s="1"/>
  <c r="O37" i="67"/>
  <c r="M37" i="68" s="1"/>
  <c r="W37" i="68" s="1"/>
  <c r="N37" i="67"/>
  <c r="L37" i="68" s="1"/>
  <c r="M37" i="67"/>
  <c r="K37" i="68" s="1"/>
  <c r="U37" i="68" s="1"/>
  <c r="A37" i="67"/>
  <c r="Q36" i="67"/>
  <c r="O36" i="68" s="1"/>
  <c r="Z36" i="68" s="1"/>
  <c r="P36" i="67"/>
  <c r="N36" i="68" s="1"/>
  <c r="Y36" i="68" s="1"/>
  <c r="O36" i="67"/>
  <c r="M36" i="68" s="1"/>
  <c r="W36" i="68" s="1"/>
  <c r="N36" i="67"/>
  <c r="L36" i="68" s="1"/>
  <c r="M36" i="67"/>
  <c r="K36" i="68" s="1"/>
  <c r="A36" i="67"/>
  <c r="Q35" i="67"/>
  <c r="O35" i="68" s="1"/>
  <c r="Z35" i="68" s="1"/>
  <c r="P35" i="67"/>
  <c r="N35" i="68" s="1"/>
  <c r="Y35" i="68" s="1"/>
  <c r="O35" i="67"/>
  <c r="M35" i="68" s="1"/>
  <c r="W35" i="68" s="1"/>
  <c r="N35" i="67"/>
  <c r="L35" i="68" s="1"/>
  <c r="V35" i="68" s="1"/>
  <c r="M35" i="67"/>
  <c r="K35" i="68" s="1"/>
  <c r="U35" i="68" s="1"/>
  <c r="A35" i="67"/>
  <c r="Q34" i="67"/>
  <c r="O34" i="68" s="1"/>
  <c r="Z34" i="68" s="1"/>
  <c r="P34" i="67"/>
  <c r="N34" i="68" s="1"/>
  <c r="Y34" i="68" s="1"/>
  <c r="O34" i="67"/>
  <c r="M34" i="68" s="1"/>
  <c r="W34" i="68" s="1"/>
  <c r="N34" i="67"/>
  <c r="L34" i="68" s="1"/>
  <c r="V34" i="68" s="1"/>
  <c r="M34" i="67"/>
  <c r="K34" i="68" s="1"/>
  <c r="U34" i="68" s="1"/>
  <c r="A34" i="67"/>
  <c r="Q33" i="67"/>
  <c r="O33" i="68" s="1"/>
  <c r="Z33" i="68" s="1"/>
  <c r="P33" i="67"/>
  <c r="N33" i="68" s="1"/>
  <c r="Y33" i="68" s="1"/>
  <c r="O33" i="67"/>
  <c r="M33" i="68" s="1"/>
  <c r="W33" i="68" s="1"/>
  <c r="N33" i="67"/>
  <c r="L33" i="68" s="1"/>
  <c r="V33" i="68" s="1"/>
  <c r="M33" i="67"/>
  <c r="K33" i="68" s="1"/>
  <c r="U33" i="68" s="1"/>
  <c r="A33" i="67"/>
  <c r="Q32" i="67"/>
  <c r="O32" i="68" s="1"/>
  <c r="Z32" i="68" s="1"/>
  <c r="P32" i="67"/>
  <c r="N32" i="68" s="1"/>
  <c r="Y32" i="68" s="1"/>
  <c r="O32" i="67"/>
  <c r="M32" i="68" s="1"/>
  <c r="W32" i="68" s="1"/>
  <c r="N32" i="67"/>
  <c r="L32" i="68" s="1"/>
  <c r="V32" i="68" s="1"/>
  <c r="M32" i="67"/>
  <c r="K32" i="68" s="1"/>
  <c r="U32" i="68" s="1"/>
  <c r="A32" i="67"/>
  <c r="S31" i="67"/>
  <c r="Q31" i="67"/>
  <c r="O31" i="68" s="1"/>
  <c r="Z31" i="68" s="1"/>
  <c r="P31" i="67"/>
  <c r="N31" i="68" s="1"/>
  <c r="Y31" i="68" s="1"/>
  <c r="O31" i="67"/>
  <c r="M31" i="68" s="1"/>
  <c r="W31" i="68" s="1"/>
  <c r="N31" i="67"/>
  <c r="L31" i="68" s="1"/>
  <c r="V31" i="68" s="1"/>
  <c r="M31" i="67"/>
  <c r="K31" i="68" s="1"/>
  <c r="U31" i="68" s="1"/>
  <c r="A31" i="67"/>
  <c r="S30" i="67"/>
  <c r="Q30" i="67"/>
  <c r="O30" i="68" s="1"/>
  <c r="Z30" i="68" s="1"/>
  <c r="P30" i="67"/>
  <c r="N30" i="68" s="1"/>
  <c r="Y30" i="68" s="1"/>
  <c r="O30" i="67"/>
  <c r="M30" i="68" s="1"/>
  <c r="W30" i="68" s="1"/>
  <c r="N30" i="67"/>
  <c r="L30" i="68" s="1"/>
  <c r="V30" i="68" s="1"/>
  <c r="M30" i="67"/>
  <c r="K30" i="68" s="1"/>
  <c r="U30" i="68" s="1"/>
  <c r="A30" i="67"/>
  <c r="S29" i="67"/>
  <c r="Q29" i="67"/>
  <c r="O29" i="68" s="1"/>
  <c r="Z29" i="68" s="1"/>
  <c r="P29" i="67"/>
  <c r="N29" i="68" s="1"/>
  <c r="Y29" i="68" s="1"/>
  <c r="O29" i="67"/>
  <c r="M29" i="68" s="1"/>
  <c r="W29" i="68" s="1"/>
  <c r="N29" i="67"/>
  <c r="L29" i="68" s="1"/>
  <c r="V29" i="68" s="1"/>
  <c r="M29" i="67"/>
  <c r="K29" i="68" s="1"/>
  <c r="U29" i="68" s="1"/>
  <c r="A29" i="67"/>
  <c r="Q28" i="67"/>
  <c r="O28" i="68" s="1"/>
  <c r="Z28" i="68" s="1"/>
  <c r="P28" i="67"/>
  <c r="N28" i="68" s="1"/>
  <c r="Y28" i="68" s="1"/>
  <c r="O28" i="67"/>
  <c r="M28" i="68" s="1"/>
  <c r="W28" i="68" s="1"/>
  <c r="N28" i="67"/>
  <c r="L28" i="68" s="1"/>
  <c r="V28" i="68" s="1"/>
  <c r="M28" i="67"/>
  <c r="K28" i="68" s="1"/>
  <c r="U28" i="68" s="1"/>
  <c r="A28" i="67"/>
  <c r="I22" i="67"/>
  <c r="H22" i="67"/>
  <c r="G22" i="67"/>
  <c r="E22" i="67"/>
  <c r="D22" i="67"/>
  <c r="C22" i="67"/>
  <c r="N19" i="67"/>
  <c r="J19" i="68" s="1"/>
  <c r="R19" i="68" s="1"/>
  <c r="M19" i="67"/>
  <c r="I19" i="68" s="1"/>
  <c r="Q19" i="68" s="1"/>
  <c r="L19" i="67"/>
  <c r="H19" i="68" s="1"/>
  <c r="P19" i="68" s="1"/>
  <c r="K19" i="67"/>
  <c r="G19" i="68" s="1"/>
  <c r="O19" i="68" s="1"/>
  <c r="N18" i="67"/>
  <c r="J18" i="68" s="1"/>
  <c r="R18" i="68" s="1"/>
  <c r="M18" i="67"/>
  <c r="I18" i="68" s="1"/>
  <c r="Q18" i="68" s="1"/>
  <c r="L18" i="67"/>
  <c r="H18" i="68" s="1"/>
  <c r="P18" i="68" s="1"/>
  <c r="K18" i="67"/>
  <c r="G18" i="68" s="1"/>
  <c r="O18" i="68" s="1"/>
  <c r="N17" i="67"/>
  <c r="J17" i="68" s="1"/>
  <c r="R17" i="68" s="1"/>
  <c r="M17" i="67"/>
  <c r="I17" i="68" s="1"/>
  <c r="Q17" i="68" s="1"/>
  <c r="L17" i="67"/>
  <c r="H17" i="68" s="1"/>
  <c r="P17" i="68" s="1"/>
  <c r="K17" i="67"/>
  <c r="G17" i="68" s="1"/>
  <c r="O17" i="68" s="1"/>
  <c r="N16" i="67"/>
  <c r="J16" i="68" s="1"/>
  <c r="R16" i="68" s="1"/>
  <c r="M16" i="67"/>
  <c r="I16" i="68" s="1"/>
  <c r="Q16" i="68" s="1"/>
  <c r="L16" i="67"/>
  <c r="H16" i="68" s="1"/>
  <c r="P16" i="68" s="1"/>
  <c r="K16" i="67"/>
  <c r="G16" i="68" s="1"/>
  <c r="O16" i="68" s="1"/>
  <c r="N15" i="67"/>
  <c r="J15" i="68" s="1"/>
  <c r="R15" i="68" s="1"/>
  <c r="M15" i="67"/>
  <c r="I15" i="68" s="1"/>
  <c r="Q15" i="68" s="1"/>
  <c r="L15" i="67"/>
  <c r="H15" i="68" s="1"/>
  <c r="P15" i="68" s="1"/>
  <c r="K15" i="67"/>
  <c r="G15" i="68" s="1"/>
  <c r="O15" i="68" s="1"/>
  <c r="N14" i="67"/>
  <c r="J14" i="68" s="1"/>
  <c r="R14" i="68" s="1"/>
  <c r="M14" i="67"/>
  <c r="I14" i="68" s="1"/>
  <c r="Q14" i="68" s="1"/>
  <c r="L14" i="67"/>
  <c r="H14" i="68" s="1"/>
  <c r="P14" i="68" s="1"/>
  <c r="K14" i="67"/>
  <c r="G14" i="68" s="1"/>
  <c r="O14" i="68" s="1"/>
  <c r="N13" i="67"/>
  <c r="J13" i="68" s="1"/>
  <c r="R13" i="68" s="1"/>
  <c r="M13" i="67"/>
  <c r="I13" i="68" s="1"/>
  <c r="Q13" i="68" s="1"/>
  <c r="L13" i="67"/>
  <c r="H13" i="68" s="1"/>
  <c r="P13" i="68" s="1"/>
  <c r="K13" i="67"/>
  <c r="G13" i="68" s="1"/>
  <c r="O13" i="68" s="1"/>
  <c r="N12" i="67"/>
  <c r="J12" i="68" s="1"/>
  <c r="R12" i="68" s="1"/>
  <c r="M12" i="67"/>
  <c r="I12" i="68" s="1"/>
  <c r="Q12" i="68" s="1"/>
  <c r="L12" i="67"/>
  <c r="H12" i="68" s="1"/>
  <c r="P12" i="68" s="1"/>
  <c r="K12" i="67"/>
  <c r="G12" i="68" s="1"/>
  <c r="O12" i="68" s="1"/>
  <c r="N11" i="67"/>
  <c r="J11" i="68" s="1"/>
  <c r="R11" i="68" s="1"/>
  <c r="M11" i="67"/>
  <c r="I11" i="68" s="1"/>
  <c r="Q11" i="68" s="1"/>
  <c r="L11" i="67"/>
  <c r="H11" i="68" s="1"/>
  <c r="P11" i="68" s="1"/>
  <c r="K11" i="67"/>
  <c r="G11" i="68" s="1"/>
  <c r="O11" i="68" s="1"/>
  <c r="N10" i="67"/>
  <c r="J10" i="68" s="1"/>
  <c r="R10" i="68" s="1"/>
  <c r="M10" i="67"/>
  <c r="I10" i="68" s="1"/>
  <c r="Q10" i="68" s="1"/>
  <c r="L10" i="67"/>
  <c r="H10" i="68" s="1"/>
  <c r="P10" i="68" s="1"/>
  <c r="K10" i="67"/>
  <c r="G10" i="68" s="1"/>
  <c r="O10" i="68" s="1"/>
  <c r="N9" i="67"/>
  <c r="J9" i="68" s="1"/>
  <c r="R9" i="68" s="1"/>
  <c r="M9" i="67"/>
  <c r="I9" i="68" s="1"/>
  <c r="Q9" i="68" s="1"/>
  <c r="L9" i="67"/>
  <c r="H9" i="68" s="1"/>
  <c r="K9" i="67"/>
  <c r="G9" i="68" s="1"/>
  <c r="N8" i="67"/>
  <c r="J8" i="68" s="1"/>
  <c r="R8" i="68" s="1"/>
  <c r="M8" i="67"/>
  <c r="I8" i="68" s="1"/>
  <c r="Q8" i="68" s="1"/>
  <c r="L8" i="67"/>
  <c r="H8" i="68" s="1"/>
  <c r="P8" i="68" s="1"/>
  <c r="K8" i="67"/>
  <c r="G8" i="68" s="1"/>
  <c r="O8" i="68" s="1"/>
  <c r="N7" i="67"/>
  <c r="J7" i="68" s="1"/>
  <c r="R7" i="68" s="1"/>
  <c r="M7" i="67"/>
  <c r="I7" i="68" s="1"/>
  <c r="Q7" i="68" s="1"/>
  <c r="L7" i="67"/>
  <c r="H7" i="68" s="1"/>
  <c r="P7" i="68" s="1"/>
  <c r="K7" i="67"/>
  <c r="G7" i="68" s="1"/>
  <c r="O7" i="68" s="1"/>
  <c r="N6" i="67"/>
  <c r="J6" i="68" s="1"/>
  <c r="R6" i="68" s="1"/>
  <c r="M6" i="67"/>
  <c r="I6" i="68" s="1"/>
  <c r="Q6" i="68" s="1"/>
  <c r="L6" i="67"/>
  <c r="H6" i="68" s="1"/>
  <c r="P6" i="68" s="1"/>
  <c r="K6" i="67"/>
  <c r="G6" i="68" s="1"/>
  <c r="O6" i="68" s="1"/>
  <c r="N5" i="67"/>
  <c r="J5" i="68" s="1"/>
  <c r="R5" i="68" s="1"/>
  <c r="M5" i="67"/>
  <c r="I5" i="68" s="1"/>
  <c r="Q5" i="68" s="1"/>
  <c r="L5" i="67"/>
  <c r="H5" i="68" s="1"/>
  <c r="P5" i="68" s="1"/>
  <c r="K5" i="67"/>
  <c r="G5" i="68" s="1"/>
  <c r="O5" i="68" s="1"/>
  <c r="O9" i="68" l="1"/>
  <c r="O22" i="68" s="1"/>
  <c r="S17" i="68"/>
  <c r="P9" i="68"/>
  <c r="P22" i="68" s="1"/>
  <c r="T18" i="68"/>
  <c r="AA40" i="68"/>
  <c r="N22" i="67"/>
  <c r="J22" i="68" s="1"/>
  <c r="S15" i="68"/>
  <c r="M42" i="67"/>
  <c r="K42" i="68" s="1"/>
  <c r="S42" i="68"/>
  <c r="T42" i="68"/>
  <c r="AA39" i="68"/>
  <c r="X40" i="68"/>
  <c r="L22" i="67"/>
  <c r="H22" i="68" s="1"/>
  <c r="N42" i="67"/>
  <c r="L42" i="68" s="1"/>
  <c r="AA38" i="68"/>
  <c r="AA34" i="68"/>
  <c r="P42" i="67"/>
  <c r="N42" i="68" s="1"/>
  <c r="Q42" i="67"/>
  <c r="O42" i="68" s="1"/>
  <c r="M22" i="67"/>
  <c r="I22" i="68" s="1"/>
  <c r="K22" i="67"/>
  <c r="G22" i="68" s="1"/>
  <c r="J23" i="67"/>
  <c r="X33" i="68"/>
  <c r="X35" i="68"/>
  <c r="AA32" i="68"/>
  <c r="AA36" i="68"/>
  <c r="X34" i="68"/>
  <c r="AA29" i="68"/>
  <c r="X28" i="68"/>
  <c r="X31" i="68"/>
  <c r="AA31" i="68"/>
  <c r="Q22" i="68"/>
  <c r="F23" i="67"/>
  <c r="AA33" i="68"/>
  <c r="AA35" i="68"/>
  <c r="AA37" i="68"/>
  <c r="AA30" i="68"/>
  <c r="R22" i="68"/>
  <c r="X30" i="68"/>
  <c r="Z42" i="68"/>
  <c r="V37" i="68"/>
  <c r="X37" i="68" s="1"/>
  <c r="F38" i="68"/>
  <c r="Q38" i="68"/>
  <c r="W42" i="68"/>
  <c r="X32" i="68"/>
  <c r="D42" i="68"/>
  <c r="F36" i="68"/>
  <c r="Q36" i="68"/>
  <c r="Y42" i="68"/>
  <c r="AA28" i="68"/>
  <c r="M38" i="67"/>
  <c r="K38" i="68" s="1"/>
  <c r="U38" i="68" s="1"/>
  <c r="L38" i="68"/>
  <c r="V38" i="68" s="1"/>
  <c r="R42" i="68"/>
  <c r="O42" i="67"/>
  <c r="M42" i="68" s="1"/>
  <c r="F37" i="68"/>
  <c r="J37" i="68" s="1"/>
  <c r="Q37" i="68"/>
  <c r="X29" i="68"/>
  <c r="V36" i="68"/>
  <c r="U36" i="68"/>
  <c r="F39" i="68"/>
  <c r="J39" i="68" s="1"/>
  <c r="Q39" i="68"/>
  <c r="V39" i="68"/>
  <c r="X39" i="68" s="1"/>
  <c r="AD31" i="68"/>
  <c r="P42" i="68"/>
  <c r="J40" i="68"/>
  <c r="D37" i="65"/>
  <c r="E36" i="65"/>
  <c r="D36" i="65"/>
  <c r="E35" i="65"/>
  <c r="D35" i="65"/>
  <c r="C35" i="65"/>
  <c r="E34" i="65"/>
  <c r="D34" i="65"/>
  <c r="C34" i="65"/>
  <c r="AB33" i="68" l="1"/>
  <c r="AB32" i="68"/>
  <c r="AB39" i="68"/>
  <c r="J38" i="68"/>
  <c r="AC38" i="68"/>
  <c r="AB40" i="68"/>
  <c r="AB29" i="68"/>
  <c r="J36" i="68"/>
  <c r="AC36" i="68"/>
  <c r="U42" i="68"/>
  <c r="AB37" i="68"/>
  <c r="AB35" i="68"/>
  <c r="AB34" i="68"/>
  <c r="AB31" i="68"/>
  <c r="AB30" i="68"/>
  <c r="N23" i="67"/>
  <c r="V42" i="68"/>
  <c r="AA42" i="68"/>
  <c r="X38" i="68"/>
  <c r="AB38" i="68" s="1"/>
  <c r="Q42" i="68"/>
  <c r="J42" i="68"/>
  <c r="AB28" i="68"/>
  <c r="X36" i="68"/>
  <c r="AB36" i="68" s="1"/>
  <c r="E37" i="65"/>
  <c r="C37" i="65"/>
  <c r="X42" i="68" l="1"/>
  <c r="AB42" i="68" s="1"/>
  <c r="C36" i="65"/>
  <c r="S27" i="66" l="1"/>
  <c r="T39" i="65"/>
  <c r="S39" i="65"/>
  <c r="T38" i="65"/>
  <c r="S38" i="65"/>
  <c r="T37" i="65"/>
  <c r="S37" i="65"/>
  <c r="T36" i="65"/>
  <c r="S36" i="65"/>
  <c r="T35" i="65"/>
  <c r="S35" i="65"/>
  <c r="T34" i="65"/>
  <c r="S34" i="65"/>
  <c r="T33" i="65"/>
  <c r="S33" i="65"/>
  <c r="T32" i="65"/>
  <c r="S32" i="65"/>
  <c r="T31" i="65"/>
  <c r="S31" i="65"/>
  <c r="T30" i="65"/>
  <c r="S30" i="65"/>
  <c r="T26" i="65"/>
  <c r="S26" i="65"/>
  <c r="T29" i="65"/>
  <c r="S29" i="65"/>
  <c r="T28" i="65"/>
  <c r="S28" i="65"/>
  <c r="T27" i="65"/>
  <c r="S27" i="65"/>
  <c r="R39" i="65"/>
  <c r="Q39" i="65"/>
  <c r="P39" i="65"/>
  <c r="R38" i="65"/>
  <c r="Q38" i="65"/>
  <c r="P38" i="65"/>
  <c r="R37" i="65"/>
  <c r="Q37" i="65"/>
  <c r="P37" i="65"/>
  <c r="R36" i="65"/>
  <c r="Q36" i="65"/>
  <c r="P36" i="65"/>
  <c r="R35" i="65"/>
  <c r="Q35" i="65"/>
  <c r="P35" i="65"/>
  <c r="R34" i="65"/>
  <c r="Q34" i="65"/>
  <c r="P34" i="65"/>
  <c r="R33" i="65"/>
  <c r="Q33" i="65"/>
  <c r="P33" i="65"/>
  <c r="R32" i="65"/>
  <c r="Q32" i="65"/>
  <c r="P32" i="65"/>
  <c r="R31" i="65"/>
  <c r="Q31" i="65"/>
  <c r="P31" i="65"/>
  <c r="R30" i="65"/>
  <c r="Q30" i="65"/>
  <c r="P30" i="65"/>
  <c r="R29" i="65"/>
  <c r="Q29" i="65"/>
  <c r="P29" i="65"/>
  <c r="R28" i="65"/>
  <c r="Q28" i="65"/>
  <c r="P28" i="65"/>
  <c r="R27" i="65"/>
  <c r="Q27" i="65"/>
  <c r="P27" i="65"/>
  <c r="R26" i="65"/>
  <c r="Q26" i="65"/>
  <c r="P26" i="65"/>
  <c r="N19" i="65"/>
  <c r="M19" i="65"/>
  <c r="L19" i="65"/>
  <c r="K19" i="65"/>
  <c r="N18" i="65"/>
  <c r="M18" i="65"/>
  <c r="L18" i="65"/>
  <c r="K18" i="65"/>
  <c r="N17" i="65"/>
  <c r="M17" i="65"/>
  <c r="L17" i="65"/>
  <c r="K17" i="65"/>
  <c r="N16" i="65"/>
  <c r="M16" i="65"/>
  <c r="L16" i="65"/>
  <c r="K16" i="65"/>
  <c r="N15" i="65"/>
  <c r="M15" i="65"/>
  <c r="L15" i="65"/>
  <c r="K15" i="65"/>
  <c r="N14" i="65"/>
  <c r="M14" i="65"/>
  <c r="L14" i="65"/>
  <c r="K14" i="65"/>
  <c r="N13" i="65"/>
  <c r="M13" i="65"/>
  <c r="L13" i="65"/>
  <c r="K13" i="65"/>
  <c r="N12" i="65"/>
  <c r="M12" i="65"/>
  <c r="L12" i="65"/>
  <c r="K12" i="65"/>
  <c r="N11" i="65"/>
  <c r="M11" i="65"/>
  <c r="L11" i="65"/>
  <c r="K11" i="65"/>
  <c r="N10" i="65"/>
  <c r="M10" i="65"/>
  <c r="L10" i="65"/>
  <c r="K10" i="65"/>
  <c r="N9" i="65"/>
  <c r="M9" i="65"/>
  <c r="L9" i="65"/>
  <c r="K9" i="65"/>
  <c r="N8" i="65"/>
  <c r="M8" i="65"/>
  <c r="L8" i="65"/>
  <c r="K8" i="65"/>
  <c r="N7" i="65"/>
  <c r="M7" i="65"/>
  <c r="L7" i="65"/>
  <c r="K7" i="65"/>
  <c r="N6" i="65"/>
  <c r="M6" i="65"/>
  <c r="L6" i="65"/>
  <c r="K6" i="65"/>
  <c r="N5" i="65"/>
  <c r="M5" i="65"/>
  <c r="L5" i="65"/>
  <c r="K5" i="65"/>
  <c r="A39" i="66"/>
  <c r="A38" i="66"/>
  <c r="A37" i="66"/>
  <c r="A36" i="66"/>
  <c r="A35" i="66"/>
  <c r="A34" i="66"/>
  <c r="A33" i="66"/>
  <c r="A32" i="66"/>
  <c r="A31" i="66"/>
  <c r="A30" i="66"/>
  <c r="A29" i="66"/>
  <c r="A28" i="66"/>
  <c r="A27" i="66"/>
  <c r="A26" i="66"/>
  <c r="L40" i="66"/>
  <c r="K40" i="66"/>
  <c r="J40" i="66"/>
  <c r="I40" i="66"/>
  <c r="H40" i="66"/>
  <c r="G40" i="66"/>
  <c r="F40" i="66"/>
  <c r="E40" i="66"/>
  <c r="D40" i="66"/>
  <c r="C40" i="66"/>
  <c r="Q39" i="66"/>
  <c r="O39" i="65" s="1"/>
  <c r="Z39" i="65" s="1"/>
  <c r="P39" i="66"/>
  <c r="N39" i="65" s="1"/>
  <c r="Y39" i="65" s="1"/>
  <c r="O39" i="66"/>
  <c r="M39" i="65" s="1"/>
  <c r="W39" i="65" s="1"/>
  <c r="N39" i="66"/>
  <c r="L39" i="65" s="1"/>
  <c r="V39" i="65" s="1"/>
  <c r="M39" i="66"/>
  <c r="K39" i="65" s="1"/>
  <c r="U39" i="65" s="1"/>
  <c r="Q38" i="66"/>
  <c r="O38" i="65" s="1"/>
  <c r="Z38" i="65" s="1"/>
  <c r="P38" i="66"/>
  <c r="N38" i="65" s="1"/>
  <c r="Y38" i="65" s="1"/>
  <c r="O38" i="66"/>
  <c r="M38" i="65" s="1"/>
  <c r="W38" i="65" s="1"/>
  <c r="N38" i="66"/>
  <c r="L38" i="65" s="1"/>
  <c r="V38" i="65" s="1"/>
  <c r="M38" i="66"/>
  <c r="K38" i="65" s="1"/>
  <c r="U38" i="65" s="1"/>
  <c r="Q37" i="66"/>
  <c r="O37" i="65" s="1"/>
  <c r="Z37" i="65" s="1"/>
  <c r="P37" i="66"/>
  <c r="N37" i="65" s="1"/>
  <c r="Y37" i="65" s="1"/>
  <c r="O37" i="66"/>
  <c r="M37" i="65" s="1"/>
  <c r="W37" i="65" s="1"/>
  <c r="N37" i="66"/>
  <c r="L37" i="65" s="1"/>
  <c r="V37" i="65" s="1"/>
  <c r="M37" i="66"/>
  <c r="K37" i="65" s="1"/>
  <c r="U37" i="65" s="1"/>
  <c r="Q36" i="66"/>
  <c r="O36" i="65" s="1"/>
  <c r="Z36" i="65" s="1"/>
  <c r="P36" i="66"/>
  <c r="N36" i="65" s="1"/>
  <c r="Y36" i="65" s="1"/>
  <c r="O36" i="66"/>
  <c r="M36" i="65" s="1"/>
  <c r="W36" i="65" s="1"/>
  <c r="N36" i="66"/>
  <c r="M36" i="66" s="1"/>
  <c r="K36" i="65" s="1"/>
  <c r="U36" i="65" s="1"/>
  <c r="Q35" i="66"/>
  <c r="O35" i="65" s="1"/>
  <c r="Z35" i="65" s="1"/>
  <c r="P35" i="66"/>
  <c r="N35" i="65" s="1"/>
  <c r="Y35" i="65" s="1"/>
  <c r="O35" i="66"/>
  <c r="M35" i="65" s="1"/>
  <c r="W35" i="65" s="1"/>
  <c r="N35" i="66"/>
  <c r="L35" i="65" s="1"/>
  <c r="V35" i="65" s="1"/>
  <c r="M35" i="66"/>
  <c r="K35" i="65" s="1"/>
  <c r="U35" i="65" s="1"/>
  <c r="Q34" i="66"/>
  <c r="O34" i="65" s="1"/>
  <c r="Z34" i="65" s="1"/>
  <c r="P34" i="66"/>
  <c r="N34" i="65" s="1"/>
  <c r="Y34" i="65" s="1"/>
  <c r="O34" i="66"/>
  <c r="M34" i="65" s="1"/>
  <c r="W34" i="65" s="1"/>
  <c r="N34" i="66"/>
  <c r="L34" i="65" s="1"/>
  <c r="V34" i="65" s="1"/>
  <c r="M34" i="66"/>
  <c r="K34" i="65" s="1"/>
  <c r="Q33" i="66"/>
  <c r="O33" i="65" s="1"/>
  <c r="Z33" i="65" s="1"/>
  <c r="P33" i="66"/>
  <c r="N33" i="65" s="1"/>
  <c r="Y33" i="65" s="1"/>
  <c r="O33" i="66"/>
  <c r="M33" i="65" s="1"/>
  <c r="W33" i="65" s="1"/>
  <c r="N33" i="66"/>
  <c r="L33" i="65" s="1"/>
  <c r="V33" i="65" s="1"/>
  <c r="M33" i="66"/>
  <c r="K33" i="65" s="1"/>
  <c r="U33" i="65" s="1"/>
  <c r="Q32" i="66"/>
  <c r="O32" i="65" s="1"/>
  <c r="Z32" i="65" s="1"/>
  <c r="P32" i="66"/>
  <c r="N32" i="65" s="1"/>
  <c r="Y32" i="65" s="1"/>
  <c r="O32" i="66"/>
  <c r="M32" i="65" s="1"/>
  <c r="W32" i="65" s="1"/>
  <c r="N32" i="66"/>
  <c r="L32" i="65" s="1"/>
  <c r="V32" i="65" s="1"/>
  <c r="M32" i="66"/>
  <c r="K32" i="65" s="1"/>
  <c r="U32" i="65" s="1"/>
  <c r="Q31" i="66"/>
  <c r="O31" i="65" s="1"/>
  <c r="Z31" i="65" s="1"/>
  <c r="P31" i="66"/>
  <c r="N31" i="65" s="1"/>
  <c r="Y31" i="65" s="1"/>
  <c r="O31" i="66"/>
  <c r="M31" i="65" s="1"/>
  <c r="W31" i="65" s="1"/>
  <c r="N31" i="66"/>
  <c r="L31" i="65" s="1"/>
  <c r="V31" i="65" s="1"/>
  <c r="M31" i="66"/>
  <c r="K31" i="65" s="1"/>
  <c r="U31" i="65" s="1"/>
  <c r="Q30" i="66"/>
  <c r="O30" i="65" s="1"/>
  <c r="Z30" i="65" s="1"/>
  <c r="P30" i="66"/>
  <c r="N30" i="65" s="1"/>
  <c r="Y30" i="65" s="1"/>
  <c r="O30" i="66"/>
  <c r="M30" i="65" s="1"/>
  <c r="W30" i="65" s="1"/>
  <c r="N30" i="66"/>
  <c r="L30" i="65" s="1"/>
  <c r="V30" i="65" s="1"/>
  <c r="M30" i="66"/>
  <c r="K30" i="65" s="1"/>
  <c r="U30" i="65" s="1"/>
  <c r="S29" i="66"/>
  <c r="Q29" i="66"/>
  <c r="O29" i="65" s="1"/>
  <c r="Z29" i="65" s="1"/>
  <c r="P29" i="66"/>
  <c r="N29" i="65" s="1"/>
  <c r="O29" i="66"/>
  <c r="M29" i="65" s="1"/>
  <c r="W29" i="65" s="1"/>
  <c r="N29" i="66"/>
  <c r="L29" i="65" s="1"/>
  <c r="V29" i="65" s="1"/>
  <c r="M29" i="66"/>
  <c r="K29" i="65" s="1"/>
  <c r="U29" i="65" s="1"/>
  <c r="S28" i="66"/>
  <c r="Q28" i="66"/>
  <c r="O28" i="65" s="1"/>
  <c r="Z28" i="65" s="1"/>
  <c r="P28" i="66"/>
  <c r="N28" i="65" s="1"/>
  <c r="O28" i="66"/>
  <c r="M28" i="65" s="1"/>
  <c r="W28" i="65" s="1"/>
  <c r="N28" i="66"/>
  <c r="L28" i="65" s="1"/>
  <c r="V28" i="65" s="1"/>
  <c r="M28" i="66"/>
  <c r="K28" i="65" s="1"/>
  <c r="U28" i="65" s="1"/>
  <c r="Q27" i="66"/>
  <c r="O27" i="65" s="1"/>
  <c r="Z27" i="65" s="1"/>
  <c r="P27" i="66"/>
  <c r="N27" i="65" s="1"/>
  <c r="Y27" i="65" s="1"/>
  <c r="O27" i="66"/>
  <c r="M27" i="65" s="1"/>
  <c r="W27" i="65" s="1"/>
  <c r="N27" i="66"/>
  <c r="L27" i="65" s="1"/>
  <c r="V27" i="65" s="1"/>
  <c r="M27" i="66"/>
  <c r="K27" i="65" s="1"/>
  <c r="U27" i="65" s="1"/>
  <c r="Q26" i="66"/>
  <c r="O26" i="65" s="1"/>
  <c r="Z26" i="65" s="1"/>
  <c r="P26" i="66"/>
  <c r="N26" i="65" s="1"/>
  <c r="Y26" i="65" s="1"/>
  <c r="O26" i="66"/>
  <c r="M26" i="65" s="1"/>
  <c r="W26" i="65" s="1"/>
  <c r="N26" i="66"/>
  <c r="L26" i="65" s="1"/>
  <c r="V26" i="65" s="1"/>
  <c r="M26" i="66"/>
  <c r="K26" i="65" s="1"/>
  <c r="U26" i="65" s="1"/>
  <c r="J20" i="66"/>
  <c r="I20" i="66"/>
  <c r="H20" i="66"/>
  <c r="G20" i="66"/>
  <c r="F20" i="66"/>
  <c r="E20" i="66"/>
  <c r="D20" i="66"/>
  <c r="C20" i="66"/>
  <c r="N19" i="66"/>
  <c r="J19" i="65" s="1"/>
  <c r="R19" i="65" s="1"/>
  <c r="M19" i="66"/>
  <c r="I19" i="65" s="1"/>
  <c r="Q19" i="65" s="1"/>
  <c r="L19" i="66"/>
  <c r="H19" i="65" s="1"/>
  <c r="P19" i="65" s="1"/>
  <c r="K19" i="66"/>
  <c r="G19" i="65" s="1"/>
  <c r="O19" i="65" s="1"/>
  <c r="N18" i="66"/>
  <c r="J18" i="65" s="1"/>
  <c r="R18" i="65" s="1"/>
  <c r="M18" i="66"/>
  <c r="I18" i="65" s="1"/>
  <c r="Q18" i="65" s="1"/>
  <c r="L18" i="66"/>
  <c r="H18" i="65" s="1"/>
  <c r="P18" i="65" s="1"/>
  <c r="K18" i="66"/>
  <c r="G18" i="65" s="1"/>
  <c r="O18" i="65" s="1"/>
  <c r="N17" i="66"/>
  <c r="J17" i="65" s="1"/>
  <c r="R17" i="65" s="1"/>
  <c r="M17" i="66"/>
  <c r="I17" i="65" s="1"/>
  <c r="Q17" i="65" s="1"/>
  <c r="L17" i="66"/>
  <c r="H17" i="65" s="1"/>
  <c r="P17" i="65" s="1"/>
  <c r="K17" i="66"/>
  <c r="G17" i="65" s="1"/>
  <c r="O17" i="65" s="1"/>
  <c r="N16" i="66"/>
  <c r="J16" i="65" s="1"/>
  <c r="R16" i="65" s="1"/>
  <c r="M16" i="66"/>
  <c r="I16" i="65" s="1"/>
  <c r="Q16" i="65" s="1"/>
  <c r="L16" i="66"/>
  <c r="H16" i="65" s="1"/>
  <c r="P16" i="65" s="1"/>
  <c r="K16" i="66"/>
  <c r="G16" i="65" s="1"/>
  <c r="O16" i="65" s="1"/>
  <c r="N15" i="66"/>
  <c r="J15" i="65" s="1"/>
  <c r="R15" i="65" s="1"/>
  <c r="M15" i="66"/>
  <c r="I15" i="65" s="1"/>
  <c r="Q15" i="65" s="1"/>
  <c r="L15" i="66"/>
  <c r="H15" i="65" s="1"/>
  <c r="P15" i="65" s="1"/>
  <c r="K15" i="66"/>
  <c r="G15" i="65" s="1"/>
  <c r="O15" i="65" s="1"/>
  <c r="N14" i="66"/>
  <c r="J14" i="65" s="1"/>
  <c r="M14" i="66"/>
  <c r="I14" i="65" s="1"/>
  <c r="Q14" i="65" s="1"/>
  <c r="L14" i="66"/>
  <c r="H14" i="65" s="1"/>
  <c r="P14" i="65" s="1"/>
  <c r="K14" i="66"/>
  <c r="G14" i="65" s="1"/>
  <c r="O14" i="65" s="1"/>
  <c r="N13" i="66"/>
  <c r="J13" i="65" s="1"/>
  <c r="M13" i="66"/>
  <c r="I13" i="65" s="1"/>
  <c r="Q13" i="65" s="1"/>
  <c r="L13" i="66"/>
  <c r="H13" i="65" s="1"/>
  <c r="P13" i="65" s="1"/>
  <c r="K13" i="66"/>
  <c r="G13" i="65" s="1"/>
  <c r="O13" i="65" s="1"/>
  <c r="N12" i="66"/>
  <c r="J12" i="65" s="1"/>
  <c r="R12" i="65" s="1"/>
  <c r="M12" i="66"/>
  <c r="I12" i="65" s="1"/>
  <c r="Q12" i="65" s="1"/>
  <c r="L12" i="66"/>
  <c r="H12" i="65" s="1"/>
  <c r="P12" i="65" s="1"/>
  <c r="K12" i="66"/>
  <c r="G12" i="65" s="1"/>
  <c r="O12" i="65" s="1"/>
  <c r="N11" i="66"/>
  <c r="J11" i="65" s="1"/>
  <c r="R11" i="65" s="1"/>
  <c r="M11" i="66"/>
  <c r="I11" i="65" s="1"/>
  <c r="Q11" i="65" s="1"/>
  <c r="L11" i="66"/>
  <c r="H11" i="65" s="1"/>
  <c r="P11" i="65" s="1"/>
  <c r="K11" i="66"/>
  <c r="G11" i="65" s="1"/>
  <c r="O11" i="65" s="1"/>
  <c r="N10" i="66"/>
  <c r="J10" i="65" s="1"/>
  <c r="R10" i="65" s="1"/>
  <c r="M10" i="66"/>
  <c r="I10" i="65" s="1"/>
  <c r="Q10" i="65" s="1"/>
  <c r="L10" i="66"/>
  <c r="H10" i="65" s="1"/>
  <c r="P10" i="65" s="1"/>
  <c r="K10" i="66"/>
  <c r="G10" i="65" s="1"/>
  <c r="O10" i="65" s="1"/>
  <c r="N9" i="66"/>
  <c r="J9" i="65" s="1"/>
  <c r="R9" i="65" s="1"/>
  <c r="M9" i="66"/>
  <c r="I9" i="65" s="1"/>
  <c r="Q9" i="65" s="1"/>
  <c r="L9" i="66"/>
  <c r="H9" i="65" s="1"/>
  <c r="P9" i="65" s="1"/>
  <c r="K9" i="66"/>
  <c r="G9" i="65" s="1"/>
  <c r="O9" i="65" s="1"/>
  <c r="N8" i="66"/>
  <c r="J8" i="65" s="1"/>
  <c r="R8" i="65" s="1"/>
  <c r="M8" i="66"/>
  <c r="I8" i="65" s="1"/>
  <c r="Q8" i="65" s="1"/>
  <c r="L8" i="66"/>
  <c r="H8" i="65" s="1"/>
  <c r="P8" i="65" s="1"/>
  <c r="K8" i="66"/>
  <c r="G8" i="65" s="1"/>
  <c r="O8" i="65" s="1"/>
  <c r="N7" i="66"/>
  <c r="J7" i="65" s="1"/>
  <c r="R7" i="65" s="1"/>
  <c r="M7" i="66"/>
  <c r="I7" i="65" s="1"/>
  <c r="Q7" i="65" s="1"/>
  <c r="L7" i="66"/>
  <c r="H7" i="65" s="1"/>
  <c r="P7" i="65" s="1"/>
  <c r="K7" i="66"/>
  <c r="G7" i="65" s="1"/>
  <c r="O7" i="65" s="1"/>
  <c r="N6" i="66"/>
  <c r="J6" i="65" s="1"/>
  <c r="R6" i="65" s="1"/>
  <c r="M6" i="66"/>
  <c r="I6" i="65" s="1"/>
  <c r="Q6" i="65" s="1"/>
  <c r="L6" i="66"/>
  <c r="H6" i="65" s="1"/>
  <c r="P6" i="65" s="1"/>
  <c r="K6" i="66"/>
  <c r="G6" i="65" s="1"/>
  <c r="O6" i="65" s="1"/>
  <c r="N5" i="66"/>
  <c r="J5" i="65" s="1"/>
  <c r="R5" i="65" s="1"/>
  <c r="M5" i="66"/>
  <c r="I5" i="65" s="1"/>
  <c r="Q5" i="65" s="1"/>
  <c r="L5" i="66"/>
  <c r="H5" i="65" s="1"/>
  <c r="P5" i="65" s="1"/>
  <c r="K5" i="66"/>
  <c r="G5" i="65" s="1"/>
  <c r="O5" i="65" s="1"/>
  <c r="E40" i="65"/>
  <c r="R40" i="65" s="1"/>
  <c r="D40" i="65"/>
  <c r="Q40" i="65" s="1"/>
  <c r="C40" i="65"/>
  <c r="AB39" i="65"/>
  <c r="J39" i="65"/>
  <c r="I38" i="65"/>
  <c r="F38" i="65"/>
  <c r="I37" i="65"/>
  <c r="F37" i="65"/>
  <c r="I36" i="65"/>
  <c r="F36" i="65"/>
  <c r="I35" i="65"/>
  <c r="F35" i="65"/>
  <c r="I34" i="65"/>
  <c r="F34" i="65"/>
  <c r="I33" i="65"/>
  <c r="F33" i="65"/>
  <c r="I32" i="65"/>
  <c r="J32" i="65" s="1"/>
  <c r="I31" i="65"/>
  <c r="J31" i="65" s="1"/>
  <c r="I30" i="65"/>
  <c r="J30" i="65" s="1"/>
  <c r="I28" i="65"/>
  <c r="I27" i="65"/>
  <c r="J27" i="65" s="1"/>
  <c r="AD25" i="65"/>
  <c r="AC25" i="65"/>
  <c r="F20" i="65"/>
  <c r="E20" i="65"/>
  <c r="D20" i="65"/>
  <c r="C20" i="65"/>
  <c r="O40" i="66" l="1"/>
  <c r="M40" i="65" s="1"/>
  <c r="AA31" i="65"/>
  <c r="J35" i="65"/>
  <c r="M40" i="66"/>
  <c r="K40" i="65" s="1"/>
  <c r="N40" i="66"/>
  <c r="L40" i="65" s="1"/>
  <c r="U34" i="65"/>
  <c r="X34" i="65" s="1"/>
  <c r="AA35" i="65"/>
  <c r="L36" i="65"/>
  <c r="V36" i="65" s="1"/>
  <c r="X36" i="65" s="1"/>
  <c r="J34" i="65"/>
  <c r="J37" i="65"/>
  <c r="X29" i="65"/>
  <c r="J36" i="65"/>
  <c r="J38" i="65"/>
  <c r="AA38" i="65"/>
  <c r="Y28" i="65"/>
  <c r="AA28" i="65" s="1"/>
  <c r="AA34" i="65"/>
  <c r="P40" i="65"/>
  <c r="R14" i="65"/>
  <c r="R13" i="65"/>
  <c r="M20" i="66"/>
  <c r="I20" i="65" s="1"/>
  <c r="L20" i="66"/>
  <c r="H20" i="65" s="1"/>
  <c r="N20" i="66"/>
  <c r="J20" i="65" s="1"/>
  <c r="Q40" i="66"/>
  <c r="O40" i="65" s="1"/>
  <c r="P40" i="66"/>
  <c r="N40" i="65" s="1"/>
  <c r="J28" i="65"/>
  <c r="X38" i="65"/>
  <c r="AB38" i="65" s="1"/>
  <c r="X27" i="65"/>
  <c r="AA33" i="65"/>
  <c r="X37" i="65"/>
  <c r="Q20" i="65"/>
  <c r="P20" i="65"/>
  <c r="Z40" i="65"/>
  <c r="F21" i="66"/>
  <c r="J21" i="66"/>
  <c r="K20" i="66"/>
  <c r="G20" i="65" s="1"/>
  <c r="W40" i="65"/>
  <c r="AA27" i="65"/>
  <c r="AA30" i="65"/>
  <c r="J33" i="65"/>
  <c r="X33" i="65"/>
  <c r="AB33" i="65" s="1"/>
  <c r="X35" i="65"/>
  <c r="AA37" i="65"/>
  <c r="O20" i="65"/>
  <c r="AA26" i="65"/>
  <c r="X26" i="65"/>
  <c r="I29" i="65"/>
  <c r="AD29" i="65" s="1"/>
  <c r="X30" i="65"/>
  <c r="G40" i="65"/>
  <c r="S40" i="65" s="1"/>
  <c r="X28" i="65"/>
  <c r="Y29" i="65"/>
  <c r="AA29" i="65" s="1"/>
  <c r="AB29" i="65" s="1"/>
  <c r="X31" i="65"/>
  <c r="AA32" i="65"/>
  <c r="AA36" i="65"/>
  <c r="E41" i="65"/>
  <c r="X32" i="65"/>
  <c r="H40" i="65"/>
  <c r="T40" i="65" s="1"/>
  <c r="T40" i="64"/>
  <c r="T39" i="64"/>
  <c r="T38" i="64"/>
  <c r="T37" i="64"/>
  <c r="T36" i="64"/>
  <c r="T35" i="64"/>
  <c r="T34" i="64"/>
  <c r="T33" i="64"/>
  <c r="T32" i="64"/>
  <c r="T31" i="64"/>
  <c r="T30" i="64"/>
  <c r="T27" i="64"/>
  <c r="T26" i="64"/>
  <c r="S40" i="64"/>
  <c r="S39" i="64"/>
  <c r="S38" i="64"/>
  <c r="S37" i="64"/>
  <c r="S36" i="64"/>
  <c r="S35" i="64"/>
  <c r="S34" i="64"/>
  <c r="S33" i="64"/>
  <c r="S32" i="64"/>
  <c r="S31" i="64"/>
  <c r="S30" i="64"/>
  <c r="S27" i="64"/>
  <c r="S26" i="64"/>
  <c r="H29" i="64"/>
  <c r="T29" i="64" s="1"/>
  <c r="G29" i="64"/>
  <c r="S29" i="64" s="1"/>
  <c r="H28" i="64"/>
  <c r="T28" i="64" s="1"/>
  <c r="G28" i="64"/>
  <c r="S28" i="64" s="1"/>
  <c r="AB31" i="65" l="1"/>
  <c r="AB35" i="65"/>
  <c r="U40" i="65"/>
  <c r="AB37" i="65"/>
  <c r="V40" i="65"/>
  <c r="AB30" i="65"/>
  <c r="AB34" i="65"/>
  <c r="AB32" i="65"/>
  <c r="R20" i="65"/>
  <c r="N21" i="66"/>
  <c r="AB28" i="65"/>
  <c r="AB27" i="65"/>
  <c r="X40" i="65"/>
  <c r="AB26" i="65"/>
  <c r="AA40" i="65"/>
  <c r="AB36" i="65"/>
  <c r="Y40" i="65"/>
  <c r="J40" i="65"/>
  <c r="J29" i="65"/>
  <c r="AB40" i="65" l="1"/>
  <c r="N19" i="64" l="1"/>
  <c r="M19" i="64"/>
  <c r="L19" i="64"/>
  <c r="K19" i="64"/>
  <c r="N18" i="64"/>
  <c r="M18" i="64"/>
  <c r="L18" i="64"/>
  <c r="K18" i="64"/>
  <c r="N17" i="64"/>
  <c r="M17" i="64"/>
  <c r="L17" i="64"/>
  <c r="K17" i="64"/>
  <c r="N16" i="64"/>
  <c r="M16" i="64"/>
  <c r="L16" i="64"/>
  <c r="K16" i="64"/>
  <c r="N15" i="64"/>
  <c r="M15" i="64"/>
  <c r="L15" i="64"/>
  <c r="K15" i="64"/>
  <c r="N14" i="64"/>
  <c r="M14" i="64"/>
  <c r="L14" i="64"/>
  <c r="K14" i="64"/>
  <c r="N13" i="64"/>
  <c r="M13" i="64"/>
  <c r="L13" i="64"/>
  <c r="K13" i="64"/>
  <c r="N12" i="64"/>
  <c r="M12" i="64"/>
  <c r="L12" i="64"/>
  <c r="K12" i="64"/>
  <c r="N11" i="64"/>
  <c r="M11" i="64"/>
  <c r="L11" i="64"/>
  <c r="K11" i="64"/>
  <c r="N10" i="64"/>
  <c r="M10" i="64"/>
  <c r="L10" i="64"/>
  <c r="K10" i="64"/>
  <c r="N9" i="64"/>
  <c r="M9" i="64"/>
  <c r="L9" i="64"/>
  <c r="K9" i="64"/>
  <c r="N8" i="64"/>
  <c r="M8" i="64"/>
  <c r="L8" i="64"/>
  <c r="K8" i="64"/>
  <c r="N7" i="64"/>
  <c r="M7" i="64"/>
  <c r="L7" i="64"/>
  <c r="K7" i="64"/>
  <c r="N6" i="64"/>
  <c r="M6" i="64"/>
  <c r="L6" i="64"/>
  <c r="K6" i="64"/>
  <c r="N5" i="64"/>
  <c r="M5" i="64"/>
  <c r="L5" i="64"/>
  <c r="K5" i="64"/>
  <c r="N5" i="63"/>
  <c r="J5" i="64" s="1"/>
  <c r="M5" i="63"/>
  <c r="I5" i="64" s="1"/>
  <c r="L5" i="63"/>
  <c r="H5" i="64" s="1"/>
  <c r="K5" i="63"/>
  <c r="G5" i="64" s="1"/>
  <c r="R40" i="64"/>
  <c r="Q40" i="64"/>
  <c r="P40" i="64"/>
  <c r="R39" i="64"/>
  <c r="Q39" i="64"/>
  <c r="P39" i="64"/>
  <c r="R38" i="64"/>
  <c r="Q38" i="64"/>
  <c r="P38" i="64"/>
  <c r="R37" i="64"/>
  <c r="Q37" i="64"/>
  <c r="P37" i="64"/>
  <c r="R36" i="64"/>
  <c r="Q36" i="64"/>
  <c r="P36" i="64"/>
  <c r="R35" i="64"/>
  <c r="Q35" i="64"/>
  <c r="P35" i="64"/>
  <c r="R34" i="64"/>
  <c r="Q34" i="64"/>
  <c r="P34" i="64"/>
  <c r="R33" i="64"/>
  <c r="Q33" i="64"/>
  <c r="P33" i="64"/>
  <c r="R32" i="64"/>
  <c r="Q32" i="64"/>
  <c r="P32" i="64"/>
  <c r="R31" i="64"/>
  <c r="Q31" i="64"/>
  <c r="P31" i="64"/>
  <c r="R30" i="64"/>
  <c r="Q30" i="64"/>
  <c r="P30" i="64"/>
  <c r="R29" i="64"/>
  <c r="Q29" i="64"/>
  <c r="P29" i="64"/>
  <c r="R28" i="64"/>
  <c r="Q28" i="64"/>
  <c r="P28" i="64"/>
  <c r="R27" i="64"/>
  <c r="Q27" i="64"/>
  <c r="P27" i="64"/>
  <c r="R26" i="64"/>
  <c r="Q26" i="64"/>
  <c r="P26" i="64"/>
  <c r="S28" i="63"/>
  <c r="A40" i="63"/>
  <c r="A39" i="63"/>
  <c r="A38" i="63"/>
  <c r="A37" i="63"/>
  <c r="A36" i="63"/>
  <c r="A35" i="63"/>
  <c r="A34" i="63"/>
  <c r="A33" i="63"/>
  <c r="A32" i="63"/>
  <c r="A31" i="63"/>
  <c r="A30" i="63"/>
  <c r="A29" i="63"/>
  <c r="A28" i="63"/>
  <c r="A27" i="63"/>
  <c r="A26" i="63"/>
  <c r="H41" i="64"/>
  <c r="G41" i="64"/>
  <c r="E41" i="64"/>
  <c r="R41" i="64" s="1"/>
  <c r="D41" i="64"/>
  <c r="Q41" i="64" s="1"/>
  <c r="C41" i="64"/>
  <c r="AB40" i="64"/>
  <c r="J40" i="64"/>
  <c r="I39" i="64"/>
  <c r="F39" i="64"/>
  <c r="I38" i="64"/>
  <c r="F38" i="64"/>
  <c r="I37" i="64"/>
  <c r="F37" i="64"/>
  <c r="I36" i="64"/>
  <c r="F36" i="64"/>
  <c r="I35" i="64"/>
  <c r="F35" i="64"/>
  <c r="I34" i="64"/>
  <c r="F34" i="64"/>
  <c r="I33" i="64"/>
  <c r="F33" i="64"/>
  <c r="I32" i="64"/>
  <c r="J32" i="64" s="1"/>
  <c r="I31" i="64"/>
  <c r="J31" i="64" s="1"/>
  <c r="I30" i="64"/>
  <c r="J30" i="64" s="1"/>
  <c r="I29" i="64"/>
  <c r="J29" i="64" s="1"/>
  <c r="I28" i="64"/>
  <c r="J28" i="64" s="1"/>
  <c r="I27" i="64"/>
  <c r="J27" i="64" s="1"/>
  <c r="AD25" i="64"/>
  <c r="AC25" i="64"/>
  <c r="F20" i="64"/>
  <c r="E20" i="64"/>
  <c r="D20" i="64"/>
  <c r="C20" i="64"/>
  <c r="L41" i="63"/>
  <c r="K41" i="63"/>
  <c r="J41" i="63"/>
  <c r="I41" i="63"/>
  <c r="H41" i="63"/>
  <c r="G41" i="63"/>
  <c r="F41" i="63"/>
  <c r="E41" i="63"/>
  <c r="O41" i="63" s="1"/>
  <c r="M41" i="64" s="1"/>
  <c r="D41" i="63"/>
  <c r="N41" i="63" s="1"/>
  <c r="L41" i="64" s="1"/>
  <c r="C41" i="63"/>
  <c r="M41" i="63" s="1"/>
  <c r="K41" i="64" s="1"/>
  <c r="Q40" i="63"/>
  <c r="O40" i="64" s="1"/>
  <c r="Z40" i="64" s="1"/>
  <c r="P40" i="63"/>
  <c r="N40" i="64" s="1"/>
  <c r="Y40" i="64" s="1"/>
  <c r="O40" i="63"/>
  <c r="M40" i="64" s="1"/>
  <c r="W40" i="64" s="1"/>
  <c r="N40" i="63"/>
  <c r="L40" i="64" s="1"/>
  <c r="V40" i="64" s="1"/>
  <c r="M40" i="63"/>
  <c r="K40" i="64" s="1"/>
  <c r="U40" i="64" s="1"/>
  <c r="Q39" i="63"/>
  <c r="O39" i="64" s="1"/>
  <c r="Z39" i="64" s="1"/>
  <c r="P39" i="63"/>
  <c r="N39" i="64" s="1"/>
  <c r="Y39" i="64" s="1"/>
  <c r="O39" i="63"/>
  <c r="M39" i="64" s="1"/>
  <c r="W39" i="64" s="1"/>
  <c r="N39" i="63"/>
  <c r="L39" i="64" s="1"/>
  <c r="V39" i="64" s="1"/>
  <c r="M39" i="63"/>
  <c r="K39" i="64" s="1"/>
  <c r="U39" i="64" s="1"/>
  <c r="Q38" i="63"/>
  <c r="O38" i="64" s="1"/>
  <c r="Z38" i="64" s="1"/>
  <c r="P38" i="63"/>
  <c r="N38" i="64" s="1"/>
  <c r="Y38" i="64" s="1"/>
  <c r="O38" i="63"/>
  <c r="M38" i="64" s="1"/>
  <c r="W38" i="64" s="1"/>
  <c r="N38" i="63"/>
  <c r="L38" i="64" s="1"/>
  <c r="V38" i="64" s="1"/>
  <c r="M38" i="63"/>
  <c r="K38" i="64" s="1"/>
  <c r="U38" i="64" s="1"/>
  <c r="Q37" i="63"/>
  <c r="O37" i="64" s="1"/>
  <c r="Z37" i="64" s="1"/>
  <c r="P37" i="63"/>
  <c r="N37" i="64" s="1"/>
  <c r="Y37" i="64" s="1"/>
  <c r="O37" i="63"/>
  <c r="M37" i="64" s="1"/>
  <c r="W37" i="64" s="1"/>
  <c r="N37" i="63"/>
  <c r="M37" i="63" s="1"/>
  <c r="K37" i="64" s="1"/>
  <c r="U37" i="64" s="1"/>
  <c r="Q36" i="63"/>
  <c r="O36" i="64" s="1"/>
  <c r="Z36" i="64" s="1"/>
  <c r="P36" i="63"/>
  <c r="N36" i="64" s="1"/>
  <c r="Y36" i="64" s="1"/>
  <c r="O36" i="63"/>
  <c r="M36" i="64" s="1"/>
  <c r="W36" i="64" s="1"/>
  <c r="N36" i="63"/>
  <c r="L36" i="64" s="1"/>
  <c r="V36" i="64" s="1"/>
  <c r="M36" i="63"/>
  <c r="K36" i="64" s="1"/>
  <c r="U36" i="64" s="1"/>
  <c r="Q35" i="63"/>
  <c r="O35" i="64" s="1"/>
  <c r="Z35" i="64" s="1"/>
  <c r="P35" i="63"/>
  <c r="N35" i="64" s="1"/>
  <c r="Y35" i="64" s="1"/>
  <c r="O35" i="63"/>
  <c r="M35" i="64" s="1"/>
  <c r="W35" i="64" s="1"/>
  <c r="N35" i="63"/>
  <c r="L35" i="64" s="1"/>
  <c r="V35" i="64" s="1"/>
  <c r="M35" i="63"/>
  <c r="K35" i="64" s="1"/>
  <c r="U35" i="64" s="1"/>
  <c r="Q34" i="63"/>
  <c r="O34" i="64" s="1"/>
  <c r="Z34" i="64" s="1"/>
  <c r="P34" i="63"/>
  <c r="N34" i="64" s="1"/>
  <c r="Y34" i="64" s="1"/>
  <c r="O34" i="63"/>
  <c r="M34" i="64" s="1"/>
  <c r="W34" i="64" s="1"/>
  <c r="N34" i="63"/>
  <c r="L34" i="64" s="1"/>
  <c r="V34" i="64" s="1"/>
  <c r="M34" i="63"/>
  <c r="K34" i="64" s="1"/>
  <c r="U34" i="64" s="1"/>
  <c r="Q33" i="63"/>
  <c r="O33" i="64" s="1"/>
  <c r="Z33" i="64" s="1"/>
  <c r="P33" i="63"/>
  <c r="N33" i="64" s="1"/>
  <c r="Y33" i="64" s="1"/>
  <c r="O33" i="63"/>
  <c r="M33" i="64" s="1"/>
  <c r="W33" i="64" s="1"/>
  <c r="N33" i="63"/>
  <c r="L33" i="64" s="1"/>
  <c r="V33" i="64" s="1"/>
  <c r="M33" i="63"/>
  <c r="K33" i="64" s="1"/>
  <c r="U33" i="64" s="1"/>
  <c r="Q32" i="63"/>
  <c r="O32" i="64" s="1"/>
  <c r="Z32" i="64" s="1"/>
  <c r="P32" i="63"/>
  <c r="N32" i="64" s="1"/>
  <c r="Y32" i="64" s="1"/>
  <c r="O32" i="63"/>
  <c r="M32" i="64" s="1"/>
  <c r="W32" i="64" s="1"/>
  <c r="N32" i="63"/>
  <c r="L32" i="64" s="1"/>
  <c r="V32" i="64" s="1"/>
  <c r="M32" i="63"/>
  <c r="K32" i="64" s="1"/>
  <c r="U32" i="64" s="1"/>
  <c r="Q31" i="63"/>
  <c r="O31" i="64" s="1"/>
  <c r="Z31" i="64" s="1"/>
  <c r="P31" i="63"/>
  <c r="N31" i="64" s="1"/>
  <c r="Y31" i="64" s="1"/>
  <c r="O31" i="63"/>
  <c r="M31" i="64" s="1"/>
  <c r="W31" i="64" s="1"/>
  <c r="N31" i="63"/>
  <c r="L31" i="64" s="1"/>
  <c r="V31" i="64" s="1"/>
  <c r="M31" i="63"/>
  <c r="K31" i="64" s="1"/>
  <c r="U31" i="64" s="1"/>
  <c r="Q30" i="63"/>
  <c r="O30" i="64" s="1"/>
  <c r="Z30" i="64" s="1"/>
  <c r="P30" i="63"/>
  <c r="N30" i="64" s="1"/>
  <c r="Y30" i="64" s="1"/>
  <c r="O30" i="63"/>
  <c r="M30" i="64" s="1"/>
  <c r="W30" i="64" s="1"/>
  <c r="N30" i="63"/>
  <c r="L30" i="64" s="1"/>
  <c r="V30" i="64" s="1"/>
  <c r="M30" i="63"/>
  <c r="K30" i="64" s="1"/>
  <c r="U30" i="64" s="1"/>
  <c r="S29" i="63"/>
  <c r="Q29" i="63"/>
  <c r="O29" i="64" s="1"/>
  <c r="Z29" i="64" s="1"/>
  <c r="P29" i="63"/>
  <c r="N29" i="64" s="1"/>
  <c r="Y29" i="64" s="1"/>
  <c r="O29" i="63"/>
  <c r="M29" i="64" s="1"/>
  <c r="W29" i="64" s="1"/>
  <c r="N29" i="63"/>
  <c r="L29" i="64" s="1"/>
  <c r="V29" i="64" s="1"/>
  <c r="M29" i="63"/>
  <c r="K29" i="64" s="1"/>
  <c r="U29" i="64" s="1"/>
  <c r="Q28" i="63"/>
  <c r="O28" i="64" s="1"/>
  <c r="Z28" i="64" s="1"/>
  <c r="P28" i="63"/>
  <c r="N28" i="64" s="1"/>
  <c r="Y28" i="64" s="1"/>
  <c r="O28" i="63"/>
  <c r="M28" i="64" s="1"/>
  <c r="W28" i="64" s="1"/>
  <c r="N28" i="63"/>
  <c r="L28" i="64" s="1"/>
  <c r="V28" i="64" s="1"/>
  <c r="M28" i="63"/>
  <c r="K28" i="64" s="1"/>
  <c r="U28" i="64" s="1"/>
  <c r="Q27" i="63"/>
  <c r="O27" i="64" s="1"/>
  <c r="Z27" i="64" s="1"/>
  <c r="P27" i="63"/>
  <c r="N27" i="64" s="1"/>
  <c r="Y27" i="64" s="1"/>
  <c r="O27" i="63"/>
  <c r="M27" i="64" s="1"/>
  <c r="W27" i="64" s="1"/>
  <c r="N27" i="63"/>
  <c r="L27" i="64" s="1"/>
  <c r="V27" i="64" s="1"/>
  <c r="M27" i="63"/>
  <c r="K27" i="64" s="1"/>
  <c r="U27" i="64" s="1"/>
  <c r="Q26" i="63"/>
  <c r="O26" i="64" s="1"/>
  <c r="Z26" i="64" s="1"/>
  <c r="P26" i="63"/>
  <c r="N26" i="64" s="1"/>
  <c r="Y26" i="64" s="1"/>
  <c r="O26" i="63"/>
  <c r="M26" i="64" s="1"/>
  <c r="W26" i="64" s="1"/>
  <c r="N26" i="63"/>
  <c r="L26" i="64" s="1"/>
  <c r="V26" i="64" s="1"/>
  <c r="M26" i="63"/>
  <c r="K26" i="64" s="1"/>
  <c r="U26" i="64" s="1"/>
  <c r="J20" i="63"/>
  <c r="I20" i="63"/>
  <c r="H20" i="63"/>
  <c r="G20" i="63"/>
  <c r="F20" i="63"/>
  <c r="E20" i="63"/>
  <c r="D20" i="63"/>
  <c r="C20" i="63"/>
  <c r="N19" i="63"/>
  <c r="M19" i="63"/>
  <c r="L19" i="63"/>
  <c r="K19" i="63"/>
  <c r="N18" i="63"/>
  <c r="M18" i="63"/>
  <c r="L18" i="63"/>
  <c r="K18" i="63"/>
  <c r="G18" i="64" s="1"/>
  <c r="N17" i="63"/>
  <c r="M17" i="63"/>
  <c r="L17" i="63"/>
  <c r="K17" i="63"/>
  <c r="N16" i="63"/>
  <c r="J16" i="64" s="1"/>
  <c r="M16" i="63"/>
  <c r="L16" i="63"/>
  <c r="K16" i="63"/>
  <c r="N15" i="63"/>
  <c r="M15" i="63"/>
  <c r="L15" i="63"/>
  <c r="K15" i="63"/>
  <c r="N14" i="63"/>
  <c r="M14" i="63"/>
  <c r="L14" i="63"/>
  <c r="K14" i="63"/>
  <c r="N13" i="63"/>
  <c r="M13" i="63"/>
  <c r="L13" i="63"/>
  <c r="K13" i="63"/>
  <c r="N12" i="63"/>
  <c r="M12" i="63"/>
  <c r="L12" i="63"/>
  <c r="K12" i="63"/>
  <c r="N11" i="63"/>
  <c r="M11" i="63"/>
  <c r="I11" i="64" s="1"/>
  <c r="L11" i="63"/>
  <c r="K11" i="63"/>
  <c r="N10" i="63"/>
  <c r="M10" i="63"/>
  <c r="L10" i="63"/>
  <c r="K10" i="63"/>
  <c r="N9" i="63"/>
  <c r="M9" i="63"/>
  <c r="L9" i="63"/>
  <c r="K9" i="63"/>
  <c r="N8" i="63"/>
  <c r="M8" i="63"/>
  <c r="L8" i="63"/>
  <c r="K8" i="63"/>
  <c r="N7" i="63"/>
  <c r="M7" i="63"/>
  <c r="L7" i="63"/>
  <c r="K7" i="63"/>
  <c r="N6" i="63"/>
  <c r="M6" i="63"/>
  <c r="L6" i="63"/>
  <c r="K6" i="63"/>
  <c r="G8" i="64" l="1"/>
  <c r="O8" i="64" s="1"/>
  <c r="H8" i="64"/>
  <c r="H11" i="64"/>
  <c r="H17" i="64"/>
  <c r="P17" i="64" s="1"/>
  <c r="L22" i="68"/>
  <c r="L20" i="65"/>
  <c r="H14" i="64"/>
  <c r="P14" i="64" s="1"/>
  <c r="I8" i="64"/>
  <c r="Q8" i="64" s="1"/>
  <c r="I14" i="64"/>
  <c r="Q14" i="64" s="1"/>
  <c r="I17" i="64"/>
  <c r="Q17" i="64" s="1"/>
  <c r="M22" i="68"/>
  <c r="M20" i="65"/>
  <c r="G11" i="64"/>
  <c r="O11" i="64" s="1"/>
  <c r="O5" i="64"/>
  <c r="G6" i="64"/>
  <c r="G9" i="64"/>
  <c r="G12" i="64"/>
  <c r="G15" i="64"/>
  <c r="O15" i="64" s="1"/>
  <c r="R16" i="64"/>
  <c r="J17" i="64"/>
  <c r="R17" i="64" s="1"/>
  <c r="P8" i="64"/>
  <c r="H9" i="64"/>
  <c r="P9" i="64" s="1"/>
  <c r="P11" i="64"/>
  <c r="H12" i="64"/>
  <c r="H15" i="64"/>
  <c r="H18" i="64"/>
  <c r="J36" i="64"/>
  <c r="N22" i="68"/>
  <c r="N20" i="65"/>
  <c r="P5" i="64"/>
  <c r="H6" i="64"/>
  <c r="P6" i="64" s="1"/>
  <c r="Q5" i="64"/>
  <c r="I6" i="64"/>
  <c r="Q6" i="64" s="1"/>
  <c r="I9" i="64"/>
  <c r="Q11" i="64"/>
  <c r="I12" i="64"/>
  <c r="I15" i="64"/>
  <c r="Q15" i="64" s="1"/>
  <c r="I18" i="64"/>
  <c r="Q18" i="64" s="1"/>
  <c r="K22" i="68"/>
  <c r="K20" i="65"/>
  <c r="R13" i="64"/>
  <c r="J14" i="64"/>
  <c r="V15" i="64" s="1"/>
  <c r="R5" i="64"/>
  <c r="J6" i="64"/>
  <c r="J12" i="64"/>
  <c r="J18" i="64"/>
  <c r="G14" i="64"/>
  <c r="O14" i="64" s="1"/>
  <c r="J11" i="64"/>
  <c r="R11" i="64" s="1"/>
  <c r="O6" i="64"/>
  <c r="G7" i="64"/>
  <c r="O7" i="64" s="1"/>
  <c r="O12" i="64"/>
  <c r="G13" i="64"/>
  <c r="O13" i="64" s="1"/>
  <c r="G16" i="64"/>
  <c r="O18" i="64"/>
  <c r="G19" i="64"/>
  <c r="J9" i="64"/>
  <c r="H7" i="64"/>
  <c r="P7" i="64" s="1"/>
  <c r="H10" i="64"/>
  <c r="P10" i="64" s="1"/>
  <c r="P12" i="64"/>
  <c r="H13" i="64"/>
  <c r="P13" i="64" s="1"/>
  <c r="P15" i="64"/>
  <c r="H16" i="64"/>
  <c r="P16" i="64" s="1"/>
  <c r="P18" i="64"/>
  <c r="H19" i="64"/>
  <c r="O16" i="64"/>
  <c r="G17" i="64"/>
  <c r="I7" i="64"/>
  <c r="Q7" i="64" s="1"/>
  <c r="I19" i="64"/>
  <c r="J8" i="64"/>
  <c r="R8" i="64" s="1"/>
  <c r="O9" i="64"/>
  <c r="G10" i="64"/>
  <c r="O10" i="64" s="1"/>
  <c r="Q9" i="64"/>
  <c r="I10" i="64"/>
  <c r="Q12" i="64"/>
  <c r="I13" i="64"/>
  <c r="Q13" i="64" s="1"/>
  <c r="I16" i="64"/>
  <c r="Q16" i="64" s="1"/>
  <c r="R6" i="64"/>
  <c r="J7" i="64"/>
  <c r="R7" i="64" s="1"/>
  <c r="R9" i="64"/>
  <c r="J10" i="64"/>
  <c r="R10" i="64" s="1"/>
  <c r="R12" i="64"/>
  <c r="J13" i="64"/>
  <c r="R18" i="64"/>
  <c r="J19" i="64"/>
  <c r="AD28" i="64"/>
  <c r="AD29" i="64"/>
  <c r="Q41" i="63"/>
  <c r="O41" i="64" s="1"/>
  <c r="T41" i="64"/>
  <c r="P41" i="63"/>
  <c r="N41" i="64" s="1"/>
  <c r="S41" i="64"/>
  <c r="L20" i="64"/>
  <c r="J15" i="64"/>
  <c r="R15" i="64" s="1"/>
  <c r="J34" i="64"/>
  <c r="J35" i="64"/>
  <c r="J38" i="64"/>
  <c r="J39" i="64"/>
  <c r="L37" i="64"/>
  <c r="V37" i="64" s="1"/>
  <c r="V41" i="64" s="1"/>
  <c r="J37" i="64"/>
  <c r="P41" i="64"/>
  <c r="M20" i="64"/>
  <c r="N20" i="64"/>
  <c r="K20" i="64"/>
  <c r="N20" i="63"/>
  <c r="L20" i="63"/>
  <c r="M20" i="63"/>
  <c r="X34" i="64"/>
  <c r="X38" i="64"/>
  <c r="AA29" i="64"/>
  <c r="X35" i="64"/>
  <c r="AA35" i="64"/>
  <c r="X28" i="64"/>
  <c r="X36" i="64"/>
  <c r="AA26" i="64"/>
  <c r="X30" i="64"/>
  <c r="AA27" i="64"/>
  <c r="AA31" i="64"/>
  <c r="AA34" i="64"/>
  <c r="AA36" i="64"/>
  <c r="AA39" i="64"/>
  <c r="AA30" i="64"/>
  <c r="AA28" i="64"/>
  <c r="F21" i="63"/>
  <c r="J21" i="63"/>
  <c r="O17" i="64"/>
  <c r="X37" i="64"/>
  <c r="J41" i="64"/>
  <c r="Z41" i="64"/>
  <c r="J33" i="64"/>
  <c r="X33" i="64"/>
  <c r="AA37" i="64"/>
  <c r="E42" i="64"/>
  <c r="X32" i="64"/>
  <c r="AA32" i="64"/>
  <c r="W41" i="64"/>
  <c r="X27" i="64"/>
  <c r="X29" i="64"/>
  <c r="X31" i="64"/>
  <c r="AA33" i="64"/>
  <c r="X39" i="64"/>
  <c r="U41" i="64"/>
  <c r="X26" i="64"/>
  <c r="Y41" i="64"/>
  <c r="AA38" i="64"/>
  <c r="Q10" i="64"/>
  <c r="K20" i="63"/>
  <c r="O19" i="64" l="1"/>
  <c r="G20" i="64"/>
  <c r="Q19" i="64"/>
  <c r="I20" i="64"/>
  <c r="V13" i="64"/>
  <c r="P19" i="64"/>
  <c r="P20" i="64" s="1"/>
  <c r="H20" i="64"/>
  <c r="R14" i="64"/>
  <c r="AB35" i="64"/>
  <c r="AB38" i="64"/>
  <c r="R19" i="64"/>
  <c r="R20" i="64" s="1"/>
  <c r="J20" i="64"/>
  <c r="AB28" i="64"/>
  <c r="AB34" i="64"/>
  <c r="Q20" i="64"/>
  <c r="N21" i="63"/>
  <c r="O20" i="64"/>
  <c r="AB27" i="64"/>
  <c r="AB39" i="64"/>
  <c r="AB29" i="64"/>
  <c r="AB30" i="64"/>
  <c r="AB36" i="64"/>
  <c r="AB31" i="64"/>
  <c r="X41" i="64"/>
  <c r="AB26" i="64"/>
  <c r="AA41" i="64"/>
  <c r="AB32" i="64"/>
  <c r="AB33" i="64"/>
  <c r="AB37" i="64"/>
  <c r="AB41" i="64" l="1"/>
  <c r="A39" i="59"/>
  <c r="A38" i="59"/>
  <c r="A37" i="59"/>
  <c r="A36" i="59"/>
  <c r="A35" i="59"/>
  <c r="A34" i="59"/>
  <c r="A33" i="59"/>
  <c r="A32" i="59"/>
  <c r="A31" i="59"/>
  <c r="A30" i="59"/>
  <c r="A29" i="59"/>
  <c r="A28" i="59"/>
  <c r="A27" i="59"/>
  <c r="A26" i="59"/>
  <c r="A25" i="59"/>
  <c r="A39" i="62"/>
  <c r="A38" i="62"/>
  <c r="A37" i="62"/>
  <c r="A36" i="62"/>
  <c r="A35" i="62"/>
  <c r="A34" i="62"/>
  <c r="A33" i="62"/>
  <c r="A32" i="62"/>
  <c r="A31" i="62"/>
  <c r="A30" i="62"/>
  <c r="A29" i="62"/>
  <c r="A28" i="62"/>
  <c r="A27" i="62"/>
  <c r="A26" i="62"/>
  <c r="A25" i="62"/>
  <c r="T39" i="61"/>
  <c r="S39" i="61"/>
  <c r="R39" i="61"/>
  <c r="Q39" i="61"/>
  <c r="P39" i="61"/>
  <c r="T38" i="61"/>
  <c r="S38" i="61"/>
  <c r="R38" i="61"/>
  <c r="Q38" i="61"/>
  <c r="P38" i="61"/>
  <c r="T37" i="61"/>
  <c r="S37" i="61"/>
  <c r="R37" i="61"/>
  <c r="Q37" i="61"/>
  <c r="P37" i="61"/>
  <c r="T36" i="61"/>
  <c r="S36" i="61"/>
  <c r="R36" i="61"/>
  <c r="Q36" i="61"/>
  <c r="P36" i="61"/>
  <c r="T35" i="61"/>
  <c r="S35" i="61"/>
  <c r="R35" i="61"/>
  <c r="Q35" i="61"/>
  <c r="P35" i="61"/>
  <c r="T34" i="61"/>
  <c r="S34" i="61"/>
  <c r="R34" i="61"/>
  <c r="Q34" i="61"/>
  <c r="P34" i="61"/>
  <c r="T33" i="61"/>
  <c r="S33" i="61"/>
  <c r="R33" i="61"/>
  <c r="Q33" i="61"/>
  <c r="P33" i="61"/>
  <c r="T32" i="61"/>
  <c r="S32" i="61"/>
  <c r="R32" i="61"/>
  <c r="Q32" i="61"/>
  <c r="P32" i="61"/>
  <c r="T31" i="61"/>
  <c r="S31" i="61"/>
  <c r="R31" i="61"/>
  <c r="Q31" i="61"/>
  <c r="P31" i="61"/>
  <c r="T30" i="61"/>
  <c r="S30" i="61"/>
  <c r="R30" i="61"/>
  <c r="Q30" i="61"/>
  <c r="P30" i="61"/>
  <c r="T29" i="61"/>
  <c r="S29" i="61"/>
  <c r="R29" i="61"/>
  <c r="Q29" i="61"/>
  <c r="P29" i="61"/>
  <c r="T28" i="61"/>
  <c r="S28" i="61"/>
  <c r="R28" i="61"/>
  <c r="Q28" i="61"/>
  <c r="P28" i="61"/>
  <c r="T27" i="61"/>
  <c r="S27" i="61"/>
  <c r="R27" i="61"/>
  <c r="Q27" i="61"/>
  <c r="P27" i="61"/>
  <c r="T26" i="61"/>
  <c r="S26" i="61"/>
  <c r="R26" i="61"/>
  <c r="Q26" i="61"/>
  <c r="P26" i="61"/>
  <c r="T25" i="61"/>
  <c r="S25" i="61"/>
  <c r="R25" i="61"/>
  <c r="Q25" i="61"/>
  <c r="P25" i="61"/>
  <c r="N18" i="61"/>
  <c r="M18" i="61"/>
  <c r="L18" i="61"/>
  <c r="K18" i="61"/>
  <c r="N17" i="61"/>
  <c r="M17" i="61"/>
  <c r="L17" i="61"/>
  <c r="K17" i="61"/>
  <c r="N16" i="61"/>
  <c r="M16" i="61"/>
  <c r="L16" i="61"/>
  <c r="K16" i="61"/>
  <c r="N15" i="61"/>
  <c r="M15" i="61"/>
  <c r="L15" i="61"/>
  <c r="K15" i="61"/>
  <c r="N14" i="61"/>
  <c r="M14" i="61"/>
  <c r="L14" i="61"/>
  <c r="K14" i="61"/>
  <c r="N13" i="61"/>
  <c r="M13" i="61"/>
  <c r="L13" i="61"/>
  <c r="K13" i="61"/>
  <c r="N12" i="61"/>
  <c r="M12" i="61"/>
  <c r="L12" i="61"/>
  <c r="K12" i="61"/>
  <c r="N11" i="61"/>
  <c r="M11" i="61"/>
  <c r="L11" i="61"/>
  <c r="K11" i="61"/>
  <c r="N10" i="61"/>
  <c r="M10" i="61"/>
  <c r="L10" i="61"/>
  <c r="K10" i="61"/>
  <c r="N9" i="61"/>
  <c r="M9" i="61"/>
  <c r="L9" i="61"/>
  <c r="K9" i="61"/>
  <c r="N8" i="61"/>
  <c r="M8" i="61"/>
  <c r="L8" i="61"/>
  <c r="K8" i="61"/>
  <c r="N7" i="61"/>
  <c r="M7" i="61"/>
  <c r="L7" i="61"/>
  <c r="K7" i="61"/>
  <c r="N6" i="61"/>
  <c r="M6" i="61"/>
  <c r="L6" i="61"/>
  <c r="K6" i="61"/>
  <c r="N5" i="61"/>
  <c r="M5" i="61"/>
  <c r="L5" i="61"/>
  <c r="K5" i="61"/>
  <c r="L40" i="62" l="1"/>
  <c r="K40" i="62"/>
  <c r="J40" i="62"/>
  <c r="I40" i="62"/>
  <c r="H40" i="62"/>
  <c r="G40" i="62"/>
  <c r="F40" i="62"/>
  <c r="E40" i="62"/>
  <c r="O40" i="62" s="1"/>
  <c r="M40" i="61" s="1"/>
  <c r="D40" i="62"/>
  <c r="N40" i="62" s="1"/>
  <c r="L40" i="61" s="1"/>
  <c r="C40" i="62"/>
  <c r="M40" i="62" s="1"/>
  <c r="K40" i="61" s="1"/>
  <c r="Q39" i="62"/>
  <c r="O39" i="61" s="1"/>
  <c r="Z39" i="61" s="1"/>
  <c r="P39" i="62"/>
  <c r="N39" i="61" s="1"/>
  <c r="Y39" i="61" s="1"/>
  <c r="O39" i="62"/>
  <c r="M39" i="61" s="1"/>
  <c r="N39" i="62"/>
  <c r="L39" i="61" s="1"/>
  <c r="M39" i="62"/>
  <c r="K39" i="61" s="1"/>
  <c r="Q38" i="62"/>
  <c r="O38" i="61" s="1"/>
  <c r="Z38" i="61" s="1"/>
  <c r="P38" i="62"/>
  <c r="N38" i="61" s="1"/>
  <c r="O38" i="62"/>
  <c r="M38" i="61" s="1"/>
  <c r="N38" i="62"/>
  <c r="L38" i="61" s="1"/>
  <c r="M38" i="62"/>
  <c r="K38" i="61" s="1"/>
  <c r="Q37" i="62"/>
  <c r="O37" i="61" s="1"/>
  <c r="Z37" i="61" s="1"/>
  <c r="P37" i="62"/>
  <c r="N37" i="61" s="1"/>
  <c r="Y37" i="61" s="1"/>
  <c r="O37" i="62"/>
  <c r="M37" i="61" s="1"/>
  <c r="W37" i="61" s="1"/>
  <c r="N37" i="62"/>
  <c r="L37" i="61" s="1"/>
  <c r="V37" i="61" s="1"/>
  <c r="M37" i="62"/>
  <c r="K37" i="61" s="1"/>
  <c r="Q36" i="62"/>
  <c r="O36" i="61" s="1"/>
  <c r="P36" i="62"/>
  <c r="N36" i="61" s="1"/>
  <c r="O36" i="62"/>
  <c r="M36" i="61" s="1"/>
  <c r="W36" i="61" s="1"/>
  <c r="N36" i="62"/>
  <c r="L36" i="61" s="1"/>
  <c r="Q35" i="62"/>
  <c r="O35" i="61" s="1"/>
  <c r="P35" i="62"/>
  <c r="N35" i="61" s="1"/>
  <c r="Y35" i="61" s="1"/>
  <c r="O35" i="62"/>
  <c r="M35" i="61" s="1"/>
  <c r="W35" i="61" s="1"/>
  <c r="N35" i="62"/>
  <c r="L35" i="61" s="1"/>
  <c r="V35" i="61" s="1"/>
  <c r="M35" i="62"/>
  <c r="K35" i="61" s="1"/>
  <c r="U35" i="61" s="1"/>
  <c r="Q34" i="62"/>
  <c r="O34" i="61" s="1"/>
  <c r="Z34" i="61" s="1"/>
  <c r="P34" i="62"/>
  <c r="N34" i="61" s="1"/>
  <c r="O34" i="62"/>
  <c r="M34" i="61" s="1"/>
  <c r="N34" i="62"/>
  <c r="L34" i="61" s="1"/>
  <c r="M34" i="62"/>
  <c r="K34" i="61" s="1"/>
  <c r="U34" i="61" s="1"/>
  <c r="Q33" i="62"/>
  <c r="O33" i="61" s="1"/>
  <c r="P33" i="62"/>
  <c r="N33" i="61" s="1"/>
  <c r="O33" i="62"/>
  <c r="M33" i="61" s="1"/>
  <c r="N33" i="62"/>
  <c r="L33" i="61" s="1"/>
  <c r="V33" i="61" s="1"/>
  <c r="M33" i="62"/>
  <c r="K33" i="61" s="1"/>
  <c r="U33" i="61" s="1"/>
  <c r="Q32" i="62"/>
  <c r="O32" i="61" s="1"/>
  <c r="Z32" i="61" s="1"/>
  <c r="P32" i="62"/>
  <c r="N32" i="61" s="1"/>
  <c r="Y32" i="61" s="1"/>
  <c r="O32" i="62"/>
  <c r="M32" i="61" s="1"/>
  <c r="W32" i="61" s="1"/>
  <c r="N32" i="62"/>
  <c r="L32" i="61" s="1"/>
  <c r="M32" i="62"/>
  <c r="K32" i="61" s="1"/>
  <c r="S31" i="62"/>
  <c r="Q31" i="62"/>
  <c r="O31" i="61" s="1"/>
  <c r="Z31" i="61" s="1"/>
  <c r="P31" i="62"/>
  <c r="N31" i="61" s="1"/>
  <c r="O31" i="62"/>
  <c r="M31" i="61" s="1"/>
  <c r="N31" i="62"/>
  <c r="L31" i="61" s="1"/>
  <c r="M31" i="62"/>
  <c r="K31" i="61" s="1"/>
  <c r="U31" i="61" s="1"/>
  <c r="Q30" i="62"/>
  <c r="O30" i="61" s="1"/>
  <c r="Z30" i="61" s="1"/>
  <c r="P30" i="62"/>
  <c r="N30" i="61" s="1"/>
  <c r="Y30" i="61" s="1"/>
  <c r="O30" i="62"/>
  <c r="M30" i="61" s="1"/>
  <c r="W30" i="61" s="1"/>
  <c r="N30" i="62"/>
  <c r="L30" i="61" s="1"/>
  <c r="M30" i="62"/>
  <c r="K30" i="61" s="1"/>
  <c r="Q29" i="62"/>
  <c r="O29" i="61" s="1"/>
  <c r="P29" i="62"/>
  <c r="N29" i="61" s="1"/>
  <c r="O29" i="62"/>
  <c r="M29" i="61" s="1"/>
  <c r="W29" i="61" s="1"/>
  <c r="N29" i="62"/>
  <c r="L29" i="61" s="1"/>
  <c r="M29" i="62"/>
  <c r="K29" i="61" s="1"/>
  <c r="S28" i="62"/>
  <c r="Q28" i="62"/>
  <c r="O28" i="61" s="1"/>
  <c r="Z28" i="61" s="1"/>
  <c r="P28" i="62"/>
  <c r="N28" i="61" s="1"/>
  <c r="Y28" i="61" s="1"/>
  <c r="O28" i="62"/>
  <c r="M28" i="61" s="1"/>
  <c r="W28" i="61" s="1"/>
  <c r="N28" i="62"/>
  <c r="L28" i="61" s="1"/>
  <c r="V28" i="61" s="1"/>
  <c r="M28" i="62"/>
  <c r="K28" i="61" s="1"/>
  <c r="U28" i="61" s="1"/>
  <c r="Q27" i="62"/>
  <c r="O27" i="61" s="1"/>
  <c r="P27" i="62"/>
  <c r="N27" i="61" s="1"/>
  <c r="Y27" i="61" s="1"/>
  <c r="O27" i="62"/>
  <c r="M27" i="61" s="1"/>
  <c r="N27" i="62"/>
  <c r="L27" i="61" s="1"/>
  <c r="V27" i="61" s="1"/>
  <c r="M27" i="62"/>
  <c r="K27" i="61" s="1"/>
  <c r="Q26" i="62"/>
  <c r="O26" i="61" s="1"/>
  <c r="Z26" i="61" s="1"/>
  <c r="P26" i="62"/>
  <c r="N26" i="61" s="1"/>
  <c r="Y26" i="61" s="1"/>
  <c r="O26" i="62"/>
  <c r="M26" i="61" s="1"/>
  <c r="N26" i="62"/>
  <c r="L26" i="61" s="1"/>
  <c r="M26" i="62"/>
  <c r="K26" i="61" s="1"/>
  <c r="U26" i="61" s="1"/>
  <c r="Q25" i="62"/>
  <c r="O25" i="61" s="1"/>
  <c r="Z25" i="61" s="1"/>
  <c r="P25" i="62"/>
  <c r="N25" i="61" s="1"/>
  <c r="Y25" i="61" s="1"/>
  <c r="O25" i="62"/>
  <c r="M25" i="61" s="1"/>
  <c r="N25" i="62"/>
  <c r="L25" i="61" s="1"/>
  <c r="M25" i="62"/>
  <c r="K25" i="61" s="1"/>
  <c r="J19" i="62"/>
  <c r="I19" i="62"/>
  <c r="H19" i="62"/>
  <c r="G19" i="62"/>
  <c r="F19" i="62"/>
  <c r="E19" i="62"/>
  <c r="D19" i="62"/>
  <c r="L19" i="62" s="1"/>
  <c r="C19" i="62"/>
  <c r="N18" i="62"/>
  <c r="J18" i="61" s="1"/>
  <c r="R18" i="61" s="1"/>
  <c r="M18" i="62"/>
  <c r="I18" i="61" s="1"/>
  <c r="L18" i="62"/>
  <c r="H18" i="61" s="1"/>
  <c r="K18" i="62"/>
  <c r="G18" i="61" s="1"/>
  <c r="N17" i="62"/>
  <c r="J17" i="61" s="1"/>
  <c r="R17" i="61" s="1"/>
  <c r="M17" i="62"/>
  <c r="I17" i="61" s="1"/>
  <c r="L17" i="62"/>
  <c r="H17" i="61" s="1"/>
  <c r="K17" i="62"/>
  <c r="G17" i="61" s="1"/>
  <c r="O17" i="61" s="1"/>
  <c r="N16" i="62"/>
  <c r="J16" i="61" s="1"/>
  <c r="R16" i="61" s="1"/>
  <c r="M16" i="62"/>
  <c r="I16" i="61" s="1"/>
  <c r="Q16" i="61" s="1"/>
  <c r="L16" i="62"/>
  <c r="H16" i="61" s="1"/>
  <c r="P16" i="61" s="1"/>
  <c r="K16" i="62"/>
  <c r="G16" i="61" s="1"/>
  <c r="S17" i="61" s="1"/>
  <c r="N15" i="62"/>
  <c r="J15" i="61" s="1"/>
  <c r="R15" i="61" s="1"/>
  <c r="M15" i="62"/>
  <c r="I15" i="61" s="1"/>
  <c r="L15" i="62"/>
  <c r="H15" i="61" s="1"/>
  <c r="K15" i="62"/>
  <c r="G15" i="61" s="1"/>
  <c r="O15" i="61" s="1"/>
  <c r="N14" i="62"/>
  <c r="J14" i="61" s="1"/>
  <c r="R14" i="61" s="1"/>
  <c r="M14" i="62"/>
  <c r="I14" i="61" s="1"/>
  <c r="Q14" i="61" s="1"/>
  <c r="L14" i="62"/>
  <c r="H14" i="61" s="1"/>
  <c r="P14" i="61" s="1"/>
  <c r="K14" i="62"/>
  <c r="G14" i="61" s="1"/>
  <c r="O14" i="61" s="1"/>
  <c r="N13" i="62"/>
  <c r="J13" i="61" s="1"/>
  <c r="R13" i="61" s="1"/>
  <c r="M13" i="62"/>
  <c r="I13" i="61" s="1"/>
  <c r="Q13" i="61" s="1"/>
  <c r="L13" i="62"/>
  <c r="H13" i="61" s="1"/>
  <c r="P13" i="61" s="1"/>
  <c r="K13" i="62"/>
  <c r="G13" i="61" s="1"/>
  <c r="O13" i="61" s="1"/>
  <c r="N12" i="62"/>
  <c r="J12" i="61" s="1"/>
  <c r="R12" i="61" s="1"/>
  <c r="M12" i="62"/>
  <c r="I12" i="61" s="1"/>
  <c r="L12" i="62"/>
  <c r="H12" i="61" s="1"/>
  <c r="P12" i="61" s="1"/>
  <c r="K12" i="62"/>
  <c r="G12" i="61" s="1"/>
  <c r="O12" i="61" s="1"/>
  <c r="N11" i="62"/>
  <c r="J11" i="61" s="1"/>
  <c r="R11" i="61" s="1"/>
  <c r="M11" i="62"/>
  <c r="I11" i="61" s="1"/>
  <c r="Q11" i="61" s="1"/>
  <c r="L11" i="62"/>
  <c r="H11" i="61" s="1"/>
  <c r="P11" i="61" s="1"/>
  <c r="K11" i="62"/>
  <c r="G11" i="61" s="1"/>
  <c r="O11" i="61" s="1"/>
  <c r="N10" i="62"/>
  <c r="J10" i="61" s="1"/>
  <c r="R10" i="61" s="1"/>
  <c r="M10" i="62"/>
  <c r="I10" i="61" s="1"/>
  <c r="L10" i="62"/>
  <c r="H10" i="61" s="1"/>
  <c r="P10" i="61" s="1"/>
  <c r="K10" i="62"/>
  <c r="G10" i="61" s="1"/>
  <c r="O10" i="61" s="1"/>
  <c r="N9" i="62"/>
  <c r="J9" i="61" s="1"/>
  <c r="R9" i="61" s="1"/>
  <c r="M9" i="62"/>
  <c r="I9" i="61" s="1"/>
  <c r="L9" i="62"/>
  <c r="H9" i="61" s="1"/>
  <c r="P9" i="61" s="1"/>
  <c r="K9" i="62"/>
  <c r="G9" i="61" s="1"/>
  <c r="O9" i="61" s="1"/>
  <c r="N8" i="62"/>
  <c r="J8" i="61" s="1"/>
  <c r="R8" i="61" s="1"/>
  <c r="M8" i="62"/>
  <c r="I8" i="61" s="1"/>
  <c r="Q8" i="61" s="1"/>
  <c r="L8" i="62"/>
  <c r="H8" i="61" s="1"/>
  <c r="P8" i="61" s="1"/>
  <c r="K8" i="62"/>
  <c r="G8" i="61" s="1"/>
  <c r="O8" i="61" s="1"/>
  <c r="N7" i="62"/>
  <c r="J7" i="61" s="1"/>
  <c r="R7" i="61" s="1"/>
  <c r="M7" i="62"/>
  <c r="I7" i="61" s="1"/>
  <c r="L7" i="62"/>
  <c r="H7" i="61" s="1"/>
  <c r="P7" i="61" s="1"/>
  <c r="K7" i="62"/>
  <c r="G7" i="61" s="1"/>
  <c r="O7" i="61" s="1"/>
  <c r="N6" i="62"/>
  <c r="J6" i="61" s="1"/>
  <c r="R6" i="61" s="1"/>
  <c r="M6" i="62"/>
  <c r="I6" i="61" s="1"/>
  <c r="L6" i="62"/>
  <c r="H6" i="61" s="1"/>
  <c r="K6" i="62"/>
  <c r="G6" i="61" s="1"/>
  <c r="O6" i="61" s="1"/>
  <c r="N5" i="62"/>
  <c r="J5" i="61" s="1"/>
  <c r="R5" i="61" s="1"/>
  <c r="M5" i="62"/>
  <c r="I5" i="61" s="1"/>
  <c r="Q5" i="61" s="1"/>
  <c r="L5" i="62"/>
  <c r="H5" i="61" s="1"/>
  <c r="P5" i="61" s="1"/>
  <c r="K5" i="62"/>
  <c r="G5" i="61" s="1"/>
  <c r="O5" i="61" s="1"/>
  <c r="H40" i="61"/>
  <c r="G40" i="61"/>
  <c r="S40" i="61" s="1"/>
  <c r="E40" i="61"/>
  <c r="D40" i="61"/>
  <c r="Q40" i="61" s="1"/>
  <c r="C40" i="61"/>
  <c r="AB39" i="61"/>
  <c r="W39" i="61"/>
  <c r="V39" i="61"/>
  <c r="U39" i="61"/>
  <c r="J39" i="61"/>
  <c r="W38" i="61"/>
  <c r="Y38" i="61"/>
  <c r="V38" i="61"/>
  <c r="U38" i="61"/>
  <c r="X38" i="61" s="1"/>
  <c r="I38" i="61"/>
  <c r="F38" i="61"/>
  <c r="U37" i="61"/>
  <c r="I37" i="61"/>
  <c r="F37" i="61"/>
  <c r="Y36" i="61"/>
  <c r="Z36" i="61"/>
  <c r="V36" i="61"/>
  <c r="I36" i="61"/>
  <c r="F36" i="61"/>
  <c r="Z35" i="61"/>
  <c r="I35" i="61"/>
  <c r="F35" i="61"/>
  <c r="J35" i="61" s="1"/>
  <c r="W34" i="61"/>
  <c r="V34" i="61"/>
  <c r="Y34" i="61"/>
  <c r="I34" i="61"/>
  <c r="F34" i="61"/>
  <c r="W33" i="61"/>
  <c r="Z33" i="61"/>
  <c r="Y33" i="61"/>
  <c r="I33" i="61"/>
  <c r="F33" i="61"/>
  <c r="U32" i="61"/>
  <c r="V32" i="61"/>
  <c r="I32" i="61"/>
  <c r="F32" i="61"/>
  <c r="V31" i="61"/>
  <c r="Y31" i="61"/>
  <c r="W31" i="61"/>
  <c r="I31" i="61"/>
  <c r="V30" i="61"/>
  <c r="U30" i="61"/>
  <c r="I30" i="61"/>
  <c r="J30" i="61" s="1"/>
  <c r="Z29" i="61"/>
  <c r="V29" i="61"/>
  <c r="U29" i="61"/>
  <c r="Y29" i="61"/>
  <c r="I29" i="61"/>
  <c r="J29" i="61" s="1"/>
  <c r="I28" i="61"/>
  <c r="J28" i="61" s="1"/>
  <c r="Z27" i="61"/>
  <c r="U27" i="61"/>
  <c r="W27" i="61"/>
  <c r="I27" i="61"/>
  <c r="J27" i="61" s="1"/>
  <c r="V26" i="61"/>
  <c r="W26" i="61"/>
  <c r="I26" i="61"/>
  <c r="J26" i="61" s="1"/>
  <c r="V25" i="61"/>
  <c r="U25" i="61"/>
  <c r="W25" i="61"/>
  <c r="AD24" i="61"/>
  <c r="AC24" i="61"/>
  <c r="F19" i="61"/>
  <c r="E19" i="61"/>
  <c r="D19" i="61"/>
  <c r="C19" i="61"/>
  <c r="Q18" i="61"/>
  <c r="P18" i="61"/>
  <c r="O18" i="61"/>
  <c r="Q17" i="61"/>
  <c r="P17" i="61"/>
  <c r="P15" i="61"/>
  <c r="Q12" i="61"/>
  <c r="Q10" i="61"/>
  <c r="Q7" i="61"/>
  <c r="Q6" i="61"/>
  <c r="P6" i="61"/>
  <c r="M36" i="62" l="1"/>
  <c r="K36" i="61" s="1"/>
  <c r="U36" i="61" s="1"/>
  <c r="Q40" i="62"/>
  <c r="O40" i="61" s="1"/>
  <c r="J34" i="61"/>
  <c r="J38" i="61"/>
  <c r="AA35" i="61"/>
  <c r="AA34" i="61"/>
  <c r="Q9" i="61"/>
  <c r="U8" i="61"/>
  <c r="Q15" i="61"/>
  <c r="Q19" i="61" s="1"/>
  <c r="U16" i="61"/>
  <c r="J31" i="61"/>
  <c r="AD31" i="61"/>
  <c r="P40" i="61"/>
  <c r="AA29" i="61"/>
  <c r="AA36" i="61"/>
  <c r="J37" i="61"/>
  <c r="E41" i="61"/>
  <c r="R40" i="61"/>
  <c r="N19" i="62"/>
  <c r="T40" i="61"/>
  <c r="M19" i="62"/>
  <c r="J20" i="62"/>
  <c r="P40" i="62"/>
  <c r="N40" i="61" s="1"/>
  <c r="F20" i="62"/>
  <c r="X33" i="61"/>
  <c r="X34" i="61"/>
  <c r="AB34" i="61" s="1"/>
  <c r="R19" i="61"/>
  <c r="J32" i="61"/>
  <c r="AA27" i="61"/>
  <c r="J33" i="61"/>
  <c r="K19" i="62"/>
  <c r="P19" i="61"/>
  <c r="AA31" i="61"/>
  <c r="W40" i="61"/>
  <c r="U40" i="61"/>
  <c r="AA26" i="61"/>
  <c r="X29" i="61"/>
  <c r="AA30" i="61"/>
  <c r="AA33" i="61"/>
  <c r="X26" i="61"/>
  <c r="X30" i="61"/>
  <c r="X35" i="61"/>
  <c r="AB35" i="61" s="1"/>
  <c r="Y40" i="61"/>
  <c r="AA25" i="61"/>
  <c r="V40" i="61"/>
  <c r="X28" i="61"/>
  <c r="X32" i="61"/>
  <c r="AA37" i="61"/>
  <c r="Z40" i="61"/>
  <c r="X27" i="61"/>
  <c r="AA28" i="61"/>
  <c r="AA32" i="61"/>
  <c r="J36" i="61"/>
  <c r="X36" i="61"/>
  <c r="X37" i="61"/>
  <c r="AA38" i="61"/>
  <c r="AB38" i="61" s="1"/>
  <c r="J40" i="61"/>
  <c r="O16" i="61"/>
  <c r="O19" i="61" s="1"/>
  <c r="X25" i="61"/>
  <c r="X31" i="61"/>
  <c r="AB29" i="61" l="1"/>
  <c r="AB37" i="61"/>
  <c r="AB36" i="61"/>
  <c r="AB30" i="61"/>
  <c r="AB33" i="61"/>
  <c r="N20" i="62"/>
  <c r="AB31" i="61"/>
  <c r="AB27" i="61"/>
  <c r="AB28" i="61"/>
  <c r="AB32" i="61"/>
  <c r="X40" i="61"/>
  <c r="AB25" i="61"/>
  <c r="AA40" i="61"/>
  <c r="AB26" i="61"/>
  <c r="T39" i="60"/>
  <c r="S39" i="60"/>
  <c r="R39" i="60"/>
  <c r="Q39" i="60"/>
  <c r="P39" i="60"/>
  <c r="T38" i="60"/>
  <c r="S38" i="60"/>
  <c r="R38" i="60"/>
  <c r="Q38" i="60"/>
  <c r="P38" i="60"/>
  <c r="T37" i="60"/>
  <c r="S37" i="60"/>
  <c r="R37" i="60"/>
  <c r="Q37" i="60"/>
  <c r="P37" i="60"/>
  <c r="T36" i="60"/>
  <c r="S36" i="60"/>
  <c r="R36" i="60"/>
  <c r="Q36" i="60"/>
  <c r="P36" i="60"/>
  <c r="T35" i="60"/>
  <c r="S35" i="60"/>
  <c r="R35" i="60"/>
  <c r="Q35" i="60"/>
  <c r="P35" i="60"/>
  <c r="T34" i="60"/>
  <c r="S34" i="60"/>
  <c r="R34" i="60"/>
  <c r="Q34" i="60"/>
  <c r="P34" i="60"/>
  <c r="T33" i="60"/>
  <c r="S33" i="60"/>
  <c r="R33" i="60"/>
  <c r="Q33" i="60"/>
  <c r="P33" i="60"/>
  <c r="T32" i="60"/>
  <c r="S32" i="60"/>
  <c r="R32" i="60"/>
  <c r="Q32" i="60"/>
  <c r="P32" i="60"/>
  <c r="T31" i="60"/>
  <c r="S31" i="60"/>
  <c r="R31" i="60"/>
  <c r="Q31" i="60"/>
  <c r="P31" i="60"/>
  <c r="T30" i="60"/>
  <c r="S30" i="60"/>
  <c r="R30" i="60"/>
  <c r="Q30" i="60"/>
  <c r="P30" i="60"/>
  <c r="T29" i="60"/>
  <c r="S29" i="60"/>
  <c r="R29" i="60"/>
  <c r="Q29" i="60"/>
  <c r="P29" i="60"/>
  <c r="T28" i="60"/>
  <c r="S28" i="60"/>
  <c r="R28" i="60"/>
  <c r="Q28" i="60"/>
  <c r="P28" i="60"/>
  <c r="T27" i="60"/>
  <c r="S27" i="60"/>
  <c r="R27" i="60"/>
  <c r="Q27" i="60"/>
  <c r="P27" i="60"/>
  <c r="T26" i="60"/>
  <c r="S26" i="60"/>
  <c r="R26" i="60"/>
  <c r="Q26" i="60"/>
  <c r="P26" i="60"/>
  <c r="T25" i="60"/>
  <c r="S25" i="60"/>
  <c r="R25" i="60"/>
  <c r="Q25" i="60"/>
  <c r="P25" i="60"/>
  <c r="N18" i="60"/>
  <c r="M18" i="60"/>
  <c r="L18" i="60"/>
  <c r="K18" i="60"/>
  <c r="N17" i="60"/>
  <c r="M17" i="60"/>
  <c r="L17" i="60"/>
  <c r="K17" i="60"/>
  <c r="N16" i="60"/>
  <c r="M16" i="60"/>
  <c r="L16" i="60"/>
  <c r="K16" i="60"/>
  <c r="N15" i="60"/>
  <c r="M15" i="60"/>
  <c r="L15" i="60"/>
  <c r="K15" i="60"/>
  <c r="N14" i="60"/>
  <c r="M14" i="60"/>
  <c r="L14" i="60"/>
  <c r="K14" i="60"/>
  <c r="N13" i="60"/>
  <c r="M13" i="60"/>
  <c r="L13" i="60"/>
  <c r="K13" i="60"/>
  <c r="N12" i="60"/>
  <c r="M12" i="60"/>
  <c r="L12" i="60"/>
  <c r="K12" i="60"/>
  <c r="N11" i="60"/>
  <c r="M11" i="60"/>
  <c r="L11" i="60"/>
  <c r="K11" i="60"/>
  <c r="N10" i="60"/>
  <c r="M10" i="60"/>
  <c r="L10" i="60"/>
  <c r="K10" i="60"/>
  <c r="N9" i="60"/>
  <c r="M9" i="60"/>
  <c r="L9" i="60"/>
  <c r="K9" i="60"/>
  <c r="N8" i="60"/>
  <c r="M8" i="60"/>
  <c r="L8" i="60"/>
  <c r="K8" i="60"/>
  <c r="N7" i="60"/>
  <c r="M7" i="60"/>
  <c r="L7" i="60"/>
  <c r="K7" i="60"/>
  <c r="N6" i="60"/>
  <c r="M6" i="60"/>
  <c r="L6" i="60"/>
  <c r="K6" i="60"/>
  <c r="N5" i="60"/>
  <c r="M5" i="60"/>
  <c r="L5" i="60"/>
  <c r="K5" i="60"/>
  <c r="H40" i="60"/>
  <c r="G40" i="60"/>
  <c r="D40" i="60"/>
  <c r="Q40" i="60" s="1"/>
  <c r="AB39" i="60"/>
  <c r="J39" i="60"/>
  <c r="I38" i="60"/>
  <c r="F38" i="60"/>
  <c r="I37" i="60"/>
  <c r="F37" i="60"/>
  <c r="I36" i="60"/>
  <c r="F36" i="60"/>
  <c r="I35" i="60"/>
  <c r="F35" i="60"/>
  <c r="I34" i="60"/>
  <c r="F34" i="60"/>
  <c r="I33" i="60"/>
  <c r="F33" i="60"/>
  <c r="I32" i="60"/>
  <c r="F32" i="60"/>
  <c r="I31" i="60"/>
  <c r="I30" i="60"/>
  <c r="J30" i="60" s="1"/>
  <c r="I29" i="60"/>
  <c r="J29" i="60" s="1"/>
  <c r="I28" i="60"/>
  <c r="J28" i="60" s="1"/>
  <c r="I27" i="60"/>
  <c r="J27" i="60" s="1"/>
  <c r="I26" i="60"/>
  <c r="J26" i="60" s="1"/>
  <c r="AD24" i="60"/>
  <c r="AC24" i="60"/>
  <c r="F19" i="60"/>
  <c r="E19" i="60"/>
  <c r="D19" i="60"/>
  <c r="C19" i="60"/>
  <c r="L40" i="59"/>
  <c r="K40" i="59"/>
  <c r="J40" i="59"/>
  <c r="I40" i="59"/>
  <c r="H40" i="59"/>
  <c r="G40" i="59"/>
  <c r="F40" i="59"/>
  <c r="E40" i="59"/>
  <c r="D40" i="59"/>
  <c r="N40" i="59" s="1"/>
  <c r="L40" i="60" s="1"/>
  <c r="C40" i="59"/>
  <c r="M40" i="59" s="1"/>
  <c r="K40" i="60" s="1"/>
  <c r="Q39" i="59"/>
  <c r="O39" i="60" s="1"/>
  <c r="Z39" i="60" s="1"/>
  <c r="P39" i="59"/>
  <c r="N39" i="60" s="1"/>
  <c r="Y39" i="60" s="1"/>
  <c r="O39" i="59"/>
  <c r="M39" i="60" s="1"/>
  <c r="W39" i="60" s="1"/>
  <c r="N39" i="59"/>
  <c r="L39" i="60" s="1"/>
  <c r="V39" i="60" s="1"/>
  <c r="M39" i="59"/>
  <c r="K39" i="60" s="1"/>
  <c r="U39" i="60" s="1"/>
  <c r="Q38" i="59"/>
  <c r="O38" i="60" s="1"/>
  <c r="Z38" i="60" s="1"/>
  <c r="P38" i="59"/>
  <c r="N38" i="60" s="1"/>
  <c r="Y38" i="60" s="1"/>
  <c r="O38" i="59"/>
  <c r="M38" i="60" s="1"/>
  <c r="W38" i="60" s="1"/>
  <c r="N38" i="59"/>
  <c r="L38" i="60" s="1"/>
  <c r="V38" i="60" s="1"/>
  <c r="M38" i="59"/>
  <c r="K38" i="60" s="1"/>
  <c r="U38" i="60" s="1"/>
  <c r="R37" i="59"/>
  <c r="Q37" i="59"/>
  <c r="O37" i="60" s="1"/>
  <c r="Z37" i="60" s="1"/>
  <c r="P37" i="59"/>
  <c r="N37" i="60" s="1"/>
  <c r="Y37" i="60" s="1"/>
  <c r="AA37" i="60" s="1"/>
  <c r="O37" i="59"/>
  <c r="M37" i="60" s="1"/>
  <c r="W37" i="60" s="1"/>
  <c r="N37" i="59"/>
  <c r="L37" i="60" s="1"/>
  <c r="V37" i="60" s="1"/>
  <c r="M37" i="59"/>
  <c r="K37" i="60" s="1"/>
  <c r="U37" i="60" s="1"/>
  <c r="R36" i="59"/>
  <c r="Q36" i="59"/>
  <c r="O36" i="60" s="1"/>
  <c r="Z36" i="60" s="1"/>
  <c r="P36" i="59"/>
  <c r="N36" i="60" s="1"/>
  <c r="Y36" i="60" s="1"/>
  <c r="O36" i="59"/>
  <c r="M36" i="60" s="1"/>
  <c r="W36" i="60" s="1"/>
  <c r="N36" i="59"/>
  <c r="M36" i="59" s="1"/>
  <c r="K36" i="60" s="1"/>
  <c r="U36" i="60" s="1"/>
  <c r="S35" i="59"/>
  <c r="R35" i="59"/>
  <c r="Q35" i="59"/>
  <c r="O35" i="60" s="1"/>
  <c r="Z35" i="60" s="1"/>
  <c r="P35" i="59"/>
  <c r="N35" i="60" s="1"/>
  <c r="Y35" i="60" s="1"/>
  <c r="O35" i="59"/>
  <c r="M35" i="60" s="1"/>
  <c r="W35" i="60" s="1"/>
  <c r="N35" i="59"/>
  <c r="L35" i="60" s="1"/>
  <c r="V35" i="60" s="1"/>
  <c r="M35" i="59"/>
  <c r="K35" i="60" s="1"/>
  <c r="U35" i="60" s="1"/>
  <c r="R34" i="59"/>
  <c r="Q34" i="59"/>
  <c r="O34" i="60" s="1"/>
  <c r="Z34" i="60" s="1"/>
  <c r="P34" i="59"/>
  <c r="N34" i="60" s="1"/>
  <c r="Y34" i="60" s="1"/>
  <c r="O34" i="59"/>
  <c r="M34" i="60" s="1"/>
  <c r="W34" i="60" s="1"/>
  <c r="N34" i="59"/>
  <c r="L34" i="60" s="1"/>
  <c r="V34" i="60" s="1"/>
  <c r="M34" i="59"/>
  <c r="K34" i="60" s="1"/>
  <c r="U34" i="60" s="1"/>
  <c r="S33" i="59"/>
  <c r="R33" i="59"/>
  <c r="Q33" i="59"/>
  <c r="O33" i="60" s="1"/>
  <c r="Z33" i="60" s="1"/>
  <c r="P33" i="59"/>
  <c r="N33" i="60" s="1"/>
  <c r="Y33" i="60" s="1"/>
  <c r="O33" i="59"/>
  <c r="M33" i="60" s="1"/>
  <c r="W33" i="60" s="1"/>
  <c r="N33" i="59"/>
  <c r="L33" i="60" s="1"/>
  <c r="V33" i="60" s="1"/>
  <c r="M33" i="59"/>
  <c r="K33" i="60" s="1"/>
  <c r="U33" i="60" s="1"/>
  <c r="S32" i="59"/>
  <c r="Q32" i="59"/>
  <c r="O32" i="60" s="1"/>
  <c r="Z32" i="60" s="1"/>
  <c r="P32" i="59"/>
  <c r="N32" i="60" s="1"/>
  <c r="Y32" i="60" s="1"/>
  <c r="O32" i="59"/>
  <c r="M32" i="60" s="1"/>
  <c r="W32" i="60" s="1"/>
  <c r="N32" i="59"/>
  <c r="L32" i="60" s="1"/>
  <c r="V32" i="60" s="1"/>
  <c r="M32" i="59"/>
  <c r="K32" i="60" s="1"/>
  <c r="U32" i="60" s="1"/>
  <c r="S31" i="59"/>
  <c r="Q31" i="59"/>
  <c r="O31" i="60" s="1"/>
  <c r="Z31" i="60" s="1"/>
  <c r="P31" i="59"/>
  <c r="N31" i="60" s="1"/>
  <c r="Y31" i="60" s="1"/>
  <c r="O31" i="59"/>
  <c r="M31" i="60" s="1"/>
  <c r="W31" i="60" s="1"/>
  <c r="N31" i="59"/>
  <c r="L31" i="60" s="1"/>
  <c r="V31" i="60" s="1"/>
  <c r="M31" i="59"/>
  <c r="K31" i="60" s="1"/>
  <c r="U31" i="60" s="1"/>
  <c r="Q30" i="59"/>
  <c r="O30" i="60" s="1"/>
  <c r="Z30" i="60" s="1"/>
  <c r="P30" i="59"/>
  <c r="N30" i="60" s="1"/>
  <c r="Y30" i="60" s="1"/>
  <c r="O30" i="59"/>
  <c r="M30" i="60" s="1"/>
  <c r="W30" i="60" s="1"/>
  <c r="N30" i="59"/>
  <c r="L30" i="60" s="1"/>
  <c r="V30" i="60" s="1"/>
  <c r="M30" i="59"/>
  <c r="K30" i="60" s="1"/>
  <c r="U30" i="60" s="1"/>
  <c r="S29" i="59"/>
  <c r="Q29" i="59"/>
  <c r="O29" i="60" s="1"/>
  <c r="Z29" i="60" s="1"/>
  <c r="P29" i="59"/>
  <c r="N29" i="60" s="1"/>
  <c r="Y29" i="60" s="1"/>
  <c r="O29" i="59"/>
  <c r="M29" i="60" s="1"/>
  <c r="W29" i="60" s="1"/>
  <c r="N29" i="59"/>
  <c r="L29" i="60" s="1"/>
  <c r="V29" i="60" s="1"/>
  <c r="M29" i="59"/>
  <c r="K29" i="60" s="1"/>
  <c r="U29" i="60" s="1"/>
  <c r="S28" i="59"/>
  <c r="Q28" i="59"/>
  <c r="O28" i="60" s="1"/>
  <c r="Z28" i="60" s="1"/>
  <c r="P28" i="59"/>
  <c r="N28" i="60" s="1"/>
  <c r="Y28" i="60" s="1"/>
  <c r="O28" i="59"/>
  <c r="M28" i="60" s="1"/>
  <c r="W28" i="60" s="1"/>
  <c r="N28" i="59"/>
  <c r="L28" i="60" s="1"/>
  <c r="V28" i="60" s="1"/>
  <c r="M28" i="59"/>
  <c r="K28" i="60" s="1"/>
  <c r="U28" i="60" s="1"/>
  <c r="Q27" i="59"/>
  <c r="O27" i="60" s="1"/>
  <c r="Z27" i="60" s="1"/>
  <c r="P27" i="59"/>
  <c r="N27" i="60" s="1"/>
  <c r="Y27" i="60" s="1"/>
  <c r="O27" i="59"/>
  <c r="M27" i="60" s="1"/>
  <c r="W27" i="60" s="1"/>
  <c r="N27" i="59"/>
  <c r="L27" i="60" s="1"/>
  <c r="V27" i="60" s="1"/>
  <c r="M27" i="59"/>
  <c r="K27" i="60" s="1"/>
  <c r="U27" i="60" s="1"/>
  <c r="Q26" i="59"/>
  <c r="O26" i="60" s="1"/>
  <c r="Z26" i="60" s="1"/>
  <c r="P26" i="59"/>
  <c r="N26" i="60" s="1"/>
  <c r="Y26" i="60" s="1"/>
  <c r="O26" i="59"/>
  <c r="M26" i="60" s="1"/>
  <c r="W26" i="60" s="1"/>
  <c r="N26" i="59"/>
  <c r="L26" i="60" s="1"/>
  <c r="V26" i="60" s="1"/>
  <c r="M26" i="59"/>
  <c r="K26" i="60" s="1"/>
  <c r="U26" i="60" s="1"/>
  <c r="Q25" i="59"/>
  <c r="O25" i="60" s="1"/>
  <c r="Z25" i="60" s="1"/>
  <c r="P25" i="59"/>
  <c r="N25" i="60" s="1"/>
  <c r="Y25" i="60" s="1"/>
  <c r="O25" i="59"/>
  <c r="M25" i="60" s="1"/>
  <c r="W25" i="60" s="1"/>
  <c r="N25" i="59"/>
  <c r="L25" i="60" s="1"/>
  <c r="V25" i="60" s="1"/>
  <c r="M25" i="59"/>
  <c r="K25" i="60" s="1"/>
  <c r="U25" i="60" s="1"/>
  <c r="J19" i="59"/>
  <c r="I19" i="59"/>
  <c r="H19" i="59"/>
  <c r="G19" i="59"/>
  <c r="F19" i="59"/>
  <c r="N19" i="61" s="1"/>
  <c r="E19" i="59"/>
  <c r="M19" i="61" s="1"/>
  <c r="D19" i="59"/>
  <c r="L19" i="61" s="1"/>
  <c r="C19" i="59"/>
  <c r="K19" i="61" s="1"/>
  <c r="N18" i="59"/>
  <c r="J18" i="60" s="1"/>
  <c r="R18" i="60" s="1"/>
  <c r="M18" i="59"/>
  <c r="I18" i="60" s="1"/>
  <c r="Q18" i="60" s="1"/>
  <c r="L18" i="59"/>
  <c r="H18" i="60" s="1"/>
  <c r="P18" i="60" s="1"/>
  <c r="K18" i="59"/>
  <c r="G18" i="60" s="1"/>
  <c r="O18" i="60" s="1"/>
  <c r="N17" i="59"/>
  <c r="J17" i="60" s="1"/>
  <c r="R17" i="60" s="1"/>
  <c r="M17" i="59"/>
  <c r="I17" i="60" s="1"/>
  <c r="Q17" i="60" s="1"/>
  <c r="L17" i="59"/>
  <c r="H17" i="60" s="1"/>
  <c r="K17" i="59"/>
  <c r="G17" i="60" s="1"/>
  <c r="N16" i="59"/>
  <c r="J16" i="60" s="1"/>
  <c r="R16" i="60" s="1"/>
  <c r="M16" i="59"/>
  <c r="I16" i="60" s="1"/>
  <c r="L16" i="59"/>
  <c r="H16" i="60" s="1"/>
  <c r="P16" i="60" s="1"/>
  <c r="K16" i="59"/>
  <c r="G16" i="60" s="1"/>
  <c r="N15" i="59"/>
  <c r="J15" i="60" s="1"/>
  <c r="M15" i="59"/>
  <c r="I15" i="60" s="1"/>
  <c r="Q15" i="60" s="1"/>
  <c r="L15" i="59"/>
  <c r="H15" i="60" s="1"/>
  <c r="P15" i="60" s="1"/>
  <c r="K15" i="59"/>
  <c r="G15" i="60" s="1"/>
  <c r="O15" i="60" s="1"/>
  <c r="N14" i="59"/>
  <c r="J14" i="60" s="1"/>
  <c r="R14" i="60" s="1"/>
  <c r="M14" i="59"/>
  <c r="I14" i="60" s="1"/>
  <c r="Q14" i="60" s="1"/>
  <c r="L14" i="59"/>
  <c r="H14" i="60" s="1"/>
  <c r="P14" i="60" s="1"/>
  <c r="K14" i="59"/>
  <c r="G14" i="60" s="1"/>
  <c r="O14" i="60" s="1"/>
  <c r="N13" i="59"/>
  <c r="J13" i="60" s="1"/>
  <c r="R13" i="60" s="1"/>
  <c r="M13" i="59"/>
  <c r="I13" i="60" s="1"/>
  <c r="Q13" i="60" s="1"/>
  <c r="L13" i="59"/>
  <c r="H13" i="60" s="1"/>
  <c r="P13" i="60" s="1"/>
  <c r="K13" i="59"/>
  <c r="G13" i="60" s="1"/>
  <c r="O13" i="60" s="1"/>
  <c r="N12" i="59"/>
  <c r="J12" i="60" s="1"/>
  <c r="R12" i="60" s="1"/>
  <c r="M12" i="59"/>
  <c r="I12" i="60" s="1"/>
  <c r="Q12" i="60" s="1"/>
  <c r="L12" i="59"/>
  <c r="H12" i="60" s="1"/>
  <c r="P12" i="60" s="1"/>
  <c r="K12" i="59"/>
  <c r="G12" i="60" s="1"/>
  <c r="O12" i="60" s="1"/>
  <c r="N11" i="59"/>
  <c r="J11" i="60" s="1"/>
  <c r="R11" i="60" s="1"/>
  <c r="M11" i="59"/>
  <c r="I11" i="60" s="1"/>
  <c r="Q11" i="60" s="1"/>
  <c r="L11" i="59"/>
  <c r="H11" i="60" s="1"/>
  <c r="P11" i="60" s="1"/>
  <c r="K11" i="59"/>
  <c r="G11" i="60" s="1"/>
  <c r="O11" i="60" s="1"/>
  <c r="N10" i="59"/>
  <c r="J10" i="60" s="1"/>
  <c r="R10" i="60" s="1"/>
  <c r="M10" i="59"/>
  <c r="I10" i="60" s="1"/>
  <c r="Q10" i="60" s="1"/>
  <c r="L10" i="59"/>
  <c r="H10" i="60" s="1"/>
  <c r="P10" i="60" s="1"/>
  <c r="K10" i="59"/>
  <c r="G10" i="60" s="1"/>
  <c r="O10" i="60" s="1"/>
  <c r="N9" i="59"/>
  <c r="J9" i="60" s="1"/>
  <c r="R9" i="60" s="1"/>
  <c r="M9" i="59"/>
  <c r="I9" i="60" s="1"/>
  <c r="Q9" i="60" s="1"/>
  <c r="L9" i="59"/>
  <c r="H9" i="60" s="1"/>
  <c r="P9" i="60" s="1"/>
  <c r="K9" i="59"/>
  <c r="G9" i="60" s="1"/>
  <c r="O9" i="60" s="1"/>
  <c r="N8" i="59"/>
  <c r="J8" i="60" s="1"/>
  <c r="R8" i="60" s="1"/>
  <c r="M8" i="59"/>
  <c r="I8" i="60" s="1"/>
  <c r="Q8" i="60" s="1"/>
  <c r="L8" i="59"/>
  <c r="H8" i="60" s="1"/>
  <c r="P8" i="60" s="1"/>
  <c r="K8" i="59"/>
  <c r="G8" i="60" s="1"/>
  <c r="O8" i="60" s="1"/>
  <c r="N7" i="59"/>
  <c r="J7" i="60" s="1"/>
  <c r="R7" i="60" s="1"/>
  <c r="M7" i="59"/>
  <c r="I7" i="60" s="1"/>
  <c r="Q7" i="60" s="1"/>
  <c r="L7" i="59"/>
  <c r="H7" i="60" s="1"/>
  <c r="P7" i="60" s="1"/>
  <c r="K7" i="59"/>
  <c r="G7" i="60" s="1"/>
  <c r="O7" i="60" s="1"/>
  <c r="N6" i="59"/>
  <c r="J6" i="60" s="1"/>
  <c r="R6" i="60" s="1"/>
  <c r="M6" i="59"/>
  <c r="I6" i="60" s="1"/>
  <c r="Q6" i="60" s="1"/>
  <c r="L6" i="59"/>
  <c r="H6" i="60" s="1"/>
  <c r="P6" i="60" s="1"/>
  <c r="K6" i="59"/>
  <c r="G6" i="60" s="1"/>
  <c r="O6" i="60" s="1"/>
  <c r="N5" i="59"/>
  <c r="J5" i="60" s="1"/>
  <c r="R5" i="60" s="1"/>
  <c r="M5" i="59"/>
  <c r="I5" i="60" s="1"/>
  <c r="Q5" i="60" s="1"/>
  <c r="L5" i="59"/>
  <c r="H5" i="60" s="1"/>
  <c r="P5" i="60" s="1"/>
  <c r="K5" i="59"/>
  <c r="G5" i="60" s="1"/>
  <c r="O5" i="60" s="1"/>
  <c r="L36" i="60" l="1"/>
  <c r="V36" i="60" s="1"/>
  <c r="O40" i="59"/>
  <c r="M40" i="60" s="1"/>
  <c r="AA33" i="60"/>
  <c r="J38" i="60"/>
  <c r="X33" i="60"/>
  <c r="AA38" i="60"/>
  <c r="O16" i="60"/>
  <c r="S17" i="60"/>
  <c r="AB40" i="61"/>
  <c r="L19" i="60"/>
  <c r="Q40" i="59"/>
  <c r="O40" i="60" s="1"/>
  <c r="P40" i="59"/>
  <c r="N40" i="60" s="1"/>
  <c r="S40" i="60"/>
  <c r="AA27" i="60"/>
  <c r="T40" i="60"/>
  <c r="N19" i="60"/>
  <c r="M19" i="60"/>
  <c r="K19" i="60"/>
  <c r="N19" i="59"/>
  <c r="X28" i="60"/>
  <c r="AA30" i="60"/>
  <c r="AA35" i="60"/>
  <c r="AA36" i="60"/>
  <c r="X26" i="60"/>
  <c r="X32" i="60"/>
  <c r="X27" i="60"/>
  <c r="X29" i="60"/>
  <c r="X35" i="60"/>
  <c r="X38" i="60"/>
  <c r="R15" i="60"/>
  <c r="R19" i="60" s="1"/>
  <c r="F20" i="59"/>
  <c r="M19" i="59"/>
  <c r="L19" i="59"/>
  <c r="J20" i="59"/>
  <c r="X34" i="60"/>
  <c r="J36" i="60"/>
  <c r="V40" i="60"/>
  <c r="W40" i="60"/>
  <c r="J33" i="60"/>
  <c r="Z40" i="60"/>
  <c r="J31" i="60"/>
  <c r="AB33" i="60"/>
  <c r="J35" i="60"/>
  <c r="AA29" i="60"/>
  <c r="J32" i="60"/>
  <c r="Y40" i="60"/>
  <c r="AA32" i="60"/>
  <c r="Q16" i="60"/>
  <c r="Q19" i="60" s="1"/>
  <c r="U40" i="60"/>
  <c r="AA28" i="60"/>
  <c r="X30" i="60"/>
  <c r="AA34" i="60"/>
  <c r="X25" i="60"/>
  <c r="O17" i="60"/>
  <c r="O19" i="60" s="1"/>
  <c r="J34" i="60"/>
  <c r="AA26" i="60"/>
  <c r="AA31" i="60"/>
  <c r="X31" i="60"/>
  <c r="AB31" i="60" s="1"/>
  <c r="X36" i="60"/>
  <c r="J37" i="60"/>
  <c r="X37" i="60"/>
  <c r="AB37" i="60" s="1"/>
  <c r="P17" i="60"/>
  <c r="P19" i="60" s="1"/>
  <c r="E40" i="60"/>
  <c r="R40" i="60" s="1"/>
  <c r="AA25" i="60"/>
  <c r="C40" i="60"/>
  <c r="P40" i="60" s="1"/>
  <c r="K19" i="59"/>
  <c r="S28" i="58"/>
  <c r="E34" i="57"/>
  <c r="D34" i="57"/>
  <c r="C34" i="57"/>
  <c r="AB35" i="60" l="1"/>
  <c r="AB27" i="60"/>
  <c r="AB26" i="60"/>
  <c r="AB38" i="60"/>
  <c r="AB34" i="60"/>
  <c r="AB30" i="60"/>
  <c r="AB32" i="60"/>
  <c r="I19" i="60"/>
  <c r="I19" i="61"/>
  <c r="G19" i="60"/>
  <c r="G19" i="61"/>
  <c r="AB28" i="60"/>
  <c r="J19" i="60"/>
  <c r="J19" i="61"/>
  <c r="H19" i="60"/>
  <c r="H19" i="61"/>
  <c r="AB29" i="60"/>
  <c r="N20" i="59"/>
  <c r="AB36" i="60"/>
  <c r="J40" i="60"/>
  <c r="AA40" i="60"/>
  <c r="E41" i="60"/>
  <c r="X40" i="60"/>
  <c r="AB25" i="60"/>
  <c r="T35" i="57"/>
  <c r="S35" i="57"/>
  <c r="P35" i="57"/>
  <c r="R35" i="57"/>
  <c r="Q35" i="57"/>
  <c r="AB40" i="60" l="1"/>
  <c r="S35" i="58"/>
  <c r="R35" i="58"/>
  <c r="Q35" i="58"/>
  <c r="O35" i="57" s="1"/>
  <c r="P35" i="58"/>
  <c r="N35" i="57" s="1"/>
  <c r="O35" i="58"/>
  <c r="M35" i="57" s="1"/>
  <c r="N35" i="58"/>
  <c r="L35" i="57" s="1"/>
  <c r="M35" i="58"/>
  <c r="K35" i="57" s="1"/>
  <c r="A35" i="58"/>
  <c r="I35" i="57"/>
  <c r="AD35" i="57" s="1"/>
  <c r="F35" i="57"/>
  <c r="AC35" i="57" s="1"/>
  <c r="J35" i="57" l="1"/>
  <c r="A38" i="58"/>
  <c r="A37" i="58"/>
  <c r="A36" i="58"/>
  <c r="A34" i="58"/>
  <c r="A33" i="58"/>
  <c r="A32" i="58"/>
  <c r="A31" i="58"/>
  <c r="A30" i="58"/>
  <c r="A29" i="58"/>
  <c r="A28" i="58"/>
  <c r="A27" i="58"/>
  <c r="A26" i="58"/>
  <c r="A25" i="58"/>
  <c r="S29" i="58" l="1"/>
  <c r="T39" i="57" l="1"/>
  <c r="S39" i="57"/>
  <c r="R39" i="57"/>
  <c r="Q39" i="57"/>
  <c r="P39" i="57"/>
  <c r="T38" i="57"/>
  <c r="S38" i="57"/>
  <c r="R38" i="57"/>
  <c r="Q38" i="57"/>
  <c r="P38" i="57"/>
  <c r="T37" i="57"/>
  <c r="S37" i="57"/>
  <c r="R37" i="57"/>
  <c r="Q37" i="57"/>
  <c r="P37" i="57"/>
  <c r="T36" i="57"/>
  <c r="S36" i="57"/>
  <c r="R36" i="57"/>
  <c r="Q36" i="57"/>
  <c r="P36" i="57"/>
  <c r="T34" i="57"/>
  <c r="S34" i="57"/>
  <c r="R34" i="57"/>
  <c r="Q34" i="57"/>
  <c r="P34" i="57"/>
  <c r="T33" i="57"/>
  <c r="S33" i="57"/>
  <c r="R33" i="57"/>
  <c r="Q33" i="57"/>
  <c r="P33" i="57"/>
  <c r="T32" i="57"/>
  <c r="S32" i="57"/>
  <c r="R32" i="57"/>
  <c r="Q32" i="57"/>
  <c r="P32" i="57"/>
  <c r="T31" i="57"/>
  <c r="S31" i="57"/>
  <c r="R31" i="57"/>
  <c r="Q31" i="57"/>
  <c r="P31" i="57"/>
  <c r="T30" i="57"/>
  <c r="S30" i="57"/>
  <c r="R30" i="57"/>
  <c r="Q30" i="57"/>
  <c r="P30" i="57"/>
  <c r="T29" i="57"/>
  <c r="S29" i="57"/>
  <c r="R29" i="57"/>
  <c r="Q29" i="57"/>
  <c r="P29" i="57"/>
  <c r="T28" i="57"/>
  <c r="S28" i="57"/>
  <c r="R28" i="57"/>
  <c r="Q28" i="57"/>
  <c r="P28" i="57"/>
  <c r="T27" i="57"/>
  <c r="S27" i="57"/>
  <c r="R27" i="57"/>
  <c r="Q27" i="57"/>
  <c r="P27" i="57"/>
  <c r="T26" i="57"/>
  <c r="S26" i="57"/>
  <c r="R26" i="57"/>
  <c r="Q26" i="57"/>
  <c r="P26" i="57"/>
  <c r="T25" i="57"/>
  <c r="S25" i="57"/>
  <c r="R25" i="57"/>
  <c r="Q25" i="57"/>
  <c r="P25" i="57"/>
  <c r="N18" i="57" l="1"/>
  <c r="M18" i="57"/>
  <c r="L18" i="57"/>
  <c r="K18" i="57"/>
  <c r="N17" i="57"/>
  <c r="M17" i="57"/>
  <c r="L17" i="57"/>
  <c r="K17" i="57"/>
  <c r="N16" i="57"/>
  <c r="M16" i="57"/>
  <c r="L16" i="57"/>
  <c r="K16" i="57"/>
  <c r="N15" i="57"/>
  <c r="M15" i="57"/>
  <c r="L15" i="57"/>
  <c r="K15" i="57"/>
  <c r="N14" i="57"/>
  <c r="M14" i="57"/>
  <c r="L14" i="57"/>
  <c r="K14" i="57"/>
  <c r="N13" i="57"/>
  <c r="M13" i="57"/>
  <c r="L13" i="57"/>
  <c r="K13" i="57"/>
  <c r="N12" i="57"/>
  <c r="M12" i="57"/>
  <c r="L12" i="57"/>
  <c r="K12" i="57"/>
  <c r="N11" i="57"/>
  <c r="M11" i="57"/>
  <c r="L11" i="57"/>
  <c r="K11" i="57"/>
  <c r="N10" i="57"/>
  <c r="M10" i="57"/>
  <c r="L10" i="57"/>
  <c r="K10" i="57"/>
  <c r="N9" i="57"/>
  <c r="M9" i="57"/>
  <c r="L9" i="57"/>
  <c r="K9" i="57"/>
  <c r="N8" i="57"/>
  <c r="M8" i="57"/>
  <c r="L8" i="57"/>
  <c r="K8" i="57"/>
  <c r="N7" i="57"/>
  <c r="M7" i="57"/>
  <c r="L7" i="57"/>
  <c r="K7" i="57"/>
  <c r="N6" i="57"/>
  <c r="M6" i="57"/>
  <c r="L6" i="57"/>
  <c r="K6" i="57"/>
  <c r="N5" i="57"/>
  <c r="M5" i="57"/>
  <c r="L5" i="57"/>
  <c r="K5" i="57"/>
  <c r="L40" i="58" l="1"/>
  <c r="K40" i="58"/>
  <c r="J40" i="58"/>
  <c r="I40" i="58"/>
  <c r="H40" i="58"/>
  <c r="F40" i="58"/>
  <c r="E40" i="58"/>
  <c r="D40" i="58"/>
  <c r="C40" i="58"/>
  <c r="Q39" i="58"/>
  <c r="O39" i="57" s="1"/>
  <c r="Z39" i="57" s="1"/>
  <c r="P39" i="58"/>
  <c r="N39" i="57" s="1"/>
  <c r="Y39" i="57" s="1"/>
  <c r="O39" i="58"/>
  <c r="M39" i="57" s="1"/>
  <c r="W39" i="57" s="1"/>
  <c r="N39" i="58"/>
  <c r="L39" i="57" s="1"/>
  <c r="V39" i="57" s="1"/>
  <c r="M39" i="58"/>
  <c r="K39" i="57" s="1"/>
  <c r="U39" i="57" s="1"/>
  <c r="Q38" i="58"/>
  <c r="O38" i="57" s="1"/>
  <c r="Z38" i="57" s="1"/>
  <c r="P38" i="58"/>
  <c r="N38" i="57" s="1"/>
  <c r="O38" i="58"/>
  <c r="M38" i="57" s="1"/>
  <c r="W38" i="57" s="1"/>
  <c r="N38" i="58"/>
  <c r="L38" i="57" s="1"/>
  <c r="V38" i="57" s="1"/>
  <c r="M38" i="58"/>
  <c r="K38" i="57" s="1"/>
  <c r="U38" i="57" s="1"/>
  <c r="R37" i="58"/>
  <c r="Q37" i="58"/>
  <c r="O37" i="57" s="1"/>
  <c r="Z37" i="57" s="1"/>
  <c r="P37" i="58"/>
  <c r="N37" i="57" s="1"/>
  <c r="Y37" i="57" s="1"/>
  <c r="O37" i="58"/>
  <c r="M37" i="57" s="1"/>
  <c r="W37" i="57" s="1"/>
  <c r="N37" i="58"/>
  <c r="L37" i="57" s="1"/>
  <c r="V37" i="57" s="1"/>
  <c r="M37" i="58"/>
  <c r="K37" i="57" s="1"/>
  <c r="U37" i="57" s="1"/>
  <c r="R36" i="58"/>
  <c r="Q36" i="58"/>
  <c r="P36" i="58"/>
  <c r="O36" i="58"/>
  <c r="N36" i="58"/>
  <c r="V35" i="57" s="1"/>
  <c r="R34" i="58"/>
  <c r="Q34" i="58"/>
  <c r="O34" i="57" s="1"/>
  <c r="Z34" i="57" s="1"/>
  <c r="P34" i="58"/>
  <c r="N34" i="57" s="1"/>
  <c r="Y34" i="57" s="1"/>
  <c r="O34" i="58"/>
  <c r="M34" i="57" s="1"/>
  <c r="W34" i="57" s="1"/>
  <c r="N34" i="58"/>
  <c r="L34" i="57" s="1"/>
  <c r="V34" i="57" s="1"/>
  <c r="M34" i="58"/>
  <c r="K34" i="57" s="1"/>
  <c r="U34" i="57" s="1"/>
  <c r="S33" i="58"/>
  <c r="R33" i="58"/>
  <c r="Q33" i="58"/>
  <c r="O33" i="57" s="1"/>
  <c r="Z33" i="57" s="1"/>
  <c r="P33" i="58"/>
  <c r="N33" i="57" s="1"/>
  <c r="Y33" i="57" s="1"/>
  <c r="O33" i="58"/>
  <c r="M33" i="57" s="1"/>
  <c r="W33" i="57" s="1"/>
  <c r="N33" i="58"/>
  <c r="L33" i="57" s="1"/>
  <c r="V33" i="57" s="1"/>
  <c r="M33" i="58"/>
  <c r="K33" i="57" s="1"/>
  <c r="U33" i="57" s="1"/>
  <c r="S32" i="58"/>
  <c r="Q32" i="58"/>
  <c r="O32" i="57" s="1"/>
  <c r="Z32" i="57" s="1"/>
  <c r="P32" i="58"/>
  <c r="N32" i="57" s="1"/>
  <c r="Y32" i="57" s="1"/>
  <c r="O32" i="58"/>
  <c r="M32" i="57" s="1"/>
  <c r="W32" i="57" s="1"/>
  <c r="N32" i="58"/>
  <c r="L32" i="57" s="1"/>
  <c r="V32" i="57" s="1"/>
  <c r="M32" i="58"/>
  <c r="K32" i="57" s="1"/>
  <c r="U32" i="57" s="1"/>
  <c r="P31" i="58"/>
  <c r="N31" i="57" s="1"/>
  <c r="Y31" i="57" s="1"/>
  <c r="O31" i="58"/>
  <c r="M31" i="57" s="1"/>
  <c r="W31" i="57" s="1"/>
  <c r="N31" i="58"/>
  <c r="L31" i="57" s="1"/>
  <c r="V31" i="57" s="1"/>
  <c r="M31" i="58"/>
  <c r="K31" i="57" s="1"/>
  <c r="U31" i="57" s="1"/>
  <c r="S31" i="58"/>
  <c r="Q30" i="58"/>
  <c r="O30" i="57" s="1"/>
  <c r="Z30" i="57" s="1"/>
  <c r="P30" i="58"/>
  <c r="N30" i="57" s="1"/>
  <c r="Y30" i="57" s="1"/>
  <c r="O30" i="58"/>
  <c r="M30" i="57" s="1"/>
  <c r="W30" i="57" s="1"/>
  <c r="N30" i="58"/>
  <c r="L30" i="57" s="1"/>
  <c r="V30" i="57" s="1"/>
  <c r="M30" i="58"/>
  <c r="K30" i="57" s="1"/>
  <c r="U30" i="57" s="1"/>
  <c r="Q29" i="58"/>
  <c r="O29" i="57" s="1"/>
  <c r="Z29" i="57" s="1"/>
  <c r="P29" i="58"/>
  <c r="N29" i="57" s="1"/>
  <c r="Y29" i="57" s="1"/>
  <c r="O29" i="58"/>
  <c r="M29" i="57" s="1"/>
  <c r="W29" i="57" s="1"/>
  <c r="N29" i="58"/>
  <c r="L29" i="57" s="1"/>
  <c r="V29" i="57" s="1"/>
  <c r="M29" i="58"/>
  <c r="K29" i="57" s="1"/>
  <c r="U29" i="57" s="1"/>
  <c r="Q28" i="58"/>
  <c r="O28" i="57" s="1"/>
  <c r="Z28" i="57" s="1"/>
  <c r="P28" i="58"/>
  <c r="N28" i="57" s="1"/>
  <c r="Y28" i="57" s="1"/>
  <c r="O28" i="58"/>
  <c r="M28" i="57" s="1"/>
  <c r="W28" i="57" s="1"/>
  <c r="N28" i="58"/>
  <c r="L28" i="57" s="1"/>
  <c r="V28" i="57" s="1"/>
  <c r="M28" i="58"/>
  <c r="K28" i="57" s="1"/>
  <c r="U28" i="57" s="1"/>
  <c r="Q27" i="58"/>
  <c r="O27" i="57" s="1"/>
  <c r="Z27" i="57" s="1"/>
  <c r="P27" i="58"/>
  <c r="N27" i="57" s="1"/>
  <c r="Y27" i="57" s="1"/>
  <c r="O27" i="58"/>
  <c r="M27" i="57" s="1"/>
  <c r="W27" i="57" s="1"/>
  <c r="N27" i="58"/>
  <c r="L27" i="57" s="1"/>
  <c r="V27" i="57" s="1"/>
  <c r="M27" i="58"/>
  <c r="K27" i="57" s="1"/>
  <c r="U27" i="57" s="1"/>
  <c r="Q26" i="58"/>
  <c r="O26" i="57" s="1"/>
  <c r="Z26" i="57" s="1"/>
  <c r="P26" i="58"/>
  <c r="N26" i="57" s="1"/>
  <c r="Y26" i="57" s="1"/>
  <c r="O26" i="58"/>
  <c r="M26" i="57" s="1"/>
  <c r="W26" i="57" s="1"/>
  <c r="N26" i="58"/>
  <c r="L26" i="57" s="1"/>
  <c r="V26" i="57" s="1"/>
  <c r="M26" i="58"/>
  <c r="K26" i="57" s="1"/>
  <c r="U26" i="57" s="1"/>
  <c r="Q25" i="58"/>
  <c r="O25" i="57" s="1"/>
  <c r="Z25" i="57" s="1"/>
  <c r="P25" i="58"/>
  <c r="N25" i="57" s="1"/>
  <c r="Y25" i="57" s="1"/>
  <c r="O25" i="58"/>
  <c r="M25" i="57" s="1"/>
  <c r="W25" i="57" s="1"/>
  <c r="N25" i="58"/>
  <c r="L25" i="57" s="1"/>
  <c r="V25" i="57" s="1"/>
  <c r="M25" i="58"/>
  <c r="K25" i="57" s="1"/>
  <c r="U25" i="57" s="1"/>
  <c r="J19" i="58"/>
  <c r="I19" i="58"/>
  <c r="H19" i="58"/>
  <c r="G19" i="58"/>
  <c r="F19" i="58"/>
  <c r="E19" i="58"/>
  <c r="D19" i="58"/>
  <c r="C19" i="58"/>
  <c r="N18" i="58"/>
  <c r="J18" i="57" s="1"/>
  <c r="R18" i="57" s="1"/>
  <c r="M18" i="58"/>
  <c r="I18" i="57" s="1"/>
  <c r="Q18" i="57" s="1"/>
  <c r="L18" i="58"/>
  <c r="H18" i="57" s="1"/>
  <c r="P18" i="57" s="1"/>
  <c r="K18" i="58"/>
  <c r="G18" i="57" s="1"/>
  <c r="O18" i="57" s="1"/>
  <c r="N17" i="58"/>
  <c r="J17" i="57" s="1"/>
  <c r="R17" i="57" s="1"/>
  <c r="M17" i="58"/>
  <c r="I17" i="57" s="1"/>
  <c r="Q17" i="57" s="1"/>
  <c r="L17" i="58"/>
  <c r="H17" i="57" s="1"/>
  <c r="K17" i="58"/>
  <c r="G17" i="57" s="1"/>
  <c r="N16" i="58"/>
  <c r="J16" i="57" s="1"/>
  <c r="R16" i="57" s="1"/>
  <c r="M16" i="58"/>
  <c r="I16" i="57" s="1"/>
  <c r="L16" i="58"/>
  <c r="H16" i="57" s="1"/>
  <c r="P16" i="57" s="1"/>
  <c r="K16" i="58"/>
  <c r="G16" i="57" s="1"/>
  <c r="O16" i="57" s="1"/>
  <c r="N15" i="58"/>
  <c r="J15" i="57" s="1"/>
  <c r="M15" i="58"/>
  <c r="I15" i="57" s="1"/>
  <c r="Q15" i="57" s="1"/>
  <c r="L15" i="58"/>
  <c r="H15" i="57" s="1"/>
  <c r="P15" i="57" s="1"/>
  <c r="K15" i="58"/>
  <c r="G15" i="57" s="1"/>
  <c r="O15" i="57" s="1"/>
  <c r="N14" i="58"/>
  <c r="J14" i="57" s="1"/>
  <c r="R14" i="57" s="1"/>
  <c r="M14" i="58"/>
  <c r="I14" i="57" s="1"/>
  <c r="Q14" i="57" s="1"/>
  <c r="L14" i="58"/>
  <c r="H14" i="57" s="1"/>
  <c r="P14" i="57" s="1"/>
  <c r="K14" i="58"/>
  <c r="G14" i="57" s="1"/>
  <c r="O14" i="57" s="1"/>
  <c r="N13" i="58"/>
  <c r="J13" i="57" s="1"/>
  <c r="R13" i="57" s="1"/>
  <c r="M13" i="58"/>
  <c r="I13" i="57" s="1"/>
  <c r="Q13" i="57" s="1"/>
  <c r="L13" i="58"/>
  <c r="H13" i="57" s="1"/>
  <c r="P13" i="57" s="1"/>
  <c r="K13" i="58"/>
  <c r="G13" i="57" s="1"/>
  <c r="O13" i="57" s="1"/>
  <c r="N12" i="58"/>
  <c r="J12" i="57" s="1"/>
  <c r="R12" i="57" s="1"/>
  <c r="M12" i="58"/>
  <c r="I12" i="57" s="1"/>
  <c r="Q12" i="57" s="1"/>
  <c r="L12" i="58"/>
  <c r="H12" i="57" s="1"/>
  <c r="P12" i="57" s="1"/>
  <c r="K12" i="58"/>
  <c r="G12" i="57" s="1"/>
  <c r="O12" i="57" s="1"/>
  <c r="N11" i="58"/>
  <c r="J11" i="57" s="1"/>
  <c r="R11" i="57" s="1"/>
  <c r="M11" i="58"/>
  <c r="I11" i="57" s="1"/>
  <c r="Q11" i="57" s="1"/>
  <c r="L11" i="58"/>
  <c r="H11" i="57" s="1"/>
  <c r="P11" i="57" s="1"/>
  <c r="K11" i="58"/>
  <c r="G11" i="57" s="1"/>
  <c r="O11" i="57" s="1"/>
  <c r="N10" i="58"/>
  <c r="J10" i="57" s="1"/>
  <c r="R10" i="57" s="1"/>
  <c r="M10" i="58"/>
  <c r="I10" i="57" s="1"/>
  <c r="Q10" i="57" s="1"/>
  <c r="L10" i="58"/>
  <c r="H10" i="57" s="1"/>
  <c r="P10" i="57" s="1"/>
  <c r="K10" i="58"/>
  <c r="G10" i="57" s="1"/>
  <c r="O10" i="57" s="1"/>
  <c r="N9" i="58"/>
  <c r="J9" i="57" s="1"/>
  <c r="R9" i="57" s="1"/>
  <c r="M9" i="58"/>
  <c r="I9" i="57" s="1"/>
  <c r="L9" i="58"/>
  <c r="H9" i="57" s="1"/>
  <c r="P9" i="57" s="1"/>
  <c r="K9" i="58"/>
  <c r="G9" i="57" s="1"/>
  <c r="O9" i="57" s="1"/>
  <c r="N8" i="58"/>
  <c r="J8" i="57" s="1"/>
  <c r="R8" i="57" s="1"/>
  <c r="M8" i="58"/>
  <c r="I8" i="57" s="1"/>
  <c r="Q8" i="57" s="1"/>
  <c r="L8" i="58"/>
  <c r="H8" i="57" s="1"/>
  <c r="P8" i="57" s="1"/>
  <c r="K8" i="58"/>
  <c r="G8" i="57" s="1"/>
  <c r="O8" i="57" s="1"/>
  <c r="N7" i="58"/>
  <c r="J7" i="57" s="1"/>
  <c r="R7" i="57" s="1"/>
  <c r="M7" i="58"/>
  <c r="I7" i="57" s="1"/>
  <c r="Q7" i="57" s="1"/>
  <c r="L7" i="58"/>
  <c r="H7" i="57" s="1"/>
  <c r="P7" i="57" s="1"/>
  <c r="K7" i="58"/>
  <c r="G7" i="57" s="1"/>
  <c r="O7" i="57" s="1"/>
  <c r="N6" i="58"/>
  <c r="J6" i="57" s="1"/>
  <c r="R6" i="57" s="1"/>
  <c r="M6" i="58"/>
  <c r="I6" i="57" s="1"/>
  <c r="Q6" i="57" s="1"/>
  <c r="L6" i="58"/>
  <c r="H6" i="57" s="1"/>
  <c r="P6" i="57" s="1"/>
  <c r="K6" i="58"/>
  <c r="G6" i="57" s="1"/>
  <c r="O6" i="57" s="1"/>
  <c r="N5" i="58"/>
  <c r="J5" i="57" s="1"/>
  <c r="R5" i="57" s="1"/>
  <c r="M5" i="58"/>
  <c r="I5" i="57" s="1"/>
  <c r="Q5" i="57" s="1"/>
  <c r="L5" i="58"/>
  <c r="H5" i="57" s="1"/>
  <c r="P5" i="57" s="1"/>
  <c r="K5" i="58"/>
  <c r="G5" i="57" s="1"/>
  <c r="O5" i="57" s="1"/>
  <c r="H40" i="57"/>
  <c r="G40" i="57"/>
  <c r="E40" i="57"/>
  <c r="D40" i="57"/>
  <c r="C40" i="57"/>
  <c r="AB39" i="57"/>
  <c r="J39" i="57"/>
  <c r="Y38" i="57"/>
  <c r="I38" i="57"/>
  <c r="F38" i="57"/>
  <c r="I37" i="57"/>
  <c r="F37" i="57"/>
  <c r="I36" i="57"/>
  <c r="F36" i="57"/>
  <c r="I34" i="57"/>
  <c r="F34" i="57"/>
  <c r="AC34" i="57" s="1"/>
  <c r="I33" i="57"/>
  <c r="F33" i="57"/>
  <c r="I32" i="57"/>
  <c r="F32" i="57"/>
  <c r="I31" i="57"/>
  <c r="I30" i="57"/>
  <c r="J30" i="57" s="1"/>
  <c r="I29" i="57"/>
  <c r="I28" i="57"/>
  <c r="I27" i="57"/>
  <c r="J27" i="57" s="1"/>
  <c r="I26" i="57"/>
  <c r="J26" i="57" s="1"/>
  <c r="AD24" i="57"/>
  <c r="AC24" i="57"/>
  <c r="F19" i="57"/>
  <c r="E19" i="57"/>
  <c r="D19" i="57"/>
  <c r="C19" i="57"/>
  <c r="P17" i="57" l="1"/>
  <c r="T16" i="57"/>
  <c r="O17" i="57"/>
  <c r="S16" i="57"/>
  <c r="Q9" i="57"/>
  <c r="U8" i="57"/>
  <c r="Q16" i="57"/>
  <c r="U17" i="57"/>
  <c r="J28" i="57"/>
  <c r="AD28" i="57"/>
  <c r="AC37" i="57"/>
  <c r="R15" i="57"/>
  <c r="R19" i="57" s="1"/>
  <c r="V16" i="57"/>
  <c r="AC36" i="57"/>
  <c r="J37" i="57"/>
  <c r="M40" i="58"/>
  <c r="K40" i="57" s="1"/>
  <c r="AD33" i="57"/>
  <c r="M36" i="57"/>
  <c r="W36" i="57" s="1"/>
  <c r="W35" i="57"/>
  <c r="AD32" i="57"/>
  <c r="N36" i="57"/>
  <c r="Y36" i="57" s="1"/>
  <c r="Y35" i="57"/>
  <c r="AC33" i="57"/>
  <c r="S40" i="57"/>
  <c r="O36" i="57"/>
  <c r="Z36" i="57" s="1"/>
  <c r="Z35" i="57"/>
  <c r="X28" i="57"/>
  <c r="J38" i="57"/>
  <c r="X27" i="57"/>
  <c r="X26" i="57"/>
  <c r="Q40" i="57"/>
  <c r="M36" i="58"/>
  <c r="L36" i="57"/>
  <c r="V36" i="57" s="1"/>
  <c r="J34" i="57"/>
  <c r="X29" i="57"/>
  <c r="J29" i="57"/>
  <c r="AD29" i="57"/>
  <c r="J31" i="57"/>
  <c r="AD31" i="57"/>
  <c r="R40" i="57"/>
  <c r="E41" i="57"/>
  <c r="P40" i="57"/>
  <c r="J33" i="57"/>
  <c r="P40" i="58"/>
  <c r="N40" i="57" s="1"/>
  <c r="X30" i="57"/>
  <c r="X34" i="57"/>
  <c r="AA28" i="57"/>
  <c r="O40" i="58"/>
  <c r="M40" i="57" s="1"/>
  <c r="N40" i="58"/>
  <c r="L40" i="57" s="1"/>
  <c r="N19" i="58"/>
  <c r="J19" i="57" s="1"/>
  <c r="N19" i="57"/>
  <c r="M19" i="58"/>
  <c r="I19" i="57" s="1"/>
  <c r="M19" i="57"/>
  <c r="L19" i="58"/>
  <c r="H19" i="57" s="1"/>
  <c r="L19" i="57"/>
  <c r="K19" i="58"/>
  <c r="G19" i="57" s="1"/>
  <c r="K19" i="57"/>
  <c r="X33" i="57"/>
  <c r="J40" i="57"/>
  <c r="Q19" i="57"/>
  <c r="F20" i="58"/>
  <c r="J20" i="58"/>
  <c r="J36" i="57"/>
  <c r="AA37" i="57"/>
  <c r="AA38" i="57"/>
  <c r="AA27" i="57"/>
  <c r="AA26" i="57"/>
  <c r="AA29" i="57"/>
  <c r="AA32" i="57"/>
  <c r="O19" i="57"/>
  <c r="Q31" i="58"/>
  <c r="O31" i="57" s="1"/>
  <c r="Z31" i="57" s="1"/>
  <c r="G40" i="58"/>
  <c r="Q40" i="58" s="1"/>
  <c r="O40" i="57" s="1"/>
  <c r="P19" i="57"/>
  <c r="X31" i="57"/>
  <c r="X32" i="57"/>
  <c r="AA33" i="57"/>
  <c r="AA34" i="57"/>
  <c r="X37" i="57"/>
  <c r="X38" i="57"/>
  <c r="X25" i="57"/>
  <c r="AA25" i="57"/>
  <c r="AA30" i="57"/>
  <c r="J32" i="57"/>
  <c r="R40" i="56"/>
  <c r="T40" i="57" l="1"/>
  <c r="AA36" i="57"/>
  <c r="AB34" i="57"/>
  <c r="AA35" i="57"/>
  <c r="Z40" i="57"/>
  <c r="W40" i="57"/>
  <c r="K36" i="57"/>
  <c r="U36" i="57" s="1"/>
  <c r="U35" i="57"/>
  <c r="X35" i="57" s="1"/>
  <c r="AB30" i="57"/>
  <c r="AB28" i="57"/>
  <c r="AB27" i="57"/>
  <c r="Y40" i="57"/>
  <c r="AB26" i="57"/>
  <c r="V40" i="57"/>
  <c r="AB32" i="57"/>
  <c r="AA31" i="57"/>
  <c r="AB29" i="57"/>
  <c r="AB37" i="57"/>
  <c r="AB33" i="57"/>
  <c r="N20" i="58"/>
  <c r="AB38" i="57"/>
  <c r="AB25" i="57"/>
  <c r="A39" i="56"/>
  <c r="T39" i="55"/>
  <c r="S39" i="55"/>
  <c r="R39" i="55"/>
  <c r="Q39" i="55"/>
  <c r="P39" i="55"/>
  <c r="I39" i="55"/>
  <c r="F39" i="55"/>
  <c r="R39" i="56"/>
  <c r="Q39" i="56"/>
  <c r="O39" i="55" s="1"/>
  <c r="Z39" i="55" s="1"/>
  <c r="P39" i="56"/>
  <c r="N39" i="55" s="1"/>
  <c r="Y39" i="55" s="1"/>
  <c r="O39" i="56"/>
  <c r="M39" i="55" s="1"/>
  <c r="W39" i="55" s="1"/>
  <c r="N39" i="56"/>
  <c r="L39" i="55" s="1"/>
  <c r="V39" i="55" s="1"/>
  <c r="AA39" i="55" l="1"/>
  <c r="AA40" i="57"/>
  <c r="AB35" i="57"/>
  <c r="U40" i="57"/>
  <c r="X36" i="57"/>
  <c r="AB36" i="57" s="1"/>
  <c r="AB31" i="57"/>
  <c r="M39" i="56"/>
  <c r="K39" i="55" s="1"/>
  <c r="U39" i="55" s="1"/>
  <c r="X39" i="55" s="1"/>
  <c r="AC39" i="55"/>
  <c r="J39" i="55"/>
  <c r="T35" i="55"/>
  <c r="S35" i="55"/>
  <c r="R35" i="55"/>
  <c r="Q35" i="55"/>
  <c r="P35" i="55"/>
  <c r="I35" i="55"/>
  <c r="F35" i="55"/>
  <c r="AB39" i="55" l="1"/>
  <c r="J35" i="55"/>
  <c r="X40" i="57"/>
  <c r="AB40" i="57" s="1"/>
  <c r="A35" i="56"/>
  <c r="S35" i="56"/>
  <c r="R35" i="56"/>
  <c r="AC35" i="55" s="1"/>
  <c r="Q35" i="56"/>
  <c r="O35" i="55" s="1"/>
  <c r="Z35" i="55" s="1"/>
  <c r="P35" i="56"/>
  <c r="N35" i="55" s="1"/>
  <c r="Y35" i="55" s="1"/>
  <c r="AA35" i="55" s="1"/>
  <c r="O35" i="56"/>
  <c r="M35" i="55" s="1"/>
  <c r="W35" i="55" s="1"/>
  <c r="N35" i="56"/>
  <c r="M35" i="56" l="1"/>
  <c r="K35" i="55" s="1"/>
  <c r="U35" i="55" s="1"/>
  <c r="L35" i="55"/>
  <c r="V35" i="55" s="1"/>
  <c r="X35" i="55" l="1"/>
  <c r="AB35" i="55" s="1"/>
  <c r="A33" i="56"/>
  <c r="T41" i="55" l="1"/>
  <c r="S41" i="55"/>
  <c r="R41" i="55"/>
  <c r="Q41" i="55"/>
  <c r="P41" i="55"/>
  <c r="T40" i="55"/>
  <c r="S40" i="55"/>
  <c r="R40" i="55"/>
  <c r="Q40" i="55"/>
  <c r="P40" i="55"/>
  <c r="T38" i="55"/>
  <c r="S38" i="55"/>
  <c r="R38" i="55"/>
  <c r="Q38" i="55"/>
  <c r="P38" i="55"/>
  <c r="T37" i="55"/>
  <c r="S37" i="55"/>
  <c r="R37" i="55"/>
  <c r="Q37" i="55"/>
  <c r="P37" i="55"/>
  <c r="T36" i="55"/>
  <c r="S36" i="55"/>
  <c r="R36" i="55"/>
  <c r="Q36" i="55"/>
  <c r="P36" i="55"/>
  <c r="T34" i="55"/>
  <c r="S34" i="55"/>
  <c r="R34" i="55"/>
  <c r="Q34" i="55"/>
  <c r="P34" i="55"/>
  <c r="T33" i="55"/>
  <c r="S33" i="55"/>
  <c r="R33" i="55"/>
  <c r="Q33" i="55"/>
  <c r="P33" i="55"/>
  <c r="T32" i="55"/>
  <c r="S32" i="55"/>
  <c r="R32" i="55"/>
  <c r="Q32" i="55"/>
  <c r="P32" i="55"/>
  <c r="S31" i="55"/>
  <c r="R31" i="55"/>
  <c r="Q31" i="55"/>
  <c r="P31" i="55"/>
  <c r="T30" i="55"/>
  <c r="S30" i="55"/>
  <c r="R30" i="55"/>
  <c r="Q30" i="55"/>
  <c r="P30" i="55"/>
  <c r="T29" i="55"/>
  <c r="S29" i="55"/>
  <c r="R29" i="55"/>
  <c r="Q29" i="55"/>
  <c r="P29" i="55"/>
  <c r="T28" i="55"/>
  <c r="S28" i="55"/>
  <c r="R28" i="55"/>
  <c r="Q28" i="55"/>
  <c r="P28" i="55"/>
  <c r="T27" i="55"/>
  <c r="S27" i="55"/>
  <c r="R27" i="55"/>
  <c r="Q27" i="55"/>
  <c r="P27" i="55"/>
  <c r="T26" i="55"/>
  <c r="S26" i="55"/>
  <c r="R26" i="55"/>
  <c r="Q26" i="55"/>
  <c r="P26" i="55"/>
  <c r="T25" i="55"/>
  <c r="S25" i="55"/>
  <c r="Q25" i="55"/>
  <c r="R25" i="55"/>
  <c r="P25" i="55"/>
  <c r="G31" i="56"/>
  <c r="G42" i="56" s="1"/>
  <c r="N38" i="56"/>
  <c r="L38" i="55" s="1"/>
  <c r="V38" i="55" s="1"/>
  <c r="N18" i="55"/>
  <c r="M18" i="55"/>
  <c r="L18" i="55"/>
  <c r="K18" i="55"/>
  <c r="N17" i="55"/>
  <c r="M17" i="55"/>
  <c r="L17" i="55"/>
  <c r="K17" i="55"/>
  <c r="N16" i="55"/>
  <c r="M16" i="55"/>
  <c r="L16" i="55"/>
  <c r="K16" i="55"/>
  <c r="N15" i="55"/>
  <c r="M15" i="55"/>
  <c r="L15" i="55"/>
  <c r="K15" i="55"/>
  <c r="N14" i="55"/>
  <c r="M14" i="55"/>
  <c r="L14" i="55"/>
  <c r="K14" i="55"/>
  <c r="N13" i="55"/>
  <c r="M13" i="55"/>
  <c r="L13" i="55"/>
  <c r="K13" i="55"/>
  <c r="N12" i="55"/>
  <c r="M12" i="55"/>
  <c r="L12" i="55"/>
  <c r="K12" i="55"/>
  <c r="N11" i="55"/>
  <c r="M11" i="55"/>
  <c r="L11" i="55"/>
  <c r="K11" i="55"/>
  <c r="N10" i="55"/>
  <c r="M10" i="55"/>
  <c r="L10" i="55"/>
  <c r="K10" i="55"/>
  <c r="N9" i="55"/>
  <c r="M9" i="55"/>
  <c r="L9" i="55"/>
  <c r="K9" i="55"/>
  <c r="N8" i="55"/>
  <c r="M8" i="55"/>
  <c r="L8" i="55"/>
  <c r="K8" i="55"/>
  <c r="N7" i="55"/>
  <c r="M7" i="55"/>
  <c r="L7" i="55"/>
  <c r="K7" i="55"/>
  <c r="N6" i="55"/>
  <c r="M6" i="55"/>
  <c r="L6" i="55"/>
  <c r="K6" i="55"/>
  <c r="N5" i="55"/>
  <c r="M5" i="55"/>
  <c r="L5" i="55"/>
  <c r="K5" i="55"/>
  <c r="A40" i="56"/>
  <c r="A38" i="56"/>
  <c r="A37" i="56"/>
  <c r="A36" i="56"/>
  <c r="A34" i="56"/>
  <c r="A32" i="56"/>
  <c r="A31" i="56"/>
  <c r="A30" i="56"/>
  <c r="A29" i="56"/>
  <c r="A28" i="56"/>
  <c r="A27" i="56"/>
  <c r="A25" i="56"/>
  <c r="A26" i="56"/>
  <c r="L42" i="56"/>
  <c r="K42" i="56"/>
  <c r="J42" i="56"/>
  <c r="I42" i="56"/>
  <c r="H42" i="56"/>
  <c r="F42" i="56"/>
  <c r="E42" i="56"/>
  <c r="D42" i="56"/>
  <c r="C42" i="56"/>
  <c r="Q41" i="56"/>
  <c r="O41" i="55" s="1"/>
  <c r="Z41" i="55" s="1"/>
  <c r="P41" i="56"/>
  <c r="N41" i="55" s="1"/>
  <c r="Y41" i="55" s="1"/>
  <c r="O41" i="56"/>
  <c r="M41" i="55" s="1"/>
  <c r="W41" i="55" s="1"/>
  <c r="N41" i="56"/>
  <c r="L41" i="55" s="1"/>
  <c r="V41" i="55" s="1"/>
  <c r="M41" i="56"/>
  <c r="K41" i="55" s="1"/>
  <c r="U41" i="55" s="1"/>
  <c r="S40" i="56"/>
  <c r="Q40" i="56"/>
  <c r="O40" i="55" s="1"/>
  <c r="Z40" i="55" s="1"/>
  <c r="P40" i="56"/>
  <c r="N40" i="55" s="1"/>
  <c r="Y40" i="55" s="1"/>
  <c r="O40" i="56"/>
  <c r="M40" i="55" s="1"/>
  <c r="W40" i="55" s="1"/>
  <c r="N40" i="56"/>
  <c r="L40" i="55" s="1"/>
  <c r="V40" i="55" s="1"/>
  <c r="M40" i="56"/>
  <c r="K40" i="55" s="1"/>
  <c r="U40" i="55" s="1"/>
  <c r="S38" i="56"/>
  <c r="R38" i="56"/>
  <c r="Q38" i="56"/>
  <c r="O38" i="55" s="1"/>
  <c r="Z38" i="55" s="1"/>
  <c r="P38" i="56"/>
  <c r="N38" i="55" s="1"/>
  <c r="Y38" i="55" s="1"/>
  <c r="O38" i="56"/>
  <c r="M38" i="55" s="1"/>
  <c r="W38" i="55" s="1"/>
  <c r="M38" i="56"/>
  <c r="K38" i="55" s="1"/>
  <c r="U38" i="55" s="1"/>
  <c r="R37" i="56"/>
  <c r="Q37" i="56"/>
  <c r="O37" i="55" s="1"/>
  <c r="Z37" i="55" s="1"/>
  <c r="P37" i="56"/>
  <c r="N37" i="55" s="1"/>
  <c r="Y37" i="55" s="1"/>
  <c r="O37" i="56"/>
  <c r="M37" i="55" s="1"/>
  <c r="W37" i="55" s="1"/>
  <c r="N37" i="56"/>
  <c r="M37" i="56" s="1"/>
  <c r="K37" i="55" s="1"/>
  <c r="U37" i="55" s="1"/>
  <c r="S36" i="56"/>
  <c r="R36" i="56"/>
  <c r="Q36" i="56"/>
  <c r="O36" i="55" s="1"/>
  <c r="Z36" i="55" s="1"/>
  <c r="P36" i="56"/>
  <c r="N36" i="55" s="1"/>
  <c r="Y36" i="55" s="1"/>
  <c r="O36" i="56"/>
  <c r="M36" i="55" s="1"/>
  <c r="W36" i="55" s="1"/>
  <c r="N36" i="56"/>
  <c r="M36" i="56" s="1"/>
  <c r="K36" i="55" s="1"/>
  <c r="U36" i="55" s="1"/>
  <c r="S34" i="56"/>
  <c r="R34" i="56"/>
  <c r="Q34" i="56"/>
  <c r="O34" i="55" s="1"/>
  <c r="Z34" i="55" s="1"/>
  <c r="P34" i="56"/>
  <c r="N34" i="55" s="1"/>
  <c r="Y34" i="55" s="1"/>
  <c r="O34" i="56"/>
  <c r="M34" i="55" s="1"/>
  <c r="W34" i="55" s="1"/>
  <c r="N34" i="56"/>
  <c r="L34" i="55" s="1"/>
  <c r="V34" i="55" s="1"/>
  <c r="M34" i="56"/>
  <c r="K34" i="55" s="1"/>
  <c r="U34" i="55" s="1"/>
  <c r="S33" i="56"/>
  <c r="R33" i="56"/>
  <c r="Q33" i="56"/>
  <c r="O33" i="55" s="1"/>
  <c r="Z33" i="55" s="1"/>
  <c r="P33" i="56"/>
  <c r="N33" i="55" s="1"/>
  <c r="Y33" i="55" s="1"/>
  <c r="O33" i="56"/>
  <c r="M33" i="55" s="1"/>
  <c r="W33" i="55" s="1"/>
  <c r="N33" i="56"/>
  <c r="L33" i="55" s="1"/>
  <c r="V33" i="55" s="1"/>
  <c r="M33" i="56"/>
  <c r="K33" i="55" s="1"/>
  <c r="S32" i="56"/>
  <c r="Q32" i="56"/>
  <c r="O32" i="55" s="1"/>
  <c r="Z32" i="55" s="1"/>
  <c r="P32" i="56"/>
  <c r="N32" i="55" s="1"/>
  <c r="Y32" i="55" s="1"/>
  <c r="O32" i="56"/>
  <c r="M32" i="55" s="1"/>
  <c r="W32" i="55" s="1"/>
  <c r="N32" i="56"/>
  <c r="L32" i="55" s="1"/>
  <c r="V32" i="55" s="1"/>
  <c r="M32" i="56"/>
  <c r="K32" i="55" s="1"/>
  <c r="P31" i="56"/>
  <c r="N31" i="55" s="1"/>
  <c r="Y31" i="55" s="1"/>
  <c r="O31" i="56"/>
  <c r="M31" i="55" s="1"/>
  <c r="W31" i="55" s="1"/>
  <c r="N31" i="56"/>
  <c r="L31" i="55" s="1"/>
  <c r="V31" i="55" s="1"/>
  <c r="M31" i="56"/>
  <c r="K31" i="55" s="1"/>
  <c r="U31" i="55" s="1"/>
  <c r="Q30" i="56"/>
  <c r="O30" i="55" s="1"/>
  <c r="Z30" i="55" s="1"/>
  <c r="P30" i="56"/>
  <c r="N30" i="55" s="1"/>
  <c r="Y30" i="55" s="1"/>
  <c r="O30" i="56"/>
  <c r="M30" i="55" s="1"/>
  <c r="W30" i="55" s="1"/>
  <c r="N30" i="56"/>
  <c r="L30" i="55" s="1"/>
  <c r="V30" i="55" s="1"/>
  <c r="M30" i="56"/>
  <c r="K30" i="55" s="1"/>
  <c r="U30" i="55" s="1"/>
  <c r="Q29" i="56"/>
  <c r="O29" i="55" s="1"/>
  <c r="Z29" i="55" s="1"/>
  <c r="P29" i="56"/>
  <c r="N29" i="55" s="1"/>
  <c r="Y29" i="55" s="1"/>
  <c r="O29" i="56"/>
  <c r="M29" i="55" s="1"/>
  <c r="W29" i="55" s="1"/>
  <c r="N29" i="56"/>
  <c r="L29" i="55" s="1"/>
  <c r="V29" i="55" s="1"/>
  <c r="M29" i="56"/>
  <c r="K29" i="55" s="1"/>
  <c r="U29" i="55" s="1"/>
  <c r="Q28" i="56"/>
  <c r="O28" i="55" s="1"/>
  <c r="Z28" i="55" s="1"/>
  <c r="P28" i="56"/>
  <c r="N28" i="55" s="1"/>
  <c r="Y28" i="55" s="1"/>
  <c r="O28" i="56"/>
  <c r="M28" i="55" s="1"/>
  <c r="W28" i="55" s="1"/>
  <c r="N28" i="56"/>
  <c r="L28" i="55" s="1"/>
  <c r="V28" i="55" s="1"/>
  <c r="M28" i="56"/>
  <c r="K28" i="55" s="1"/>
  <c r="U28" i="55" s="1"/>
  <c r="Q27" i="56"/>
  <c r="O27" i="55" s="1"/>
  <c r="Z27" i="55" s="1"/>
  <c r="P27" i="56"/>
  <c r="N27" i="55" s="1"/>
  <c r="Y27" i="55" s="1"/>
  <c r="O27" i="56"/>
  <c r="M27" i="55" s="1"/>
  <c r="W27" i="55" s="1"/>
  <c r="N27" i="56"/>
  <c r="L27" i="55" s="1"/>
  <c r="V27" i="55" s="1"/>
  <c r="M27" i="56"/>
  <c r="K27" i="55" s="1"/>
  <c r="U27" i="55" s="1"/>
  <c r="Q26" i="56"/>
  <c r="O26" i="55" s="1"/>
  <c r="Z26" i="55" s="1"/>
  <c r="P26" i="56"/>
  <c r="N26" i="55" s="1"/>
  <c r="Y26" i="55" s="1"/>
  <c r="O26" i="56"/>
  <c r="M26" i="55" s="1"/>
  <c r="W26" i="55" s="1"/>
  <c r="N26" i="56"/>
  <c r="L26" i="55" s="1"/>
  <c r="V26" i="55" s="1"/>
  <c r="M26" i="56"/>
  <c r="K26" i="55" s="1"/>
  <c r="U26" i="55" s="1"/>
  <c r="Q25" i="56"/>
  <c r="O25" i="55" s="1"/>
  <c r="Z25" i="55" s="1"/>
  <c r="P25" i="56"/>
  <c r="N25" i="55" s="1"/>
  <c r="Y25" i="55" s="1"/>
  <c r="O25" i="56"/>
  <c r="M25" i="55" s="1"/>
  <c r="W25" i="55" s="1"/>
  <c r="N25" i="56"/>
  <c r="L25" i="55" s="1"/>
  <c r="V25" i="55" s="1"/>
  <c r="M25" i="56"/>
  <c r="K25" i="55" s="1"/>
  <c r="U25" i="55" s="1"/>
  <c r="J19" i="56"/>
  <c r="I19" i="56"/>
  <c r="H19" i="56"/>
  <c r="G19" i="56"/>
  <c r="F19" i="56"/>
  <c r="E19" i="56"/>
  <c r="D19" i="56"/>
  <c r="C19" i="56"/>
  <c r="N18" i="56"/>
  <c r="J18" i="55" s="1"/>
  <c r="R18" i="55" s="1"/>
  <c r="M18" i="56"/>
  <c r="I18" i="55" s="1"/>
  <c r="Q18" i="55" s="1"/>
  <c r="L18" i="56"/>
  <c r="H18" i="55" s="1"/>
  <c r="P18" i="55" s="1"/>
  <c r="K18" i="56"/>
  <c r="G18" i="55" s="1"/>
  <c r="O18" i="55" s="1"/>
  <c r="N17" i="56"/>
  <c r="J17" i="55" s="1"/>
  <c r="R17" i="55" s="1"/>
  <c r="M17" i="56"/>
  <c r="I17" i="55" s="1"/>
  <c r="Q17" i="55" s="1"/>
  <c r="L17" i="56"/>
  <c r="H17" i="55" s="1"/>
  <c r="P17" i="55" s="1"/>
  <c r="K17" i="56"/>
  <c r="G17" i="55" s="1"/>
  <c r="O17" i="55" s="1"/>
  <c r="N16" i="56"/>
  <c r="J16" i="55" s="1"/>
  <c r="R16" i="55" s="1"/>
  <c r="M16" i="56"/>
  <c r="I16" i="55" s="1"/>
  <c r="Q16" i="55" s="1"/>
  <c r="L16" i="56"/>
  <c r="H16" i="55" s="1"/>
  <c r="P16" i="55" s="1"/>
  <c r="K16" i="56"/>
  <c r="G16" i="55" s="1"/>
  <c r="O16" i="55" s="1"/>
  <c r="N15" i="56"/>
  <c r="J15" i="55" s="1"/>
  <c r="R15" i="55" s="1"/>
  <c r="M15" i="56"/>
  <c r="I15" i="55" s="1"/>
  <c r="Q15" i="55" s="1"/>
  <c r="L15" i="56"/>
  <c r="H15" i="55" s="1"/>
  <c r="P15" i="55" s="1"/>
  <c r="K15" i="56"/>
  <c r="G15" i="55" s="1"/>
  <c r="O15" i="55" s="1"/>
  <c r="N14" i="56"/>
  <c r="J14" i="55" s="1"/>
  <c r="R14" i="55" s="1"/>
  <c r="M14" i="56"/>
  <c r="I14" i="55" s="1"/>
  <c r="Q14" i="55" s="1"/>
  <c r="L14" i="56"/>
  <c r="H14" i="55" s="1"/>
  <c r="P14" i="55" s="1"/>
  <c r="K14" i="56"/>
  <c r="G14" i="55" s="1"/>
  <c r="O14" i="55" s="1"/>
  <c r="N13" i="56"/>
  <c r="J13" i="55" s="1"/>
  <c r="R13" i="55" s="1"/>
  <c r="M13" i="56"/>
  <c r="I13" i="55" s="1"/>
  <c r="Q13" i="55" s="1"/>
  <c r="L13" i="56"/>
  <c r="H13" i="55" s="1"/>
  <c r="P13" i="55" s="1"/>
  <c r="K13" i="56"/>
  <c r="G13" i="55" s="1"/>
  <c r="O13" i="55" s="1"/>
  <c r="N12" i="56"/>
  <c r="J12" i="55" s="1"/>
  <c r="R12" i="55" s="1"/>
  <c r="M12" i="56"/>
  <c r="I12" i="55" s="1"/>
  <c r="Q12" i="55" s="1"/>
  <c r="L12" i="56"/>
  <c r="H12" i="55" s="1"/>
  <c r="P12" i="55" s="1"/>
  <c r="K12" i="56"/>
  <c r="G12" i="55" s="1"/>
  <c r="O12" i="55" s="1"/>
  <c r="N11" i="56"/>
  <c r="J11" i="55" s="1"/>
  <c r="R11" i="55" s="1"/>
  <c r="M11" i="56"/>
  <c r="I11" i="55" s="1"/>
  <c r="Q11" i="55" s="1"/>
  <c r="L11" i="56"/>
  <c r="H11" i="55" s="1"/>
  <c r="P11" i="55" s="1"/>
  <c r="K11" i="56"/>
  <c r="G11" i="55" s="1"/>
  <c r="O11" i="55" s="1"/>
  <c r="N10" i="56"/>
  <c r="J10" i="55" s="1"/>
  <c r="R10" i="55" s="1"/>
  <c r="M10" i="56"/>
  <c r="I10" i="55" s="1"/>
  <c r="Q10" i="55" s="1"/>
  <c r="L10" i="56"/>
  <c r="H10" i="55" s="1"/>
  <c r="P10" i="55" s="1"/>
  <c r="K10" i="56"/>
  <c r="G10" i="55" s="1"/>
  <c r="O10" i="55" s="1"/>
  <c r="N9" i="56"/>
  <c r="J9" i="55" s="1"/>
  <c r="R9" i="55" s="1"/>
  <c r="M9" i="56"/>
  <c r="I9" i="55" s="1"/>
  <c r="Q9" i="55" s="1"/>
  <c r="L9" i="56"/>
  <c r="H9" i="55" s="1"/>
  <c r="P9" i="55" s="1"/>
  <c r="K9" i="56"/>
  <c r="G9" i="55" s="1"/>
  <c r="O9" i="55" s="1"/>
  <c r="N8" i="56"/>
  <c r="J8" i="55" s="1"/>
  <c r="R8" i="55" s="1"/>
  <c r="M8" i="56"/>
  <c r="I8" i="55" s="1"/>
  <c r="Q8" i="55" s="1"/>
  <c r="L8" i="56"/>
  <c r="H8" i="55" s="1"/>
  <c r="P8" i="55" s="1"/>
  <c r="K8" i="56"/>
  <c r="G8" i="55" s="1"/>
  <c r="O8" i="55" s="1"/>
  <c r="N7" i="56"/>
  <c r="J7" i="55" s="1"/>
  <c r="R7" i="55" s="1"/>
  <c r="M7" i="56"/>
  <c r="I7" i="55" s="1"/>
  <c r="Q7" i="55" s="1"/>
  <c r="L7" i="56"/>
  <c r="H7" i="55" s="1"/>
  <c r="P7" i="55" s="1"/>
  <c r="K7" i="56"/>
  <c r="G7" i="55" s="1"/>
  <c r="O7" i="55" s="1"/>
  <c r="N6" i="56"/>
  <c r="J6" i="55" s="1"/>
  <c r="R6" i="55" s="1"/>
  <c r="M6" i="56"/>
  <c r="I6" i="55" s="1"/>
  <c r="Q6" i="55" s="1"/>
  <c r="L6" i="56"/>
  <c r="H6" i="55" s="1"/>
  <c r="P6" i="55" s="1"/>
  <c r="K6" i="56"/>
  <c r="G6" i="55" s="1"/>
  <c r="O6" i="55" s="1"/>
  <c r="N5" i="56"/>
  <c r="J5" i="55" s="1"/>
  <c r="R5" i="55" s="1"/>
  <c r="M5" i="56"/>
  <c r="I5" i="55" s="1"/>
  <c r="Q5" i="55" s="1"/>
  <c r="L5" i="56"/>
  <c r="H5" i="55" s="1"/>
  <c r="P5" i="55" s="1"/>
  <c r="K5" i="56"/>
  <c r="G5" i="55" s="1"/>
  <c r="O5" i="55" s="1"/>
  <c r="H42" i="55"/>
  <c r="G42" i="55"/>
  <c r="E42" i="55"/>
  <c r="D42" i="55"/>
  <c r="C42" i="55"/>
  <c r="AB41" i="55"/>
  <c r="J41" i="55"/>
  <c r="I40" i="55"/>
  <c r="F40" i="55"/>
  <c r="AC40" i="55" s="1"/>
  <c r="I38" i="55"/>
  <c r="F38" i="55"/>
  <c r="I37" i="55"/>
  <c r="F37" i="55"/>
  <c r="I36" i="55"/>
  <c r="F36" i="55"/>
  <c r="I34" i="55"/>
  <c r="AD34" i="55" s="1"/>
  <c r="F34" i="55"/>
  <c r="I33" i="55"/>
  <c r="F33" i="55"/>
  <c r="I32" i="55"/>
  <c r="F32" i="55"/>
  <c r="I31" i="55"/>
  <c r="I30" i="55"/>
  <c r="J30" i="55" s="1"/>
  <c r="I29" i="55"/>
  <c r="J29" i="55" s="1"/>
  <c r="I28" i="55"/>
  <c r="J28" i="55" s="1"/>
  <c r="I27" i="55"/>
  <c r="J27" i="55" s="1"/>
  <c r="I26" i="55"/>
  <c r="J26" i="55" s="1"/>
  <c r="AD24" i="55"/>
  <c r="AC24" i="55"/>
  <c r="F19" i="55"/>
  <c r="E19" i="55"/>
  <c r="D19" i="55"/>
  <c r="C19" i="55"/>
  <c r="Q39" i="53"/>
  <c r="O39" i="54" s="1"/>
  <c r="Z39" i="54" s="1"/>
  <c r="P39" i="53"/>
  <c r="N39" i="54" s="1"/>
  <c r="Y39" i="54" s="1"/>
  <c r="O39" i="53"/>
  <c r="N39" i="53"/>
  <c r="L39" i="54" s="1"/>
  <c r="V39" i="54" s="1"/>
  <c r="M39" i="53"/>
  <c r="K39" i="54" s="1"/>
  <c r="U39" i="54" s="1"/>
  <c r="A39" i="53"/>
  <c r="AG24" i="54"/>
  <c r="AF24" i="54"/>
  <c r="S39" i="53"/>
  <c r="S38" i="53"/>
  <c r="S36" i="53"/>
  <c r="S35" i="53"/>
  <c r="A38" i="53"/>
  <c r="A37" i="53"/>
  <c r="A36" i="53"/>
  <c r="A35" i="53"/>
  <c r="A34" i="53"/>
  <c r="A33" i="53"/>
  <c r="A32" i="53"/>
  <c r="A31" i="53"/>
  <c r="A28" i="53"/>
  <c r="A27" i="53"/>
  <c r="A26" i="53"/>
  <c r="R38" i="53"/>
  <c r="R37" i="53"/>
  <c r="R36" i="53"/>
  <c r="R35" i="53"/>
  <c r="C76" i="54"/>
  <c r="T37" i="54"/>
  <c r="S37" i="54"/>
  <c r="R37" i="54"/>
  <c r="Q37" i="54"/>
  <c r="P37" i="54"/>
  <c r="Q37" i="53"/>
  <c r="O37" i="54" s="1"/>
  <c r="Z37" i="54" s="1"/>
  <c r="P37" i="53"/>
  <c r="N37" i="54" s="1"/>
  <c r="Y37" i="54" s="1"/>
  <c r="O37" i="53"/>
  <c r="M37" i="54" s="1"/>
  <c r="W37" i="54" s="1"/>
  <c r="N37" i="53"/>
  <c r="M38" i="53"/>
  <c r="K38" i="54" s="1"/>
  <c r="U38" i="54" s="1"/>
  <c r="O38" i="53"/>
  <c r="N38" i="53" s="1"/>
  <c r="P38" i="53"/>
  <c r="Q38" i="53"/>
  <c r="O38" i="54" s="1"/>
  <c r="Z38" i="54" s="1"/>
  <c r="I37" i="54"/>
  <c r="F37" i="54"/>
  <c r="Z33" i="54"/>
  <c r="Y33" i="54"/>
  <c r="I33" i="54"/>
  <c r="T33" i="54"/>
  <c r="R33" i="54"/>
  <c r="Q33" i="54"/>
  <c r="P33" i="54"/>
  <c r="R34" i="53"/>
  <c r="S33" i="53"/>
  <c r="R33" i="53"/>
  <c r="Q33" i="53"/>
  <c r="O33" i="54" s="1"/>
  <c r="P33" i="53"/>
  <c r="N33" i="54" s="1"/>
  <c r="O33" i="53"/>
  <c r="M33" i="54" s="1"/>
  <c r="N33" i="53"/>
  <c r="L33" i="54" s="1"/>
  <c r="U33" i="54" s="1"/>
  <c r="M33" i="53"/>
  <c r="K33" i="54" s="1"/>
  <c r="F33" i="54"/>
  <c r="I51" i="54"/>
  <c r="S32" i="53"/>
  <c r="R32" i="53"/>
  <c r="AB40" i="54"/>
  <c r="I31" i="54"/>
  <c r="J31" i="54" s="1"/>
  <c r="I30" i="54"/>
  <c r="J30" i="54" s="1"/>
  <c r="J40" i="54"/>
  <c r="I26" i="54"/>
  <c r="J26" i="54" s="1"/>
  <c r="F32" i="54"/>
  <c r="L41" i="53"/>
  <c r="K41" i="53"/>
  <c r="J41" i="53"/>
  <c r="I41" i="53"/>
  <c r="H41" i="53"/>
  <c r="G41" i="53"/>
  <c r="F41" i="53"/>
  <c r="E41" i="53"/>
  <c r="D41" i="53"/>
  <c r="C41" i="53"/>
  <c r="M27" i="53"/>
  <c r="K27" i="54" s="1"/>
  <c r="U27" i="54" s="1"/>
  <c r="N27" i="53"/>
  <c r="L27" i="54" s="1"/>
  <c r="V27" i="54" s="1"/>
  <c r="O27" i="53"/>
  <c r="M27" i="54" s="1"/>
  <c r="W27" i="54" s="1"/>
  <c r="P27" i="53"/>
  <c r="N27" i="54" s="1"/>
  <c r="Y27" i="54" s="1"/>
  <c r="AA27" i="54" s="1"/>
  <c r="Q27" i="53"/>
  <c r="O27" i="54" s="1"/>
  <c r="Z27" i="54" s="1"/>
  <c r="M28" i="53"/>
  <c r="K28" i="54" s="1"/>
  <c r="U28" i="54" s="1"/>
  <c r="N28" i="53"/>
  <c r="L28" i="54" s="1"/>
  <c r="V28" i="54" s="1"/>
  <c r="O28" i="53"/>
  <c r="M28" i="54" s="1"/>
  <c r="W28" i="54" s="1"/>
  <c r="P28" i="53"/>
  <c r="N28" i="54" s="1"/>
  <c r="Y28" i="54" s="1"/>
  <c r="Q28" i="53"/>
  <c r="O28" i="54" s="1"/>
  <c r="Z28" i="54" s="1"/>
  <c r="M29" i="53"/>
  <c r="K29" i="54" s="1"/>
  <c r="U29" i="54" s="1"/>
  <c r="N29" i="53"/>
  <c r="L29" i="54" s="1"/>
  <c r="V29" i="54" s="1"/>
  <c r="O29" i="53"/>
  <c r="M29" i="54" s="1"/>
  <c r="W29" i="54" s="1"/>
  <c r="P29" i="53"/>
  <c r="N29" i="54" s="1"/>
  <c r="Y29" i="54" s="1"/>
  <c r="Q29" i="53"/>
  <c r="O29" i="54" s="1"/>
  <c r="Z29" i="54" s="1"/>
  <c r="M30" i="53"/>
  <c r="K30" i="54" s="1"/>
  <c r="U30" i="54" s="1"/>
  <c r="N30" i="53"/>
  <c r="L30" i="54"/>
  <c r="V30" i="54" s="1"/>
  <c r="O30" i="53"/>
  <c r="M30" i="54" s="1"/>
  <c r="W30" i="54" s="1"/>
  <c r="P30" i="53"/>
  <c r="N30" i="54" s="1"/>
  <c r="Y30" i="54" s="1"/>
  <c r="Q30" i="53"/>
  <c r="O30" i="54" s="1"/>
  <c r="Z30" i="54" s="1"/>
  <c r="M31" i="53"/>
  <c r="K31" i="54" s="1"/>
  <c r="U31" i="54" s="1"/>
  <c r="N31" i="53"/>
  <c r="L31" i="54" s="1"/>
  <c r="V31" i="54" s="1"/>
  <c r="O31" i="53"/>
  <c r="M31" i="54" s="1"/>
  <c r="W31" i="54" s="1"/>
  <c r="P31" i="53"/>
  <c r="N31" i="54" s="1"/>
  <c r="Y31" i="54" s="1"/>
  <c r="Q31" i="53"/>
  <c r="O31" i="54" s="1"/>
  <c r="Z31" i="54" s="1"/>
  <c r="M32" i="53"/>
  <c r="K32" i="54" s="1"/>
  <c r="N32" i="53"/>
  <c r="L32" i="54" s="1"/>
  <c r="V32" i="54" s="1"/>
  <c r="O32" i="53"/>
  <c r="M32" i="54" s="1"/>
  <c r="P32" i="53"/>
  <c r="N32" i="54" s="1"/>
  <c r="Y32" i="54" s="1"/>
  <c r="Q32" i="53"/>
  <c r="O32" i="54" s="1"/>
  <c r="M34" i="53"/>
  <c r="K34" i="54" s="1"/>
  <c r="U34" i="54" s="1"/>
  <c r="N34" i="53"/>
  <c r="L34" i="54" s="1"/>
  <c r="V34" i="54" s="1"/>
  <c r="O34" i="53"/>
  <c r="M34" i="54" s="1"/>
  <c r="W34" i="54" s="1"/>
  <c r="P34" i="53"/>
  <c r="N34" i="54" s="1"/>
  <c r="Y34" i="54" s="1"/>
  <c r="Q34" i="53"/>
  <c r="O34" i="54" s="1"/>
  <c r="Z34" i="54" s="1"/>
  <c r="M35" i="53"/>
  <c r="K35" i="54" s="1"/>
  <c r="U35" i="54" s="1"/>
  <c r="N35" i="53"/>
  <c r="L35" i="54" s="1"/>
  <c r="V35" i="54" s="1"/>
  <c r="O35" i="53"/>
  <c r="M35" i="54" s="1"/>
  <c r="W35" i="54" s="1"/>
  <c r="P35" i="53"/>
  <c r="N35" i="54" s="1"/>
  <c r="Y35" i="54" s="1"/>
  <c r="Q35" i="53"/>
  <c r="O35" i="54" s="1"/>
  <c r="Z35" i="54" s="1"/>
  <c r="M26" i="53"/>
  <c r="K26" i="54" s="1"/>
  <c r="U26" i="54" s="1"/>
  <c r="N26" i="53"/>
  <c r="L26" i="54" s="1"/>
  <c r="V26" i="54" s="1"/>
  <c r="O26" i="53"/>
  <c r="M26" i="54" s="1"/>
  <c r="W26" i="54" s="1"/>
  <c r="P26" i="53"/>
  <c r="N26" i="54" s="1"/>
  <c r="Y26" i="54" s="1"/>
  <c r="AA26" i="54" s="1"/>
  <c r="Q26" i="53"/>
  <c r="O26" i="54" s="1"/>
  <c r="Z26" i="54" s="1"/>
  <c r="K14" i="53"/>
  <c r="G14" i="54" s="1"/>
  <c r="O14" i="54" s="1"/>
  <c r="L14" i="53"/>
  <c r="H14" i="54" s="1"/>
  <c r="P14" i="54" s="1"/>
  <c r="M14" i="53"/>
  <c r="I14" i="54" s="1"/>
  <c r="Q14" i="54" s="1"/>
  <c r="N14" i="53"/>
  <c r="J14" i="54"/>
  <c r="R14" i="54" s="1"/>
  <c r="K15" i="53"/>
  <c r="G15" i="54" s="1"/>
  <c r="O15" i="54" s="1"/>
  <c r="L15" i="53"/>
  <c r="H15" i="54" s="1"/>
  <c r="P15" i="54" s="1"/>
  <c r="M15" i="53"/>
  <c r="I15" i="54" s="1"/>
  <c r="Q15" i="54" s="1"/>
  <c r="N15" i="53"/>
  <c r="K16" i="53"/>
  <c r="G16" i="54" s="1"/>
  <c r="O16" i="54" s="1"/>
  <c r="L16" i="53"/>
  <c r="H16" i="54" s="1"/>
  <c r="P16" i="54" s="1"/>
  <c r="M16" i="53"/>
  <c r="I16" i="54" s="1"/>
  <c r="Q16" i="54" s="1"/>
  <c r="N16" i="53"/>
  <c r="T40" i="54"/>
  <c r="S40" i="54"/>
  <c r="R40" i="54"/>
  <c r="Q40" i="54"/>
  <c r="P40" i="54"/>
  <c r="T39" i="54"/>
  <c r="S39" i="54"/>
  <c r="R39" i="54"/>
  <c r="Q39" i="54"/>
  <c r="P39" i="54"/>
  <c r="T38" i="54"/>
  <c r="S38" i="54"/>
  <c r="R38" i="54"/>
  <c r="Q38" i="54"/>
  <c r="P38" i="54"/>
  <c r="T36" i="54"/>
  <c r="S36" i="54"/>
  <c r="R36" i="54"/>
  <c r="Q36" i="54"/>
  <c r="P36" i="54"/>
  <c r="T35" i="54"/>
  <c r="S35" i="54"/>
  <c r="R35" i="54"/>
  <c r="Q35" i="54"/>
  <c r="P35" i="54"/>
  <c r="T34" i="54"/>
  <c r="S34" i="54"/>
  <c r="R34" i="54"/>
  <c r="Q34" i="54"/>
  <c r="P34" i="54"/>
  <c r="R32" i="54"/>
  <c r="Q32" i="54"/>
  <c r="P32" i="54"/>
  <c r="T31" i="54"/>
  <c r="S31" i="54"/>
  <c r="R31" i="54"/>
  <c r="Q31" i="54"/>
  <c r="P31" i="54"/>
  <c r="T30" i="54"/>
  <c r="S30" i="54"/>
  <c r="R30" i="54"/>
  <c r="Q30" i="54"/>
  <c r="P30" i="54"/>
  <c r="T29" i="54"/>
  <c r="S29" i="54"/>
  <c r="R29" i="54"/>
  <c r="Q29" i="54"/>
  <c r="P29" i="54"/>
  <c r="T28" i="54"/>
  <c r="S28" i="54"/>
  <c r="R28" i="54"/>
  <c r="Q28" i="54"/>
  <c r="P28" i="54"/>
  <c r="T27" i="54"/>
  <c r="S27" i="54"/>
  <c r="R27" i="54"/>
  <c r="Q27" i="54"/>
  <c r="P27" i="54"/>
  <c r="T26" i="54"/>
  <c r="S26" i="54"/>
  <c r="R26" i="54"/>
  <c r="Q26" i="54"/>
  <c r="P26" i="54"/>
  <c r="T25" i="54"/>
  <c r="S25" i="54"/>
  <c r="R25" i="54"/>
  <c r="Q25" i="54"/>
  <c r="P25" i="54"/>
  <c r="N18" i="54"/>
  <c r="M18" i="54"/>
  <c r="L18" i="54"/>
  <c r="K18" i="54"/>
  <c r="N17" i="54"/>
  <c r="M17" i="54"/>
  <c r="L17" i="54"/>
  <c r="K17" i="54"/>
  <c r="N16" i="54"/>
  <c r="M16" i="54"/>
  <c r="L16" i="54"/>
  <c r="K16" i="54"/>
  <c r="N15" i="54"/>
  <c r="M15" i="54"/>
  <c r="L15" i="54"/>
  <c r="K15" i="54"/>
  <c r="N14" i="54"/>
  <c r="M14" i="54"/>
  <c r="L14" i="54"/>
  <c r="K14" i="54"/>
  <c r="N13" i="54"/>
  <c r="M13" i="54"/>
  <c r="L13" i="54"/>
  <c r="K13" i="54"/>
  <c r="N12" i="54"/>
  <c r="M12" i="54"/>
  <c r="L12" i="54"/>
  <c r="K12" i="54"/>
  <c r="N11" i="54"/>
  <c r="M11" i="54"/>
  <c r="L11" i="54"/>
  <c r="K11" i="54"/>
  <c r="N10" i="54"/>
  <c r="M10" i="54"/>
  <c r="L10" i="54"/>
  <c r="K10" i="54"/>
  <c r="N9" i="54"/>
  <c r="M9" i="54"/>
  <c r="L9" i="54"/>
  <c r="K9" i="54"/>
  <c r="N8" i="54"/>
  <c r="M8" i="54"/>
  <c r="L8" i="54"/>
  <c r="K8" i="54"/>
  <c r="N7" i="54"/>
  <c r="M7" i="54"/>
  <c r="L7" i="54"/>
  <c r="K7" i="54"/>
  <c r="N6" i="54"/>
  <c r="M6" i="54"/>
  <c r="L6" i="54"/>
  <c r="K6" i="54"/>
  <c r="N5" i="54"/>
  <c r="M5" i="54"/>
  <c r="L5" i="54"/>
  <c r="K5" i="54"/>
  <c r="D74" i="54"/>
  <c r="C74" i="54"/>
  <c r="D73" i="54"/>
  <c r="E73" i="54" s="1"/>
  <c r="C73" i="54"/>
  <c r="D72" i="54"/>
  <c r="C72" i="54"/>
  <c r="D70" i="54"/>
  <c r="E41" i="54"/>
  <c r="D41" i="54"/>
  <c r="C55" i="54" s="1"/>
  <c r="C41" i="54"/>
  <c r="C54" i="54" s="1"/>
  <c r="I39" i="54"/>
  <c r="AG39" i="54" s="1"/>
  <c r="F39" i="54"/>
  <c r="AF39" i="54" s="1"/>
  <c r="I38" i="54"/>
  <c r="F38" i="54"/>
  <c r="AF38" i="54" s="1"/>
  <c r="I36" i="54"/>
  <c r="F36" i="54"/>
  <c r="I35" i="54"/>
  <c r="F35" i="54"/>
  <c r="I34" i="54"/>
  <c r="F34" i="54"/>
  <c r="I29" i="54"/>
  <c r="J29" i="54" s="1"/>
  <c r="I28" i="54"/>
  <c r="J28" i="54" s="1"/>
  <c r="I27" i="54"/>
  <c r="J27" i="54" s="1"/>
  <c r="F19" i="54"/>
  <c r="C69" i="54" s="1"/>
  <c r="E69" i="54" s="1"/>
  <c r="E19" i="54"/>
  <c r="D19" i="54"/>
  <c r="C19" i="54"/>
  <c r="C66" i="54" s="1"/>
  <c r="E66" i="54" s="1"/>
  <c r="Q40" i="53"/>
  <c r="O40" i="54" s="1"/>
  <c r="Z40" i="54" s="1"/>
  <c r="P40" i="53"/>
  <c r="N40" i="54" s="1"/>
  <c r="Y40" i="54" s="1"/>
  <c r="O40" i="53"/>
  <c r="M40" i="54" s="1"/>
  <c r="W40" i="54" s="1"/>
  <c r="N40" i="53"/>
  <c r="L40" i="54" s="1"/>
  <c r="V40" i="54" s="1"/>
  <c r="M40" i="53"/>
  <c r="K40" i="54" s="1"/>
  <c r="U40" i="54" s="1"/>
  <c r="Q36" i="53"/>
  <c r="O36" i="54" s="1"/>
  <c r="Z36" i="54" s="1"/>
  <c r="P36" i="53"/>
  <c r="N36" i="54"/>
  <c r="Y36" i="54" s="1"/>
  <c r="O36" i="53"/>
  <c r="M36" i="54" s="1"/>
  <c r="W36" i="54" s="1"/>
  <c r="N36" i="53"/>
  <c r="M36" i="53" s="1"/>
  <c r="K36" i="54" s="1"/>
  <c r="U36" i="54" s="1"/>
  <c r="Q25" i="53"/>
  <c r="O25" i="54"/>
  <c r="Z25" i="54" s="1"/>
  <c r="P25" i="53"/>
  <c r="N25" i="54" s="1"/>
  <c r="Y25" i="54" s="1"/>
  <c r="O25" i="53"/>
  <c r="M25" i="54" s="1"/>
  <c r="W25" i="54" s="1"/>
  <c r="N25" i="53"/>
  <c r="L25" i="54" s="1"/>
  <c r="V25" i="54" s="1"/>
  <c r="M25" i="53"/>
  <c r="K25" i="54" s="1"/>
  <c r="U25" i="54" s="1"/>
  <c r="J19" i="53"/>
  <c r="I19" i="53"/>
  <c r="H19" i="53"/>
  <c r="G19" i="53"/>
  <c r="F19" i="53"/>
  <c r="E19" i="53"/>
  <c r="D19" i="53"/>
  <c r="C19" i="53"/>
  <c r="K19" i="54" s="1"/>
  <c r="N18" i="53"/>
  <c r="J18" i="54" s="1"/>
  <c r="R18" i="54" s="1"/>
  <c r="M18" i="53"/>
  <c r="I18" i="54" s="1"/>
  <c r="Q18" i="54" s="1"/>
  <c r="L18" i="53"/>
  <c r="H18" i="54" s="1"/>
  <c r="P18" i="54" s="1"/>
  <c r="K18" i="53"/>
  <c r="G18" i="54" s="1"/>
  <c r="O18" i="54" s="1"/>
  <c r="N17" i="53"/>
  <c r="J17" i="54" s="1"/>
  <c r="R17" i="54" s="1"/>
  <c r="M17" i="53"/>
  <c r="I17" i="54" s="1"/>
  <c r="Q17" i="54" s="1"/>
  <c r="L17" i="53"/>
  <c r="H17" i="54" s="1"/>
  <c r="P17" i="54" s="1"/>
  <c r="K17" i="53"/>
  <c r="G17" i="54" s="1"/>
  <c r="O17" i="54" s="1"/>
  <c r="J16" i="54"/>
  <c r="R16" i="54" s="1"/>
  <c r="J15" i="54"/>
  <c r="R15" i="54" s="1"/>
  <c r="N13" i="53"/>
  <c r="J13" i="54" s="1"/>
  <c r="R13" i="54" s="1"/>
  <c r="M13" i="53"/>
  <c r="I13" i="54" s="1"/>
  <c r="Q13" i="54" s="1"/>
  <c r="L13" i="53"/>
  <c r="H13" i="54" s="1"/>
  <c r="P13" i="54" s="1"/>
  <c r="K13" i="53"/>
  <c r="G13" i="54" s="1"/>
  <c r="O13" i="54" s="1"/>
  <c r="N12" i="53"/>
  <c r="J12" i="54" s="1"/>
  <c r="R12" i="54" s="1"/>
  <c r="M12" i="53"/>
  <c r="I12" i="54" s="1"/>
  <c r="Q12" i="54" s="1"/>
  <c r="L12" i="53"/>
  <c r="H12" i="54" s="1"/>
  <c r="P12" i="54" s="1"/>
  <c r="K12" i="53"/>
  <c r="G12" i="54" s="1"/>
  <c r="O12" i="54" s="1"/>
  <c r="N11" i="53"/>
  <c r="J11" i="54" s="1"/>
  <c r="R11" i="54" s="1"/>
  <c r="M11" i="53"/>
  <c r="I11" i="54" s="1"/>
  <c r="Q11" i="54" s="1"/>
  <c r="L11" i="53"/>
  <c r="H11" i="54" s="1"/>
  <c r="P11" i="54" s="1"/>
  <c r="K11" i="53"/>
  <c r="G11" i="54" s="1"/>
  <c r="O11" i="54" s="1"/>
  <c r="N10" i="53"/>
  <c r="J10" i="54" s="1"/>
  <c r="R10" i="54" s="1"/>
  <c r="M10" i="53"/>
  <c r="I10" i="54" s="1"/>
  <c r="Q10" i="54" s="1"/>
  <c r="L10" i="53"/>
  <c r="H10" i="54" s="1"/>
  <c r="P10" i="54" s="1"/>
  <c r="K10" i="53"/>
  <c r="G10" i="54" s="1"/>
  <c r="O10" i="54" s="1"/>
  <c r="N9" i="53"/>
  <c r="J9" i="54" s="1"/>
  <c r="R9" i="54" s="1"/>
  <c r="M9" i="53"/>
  <c r="I9" i="54" s="1"/>
  <c r="Q9" i="54" s="1"/>
  <c r="L9" i="53"/>
  <c r="H9" i="54"/>
  <c r="P9" i="54" s="1"/>
  <c r="K9" i="53"/>
  <c r="G9" i="54" s="1"/>
  <c r="O9" i="54" s="1"/>
  <c r="N8" i="53"/>
  <c r="J8" i="54" s="1"/>
  <c r="R8" i="54" s="1"/>
  <c r="M8" i="53"/>
  <c r="I8" i="54" s="1"/>
  <c r="Q8" i="54" s="1"/>
  <c r="L8" i="53"/>
  <c r="H8" i="54" s="1"/>
  <c r="P8" i="54" s="1"/>
  <c r="K8" i="53"/>
  <c r="G8" i="54" s="1"/>
  <c r="O8" i="54" s="1"/>
  <c r="N7" i="53"/>
  <c r="J7" i="54" s="1"/>
  <c r="R7" i="54" s="1"/>
  <c r="M7" i="53"/>
  <c r="I7" i="54" s="1"/>
  <c r="Q7" i="54" s="1"/>
  <c r="L7" i="53"/>
  <c r="H7" i="54" s="1"/>
  <c r="P7" i="54" s="1"/>
  <c r="K7" i="53"/>
  <c r="G7" i="54" s="1"/>
  <c r="O7" i="54" s="1"/>
  <c r="N6" i="53"/>
  <c r="J6" i="54" s="1"/>
  <c r="R6" i="54" s="1"/>
  <c r="M6" i="53"/>
  <c r="I6" i="54" s="1"/>
  <c r="Q6" i="54" s="1"/>
  <c r="L6" i="53"/>
  <c r="H6" i="54" s="1"/>
  <c r="P6" i="54" s="1"/>
  <c r="K6" i="53"/>
  <c r="G6" i="54" s="1"/>
  <c r="O6" i="54" s="1"/>
  <c r="N5" i="53"/>
  <c r="J5" i="54" s="1"/>
  <c r="R5" i="54" s="1"/>
  <c r="M5" i="53"/>
  <c r="I5" i="54" s="1"/>
  <c r="Q5" i="54" s="1"/>
  <c r="L5" i="53"/>
  <c r="H5" i="54" s="1"/>
  <c r="P5" i="54" s="1"/>
  <c r="K5" i="53"/>
  <c r="G5" i="54" s="1"/>
  <c r="O5" i="54" s="1"/>
  <c r="H37" i="50"/>
  <c r="H36" i="50"/>
  <c r="H35" i="50"/>
  <c r="H34" i="50"/>
  <c r="H33" i="50"/>
  <c r="H32" i="50"/>
  <c r="H29" i="50"/>
  <c r="H28" i="50"/>
  <c r="H27" i="50"/>
  <c r="E37" i="50"/>
  <c r="I37" i="50" s="1"/>
  <c r="E36" i="50"/>
  <c r="I36" i="50" s="1"/>
  <c r="E35" i="50"/>
  <c r="I35" i="50" s="1"/>
  <c r="E34" i="50"/>
  <c r="I34" i="50" s="1"/>
  <c r="E33" i="50"/>
  <c r="I33" i="50" s="1"/>
  <c r="Z43" i="16"/>
  <c r="N43" i="16"/>
  <c r="F43" i="16"/>
  <c r="Z45" i="16"/>
  <c r="Z44" i="16"/>
  <c r="R44" i="16"/>
  <c r="N45" i="16"/>
  <c r="N44" i="16"/>
  <c r="J45" i="16"/>
  <c r="F45" i="16"/>
  <c r="F44" i="16"/>
  <c r="D45" i="16"/>
  <c r="D44" i="16"/>
  <c r="B45" i="16"/>
  <c r="B44" i="16"/>
  <c r="T24" i="16"/>
  <c r="T23" i="16"/>
  <c r="R24" i="16"/>
  <c r="R23" i="16"/>
  <c r="N24" i="16"/>
  <c r="N23" i="16"/>
  <c r="J24" i="16"/>
  <c r="J23" i="16"/>
  <c r="H24" i="16"/>
  <c r="F24" i="16"/>
  <c r="F23" i="16"/>
  <c r="D24" i="16"/>
  <c r="B24" i="16"/>
  <c r="B23" i="16"/>
  <c r="AB44" i="29"/>
  <c r="Z45" i="29"/>
  <c r="Z44" i="29"/>
  <c r="V45" i="29"/>
  <c r="V44" i="29"/>
  <c r="R45" i="29"/>
  <c r="R44" i="29"/>
  <c r="N45" i="29"/>
  <c r="N44" i="29"/>
  <c r="F45" i="29"/>
  <c r="F44" i="29"/>
  <c r="J45" i="29"/>
  <c r="J44" i="29"/>
  <c r="B45" i="29"/>
  <c r="B44" i="29"/>
  <c r="J24" i="29"/>
  <c r="I24" i="29"/>
  <c r="H24" i="29"/>
  <c r="G24" i="29"/>
  <c r="F24" i="29"/>
  <c r="E24" i="29"/>
  <c r="D24" i="29"/>
  <c r="C24" i="29"/>
  <c r="L23" i="29"/>
  <c r="K23" i="29"/>
  <c r="J23" i="29"/>
  <c r="I23" i="29"/>
  <c r="H23" i="29"/>
  <c r="G23" i="29"/>
  <c r="F23" i="29"/>
  <c r="E23" i="29"/>
  <c r="B24" i="29"/>
  <c r="B23" i="29"/>
  <c r="L46" i="32"/>
  <c r="P23" i="32"/>
  <c r="L23" i="32"/>
  <c r="H24" i="32"/>
  <c r="D24" i="32"/>
  <c r="J47" i="32"/>
  <c r="J46" i="32"/>
  <c r="F47" i="32"/>
  <c r="F46" i="32"/>
  <c r="B47" i="32"/>
  <c r="B46" i="32"/>
  <c r="R24" i="32"/>
  <c r="R23" i="32"/>
  <c r="N24" i="32"/>
  <c r="N23" i="32"/>
  <c r="J24" i="32"/>
  <c r="J23" i="32"/>
  <c r="F24" i="32"/>
  <c r="F23" i="32"/>
  <c r="B24" i="32"/>
  <c r="B23" i="32"/>
  <c r="AF45" i="16"/>
  <c r="AF44" i="16"/>
  <c r="X24" i="16"/>
  <c r="X23" i="16"/>
  <c r="AF45" i="29"/>
  <c r="AF44" i="29"/>
  <c r="X24" i="29"/>
  <c r="X23" i="29"/>
  <c r="T24" i="29"/>
  <c r="T23" i="29"/>
  <c r="P24" i="29"/>
  <c r="P23" i="29"/>
  <c r="X24" i="32"/>
  <c r="X23" i="32"/>
  <c r="T24" i="32"/>
  <c r="T23" i="32"/>
  <c r="AF47" i="32"/>
  <c r="AF46" i="32"/>
  <c r="AB47" i="32"/>
  <c r="AB46" i="32"/>
  <c r="X47" i="32"/>
  <c r="X46" i="32"/>
  <c r="T47" i="32"/>
  <c r="T46" i="32"/>
  <c r="P47" i="32"/>
  <c r="P46" i="32"/>
  <c r="P32" i="51"/>
  <c r="N33" i="50" s="1"/>
  <c r="Y33" i="50" s="1"/>
  <c r="O32" i="51"/>
  <c r="P31" i="51"/>
  <c r="O31" i="51"/>
  <c r="P28" i="51"/>
  <c r="N29" i="50" s="1"/>
  <c r="Y29" i="50" s="1"/>
  <c r="O28" i="51"/>
  <c r="M29" i="50" s="1"/>
  <c r="X29" i="50" s="1"/>
  <c r="P27" i="51"/>
  <c r="N28" i="50" s="1"/>
  <c r="Y28" i="50" s="1"/>
  <c r="O27" i="51"/>
  <c r="M28" i="50" s="1"/>
  <c r="X28" i="50" s="1"/>
  <c r="O26" i="51"/>
  <c r="P26" i="51" s="1"/>
  <c r="N27" i="50" s="1"/>
  <c r="Y27" i="50" s="1"/>
  <c r="I32" i="50"/>
  <c r="I38" i="50"/>
  <c r="I31" i="50"/>
  <c r="I30" i="50"/>
  <c r="I29" i="50"/>
  <c r="I28" i="50"/>
  <c r="I27" i="50"/>
  <c r="L25" i="51"/>
  <c r="J26" i="50" s="1"/>
  <c r="T26" i="50" s="1"/>
  <c r="M25" i="51"/>
  <c r="K26" i="50" s="1"/>
  <c r="U26" i="50" s="1"/>
  <c r="N25" i="51"/>
  <c r="O25" i="51"/>
  <c r="M26" i="50" s="1"/>
  <c r="X26" i="50" s="1"/>
  <c r="P25" i="51"/>
  <c r="N26" i="50" s="1"/>
  <c r="Y26" i="50" s="1"/>
  <c r="C130" i="52"/>
  <c r="D130" i="52"/>
  <c r="E130" i="52"/>
  <c r="F130" i="52"/>
  <c r="G130" i="52"/>
  <c r="H130" i="52"/>
  <c r="I130" i="52"/>
  <c r="J130" i="52"/>
  <c r="K130" i="52"/>
  <c r="L130" i="52"/>
  <c r="M130" i="52"/>
  <c r="N130" i="52"/>
  <c r="O130" i="52"/>
  <c r="P130" i="52"/>
  <c r="Q130" i="52"/>
  <c r="R130" i="52"/>
  <c r="S130" i="52"/>
  <c r="T130" i="52"/>
  <c r="C131" i="52"/>
  <c r="D131" i="52"/>
  <c r="E131" i="52"/>
  <c r="F131" i="52"/>
  <c r="G131" i="52"/>
  <c r="H131" i="52"/>
  <c r="I131" i="52"/>
  <c r="J131" i="52"/>
  <c r="K131" i="52"/>
  <c r="L131" i="52"/>
  <c r="M131" i="52"/>
  <c r="N131" i="52"/>
  <c r="O131" i="52"/>
  <c r="P131" i="52"/>
  <c r="Q131" i="52"/>
  <c r="R131" i="52"/>
  <c r="S131" i="52"/>
  <c r="T131" i="52"/>
  <c r="C132" i="52"/>
  <c r="D132" i="52"/>
  <c r="E132" i="52"/>
  <c r="F132" i="52"/>
  <c r="G132" i="52"/>
  <c r="H132" i="52"/>
  <c r="I132" i="52"/>
  <c r="J132" i="52"/>
  <c r="K132" i="52"/>
  <c r="L132" i="52"/>
  <c r="M132" i="52"/>
  <c r="N132" i="52"/>
  <c r="O132" i="52"/>
  <c r="P132" i="52"/>
  <c r="Q132" i="52"/>
  <c r="R132" i="52"/>
  <c r="S132" i="52"/>
  <c r="T132" i="52"/>
  <c r="C133" i="52"/>
  <c r="D133" i="52"/>
  <c r="E133" i="52"/>
  <c r="F133" i="52"/>
  <c r="G133" i="52"/>
  <c r="H133" i="52"/>
  <c r="I133" i="52"/>
  <c r="J133" i="52"/>
  <c r="K133" i="52"/>
  <c r="L133" i="52"/>
  <c r="M133" i="52"/>
  <c r="N133" i="52"/>
  <c r="O133" i="52"/>
  <c r="P133" i="52"/>
  <c r="Q133" i="52"/>
  <c r="R133" i="52"/>
  <c r="S133" i="52"/>
  <c r="T133" i="52"/>
  <c r="C134" i="52"/>
  <c r="D134" i="52"/>
  <c r="E134" i="52"/>
  <c r="F134" i="52"/>
  <c r="G134" i="52"/>
  <c r="H134" i="52"/>
  <c r="I134" i="52"/>
  <c r="J134" i="52"/>
  <c r="K134" i="52"/>
  <c r="L134" i="52"/>
  <c r="M134" i="52"/>
  <c r="N134" i="52"/>
  <c r="O134" i="52"/>
  <c r="P134" i="52"/>
  <c r="Q134" i="52"/>
  <c r="R134" i="52"/>
  <c r="S134" i="52"/>
  <c r="T134" i="52"/>
  <c r="C135" i="52"/>
  <c r="D135" i="52"/>
  <c r="E135" i="52"/>
  <c r="F135" i="52"/>
  <c r="G135" i="52"/>
  <c r="H135" i="52"/>
  <c r="I135" i="52"/>
  <c r="J135" i="52"/>
  <c r="K135" i="52"/>
  <c r="L135" i="52"/>
  <c r="M135" i="52"/>
  <c r="N135" i="52"/>
  <c r="O135" i="52"/>
  <c r="P135" i="52"/>
  <c r="Q135" i="52"/>
  <c r="R135" i="52"/>
  <c r="S135" i="52"/>
  <c r="T135" i="52"/>
  <c r="C136" i="52"/>
  <c r="D136" i="52"/>
  <c r="E136" i="52"/>
  <c r="F136" i="52"/>
  <c r="G136" i="52"/>
  <c r="H136" i="52"/>
  <c r="I136" i="52"/>
  <c r="J136" i="52"/>
  <c r="K136" i="52"/>
  <c r="L136" i="52"/>
  <c r="M136" i="52"/>
  <c r="N136" i="52"/>
  <c r="O136" i="52"/>
  <c r="P136" i="52"/>
  <c r="Q136" i="52"/>
  <c r="R136" i="52"/>
  <c r="S136" i="52"/>
  <c r="T136" i="52"/>
  <c r="C137" i="52"/>
  <c r="D137" i="52"/>
  <c r="E137" i="52"/>
  <c r="F137" i="52"/>
  <c r="G137" i="52"/>
  <c r="H137" i="52"/>
  <c r="I137" i="52"/>
  <c r="J137" i="52"/>
  <c r="K137" i="52"/>
  <c r="L137" i="52"/>
  <c r="M137" i="52"/>
  <c r="N137" i="52"/>
  <c r="O137" i="52"/>
  <c r="P137" i="52"/>
  <c r="Q137" i="52"/>
  <c r="R137" i="52"/>
  <c r="S137" i="52"/>
  <c r="T137" i="52"/>
  <c r="C138" i="52"/>
  <c r="D138" i="52"/>
  <c r="E138" i="52"/>
  <c r="F138" i="52"/>
  <c r="G138" i="52"/>
  <c r="H138" i="52"/>
  <c r="I138" i="52"/>
  <c r="J138" i="52"/>
  <c r="K138" i="52"/>
  <c r="L138" i="52"/>
  <c r="M138" i="52"/>
  <c r="N138" i="52"/>
  <c r="O138" i="52"/>
  <c r="P138" i="52"/>
  <c r="Q138" i="52"/>
  <c r="R138" i="52"/>
  <c r="S138" i="52"/>
  <c r="T138" i="52"/>
  <c r="C139" i="52"/>
  <c r="D139" i="52"/>
  <c r="E139" i="52"/>
  <c r="F139" i="52"/>
  <c r="G139" i="52"/>
  <c r="H139" i="52"/>
  <c r="I139" i="52"/>
  <c r="J139" i="52"/>
  <c r="K139" i="52"/>
  <c r="L139" i="52"/>
  <c r="M139" i="52"/>
  <c r="N139" i="52"/>
  <c r="O139" i="52"/>
  <c r="P139" i="52"/>
  <c r="Q139" i="52"/>
  <c r="R139" i="52"/>
  <c r="S139" i="52"/>
  <c r="T139" i="52"/>
  <c r="C140" i="52"/>
  <c r="D140" i="52"/>
  <c r="E140" i="52"/>
  <c r="F140" i="52"/>
  <c r="G140" i="52"/>
  <c r="H140" i="52"/>
  <c r="I140" i="52"/>
  <c r="J140" i="52"/>
  <c r="K140" i="52"/>
  <c r="L140" i="52"/>
  <c r="M140" i="52"/>
  <c r="N140" i="52"/>
  <c r="O140" i="52"/>
  <c r="P140" i="52"/>
  <c r="Q140" i="52"/>
  <c r="R140" i="52"/>
  <c r="S140" i="52"/>
  <c r="T140" i="52"/>
  <c r="C141" i="52"/>
  <c r="D141" i="52"/>
  <c r="E141" i="52"/>
  <c r="F141" i="52"/>
  <c r="G141" i="52"/>
  <c r="H141" i="52"/>
  <c r="I141" i="52"/>
  <c r="J141" i="52"/>
  <c r="K141" i="52"/>
  <c r="L141" i="52"/>
  <c r="M141" i="52"/>
  <c r="N141" i="52"/>
  <c r="O141" i="52"/>
  <c r="P141" i="52"/>
  <c r="Q141" i="52"/>
  <c r="R141" i="52"/>
  <c r="S141" i="52"/>
  <c r="T141" i="52"/>
  <c r="C142" i="52"/>
  <c r="D142" i="52"/>
  <c r="E142" i="52"/>
  <c r="F142" i="52"/>
  <c r="G142" i="52"/>
  <c r="H142" i="52"/>
  <c r="I142" i="52"/>
  <c r="J142" i="52"/>
  <c r="K142" i="52"/>
  <c r="L142" i="52"/>
  <c r="M142" i="52"/>
  <c r="N142" i="52"/>
  <c r="O142" i="52"/>
  <c r="P142" i="52"/>
  <c r="Q142" i="52"/>
  <c r="R142" i="52"/>
  <c r="S142" i="52"/>
  <c r="T142" i="52"/>
  <c r="L129" i="52"/>
  <c r="M129" i="52"/>
  <c r="N129" i="52"/>
  <c r="O129" i="52"/>
  <c r="P129" i="52"/>
  <c r="Q129" i="52"/>
  <c r="R129" i="52"/>
  <c r="S129" i="52"/>
  <c r="T129" i="52"/>
  <c r="D129" i="52"/>
  <c r="E129" i="52"/>
  <c r="F129" i="52"/>
  <c r="G129" i="52"/>
  <c r="H129" i="52"/>
  <c r="I129" i="52"/>
  <c r="J129" i="52"/>
  <c r="K129" i="52"/>
  <c r="C129" i="52"/>
  <c r="C116" i="52"/>
  <c r="D116" i="52"/>
  <c r="E116" i="52"/>
  <c r="F116" i="52"/>
  <c r="G116" i="52"/>
  <c r="H116" i="52"/>
  <c r="I116" i="52"/>
  <c r="J116" i="52"/>
  <c r="K116" i="52"/>
  <c r="L116" i="52"/>
  <c r="M116" i="52"/>
  <c r="N116" i="52"/>
  <c r="O116" i="52"/>
  <c r="P116" i="52"/>
  <c r="Q116" i="52"/>
  <c r="R116" i="52"/>
  <c r="S116" i="52"/>
  <c r="T116" i="52"/>
  <c r="C117" i="52"/>
  <c r="D117" i="52"/>
  <c r="E117" i="52"/>
  <c r="F117" i="52"/>
  <c r="G117" i="52"/>
  <c r="H117" i="52"/>
  <c r="I117" i="52"/>
  <c r="J117" i="52"/>
  <c r="K117" i="52"/>
  <c r="L117" i="52"/>
  <c r="M117" i="52"/>
  <c r="N117" i="52"/>
  <c r="O117" i="52"/>
  <c r="P117" i="52"/>
  <c r="Q117" i="52"/>
  <c r="R117" i="52"/>
  <c r="S117" i="52"/>
  <c r="T117" i="52"/>
  <c r="C118" i="52"/>
  <c r="D118" i="52"/>
  <c r="E118" i="52"/>
  <c r="F118" i="52"/>
  <c r="G118" i="52"/>
  <c r="H118" i="52"/>
  <c r="I118" i="52"/>
  <c r="J118" i="52"/>
  <c r="K118" i="52"/>
  <c r="L118" i="52"/>
  <c r="M118" i="52"/>
  <c r="N118" i="52"/>
  <c r="O118" i="52"/>
  <c r="P118" i="52"/>
  <c r="Q118" i="52"/>
  <c r="R118" i="52"/>
  <c r="S118" i="52"/>
  <c r="T118" i="52"/>
  <c r="C119" i="52"/>
  <c r="D119" i="52"/>
  <c r="E119" i="52"/>
  <c r="F119" i="52"/>
  <c r="G119" i="52"/>
  <c r="H119" i="52"/>
  <c r="I119" i="52"/>
  <c r="J119" i="52"/>
  <c r="K119" i="52"/>
  <c r="L119" i="52"/>
  <c r="M119" i="52"/>
  <c r="N119" i="52"/>
  <c r="O119" i="52"/>
  <c r="P119" i="52"/>
  <c r="Q119" i="52"/>
  <c r="R119" i="52"/>
  <c r="S119" i="52"/>
  <c r="T119" i="52"/>
  <c r="C120" i="52"/>
  <c r="D120" i="52"/>
  <c r="E120" i="52"/>
  <c r="F120" i="52"/>
  <c r="G120" i="52"/>
  <c r="H120" i="52"/>
  <c r="I120" i="52"/>
  <c r="J120" i="52"/>
  <c r="K120" i="52"/>
  <c r="L120" i="52"/>
  <c r="M120" i="52"/>
  <c r="N120" i="52"/>
  <c r="O120" i="52"/>
  <c r="P120" i="52"/>
  <c r="Q120" i="52"/>
  <c r="R120" i="52"/>
  <c r="S120" i="52"/>
  <c r="T120" i="52"/>
  <c r="C121" i="52"/>
  <c r="D121" i="52"/>
  <c r="E121" i="52"/>
  <c r="F121" i="52"/>
  <c r="G121" i="52"/>
  <c r="H121" i="52"/>
  <c r="I121" i="52"/>
  <c r="J121" i="52"/>
  <c r="K121" i="52"/>
  <c r="L121" i="52"/>
  <c r="M121" i="52"/>
  <c r="N121" i="52"/>
  <c r="O121" i="52"/>
  <c r="P121" i="52"/>
  <c r="Q121" i="52"/>
  <c r="R121" i="52"/>
  <c r="S121" i="52"/>
  <c r="T121" i="52"/>
  <c r="C122" i="52"/>
  <c r="D122" i="52"/>
  <c r="E122" i="52"/>
  <c r="F122" i="52"/>
  <c r="G122" i="52"/>
  <c r="H122" i="52"/>
  <c r="I122" i="52"/>
  <c r="J122" i="52"/>
  <c r="K122" i="52"/>
  <c r="L122" i="52"/>
  <c r="M122" i="52"/>
  <c r="N122" i="52"/>
  <c r="O122" i="52"/>
  <c r="P122" i="52"/>
  <c r="Q122" i="52"/>
  <c r="R122" i="52"/>
  <c r="S122" i="52"/>
  <c r="T122" i="52"/>
  <c r="C123" i="52"/>
  <c r="D123" i="52"/>
  <c r="E123" i="52"/>
  <c r="F123" i="52"/>
  <c r="G123" i="52"/>
  <c r="H123" i="52"/>
  <c r="I123" i="52"/>
  <c r="J123" i="52"/>
  <c r="K123" i="52"/>
  <c r="L123" i="52"/>
  <c r="M123" i="52"/>
  <c r="N123" i="52"/>
  <c r="O123" i="52"/>
  <c r="P123" i="52"/>
  <c r="Q123" i="52"/>
  <c r="R123" i="52"/>
  <c r="S123" i="52"/>
  <c r="T123" i="52"/>
  <c r="C124" i="52"/>
  <c r="D124" i="52"/>
  <c r="E124" i="52"/>
  <c r="F124" i="52"/>
  <c r="G124" i="52"/>
  <c r="H124" i="52"/>
  <c r="I124" i="52"/>
  <c r="J124" i="52"/>
  <c r="K124" i="52"/>
  <c r="L124" i="52"/>
  <c r="M124" i="52"/>
  <c r="N124" i="52"/>
  <c r="O124" i="52"/>
  <c r="P124" i="52"/>
  <c r="Q124" i="52"/>
  <c r="R124" i="52"/>
  <c r="S124" i="52"/>
  <c r="T124" i="52"/>
  <c r="C125" i="52"/>
  <c r="D125" i="52"/>
  <c r="E125" i="52"/>
  <c r="F125" i="52"/>
  <c r="G125" i="52"/>
  <c r="H125" i="52"/>
  <c r="I125" i="52"/>
  <c r="J125" i="52"/>
  <c r="K125" i="52"/>
  <c r="L125" i="52"/>
  <c r="M125" i="52"/>
  <c r="N125" i="52"/>
  <c r="O125" i="52"/>
  <c r="P125" i="52"/>
  <c r="Q125" i="52"/>
  <c r="R125" i="52"/>
  <c r="S125" i="52"/>
  <c r="T125" i="52"/>
  <c r="C126" i="52"/>
  <c r="D126" i="52"/>
  <c r="E126" i="52"/>
  <c r="F126" i="52"/>
  <c r="G126" i="52"/>
  <c r="H126" i="52"/>
  <c r="I126" i="52"/>
  <c r="J126" i="52"/>
  <c r="K126" i="52"/>
  <c r="L126" i="52"/>
  <c r="M126" i="52"/>
  <c r="N126" i="52"/>
  <c r="O126" i="52"/>
  <c r="P126" i="52"/>
  <c r="Q126" i="52"/>
  <c r="R126" i="52"/>
  <c r="S126" i="52"/>
  <c r="T126" i="52"/>
  <c r="C127" i="52"/>
  <c r="D127" i="52"/>
  <c r="E127" i="52"/>
  <c r="F127" i="52"/>
  <c r="G127" i="52"/>
  <c r="H127" i="52"/>
  <c r="I127" i="52"/>
  <c r="J127" i="52"/>
  <c r="K127" i="52"/>
  <c r="L127" i="52"/>
  <c r="M127" i="52"/>
  <c r="N127" i="52"/>
  <c r="O127" i="52"/>
  <c r="P127" i="52"/>
  <c r="Q127" i="52"/>
  <c r="R127" i="52"/>
  <c r="S127" i="52"/>
  <c r="T127" i="52"/>
  <c r="C128" i="52"/>
  <c r="D128" i="52"/>
  <c r="E128" i="52"/>
  <c r="F128" i="52"/>
  <c r="G128" i="52"/>
  <c r="H128" i="52"/>
  <c r="I128" i="52"/>
  <c r="J128" i="52"/>
  <c r="K128" i="52"/>
  <c r="L128" i="52"/>
  <c r="M128" i="52"/>
  <c r="N128" i="52"/>
  <c r="O128" i="52"/>
  <c r="P128" i="52"/>
  <c r="Q128" i="52"/>
  <c r="R128" i="52"/>
  <c r="S128" i="52"/>
  <c r="T128" i="52"/>
  <c r="L115" i="52"/>
  <c r="M115" i="52"/>
  <c r="N115" i="52"/>
  <c r="O115" i="52"/>
  <c r="P115" i="52"/>
  <c r="Q115" i="52"/>
  <c r="R115" i="52"/>
  <c r="S115" i="52"/>
  <c r="T115" i="52"/>
  <c r="K115" i="52"/>
  <c r="D115" i="52"/>
  <c r="E115" i="52"/>
  <c r="F115" i="52"/>
  <c r="G115" i="52"/>
  <c r="H115" i="52"/>
  <c r="I115" i="52"/>
  <c r="J115" i="52"/>
  <c r="C115" i="52"/>
  <c r="T114" i="52"/>
  <c r="S114" i="52"/>
  <c r="R114" i="52"/>
  <c r="Q114" i="52"/>
  <c r="P114" i="52"/>
  <c r="O114" i="52"/>
  <c r="N114" i="52"/>
  <c r="M114" i="52"/>
  <c r="L114" i="52"/>
  <c r="K114" i="52"/>
  <c r="J114" i="52"/>
  <c r="I114" i="52"/>
  <c r="H114" i="52"/>
  <c r="G114" i="52"/>
  <c r="F114" i="52"/>
  <c r="E114" i="52"/>
  <c r="D114" i="52"/>
  <c r="C114" i="52"/>
  <c r="T113" i="52"/>
  <c r="S113" i="52"/>
  <c r="R113" i="52"/>
  <c r="Q113" i="52"/>
  <c r="P113" i="52"/>
  <c r="O113" i="52"/>
  <c r="N113" i="52"/>
  <c r="M113" i="52"/>
  <c r="L113" i="52"/>
  <c r="K113" i="52"/>
  <c r="J113" i="52"/>
  <c r="I113" i="52"/>
  <c r="H113" i="52"/>
  <c r="G113" i="52"/>
  <c r="F113" i="52"/>
  <c r="E113" i="52"/>
  <c r="D113" i="52"/>
  <c r="C113" i="52"/>
  <c r="T112" i="52"/>
  <c r="S112" i="52"/>
  <c r="R112" i="52"/>
  <c r="Q112" i="52"/>
  <c r="P112" i="52"/>
  <c r="O112" i="52"/>
  <c r="N112" i="52"/>
  <c r="M112" i="52"/>
  <c r="L112" i="52"/>
  <c r="K112" i="52"/>
  <c r="J112" i="52"/>
  <c r="I112" i="52"/>
  <c r="H112" i="52"/>
  <c r="G112" i="52"/>
  <c r="F112" i="52"/>
  <c r="E112" i="52"/>
  <c r="D112" i="52"/>
  <c r="C112" i="52"/>
  <c r="T111" i="52"/>
  <c r="S111" i="52"/>
  <c r="R111" i="52"/>
  <c r="Q111" i="52"/>
  <c r="P111" i="52"/>
  <c r="O111" i="52"/>
  <c r="N111" i="52"/>
  <c r="M111" i="52"/>
  <c r="L111" i="52"/>
  <c r="K111" i="52"/>
  <c r="J111" i="52"/>
  <c r="I111" i="52"/>
  <c r="H111" i="52"/>
  <c r="G111" i="52"/>
  <c r="F111" i="52"/>
  <c r="E111" i="52"/>
  <c r="D111" i="52"/>
  <c r="C111" i="52"/>
  <c r="T110" i="52"/>
  <c r="S110" i="52"/>
  <c r="R110" i="52"/>
  <c r="Q110" i="52"/>
  <c r="P110" i="52"/>
  <c r="O110" i="52"/>
  <c r="N110" i="52"/>
  <c r="M110" i="52"/>
  <c r="L110" i="52"/>
  <c r="K110" i="52"/>
  <c r="J110" i="52"/>
  <c r="I110" i="52"/>
  <c r="H110" i="52"/>
  <c r="G110" i="52"/>
  <c r="F110" i="52"/>
  <c r="E110" i="52"/>
  <c r="D110" i="52"/>
  <c r="C110" i="52"/>
  <c r="T109" i="52"/>
  <c r="S109" i="52"/>
  <c r="R109" i="52"/>
  <c r="Q109" i="52"/>
  <c r="P109" i="52"/>
  <c r="O109" i="52"/>
  <c r="N109" i="52"/>
  <c r="M109" i="52"/>
  <c r="L109" i="52"/>
  <c r="K109" i="52"/>
  <c r="J109" i="52"/>
  <c r="I109" i="52"/>
  <c r="H109" i="52"/>
  <c r="G109" i="52"/>
  <c r="F109" i="52"/>
  <c r="E109" i="52"/>
  <c r="D109" i="52"/>
  <c r="C109" i="52"/>
  <c r="T108" i="52"/>
  <c r="S108" i="52"/>
  <c r="R108" i="52"/>
  <c r="Q108" i="52"/>
  <c r="P108" i="52"/>
  <c r="O108" i="52"/>
  <c r="N108" i="52"/>
  <c r="M108" i="52"/>
  <c r="L108" i="52"/>
  <c r="K108" i="52"/>
  <c r="J108" i="52"/>
  <c r="I108" i="52"/>
  <c r="H108" i="52"/>
  <c r="G108" i="52"/>
  <c r="F108" i="52"/>
  <c r="E108" i="52"/>
  <c r="D108" i="52"/>
  <c r="C108" i="52"/>
  <c r="T107" i="52"/>
  <c r="S107" i="52"/>
  <c r="R107" i="52"/>
  <c r="Q107" i="52"/>
  <c r="P107" i="52"/>
  <c r="O107" i="52"/>
  <c r="N107" i="52"/>
  <c r="M107" i="52"/>
  <c r="L107" i="52"/>
  <c r="K107" i="52"/>
  <c r="J107" i="52"/>
  <c r="I107" i="52"/>
  <c r="H107" i="52"/>
  <c r="G107" i="52"/>
  <c r="F107" i="52"/>
  <c r="E107" i="52"/>
  <c r="D107" i="52"/>
  <c r="C107" i="52"/>
  <c r="T106" i="52"/>
  <c r="S106" i="52"/>
  <c r="R106" i="52"/>
  <c r="Q106" i="52"/>
  <c r="P106" i="52"/>
  <c r="O106" i="52"/>
  <c r="N106" i="52"/>
  <c r="M106" i="52"/>
  <c r="L106" i="52"/>
  <c r="K106" i="52"/>
  <c r="J106" i="52"/>
  <c r="I106" i="52"/>
  <c r="H106" i="52"/>
  <c r="G106" i="52"/>
  <c r="F106" i="52"/>
  <c r="E106" i="52"/>
  <c r="D106" i="52"/>
  <c r="C106" i="52"/>
  <c r="T105" i="52"/>
  <c r="S105" i="52"/>
  <c r="R105" i="52"/>
  <c r="Q105" i="52"/>
  <c r="P105" i="52"/>
  <c r="O105" i="52"/>
  <c r="N105" i="52"/>
  <c r="M105" i="52"/>
  <c r="L105" i="52"/>
  <c r="K105" i="52"/>
  <c r="J105" i="52"/>
  <c r="I105" i="52"/>
  <c r="H105" i="52"/>
  <c r="G105" i="52"/>
  <c r="F105" i="52"/>
  <c r="E105" i="52"/>
  <c r="D105" i="52"/>
  <c r="C105" i="52"/>
  <c r="T104" i="52"/>
  <c r="S104" i="52"/>
  <c r="R104" i="52"/>
  <c r="Q104" i="52"/>
  <c r="P104" i="52"/>
  <c r="O104" i="52"/>
  <c r="N104" i="52"/>
  <c r="M104" i="52"/>
  <c r="L104" i="52"/>
  <c r="K104" i="52"/>
  <c r="J104" i="52"/>
  <c r="I104" i="52"/>
  <c r="H104" i="52"/>
  <c r="G104" i="52"/>
  <c r="F104" i="52"/>
  <c r="E104" i="52"/>
  <c r="D104" i="52"/>
  <c r="C104" i="52"/>
  <c r="T103" i="52"/>
  <c r="S103" i="52"/>
  <c r="R103" i="52"/>
  <c r="Q103" i="52"/>
  <c r="P103" i="52"/>
  <c r="O103" i="52"/>
  <c r="N103" i="52"/>
  <c r="M103" i="52"/>
  <c r="L103" i="52"/>
  <c r="K103" i="52"/>
  <c r="J103" i="52"/>
  <c r="I103" i="52"/>
  <c r="H103" i="52"/>
  <c r="G103" i="52"/>
  <c r="F103" i="52"/>
  <c r="E103" i="52"/>
  <c r="D103" i="52"/>
  <c r="C103" i="52"/>
  <c r="T102" i="52"/>
  <c r="S102" i="52"/>
  <c r="R102" i="52"/>
  <c r="Q102" i="52"/>
  <c r="P102" i="52"/>
  <c r="O102" i="52"/>
  <c r="N102" i="52"/>
  <c r="M102" i="52"/>
  <c r="L102" i="52"/>
  <c r="K102" i="52"/>
  <c r="J102" i="52"/>
  <c r="I102" i="52"/>
  <c r="H102" i="52"/>
  <c r="G102" i="52"/>
  <c r="F102" i="52"/>
  <c r="E102" i="52"/>
  <c r="D102" i="52"/>
  <c r="C102" i="52"/>
  <c r="T101" i="52"/>
  <c r="S101" i="52"/>
  <c r="R101" i="52"/>
  <c r="Q101" i="52"/>
  <c r="P101" i="52"/>
  <c r="O101" i="52"/>
  <c r="N101" i="52"/>
  <c r="M101" i="52"/>
  <c r="L101" i="52"/>
  <c r="K101" i="52"/>
  <c r="J101" i="52"/>
  <c r="I101" i="52"/>
  <c r="H101" i="52"/>
  <c r="G101" i="52"/>
  <c r="F101" i="52"/>
  <c r="E101" i="52"/>
  <c r="D101" i="52"/>
  <c r="C101" i="52"/>
  <c r="C39" i="1"/>
  <c r="B39" i="1"/>
  <c r="J92" i="52"/>
  <c r="J91" i="52"/>
  <c r="J90" i="52"/>
  <c r="J89" i="52"/>
  <c r="J88" i="52"/>
  <c r="J87" i="52"/>
  <c r="J100" i="52"/>
  <c r="J99" i="52"/>
  <c r="J98" i="52"/>
  <c r="J97" i="52"/>
  <c r="J96" i="52"/>
  <c r="J95" i="52"/>
  <c r="J94" i="52"/>
  <c r="J93" i="52"/>
  <c r="F100" i="52"/>
  <c r="F99" i="52"/>
  <c r="F98" i="52"/>
  <c r="F97" i="52"/>
  <c r="F96" i="52"/>
  <c r="F95" i="52"/>
  <c r="F94" i="52"/>
  <c r="F93" i="52"/>
  <c r="F92" i="52"/>
  <c r="F91" i="52"/>
  <c r="F90" i="52"/>
  <c r="F89" i="52"/>
  <c r="F88" i="52"/>
  <c r="F87" i="52"/>
  <c r="C48" i="1"/>
  <c r="C47" i="1"/>
  <c r="C46" i="1"/>
  <c r="D46" i="1" s="1"/>
  <c r="C45" i="1"/>
  <c r="C44" i="1"/>
  <c r="D44" i="1" s="1"/>
  <c r="B48" i="1"/>
  <c r="B47" i="1"/>
  <c r="B46" i="1"/>
  <c r="B45" i="1"/>
  <c r="B44" i="1"/>
  <c r="T100" i="52"/>
  <c r="S100" i="52"/>
  <c r="R100" i="52"/>
  <c r="Q100" i="52"/>
  <c r="P100" i="52"/>
  <c r="O100" i="52"/>
  <c r="N100" i="52"/>
  <c r="M100" i="52"/>
  <c r="L100" i="52"/>
  <c r="K100" i="52"/>
  <c r="I100" i="52"/>
  <c r="H100" i="52"/>
  <c r="G100" i="52"/>
  <c r="E100" i="52"/>
  <c r="D100" i="52"/>
  <c r="C100" i="52"/>
  <c r="T99" i="52"/>
  <c r="S99" i="52"/>
  <c r="R99" i="52"/>
  <c r="Q99" i="52"/>
  <c r="P99" i="52"/>
  <c r="O99" i="52"/>
  <c r="N99" i="52"/>
  <c r="M99" i="52"/>
  <c r="L99" i="52"/>
  <c r="K99" i="52"/>
  <c r="I99" i="52"/>
  <c r="H99" i="52"/>
  <c r="G99" i="52"/>
  <c r="E99" i="52"/>
  <c r="D99" i="52"/>
  <c r="C99" i="52"/>
  <c r="T98" i="52"/>
  <c r="S98" i="52"/>
  <c r="R98" i="52"/>
  <c r="Q98" i="52"/>
  <c r="P98" i="52"/>
  <c r="O98" i="52"/>
  <c r="N98" i="52"/>
  <c r="M98" i="52"/>
  <c r="L98" i="52"/>
  <c r="K98" i="52"/>
  <c r="I98" i="52"/>
  <c r="H98" i="52"/>
  <c r="G98" i="52"/>
  <c r="E98" i="52"/>
  <c r="D98" i="52"/>
  <c r="C98" i="52"/>
  <c r="T97" i="52"/>
  <c r="S97" i="52"/>
  <c r="R97" i="52"/>
  <c r="Q97" i="52"/>
  <c r="P97" i="52"/>
  <c r="O97" i="52"/>
  <c r="N97" i="52"/>
  <c r="M97" i="52"/>
  <c r="L97" i="52"/>
  <c r="K97" i="52"/>
  <c r="I97" i="52"/>
  <c r="H97" i="52"/>
  <c r="G97" i="52"/>
  <c r="E97" i="52"/>
  <c r="D97" i="52"/>
  <c r="C97" i="52"/>
  <c r="T96" i="52"/>
  <c r="S96" i="52"/>
  <c r="R96" i="52"/>
  <c r="Q96" i="52"/>
  <c r="P96" i="52"/>
  <c r="O96" i="52"/>
  <c r="N96" i="52"/>
  <c r="M96" i="52"/>
  <c r="L96" i="52"/>
  <c r="K96" i="52"/>
  <c r="I96" i="52"/>
  <c r="H96" i="52"/>
  <c r="G96" i="52"/>
  <c r="E96" i="52"/>
  <c r="D96" i="52"/>
  <c r="C96" i="52"/>
  <c r="T95" i="52"/>
  <c r="S95" i="52"/>
  <c r="R95" i="52"/>
  <c r="Q95" i="52"/>
  <c r="P95" i="52"/>
  <c r="O95" i="52"/>
  <c r="N95" i="52"/>
  <c r="M95" i="52"/>
  <c r="L95" i="52"/>
  <c r="K95" i="52"/>
  <c r="I95" i="52"/>
  <c r="H95" i="52"/>
  <c r="G95" i="52"/>
  <c r="E95" i="52"/>
  <c r="D95" i="52"/>
  <c r="C95" i="52"/>
  <c r="T94" i="52"/>
  <c r="S94" i="52"/>
  <c r="R94" i="52"/>
  <c r="Q94" i="52"/>
  <c r="P94" i="52"/>
  <c r="O94" i="52"/>
  <c r="N94" i="52"/>
  <c r="M94" i="52"/>
  <c r="L94" i="52"/>
  <c r="K94" i="52"/>
  <c r="I94" i="52"/>
  <c r="H94" i="52"/>
  <c r="G94" i="52"/>
  <c r="E94" i="52"/>
  <c r="D94" i="52"/>
  <c r="C94" i="52"/>
  <c r="T93" i="52"/>
  <c r="S93" i="52"/>
  <c r="R93" i="52"/>
  <c r="Q93" i="52"/>
  <c r="P93" i="52"/>
  <c r="O93" i="52"/>
  <c r="N93" i="52"/>
  <c r="M93" i="52"/>
  <c r="L93" i="52"/>
  <c r="K93" i="52"/>
  <c r="I93" i="52"/>
  <c r="H93" i="52"/>
  <c r="G93" i="52"/>
  <c r="E93" i="52"/>
  <c r="D93" i="52"/>
  <c r="C93" i="52"/>
  <c r="T92" i="52"/>
  <c r="S92" i="52"/>
  <c r="R92" i="52"/>
  <c r="Q92" i="52"/>
  <c r="P92" i="52"/>
  <c r="O92" i="52"/>
  <c r="N92" i="52"/>
  <c r="M92" i="52"/>
  <c r="L92" i="52"/>
  <c r="K92" i="52"/>
  <c r="I92" i="52"/>
  <c r="H92" i="52"/>
  <c r="G92" i="52"/>
  <c r="E92" i="52"/>
  <c r="D92" i="52"/>
  <c r="C92" i="52"/>
  <c r="T91" i="52"/>
  <c r="S91" i="52"/>
  <c r="R91" i="52"/>
  <c r="Q91" i="52"/>
  <c r="P91" i="52"/>
  <c r="O91" i="52"/>
  <c r="N91" i="52"/>
  <c r="M91" i="52"/>
  <c r="L91" i="52"/>
  <c r="K91" i="52"/>
  <c r="I91" i="52"/>
  <c r="H91" i="52"/>
  <c r="G91" i="52"/>
  <c r="E91" i="52"/>
  <c r="D91" i="52"/>
  <c r="C91" i="52"/>
  <c r="T90" i="52"/>
  <c r="S90" i="52"/>
  <c r="R90" i="52"/>
  <c r="Q90" i="52"/>
  <c r="P90" i="52"/>
  <c r="O90" i="52"/>
  <c r="N90" i="52"/>
  <c r="M90" i="52"/>
  <c r="L90" i="52"/>
  <c r="K90" i="52"/>
  <c r="I90" i="52"/>
  <c r="H90" i="52"/>
  <c r="G90" i="52"/>
  <c r="E90" i="52"/>
  <c r="D90" i="52"/>
  <c r="C90" i="52"/>
  <c r="T89" i="52"/>
  <c r="S89" i="52"/>
  <c r="R89" i="52"/>
  <c r="Q89" i="52"/>
  <c r="P89" i="52"/>
  <c r="O89" i="52"/>
  <c r="N89" i="52"/>
  <c r="M89" i="52"/>
  <c r="L89" i="52"/>
  <c r="K89" i="52"/>
  <c r="I89" i="52"/>
  <c r="H89" i="52"/>
  <c r="G89" i="52"/>
  <c r="E89" i="52"/>
  <c r="D89" i="52"/>
  <c r="C89" i="52"/>
  <c r="T88" i="52"/>
  <c r="S88" i="52"/>
  <c r="R88" i="52"/>
  <c r="Q88" i="52"/>
  <c r="P88" i="52"/>
  <c r="O88" i="52"/>
  <c r="N88" i="52"/>
  <c r="M88" i="52"/>
  <c r="L88" i="52"/>
  <c r="K88" i="52"/>
  <c r="I88" i="52"/>
  <c r="H88" i="52"/>
  <c r="G88" i="52"/>
  <c r="E88" i="52"/>
  <c r="D88" i="52"/>
  <c r="C88" i="52"/>
  <c r="T87" i="52"/>
  <c r="S87" i="52"/>
  <c r="R87" i="52"/>
  <c r="Q87" i="52"/>
  <c r="P87" i="52"/>
  <c r="O87" i="52"/>
  <c r="N87" i="52"/>
  <c r="M87" i="52"/>
  <c r="L87" i="52"/>
  <c r="K87" i="52"/>
  <c r="I87" i="52"/>
  <c r="H87" i="52"/>
  <c r="G87" i="52"/>
  <c r="E87" i="52"/>
  <c r="D87" i="52"/>
  <c r="C87" i="52"/>
  <c r="T86" i="52"/>
  <c r="S86" i="52"/>
  <c r="R86" i="52"/>
  <c r="Q86" i="52"/>
  <c r="P86" i="52"/>
  <c r="O86" i="52"/>
  <c r="N86" i="52"/>
  <c r="M86" i="52"/>
  <c r="L86" i="52"/>
  <c r="K86" i="52"/>
  <c r="I86" i="52"/>
  <c r="H86" i="52"/>
  <c r="G86" i="52"/>
  <c r="E86" i="52"/>
  <c r="D86" i="52"/>
  <c r="C86" i="52"/>
  <c r="T85" i="52"/>
  <c r="S85" i="52"/>
  <c r="R85" i="52"/>
  <c r="Q85" i="52"/>
  <c r="P85" i="52"/>
  <c r="O85" i="52"/>
  <c r="N85" i="52"/>
  <c r="M85" i="52"/>
  <c r="L85" i="52"/>
  <c r="K85" i="52"/>
  <c r="I85" i="52"/>
  <c r="H85" i="52"/>
  <c r="G85" i="52"/>
  <c r="E85" i="52"/>
  <c r="D85" i="52"/>
  <c r="C85" i="52"/>
  <c r="T84" i="52"/>
  <c r="S84" i="52"/>
  <c r="R84" i="52"/>
  <c r="Q84" i="52"/>
  <c r="P84" i="52"/>
  <c r="O84" i="52"/>
  <c r="N84" i="52"/>
  <c r="M84" i="52"/>
  <c r="L84" i="52"/>
  <c r="K84" i="52"/>
  <c r="I84" i="52"/>
  <c r="H84" i="52"/>
  <c r="G84" i="52"/>
  <c r="E84" i="52"/>
  <c r="D84" i="52"/>
  <c r="C84" i="52"/>
  <c r="T83" i="52"/>
  <c r="S83" i="52"/>
  <c r="R83" i="52"/>
  <c r="Q83" i="52"/>
  <c r="P83" i="52"/>
  <c r="O83" i="52"/>
  <c r="N83" i="52"/>
  <c r="M83" i="52"/>
  <c r="L83" i="52"/>
  <c r="K83" i="52"/>
  <c r="I83" i="52"/>
  <c r="H83" i="52"/>
  <c r="G83" i="52"/>
  <c r="E83" i="52"/>
  <c r="D83" i="52"/>
  <c r="C83" i="52"/>
  <c r="T82" i="52"/>
  <c r="S82" i="52"/>
  <c r="R82" i="52"/>
  <c r="Q82" i="52"/>
  <c r="P82" i="52"/>
  <c r="O82" i="52"/>
  <c r="N82" i="52"/>
  <c r="M82" i="52"/>
  <c r="L82" i="52"/>
  <c r="K82" i="52"/>
  <c r="I82" i="52"/>
  <c r="H82" i="52"/>
  <c r="G82" i="52"/>
  <c r="E82" i="52"/>
  <c r="D82" i="52"/>
  <c r="C82" i="52"/>
  <c r="T81" i="52"/>
  <c r="S81" i="52"/>
  <c r="R81" i="52"/>
  <c r="Q81" i="52"/>
  <c r="P81" i="52"/>
  <c r="O81" i="52"/>
  <c r="N81" i="52"/>
  <c r="M81" i="52"/>
  <c r="L81" i="52"/>
  <c r="K81" i="52"/>
  <c r="I81" i="52"/>
  <c r="H81" i="52"/>
  <c r="G81" i="52"/>
  <c r="E81" i="52"/>
  <c r="D81" i="52"/>
  <c r="C81" i="52"/>
  <c r="T80" i="52"/>
  <c r="S80" i="52"/>
  <c r="R80" i="52"/>
  <c r="Q80" i="52"/>
  <c r="P80" i="52"/>
  <c r="O80" i="52"/>
  <c r="N80" i="52"/>
  <c r="M80" i="52"/>
  <c r="L80" i="52"/>
  <c r="K80" i="52"/>
  <c r="I80" i="52"/>
  <c r="H80" i="52"/>
  <c r="G80" i="52"/>
  <c r="E80" i="52"/>
  <c r="D80" i="52"/>
  <c r="C80" i="52"/>
  <c r="T79" i="52"/>
  <c r="S79" i="52"/>
  <c r="R79" i="52"/>
  <c r="Q79" i="52"/>
  <c r="P79" i="52"/>
  <c r="O79" i="52"/>
  <c r="N79" i="52"/>
  <c r="M79" i="52"/>
  <c r="L79" i="52"/>
  <c r="K79" i="52"/>
  <c r="I79" i="52"/>
  <c r="H79" i="52"/>
  <c r="G79" i="52"/>
  <c r="E79" i="52"/>
  <c r="D79" i="52"/>
  <c r="C79" i="52"/>
  <c r="T78" i="52"/>
  <c r="S78" i="52"/>
  <c r="R78" i="52"/>
  <c r="Q78" i="52"/>
  <c r="P78" i="52"/>
  <c r="O78" i="52"/>
  <c r="N78" i="52"/>
  <c r="M78" i="52"/>
  <c r="L78" i="52"/>
  <c r="K78" i="52"/>
  <c r="I78" i="52"/>
  <c r="H78" i="52"/>
  <c r="G78" i="52"/>
  <c r="E78" i="52"/>
  <c r="D78" i="52"/>
  <c r="C78" i="52"/>
  <c r="T77" i="52"/>
  <c r="S77" i="52"/>
  <c r="R77" i="52"/>
  <c r="Q77" i="52"/>
  <c r="P77" i="52"/>
  <c r="O77" i="52"/>
  <c r="N77" i="52"/>
  <c r="M77" i="52"/>
  <c r="L77" i="52"/>
  <c r="K77" i="52"/>
  <c r="I77" i="52"/>
  <c r="H77" i="52"/>
  <c r="G77" i="52"/>
  <c r="E77" i="52"/>
  <c r="D77" i="52"/>
  <c r="C77" i="52"/>
  <c r="T76" i="52"/>
  <c r="S76" i="52"/>
  <c r="R76" i="52"/>
  <c r="Q76" i="52"/>
  <c r="P76" i="52"/>
  <c r="O76" i="52"/>
  <c r="N76" i="52"/>
  <c r="M76" i="52"/>
  <c r="L76" i="52"/>
  <c r="K76" i="52"/>
  <c r="I76" i="52"/>
  <c r="H76" i="52"/>
  <c r="G76" i="52"/>
  <c r="E76" i="52"/>
  <c r="D76" i="52"/>
  <c r="C76" i="52"/>
  <c r="T75" i="52"/>
  <c r="S75" i="52"/>
  <c r="R75" i="52"/>
  <c r="Q75" i="52"/>
  <c r="P75" i="52"/>
  <c r="O75" i="52"/>
  <c r="N75" i="52"/>
  <c r="M75" i="52"/>
  <c r="L75" i="52"/>
  <c r="K75" i="52"/>
  <c r="I75" i="52"/>
  <c r="H75" i="52"/>
  <c r="G75" i="52"/>
  <c r="E75" i="52"/>
  <c r="D75" i="52"/>
  <c r="C75" i="52"/>
  <c r="T74" i="52"/>
  <c r="S74" i="52"/>
  <c r="R74" i="52"/>
  <c r="Q74" i="52"/>
  <c r="P74" i="52"/>
  <c r="O74" i="52"/>
  <c r="N74" i="52"/>
  <c r="M74" i="52"/>
  <c r="L74" i="52"/>
  <c r="K74" i="52"/>
  <c r="I74" i="52"/>
  <c r="H74" i="52"/>
  <c r="G74" i="52"/>
  <c r="E74" i="52"/>
  <c r="D74" i="52"/>
  <c r="C74" i="52"/>
  <c r="T73" i="52"/>
  <c r="S73" i="52"/>
  <c r="R73" i="52"/>
  <c r="Q73" i="52"/>
  <c r="P73" i="52"/>
  <c r="O73" i="52"/>
  <c r="N73" i="52"/>
  <c r="M73" i="52"/>
  <c r="L73" i="52"/>
  <c r="K73" i="52"/>
  <c r="I73" i="52"/>
  <c r="H73" i="52"/>
  <c r="G73" i="52"/>
  <c r="E73" i="52"/>
  <c r="D73" i="52"/>
  <c r="C73" i="52"/>
  <c r="T72" i="52"/>
  <c r="S72" i="52"/>
  <c r="R72" i="52"/>
  <c r="Q72" i="52"/>
  <c r="P72" i="52"/>
  <c r="O72" i="52"/>
  <c r="N72" i="52"/>
  <c r="M72" i="52"/>
  <c r="L72" i="52"/>
  <c r="K72" i="52"/>
  <c r="I72" i="52"/>
  <c r="H72" i="52"/>
  <c r="G72" i="52"/>
  <c r="E72" i="52"/>
  <c r="D72" i="52"/>
  <c r="C72" i="52"/>
  <c r="T71" i="52"/>
  <c r="S71" i="52"/>
  <c r="R71" i="52"/>
  <c r="Q71" i="52"/>
  <c r="P71" i="52"/>
  <c r="O71" i="52"/>
  <c r="N71" i="52"/>
  <c r="M71" i="52"/>
  <c r="L71" i="52"/>
  <c r="K71" i="52"/>
  <c r="I71" i="52"/>
  <c r="H71" i="52"/>
  <c r="G71" i="52"/>
  <c r="E71" i="52"/>
  <c r="D71" i="52"/>
  <c r="C71" i="52"/>
  <c r="T70" i="52"/>
  <c r="S70" i="52"/>
  <c r="R70" i="52"/>
  <c r="Q70" i="52"/>
  <c r="P70" i="52"/>
  <c r="O70" i="52"/>
  <c r="N70" i="52"/>
  <c r="M70" i="52"/>
  <c r="L70" i="52"/>
  <c r="K70" i="52"/>
  <c r="I70" i="52"/>
  <c r="H70" i="52"/>
  <c r="G70" i="52"/>
  <c r="E70" i="52"/>
  <c r="D70" i="52"/>
  <c r="C70" i="52"/>
  <c r="T69" i="52"/>
  <c r="S69" i="52"/>
  <c r="R69" i="52"/>
  <c r="Q69" i="52"/>
  <c r="P69" i="52"/>
  <c r="O69" i="52"/>
  <c r="N69" i="52"/>
  <c r="M69" i="52"/>
  <c r="L69" i="52"/>
  <c r="K69" i="52"/>
  <c r="I69" i="52"/>
  <c r="H69" i="52"/>
  <c r="G69" i="52"/>
  <c r="E69" i="52"/>
  <c r="D69" i="52"/>
  <c r="C69" i="52"/>
  <c r="T68" i="52"/>
  <c r="S68" i="52"/>
  <c r="R68" i="52"/>
  <c r="Q68" i="52"/>
  <c r="P68" i="52"/>
  <c r="O68" i="52"/>
  <c r="N68" i="52"/>
  <c r="M68" i="52"/>
  <c r="L68" i="52"/>
  <c r="K68" i="52"/>
  <c r="I68" i="52"/>
  <c r="H68" i="52"/>
  <c r="G68" i="52"/>
  <c r="E68" i="52"/>
  <c r="D68" i="52"/>
  <c r="C68" i="52"/>
  <c r="T67" i="52"/>
  <c r="S67" i="52"/>
  <c r="R67" i="52"/>
  <c r="Q67" i="52"/>
  <c r="P67" i="52"/>
  <c r="O67" i="52"/>
  <c r="N67" i="52"/>
  <c r="M67" i="52"/>
  <c r="L67" i="52"/>
  <c r="K67" i="52"/>
  <c r="I67" i="52"/>
  <c r="H67" i="52"/>
  <c r="G67" i="52"/>
  <c r="E67" i="52"/>
  <c r="D67" i="52"/>
  <c r="C67" i="52"/>
  <c r="T66" i="52"/>
  <c r="S66" i="52"/>
  <c r="R66" i="52"/>
  <c r="Q66" i="52"/>
  <c r="P66" i="52"/>
  <c r="O66" i="52"/>
  <c r="N66" i="52"/>
  <c r="M66" i="52"/>
  <c r="L66" i="52"/>
  <c r="K66" i="52"/>
  <c r="I66" i="52"/>
  <c r="H66" i="52"/>
  <c r="G66" i="52"/>
  <c r="E66" i="52"/>
  <c r="D66" i="52"/>
  <c r="C66" i="52"/>
  <c r="T65" i="52"/>
  <c r="S65" i="52"/>
  <c r="R65" i="52"/>
  <c r="Q65" i="52"/>
  <c r="P65" i="52"/>
  <c r="O65" i="52"/>
  <c r="N65" i="52"/>
  <c r="M65" i="52"/>
  <c r="L65" i="52"/>
  <c r="K65" i="52"/>
  <c r="I65" i="52"/>
  <c r="H65" i="52"/>
  <c r="G65" i="52"/>
  <c r="E65" i="52"/>
  <c r="D65" i="52"/>
  <c r="C65" i="52"/>
  <c r="T64" i="52"/>
  <c r="S64" i="52"/>
  <c r="R64" i="52"/>
  <c r="Q64" i="52"/>
  <c r="P64" i="52"/>
  <c r="O64" i="52"/>
  <c r="N64" i="52"/>
  <c r="M64" i="52"/>
  <c r="L64" i="52"/>
  <c r="K64" i="52"/>
  <c r="I64" i="52"/>
  <c r="H64" i="52"/>
  <c r="G64" i="52"/>
  <c r="E64" i="52"/>
  <c r="D64" i="52"/>
  <c r="C64" i="52"/>
  <c r="T63" i="52"/>
  <c r="S63" i="52"/>
  <c r="R63" i="52"/>
  <c r="Q63" i="52"/>
  <c r="P63" i="52"/>
  <c r="O63" i="52"/>
  <c r="N63" i="52"/>
  <c r="M63" i="52"/>
  <c r="L63" i="52"/>
  <c r="K63" i="52"/>
  <c r="I63" i="52"/>
  <c r="H63" i="52"/>
  <c r="G63" i="52"/>
  <c r="E63" i="52"/>
  <c r="D63" i="52"/>
  <c r="C63" i="52"/>
  <c r="T62" i="52"/>
  <c r="S62" i="52"/>
  <c r="R62" i="52"/>
  <c r="Q62" i="52"/>
  <c r="P62" i="52"/>
  <c r="O62" i="52"/>
  <c r="N62" i="52"/>
  <c r="M62" i="52"/>
  <c r="L62" i="52"/>
  <c r="K62" i="52"/>
  <c r="I62" i="52"/>
  <c r="H62" i="52"/>
  <c r="G62" i="52"/>
  <c r="E62" i="52"/>
  <c r="D62" i="52"/>
  <c r="C62" i="52"/>
  <c r="T61" i="52"/>
  <c r="S61" i="52"/>
  <c r="R61" i="52"/>
  <c r="Q61" i="52"/>
  <c r="P61" i="52"/>
  <c r="O61" i="52"/>
  <c r="N61" i="52"/>
  <c r="M61" i="52"/>
  <c r="L61" i="52"/>
  <c r="K61" i="52"/>
  <c r="I61" i="52"/>
  <c r="H61" i="52"/>
  <c r="G61" i="52"/>
  <c r="E61" i="52"/>
  <c r="D61" i="52"/>
  <c r="C61" i="52"/>
  <c r="T60" i="52"/>
  <c r="S60" i="52"/>
  <c r="R60" i="52"/>
  <c r="Q60" i="52"/>
  <c r="P60" i="52"/>
  <c r="O60" i="52"/>
  <c r="N60" i="52"/>
  <c r="M60" i="52"/>
  <c r="L60" i="52"/>
  <c r="K60" i="52"/>
  <c r="I60" i="52"/>
  <c r="H60" i="52"/>
  <c r="G60" i="52"/>
  <c r="E60" i="52"/>
  <c r="D60" i="52"/>
  <c r="C60" i="52"/>
  <c r="T59" i="52"/>
  <c r="S59" i="52"/>
  <c r="R59" i="52"/>
  <c r="Q59" i="52"/>
  <c r="P59" i="52"/>
  <c r="O59" i="52"/>
  <c r="N59" i="52"/>
  <c r="M59" i="52"/>
  <c r="L59" i="52"/>
  <c r="K59" i="52"/>
  <c r="I59" i="52"/>
  <c r="H59" i="52"/>
  <c r="G59" i="52"/>
  <c r="E59" i="52"/>
  <c r="D59" i="52"/>
  <c r="C59" i="52"/>
  <c r="T58" i="52"/>
  <c r="S58" i="52"/>
  <c r="R58" i="52"/>
  <c r="Q58" i="52"/>
  <c r="P58" i="52"/>
  <c r="O58" i="52"/>
  <c r="N58" i="52"/>
  <c r="M58" i="52"/>
  <c r="L58" i="52"/>
  <c r="K58" i="52"/>
  <c r="I58" i="52"/>
  <c r="H58" i="52"/>
  <c r="G58" i="52"/>
  <c r="E58" i="52"/>
  <c r="D58" i="52"/>
  <c r="C58" i="52"/>
  <c r="T57" i="52"/>
  <c r="S57" i="52"/>
  <c r="R57" i="52"/>
  <c r="Q57" i="52"/>
  <c r="P57" i="52"/>
  <c r="O57" i="52"/>
  <c r="N57" i="52"/>
  <c r="M57" i="52"/>
  <c r="L57" i="52"/>
  <c r="K57" i="52"/>
  <c r="I57" i="52"/>
  <c r="H57" i="52"/>
  <c r="G57" i="52"/>
  <c r="E57" i="52"/>
  <c r="D57" i="52"/>
  <c r="C57" i="52"/>
  <c r="T56" i="52"/>
  <c r="S56" i="52"/>
  <c r="R56" i="52"/>
  <c r="Q56" i="52"/>
  <c r="P56" i="52"/>
  <c r="O56" i="52"/>
  <c r="N56" i="52"/>
  <c r="M56" i="52"/>
  <c r="L56" i="52"/>
  <c r="K56" i="52"/>
  <c r="I56" i="52"/>
  <c r="H56" i="52"/>
  <c r="G56" i="52"/>
  <c r="E56" i="52"/>
  <c r="D56" i="52"/>
  <c r="C56" i="52"/>
  <c r="T55" i="52"/>
  <c r="S55" i="52"/>
  <c r="R55" i="52"/>
  <c r="Q55" i="52"/>
  <c r="P55" i="52"/>
  <c r="O55" i="52"/>
  <c r="N55" i="52"/>
  <c r="M55" i="52"/>
  <c r="L55" i="52"/>
  <c r="K55" i="52"/>
  <c r="I55" i="52"/>
  <c r="H55" i="52"/>
  <c r="G55" i="52"/>
  <c r="E55" i="52"/>
  <c r="D55" i="52"/>
  <c r="C55" i="52"/>
  <c r="T54" i="52"/>
  <c r="S54" i="52"/>
  <c r="R54" i="52"/>
  <c r="Q54" i="52"/>
  <c r="P54" i="52"/>
  <c r="O54" i="52"/>
  <c r="N54" i="52"/>
  <c r="M54" i="52"/>
  <c r="L54" i="52"/>
  <c r="K54" i="52"/>
  <c r="I54" i="52"/>
  <c r="H54" i="52"/>
  <c r="G54" i="52"/>
  <c r="E54" i="52"/>
  <c r="D54" i="52"/>
  <c r="C54" i="52"/>
  <c r="T53" i="52"/>
  <c r="S53" i="52"/>
  <c r="R53" i="52"/>
  <c r="Q53" i="52"/>
  <c r="P53" i="52"/>
  <c r="O53" i="52"/>
  <c r="N53" i="52"/>
  <c r="M53" i="52"/>
  <c r="L53" i="52"/>
  <c r="K53" i="52"/>
  <c r="I53" i="52"/>
  <c r="H53" i="52"/>
  <c r="G53" i="52"/>
  <c r="E53" i="52"/>
  <c r="D53" i="52"/>
  <c r="C53" i="52"/>
  <c r="T52" i="52"/>
  <c r="S52" i="52"/>
  <c r="R52" i="52"/>
  <c r="Q52" i="52"/>
  <c r="P52" i="52"/>
  <c r="O52" i="52"/>
  <c r="N52" i="52"/>
  <c r="M52" i="52"/>
  <c r="L52" i="52"/>
  <c r="K52" i="52"/>
  <c r="I52" i="52"/>
  <c r="H52" i="52"/>
  <c r="G52" i="52"/>
  <c r="E52" i="52"/>
  <c r="D52" i="52"/>
  <c r="C52" i="52"/>
  <c r="T51" i="52"/>
  <c r="S51" i="52"/>
  <c r="R51" i="52"/>
  <c r="Q51" i="52"/>
  <c r="P51" i="52"/>
  <c r="O51" i="52"/>
  <c r="N51" i="52"/>
  <c r="M51" i="52"/>
  <c r="L51" i="52"/>
  <c r="K51" i="52"/>
  <c r="I51" i="52"/>
  <c r="H51" i="52"/>
  <c r="G51" i="52"/>
  <c r="E51" i="52"/>
  <c r="D51" i="52"/>
  <c r="C51" i="52"/>
  <c r="T50" i="52"/>
  <c r="S50" i="52"/>
  <c r="R50" i="52"/>
  <c r="Q50" i="52"/>
  <c r="P50" i="52"/>
  <c r="O50" i="52"/>
  <c r="N50" i="52"/>
  <c r="M50" i="52"/>
  <c r="L50" i="52"/>
  <c r="K50" i="52"/>
  <c r="I50" i="52"/>
  <c r="H50" i="52"/>
  <c r="G50" i="52"/>
  <c r="E50" i="52"/>
  <c r="D50" i="52"/>
  <c r="C50" i="52"/>
  <c r="T49" i="52"/>
  <c r="S49" i="52"/>
  <c r="R49" i="52"/>
  <c r="Q49" i="52"/>
  <c r="P49" i="52"/>
  <c r="O49" i="52"/>
  <c r="N49" i="52"/>
  <c r="M49" i="52"/>
  <c r="L49" i="52"/>
  <c r="K49" i="52"/>
  <c r="I49" i="52"/>
  <c r="H49" i="52"/>
  <c r="G49" i="52"/>
  <c r="E49" i="52"/>
  <c r="D49" i="52"/>
  <c r="C49" i="52"/>
  <c r="T48" i="52"/>
  <c r="S48" i="52"/>
  <c r="R48" i="52"/>
  <c r="Q48" i="52"/>
  <c r="P48" i="52"/>
  <c r="O48" i="52"/>
  <c r="N48" i="52"/>
  <c r="M48" i="52"/>
  <c r="L48" i="52"/>
  <c r="K48" i="52"/>
  <c r="I48" i="52"/>
  <c r="H48" i="52"/>
  <c r="G48" i="52"/>
  <c r="E48" i="52"/>
  <c r="D48" i="52"/>
  <c r="C48" i="52"/>
  <c r="T47" i="52"/>
  <c r="S47" i="52"/>
  <c r="R47" i="52"/>
  <c r="Q47" i="52"/>
  <c r="P47" i="52"/>
  <c r="O47" i="52"/>
  <c r="N47" i="52"/>
  <c r="M47" i="52"/>
  <c r="L47" i="52"/>
  <c r="K47" i="52"/>
  <c r="I47" i="52"/>
  <c r="H47" i="52"/>
  <c r="G47" i="52"/>
  <c r="E47" i="52"/>
  <c r="D47" i="52"/>
  <c r="C47" i="52"/>
  <c r="T46" i="52"/>
  <c r="S46" i="52"/>
  <c r="R46" i="52"/>
  <c r="Q46" i="52"/>
  <c r="P46" i="52"/>
  <c r="O46" i="52"/>
  <c r="N46" i="52"/>
  <c r="M46" i="52"/>
  <c r="L46" i="52"/>
  <c r="K46" i="52"/>
  <c r="I46" i="52"/>
  <c r="H46" i="52"/>
  <c r="G46" i="52"/>
  <c r="E46" i="52"/>
  <c r="D46" i="52"/>
  <c r="C46" i="52"/>
  <c r="T45" i="52"/>
  <c r="S45" i="52"/>
  <c r="R45" i="52"/>
  <c r="Q45" i="52"/>
  <c r="P45" i="52"/>
  <c r="O45" i="52"/>
  <c r="N45" i="52"/>
  <c r="M45" i="52"/>
  <c r="L45" i="52"/>
  <c r="K45" i="52"/>
  <c r="I45" i="52"/>
  <c r="H45" i="52"/>
  <c r="G45" i="52"/>
  <c r="E45" i="52"/>
  <c r="D45" i="52"/>
  <c r="C45" i="52"/>
  <c r="T44" i="52"/>
  <c r="S44" i="52"/>
  <c r="R44" i="52"/>
  <c r="Q44" i="52"/>
  <c r="P44" i="52"/>
  <c r="O44" i="52"/>
  <c r="N44" i="52"/>
  <c r="M44" i="52"/>
  <c r="L44" i="52"/>
  <c r="K44" i="52"/>
  <c r="I44" i="52"/>
  <c r="H44" i="52"/>
  <c r="G44" i="52"/>
  <c r="E44" i="52"/>
  <c r="D44" i="52"/>
  <c r="C44" i="52"/>
  <c r="T43" i="52"/>
  <c r="S43" i="52"/>
  <c r="R43" i="52"/>
  <c r="Q43" i="52"/>
  <c r="P43" i="52"/>
  <c r="O43" i="52"/>
  <c r="N43" i="52"/>
  <c r="M43" i="52"/>
  <c r="L43" i="52"/>
  <c r="K43" i="52"/>
  <c r="I43" i="52"/>
  <c r="H43" i="52"/>
  <c r="G43" i="52"/>
  <c r="E43" i="52"/>
  <c r="D43" i="52"/>
  <c r="C43" i="52"/>
  <c r="T42" i="52"/>
  <c r="S42" i="52"/>
  <c r="R42" i="52"/>
  <c r="Q42" i="52"/>
  <c r="P42" i="52"/>
  <c r="O42" i="52"/>
  <c r="N42" i="52"/>
  <c r="M42" i="52"/>
  <c r="L42" i="52"/>
  <c r="K42" i="52"/>
  <c r="I42" i="52"/>
  <c r="H42" i="52"/>
  <c r="G42" i="52"/>
  <c r="E42" i="52"/>
  <c r="D42" i="52"/>
  <c r="C42" i="52"/>
  <c r="T41" i="52"/>
  <c r="S41" i="52"/>
  <c r="R41" i="52"/>
  <c r="Q41" i="52"/>
  <c r="P41" i="52"/>
  <c r="O41" i="52"/>
  <c r="N41" i="52"/>
  <c r="M41" i="52"/>
  <c r="L41" i="52"/>
  <c r="K41" i="52"/>
  <c r="I41" i="52"/>
  <c r="H41" i="52"/>
  <c r="G41" i="52"/>
  <c r="E41" i="52"/>
  <c r="D41" i="52"/>
  <c r="C41" i="52"/>
  <c r="T40" i="52"/>
  <c r="S40" i="52"/>
  <c r="R40" i="52"/>
  <c r="Q40" i="52"/>
  <c r="P40" i="52"/>
  <c r="O40" i="52"/>
  <c r="N40" i="52"/>
  <c r="M40" i="52"/>
  <c r="L40" i="52"/>
  <c r="K40" i="52"/>
  <c r="I40" i="52"/>
  <c r="H40" i="52"/>
  <c r="G40" i="52"/>
  <c r="E40" i="52"/>
  <c r="D40" i="52"/>
  <c r="C40" i="52"/>
  <c r="T39" i="52"/>
  <c r="S39" i="52"/>
  <c r="R39" i="52"/>
  <c r="Q39" i="52"/>
  <c r="P39" i="52"/>
  <c r="O39" i="52"/>
  <c r="N39" i="52"/>
  <c r="M39" i="52"/>
  <c r="L39" i="52"/>
  <c r="K39" i="52"/>
  <c r="I39" i="52"/>
  <c r="H39" i="52"/>
  <c r="G39" i="52"/>
  <c r="E39" i="52"/>
  <c r="D39" i="52"/>
  <c r="C39" i="52"/>
  <c r="T38" i="52"/>
  <c r="S38" i="52"/>
  <c r="R38" i="52"/>
  <c r="Q38" i="52"/>
  <c r="P38" i="52"/>
  <c r="O38" i="52"/>
  <c r="N38" i="52"/>
  <c r="M38" i="52"/>
  <c r="L38" i="52"/>
  <c r="K38" i="52"/>
  <c r="I38" i="52"/>
  <c r="H38" i="52"/>
  <c r="G38" i="52"/>
  <c r="E38" i="52"/>
  <c r="D38" i="52"/>
  <c r="C38" i="52"/>
  <c r="T37" i="52"/>
  <c r="S37" i="52"/>
  <c r="R37" i="52"/>
  <c r="Q37" i="52"/>
  <c r="P37" i="52"/>
  <c r="O37" i="52"/>
  <c r="N37" i="52"/>
  <c r="M37" i="52"/>
  <c r="L37" i="52"/>
  <c r="K37" i="52"/>
  <c r="I37" i="52"/>
  <c r="H37" i="52"/>
  <c r="G37" i="52"/>
  <c r="E37" i="52"/>
  <c r="D37" i="52"/>
  <c r="C37" i="52"/>
  <c r="T36" i="52"/>
  <c r="S36" i="52"/>
  <c r="R36" i="52"/>
  <c r="Q36" i="52"/>
  <c r="P36" i="52"/>
  <c r="O36" i="52"/>
  <c r="N36" i="52"/>
  <c r="M36" i="52"/>
  <c r="L36" i="52"/>
  <c r="K36" i="52"/>
  <c r="I36" i="52"/>
  <c r="H36" i="52"/>
  <c r="G36" i="52"/>
  <c r="E36" i="52"/>
  <c r="D36" i="52"/>
  <c r="C36" i="52"/>
  <c r="T35" i="52"/>
  <c r="S35" i="52"/>
  <c r="R35" i="52"/>
  <c r="Q35" i="52"/>
  <c r="P35" i="52"/>
  <c r="O35" i="52"/>
  <c r="N35" i="52"/>
  <c r="M35" i="52"/>
  <c r="L35" i="52"/>
  <c r="K35" i="52"/>
  <c r="I35" i="52"/>
  <c r="H35" i="52"/>
  <c r="G35" i="52"/>
  <c r="E35" i="52"/>
  <c r="D35" i="52"/>
  <c r="C35" i="52"/>
  <c r="T34" i="52"/>
  <c r="S34" i="52"/>
  <c r="R34" i="52"/>
  <c r="Q34" i="52"/>
  <c r="P34" i="52"/>
  <c r="O34" i="52"/>
  <c r="N34" i="52"/>
  <c r="M34" i="52"/>
  <c r="L34" i="52"/>
  <c r="K34" i="52"/>
  <c r="I34" i="52"/>
  <c r="H34" i="52"/>
  <c r="G34" i="52"/>
  <c r="E34" i="52"/>
  <c r="D34" i="52"/>
  <c r="C34" i="52"/>
  <c r="T33" i="52"/>
  <c r="S33" i="52"/>
  <c r="R33" i="52"/>
  <c r="Q33" i="52"/>
  <c r="P33" i="52"/>
  <c r="O33" i="52"/>
  <c r="N33" i="52"/>
  <c r="M33" i="52"/>
  <c r="L33" i="52"/>
  <c r="K33" i="52"/>
  <c r="I33" i="52"/>
  <c r="H33" i="52"/>
  <c r="G33" i="52"/>
  <c r="E33" i="52"/>
  <c r="D33" i="52"/>
  <c r="C33" i="52"/>
  <c r="T32" i="52"/>
  <c r="S32" i="52"/>
  <c r="R32" i="52"/>
  <c r="Q32" i="52"/>
  <c r="P32" i="52"/>
  <c r="O32" i="52"/>
  <c r="N32" i="52"/>
  <c r="M32" i="52"/>
  <c r="L32" i="52"/>
  <c r="K32" i="52"/>
  <c r="I32" i="52"/>
  <c r="H32" i="52"/>
  <c r="G32" i="52"/>
  <c r="E32" i="52"/>
  <c r="D32" i="52"/>
  <c r="C32" i="52"/>
  <c r="T31" i="52"/>
  <c r="S31" i="52"/>
  <c r="R31" i="52"/>
  <c r="Q31" i="52"/>
  <c r="P31" i="52"/>
  <c r="O31" i="52"/>
  <c r="N31" i="52"/>
  <c r="M31" i="52"/>
  <c r="L31" i="52"/>
  <c r="K31" i="52"/>
  <c r="I31" i="52"/>
  <c r="H31" i="52"/>
  <c r="G31" i="52"/>
  <c r="E31" i="52"/>
  <c r="D31" i="52"/>
  <c r="C31" i="52"/>
  <c r="T30" i="52"/>
  <c r="S30" i="52"/>
  <c r="R30" i="52"/>
  <c r="Q30" i="52"/>
  <c r="P30" i="52"/>
  <c r="O30" i="52"/>
  <c r="N30" i="52"/>
  <c r="M30" i="52"/>
  <c r="L30" i="52"/>
  <c r="K30" i="52"/>
  <c r="I30" i="52"/>
  <c r="H30" i="52"/>
  <c r="G30" i="52"/>
  <c r="T29" i="52"/>
  <c r="S29" i="52"/>
  <c r="R29" i="52"/>
  <c r="Q29" i="52"/>
  <c r="P29" i="52"/>
  <c r="O29" i="52"/>
  <c r="N29" i="52"/>
  <c r="M29" i="52"/>
  <c r="L29" i="52"/>
  <c r="K29" i="52"/>
  <c r="I29" i="52"/>
  <c r="H29" i="52"/>
  <c r="G29" i="52"/>
  <c r="E29" i="52"/>
  <c r="D29" i="52"/>
  <c r="C29" i="52"/>
  <c r="T28" i="52"/>
  <c r="S28" i="52"/>
  <c r="R28" i="52"/>
  <c r="Q28" i="52"/>
  <c r="P28" i="52"/>
  <c r="O28" i="52"/>
  <c r="N28" i="52"/>
  <c r="M28" i="52"/>
  <c r="L28" i="52"/>
  <c r="K28" i="52"/>
  <c r="I28" i="52"/>
  <c r="H28" i="52"/>
  <c r="G28" i="52"/>
  <c r="E28" i="52"/>
  <c r="D28" i="52"/>
  <c r="C28" i="52"/>
  <c r="T27" i="52"/>
  <c r="S27" i="52"/>
  <c r="R27" i="52"/>
  <c r="Q27" i="52"/>
  <c r="P27" i="52"/>
  <c r="O27" i="52"/>
  <c r="N27" i="52"/>
  <c r="M27" i="52"/>
  <c r="L27" i="52"/>
  <c r="K27" i="52"/>
  <c r="I27" i="52"/>
  <c r="H27" i="52"/>
  <c r="G27" i="52"/>
  <c r="E27" i="52"/>
  <c r="D27" i="52"/>
  <c r="C27" i="52"/>
  <c r="T26" i="52"/>
  <c r="S26" i="52"/>
  <c r="R26" i="52"/>
  <c r="Q26" i="52"/>
  <c r="P26" i="52"/>
  <c r="O26" i="52"/>
  <c r="N26" i="52"/>
  <c r="M26" i="52"/>
  <c r="L26" i="52"/>
  <c r="K26" i="52"/>
  <c r="I26" i="52"/>
  <c r="H26" i="52"/>
  <c r="G26" i="52"/>
  <c r="E26" i="52"/>
  <c r="D26" i="52"/>
  <c r="C26" i="52"/>
  <c r="T25" i="52"/>
  <c r="S25" i="52"/>
  <c r="R25" i="52"/>
  <c r="Q25" i="52"/>
  <c r="P25" i="52"/>
  <c r="O25" i="52"/>
  <c r="N25" i="52"/>
  <c r="M25" i="52"/>
  <c r="L25" i="52"/>
  <c r="K25" i="52"/>
  <c r="I25" i="52"/>
  <c r="H25" i="52"/>
  <c r="G25" i="52"/>
  <c r="E25" i="52"/>
  <c r="D25" i="52"/>
  <c r="C25" i="52"/>
  <c r="T24" i="52"/>
  <c r="S24" i="52"/>
  <c r="R24" i="52"/>
  <c r="Q24" i="52"/>
  <c r="P24" i="52"/>
  <c r="O24" i="52"/>
  <c r="N24" i="52"/>
  <c r="M24" i="52"/>
  <c r="L24" i="52"/>
  <c r="K24" i="52"/>
  <c r="I24" i="52"/>
  <c r="H24" i="52"/>
  <c r="G24" i="52"/>
  <c r="E24" i="52"/>
  <c r="D24" i="52"/>
  <c r="C24" i="52"/>
  <c r="T23" i="52"/>
  <c r="S23" i="52"/>
  <c r="R23" i="52"/>
  <c r="Q23" i="52"/>
  <c r="P23" i="52"/>
  <c r="O23" i="52"/>
  <c r="N23" i="52"/>
  <c r="M23" i="52"/>
  <c r="L23" i="52"/>
  <c r="K23" i="52"/>
  <c r="I23" i="52"/>
  <c r="H23" i="52"/>
  <c r="G23" i="52"/>
  <c r="E23" i="52"/>
  <c r="D23" i="52"/>
  <c r="C23" i="52"/>
  <c r="T22" i="52"/>
  <c r="S22" i="52"/>
  <c r="R22" i="52"/>
  <c r="Q22" i="52"/>
  <c r="P22" i="52"/>
  <c r="O22" i="52"/>
  <c r="N22" i="52"/>
  <c r="M22" i="52"/>
  <c r="L22" i="52"/>
  <c r="K22" i="52"/>
  <c r="I22" i="52"/>
  <c r="H22" i="52"/>
  <c r="G22" i="52"/>
  <c r="E22" i="52"/>
  <c r="D22" i="52"/>
  <c r="C22" i="52"/>
  <c r="T21" i="52"/>
  <c r="S21" i="52"/>
  <c r="R21" i="52"/>
  <c r="Q21" i="52"/>
  <c r="P21" i="52"/>
  <c r="O21" i="52"/>
  <c r="N21" i="52"/>
  <c r="M21" i="52"/>
  <c r="L21" i="52"/>
  <c r="K21" i="52"/>
  <c r="I21" i="52"/>
  <c r="H21" i="52"/>
  <c r="G21" i="52"/>
  <c r="E21" i="52"/>
  <c r="D21" i="52"/>
  <c r="C21" i="52"/>
  <c r="T20" i="52"/>
  <c r="S20" i="52"/>
  <c r="R20" i="52"/>
  <c r="Q20" i="52"/>
  <c r="P20" i="52"/>
  <c r="O20" i="52"/>
  <c r="N20" i="52"/>
  <c r="M20" i="52"/>
  <c r="L20" i="52"/>
  <c r="K20" i="52"/>
  <c r="I20" i="52"/>
  <c r="H20" i="52"/>
  <c r="G20" i="52"/>
  <c r="E20" i="52"/>
  <c r="D20" i="52"/>
  <c r="C20" i="52"/>
  <c r="T19" i="52"/>
  <c r="S19" i="52"/>
  <c r="R19" i="52"/>
  <c r="Q19" i="52"/>
  <c r="P19" i="52"/>
  <c r="O19" i="52"/>
  <c r="N19" i="52"/>
  <c r="M19" i="52"/>
  <c r="L19" i="52"/>
  <c r="K19" i="52"/>
  <c r="I19" i="52"/>
  <c r="H19" i="52"/>
  <c r="G19" i="52"/>
  <c r="E19" i="52"/>
  <c r="D19" i="52"/>
  <c r="C19" i="52"/>
  <c r="T18" i="52"/>
  <c r="S18" i="52"/>
  <c r="R18" i="52"/>
  <c r="Q18" i="52"/>
  <c r="P18" i="52"/>
  <c r="O18" i="52"/>
  <c r="N18" i="52"/>
  <c r="M18" i="52"/>
  <c r="L18" i="52"/>
  <c r="K18" i="52"/>
  <c r="I18" i="52"/>
  <c r="H18" i="52"/>
  <c r="G18" i="52"/>
  <c r="E18" i="52"/>
  <c r="D18" i="52"/>
  <c r="C18" i="52"/>
  <c r="T17" i="52"/>
  <c r="S17" i="52"/>
  <c r="R17" i="52"/>
  <c r="Q17" i="52"/>
  <c r="P17" i="52"/>
  <c r="O17" i="52"/>
  <c r="N17" i="52"/>
  <c r="M17" i="52"/>
  <c r="L17" i="52"/>
  <c r="K17" i="52"/>
  <c r="I17" i="52"/>
  <c r="H17" i="52"/>
  <c r="G17" i="52"/>
  <c r="E17" i="52"/>
  <c r="D17" i="52"/>
  <c r="C17" i="52"/>
  <c r="T8" i="52"/>
  <c r="T7" i="52"/>
  <c r="T6" i="52"/>
  <c r="T5" i="52"/>
  <c r="T4" i="52"/>
  <c r="T3" i="52"/>
  <c r="T16" i="52"/>
  <c r="T15" i="52"/>
  <c r="T14" i="52"/>
  <c r="T13" i="52"/>
  <c r="T12" i="52"/>
  <c r="T11" i="52"/>
  <c r="T10" i="52"/>
  <c r="T9" i="52"/>
  <c r="S16" i="52"/>
  <c r="S15" i="52"/>
  <c r="S14" i="52"/>
  <c r="S13" i="52"/>
  <c r="S12" i="52"/>
  <c r="S11" i="52"/>
  <c r="S10" i="52"/>
  <c r="S9" i="52"/>
  <c r="S8" i="52"/>
  <c r="S7" i="52"/>
  <c r="S6" i="52"/>
  <c r="S5" i="52"/>
  <c r="S4" i="52"/>
  <c r="S3" i="52"/>
  <c r="O8" i="52"/>
  <c r="O7" i="52"/>
  <c r="O6" i="52"/>
  <c r="O5" i="52"/>
  <c r="O4" i="52"/>
  <c r="O3" i="52"/>
  <c r="O16" i="52"/>
  <c r="O15" i="52"/>
  <c r="O14" i="52"/>
  <c r="O13" i="52"/>
  <c r="O12" i="52"/>
  <c r="O11" i="52"/>
  <c r="O10" i="52"/>
  <c r="O9" i="52"/>
  <c r="N16" i="52"/>
  <c r="N15" i="52"/>
  <c r="N14" i="52"/>
  <c r="N13" i="52"/>
  <c r="N12" i="52"/>
  <c r="N11" i="52"/>
  <c r="N10" i="52"/>
  <c r="N9" i="52"/>
  <c r="N8" i="52"/>
  <c r="N7" i="52"/>
  <c r="N6" i="52"/>
  <c r="N5" i="52"/>
  <c r="N4" i="52"/>
  <c r="N3" i="52"/>
  <c r="R8" i="52"/>
  <c r="R7" i="52"/>
  <c r="R6" i="52"/>
  <c r="R5" i="52"/>
  <c r="R4" i="52"/>
  <c r="R3" i="52"/>
  <c r="R16" i="52"/>
  <c r="R15" i="52"/>
  <c r="R14" i="52"/>
  <c r="R13" i="52"/>
  <c r="R12" i="52"/>
  <c r="R11" i="52"/>
  <c r="R10" i="52"/>
  <c r="R9" i="52"/>
  <c r="M16" i="52"/>
  <c r="M15" i="52"/>
  <c r="M14" i="52"/>
  <c r="M13" i="52"/>
  <c r="M12" i="52"/>
  <c r="M11" i="52"/>
  <c r="M10" i="52"/>
  <c r="M9" i="52"/>
  <c r="M8" i="52"/>
  <c r="M7" i="52"/>
  <c r="M6" i="52"/>
  <c r="M5" i="52"/>
  <c r="M4" i="52"/>
  <c r="M3" i="52"/>
  <c r="Q8" i="52"/>
  <c r="Q7" i="52"/>
  <c r="Q6" i="52"/>
  <c r="Q5" i="52"/>
  <c r="Q4" i="52"/>
  <c r="Q3" i="52"/>
  <c r="Q16" i="52"/>
  <c r="Q15" i="52"/>
  <c r="Q14" i="52"/>
  <c r="Q13" i="52"/>
  <c r="Q12" i="52"/>
  <c r="Q11" i="52"/>
  <c r="Q10" i="52"/>
  <c r="Q9" i="52"/>
  <c r="L16" i="52"/>
  <c r="L15" i="52"/>
  <c r="L14" i="52"/>
  <c r="L13" i="52"/>
  <c r="L12" i="52"/>
  <c r="L11" i="52"/>
  <c r="L10" i="52"/>
  <c r="L9" i="52"/>
  <c r="L8" i="52"/>
  <c r="L7" i="52"/>
  <c r="L6" i="52"/>
  <c r="L5" i="52"/>
  <c r="L4" i="52"/>
  <c r="L3" i="52"/>
  <c r="P8" i="52"/>
  <c r="P7" i="52"/>
  <c r="P6" i="52"/>
  <c r="P5" i="52"/>
  <c r="P4" i="52"/>
  <c r="P3" i="52"/>
  <c r="P16" i="52"/>
  <c r="P15" i="52"/>
  <c r="P14" i="52"/>
  <c r="P13" i="52"/>
  <c r="P12" i="52"/>
  <c r="P11" i="52"/>
  <c r="P10" i="52"/>
  <c r="P9" i="52"/>
  <c r="K16" i="52"/>
  <c r="K15" i="52"/>
  <c r="K14" i="52"/>
  <c r="K13" i="52"/>
  <c r="K12" i="52"/>
  <c r="K11" i="52"/>
  <c r="K10" i="52"/>
  <c r="K9" i="52"/>
  <c r="K8" i="52"/>
  <c r="K7" i="52"/>
  <c r="K6" i="52"/>
  <c r="K5" i="52"/>
  <c r="K4" i="52"/>
  <c r="K3" i="52"/>
  <c r="I12" i="52"/>
  <c r="H12" i="52"/>
  <c r="G12" i="52"/>
  <c r="I16" i="52"/>
  <c r="I15" i="52"/>
  <c r="I14" i="52"/>
  <c r="I13" i="52"/>
  <c r="I11" i="52"/>
  <c r="I10" i="52"/>
  <c r="I9" i="52"/>
  <c r="I8" i="52"/>
  <c r="I7" i="52"/>
  <c r="I6" i="52"/>
  <c r="I5" i="52"/>
  <c r="I4" i="52"/>
  <c r="I3" i="52"/>
  <c r="H8" i="52"/>
  <c r="H7" i="52"/>
  <c r="H16" i="52"/>
  <c r="H15" i="52"/>
  <c r="H14" i="52"/>
  <c r="H13" i="52"/>
  <c r="H11" i="52"/>
  <c r="H10" i="52"/>
  <c r="H9" i="52"/>
  <c r="H6" i="52"/>
  <c r="H5" i="52"/>
  <c r="H4" i="52"/>
  <c r="H3" i="52"/>
  <c r="G16" i="52"/>
  <c r="G15" i="52"/>
  <c r="G14" i="52"/>
  <c r="G13" i="52"/>
  <c r="G11" i="52"/>
  <c r="G10" i="52"/>
  <c r="G9" i="52"/>
  <c r="G8" i="52"/>
  <c r="G7" i="52"/>
  <c r="G6" i="52"/>
  <c r="G5" i="52"/>
  <c r="G4" i="52"/>
  <c r="G3" i="52"/>
  <c r="E15" i="52"/>
  <c r="D15" i="52"/>
  <c r="E14" i="52"/>
  <c r="E13" i="52"/>
  <c r="E12" i="52"/>
  <c r="E11" i="52"/>
  <c r="E10" i="52"/>
  <c r="E9" i="52"/>
  <c r="D14" i="52"/>
  <c r="D13" i="52"/>
  <c r="D12" i="52"/>
  <c r="D11" i="52"/>
  <c r="D10" i="52"/>
  <c r="D9" i="52"/>
  <c r="C14" i="52"/>
  <c r="C13" i="52"/>
  <c r="C12" i="52"/>
  <c r="C11" i="52"/>
  <c r="C10" i="52"/>
  <c r="C9" i="52"/>
  <c r="E8" i="52"/>
  <c r="E7" i="52"/>
  <c r="E6" i="52"/>
  <c r="E5" i="52"/>
  <c r="E4" i="52"/>
  <c r="E3" i="52"/>
  <c r="D8" i="52"/>
  <c r="D7" i="52"/>
  <c r="D6" i="52"/>
  <c r="D5" i="52"/>
  <c r="D4" i="52"/>
  <c r="D3" i="52"/>
  <c r="C4" i="52"/>
  <c r="C5" i="52"/>
  <c r="C6" i="52"/>
  <c r="C8" i="52"/>
  <c r="C7" i="52"/>
  <c r="C3" i="52"/>
  <c r="K144" i="52"/>
  <c r="L144" i="52"/>
  <c r="M144" i="52"/>
  <c r="N144" i="52"/>
  <c r="O144" i="52"/>
  <c r="P144" i="52"/>
  <c r="Q144" i="52"/>
  <c r="R144" i="52"/>
  <c r="S144" i="52"/>
  <c r="T144" i="52"/>
  <c r="K145" i="52"/>
  <c r="L145" i="52"/>
  <c r="M145" i="52"/>
  <c r="N145" i="52"/>
  <c r="O145" i="52"/>
  <c r="P145" i="52"/>
  <c r="Q145" i="52"/>
  <c r="R145" i="52"/>
  <c r="S145" i="52"/>
  <c r="T145" i="52"/>
  <c r="K146" i="52"/>
  <c r="L146" i="52"/>
  <c r="M146" i="52"/>
  <c r="N146" i="52"/>
  <c r="O146" i="52"/>
  <c r="P146" i="52"/>
  <c r="Q146" i="52"/>
  <c r="R146" i="52"/>
  <c r="S146" i="52"/>
  <c r="T146" i="52"/>
  <c r="K147" i="52"/>
  <c r="L147" i="52"/>
  <c r="M147" i="52"/>
  <c r="N147" i="52"/>
  <c r="O147" i="52"/>
  <c r="P147" i="52"/>
  <c r="Q147" i="52"/>
  <c r="R147" i="52"/>
  <c r="S147" i="52"/>
  <c r="T147" i="52"/>
  <c r="K148" i="52"/>
  <c r="L148" i="52"/>
  <c r="M148" i="52"/>
  <c r="N148" i="52"/>
  <c r="O148" i="52"/>
  <c r="P148" i="52"/>
  <c r="Q148" i="52"/>
  <c r="R148" i="52"/>
  <c r="S148" i="52"/>
  <c r="T148" i="52"/>
  <c r="K149" i="52"/>
  <c r="L149" i="52"/>
  <c r="M149" i="52"/>
  <c r="N149" i="52"/>
  <c r="O149" i="52"/>
  <c r="P149" i="52"/>
  <c r="Q149" i="52"/>
  <c r="R149" i="52"/>
  <c r="S149" i="52"/>
  <c r="T149" i="52"/>
  <c r="K150" i="52"/>
  <c r="L150" i="52"/>
  <c r="M150" i="52"/>
  <c r="P150" i="52"/>
  <c r="Q150" i="52"/>
  <c r="R150" i="52"/>
  <c r="K151" i="52"/>
  <c r="L151" i="52"/>
  <c r="M151" i="52"/>
  <c r="N151" i="52"/>
  <c r="O151" i="52"/>
  <c r="P151" i="52"/>
  <c r="Q151" i="52"/>
  <c r="R151" i="52"/>
  <c r="S151" i="52"/>
  <c r="T151" i="52"/>
  <c r="K152" i="52"/>
  <c r="L152" i="52"/>
  <c r="M152" i="52"/>
  <c r="N152" i="52"/>
  <c r="O152" i="52"/>
  <c r="P152" i="52"/>
  <c r="Q152" i="52"/>
  <c r="R152" i="52"/>
  <c r="S152" i="52"/>
  <c r="T152" i="52"/>
  <c r="K153" i="52"/>
  <c r="L153" i="52"/>
  <c r="M153" i="52"/>
  <c r="N153" i="52"/>
  <c r="O153" i="52"/>
  <c r="P153" i="52"/>
  <c r="Q153" i="52"/>
  <c r="R153" i="52"/>
  <c r="S153" i="52"/>
  <c r="T153" i="52"/>
  <c r="K154" i="52"/>
  <c r="L154" i="52"/>
  <c r="M154" i="52"/>
  <c r="N154" i="52"/>
  <c r="O154" i="52"/>
  <c r="P154" i="52"/>
  <c r="Q154" i="52"/>
  <c r="R154" i="52"/>
  <c r="S154" i="52"/>
  <c r="T154" i="52"/>
  <c r="K155" i="52"/>
  <c r="L155" i="52"/>
  <c r="M155" i="52"/>
  <c r="N155" i="52"/>
  <c r="O155" i="52"/>
  <c r="P155" i="52"/>
  <c r="Q155" i="52"/>
  <c r="R155" i="52"/>
  <c r="S155" i="52"/>
  <c r="T155" i="52"/>
  <c r="K156" i="52"/>
  <c r="L156" i="52"/>
  <c r="M156" i="52"/>
  <c r="N156" i="52"/>
  <c r="O156" i="52"/>
  <c r="P156" i="52"/>
  <c r="Q156" i="52"/>
  <c r="R156" i="52"/>
  <c r="S156" i="52"/>
  <c r="T156" i="52"/>
  <c r="L143" i="52"/>
  <c r="M143" i="52"/>
  <c r="N143" i="52"/>
  <c r="O143" i="52"/>
  <c r="P143" i="52"/>
  <c r="Q143" i="52"/>
  <c r="R143" i="52"/>
  <c r="S143" i="52"/>
  <c r="T143" i="52"/>
  <c r="K143" i="52"/>
  <c r="C144" i="52"/>
  <c r="D144" i="52"/>
  <c r="E144" i="52"/>
  <c r="F144" i="52"/>
  <c r="G144" i="52"/>
  <c r="H144" i="52"/>
  <c r="I144" i="52"/>
  <c r="J144" i="52"/>
  <c r="C145" i="52"/>
  <c r="D145" i="52"/>
  <c r="E145" i="52"/>
  <c r="F145" i="52"/>
  <c r="G145" i="52"/>
  <c r="H145" i="52"/>
  <c r="I145" i="52"/>
  <c r="J145" i="52"/>
  <c r="C146" i="52"/>
  <c r="D146" i="52"/>
  <c r="E146" i="52"/>
  <c r="F146" i="52"/>
  <c r="G146" i="52"/>
  <c r="H146" i="52"/>
  <c r="I146" i="52"/>
  <c r="J146" i="52"/>
  <c r="C147" i="52"/>
  <c r="D147" i="52"/>
  <c r="E147" i="52"/>
  <c r="F147" i="52"/>
  <c r="G147" i="52"/>
  <c r="H147" i="52"/>
  <c r="I147" i="52"/>
  <c r="J147" i="52"/>
  <c r="C148" i="52"/>
  <c r="D148" i="52"/>
  <c r="E148" i="52"/>
  <c r="F148" i="52"/>
  <c r="G148" i="52"/>
  <c r="H148" i="52"/>
  <c r="I148" i="52"/>
  <c r="J148" i="52"/>
  <c r="C149" i="52"/>
  <c r="D149" i="52"/>
  <c r="E149" i="52"/>
  <c r="F149" i="52"/>
  <c r="G149" i="52"/>
  <c r="H149" i="52"/>
  <c r="I149" i="52"/>
  <c r="J149" i="52"/>
  <c r="C150" i="52"/>
  <c r="D150" i="52"/>
  <c r="E150" i="52"/>
  <c r="F150" i="52"/>
  <c r="G150" i="52"/>
  <c r="H150" i="52"/>
  <c r="I150" i="52"/>
  <c r="J150" i="52"/>
  <c r="C151" i="52"/>
  <c r="D151" i="52"/>
  <c r="E151" i="52"/>
  <c r="F151" i="52"/>
  <c r="G151" i="52"/>
  <c r="H151" i="52"/>
  <c r="I151" i="52"/>
  <c r="J151" i="52"/>
  <c r="C152" i="52"/>
  <c r="D152" i="52"/>
  <c r="E152" i="52"/>
  <c r="F152" i="52"/>
  <c r="G152" i="52"/>
  <c r="H152" i="52"/>
  <c r="I152" i="52"/>
  <c r="J152" i="52"/>
  <c r="C153" i="52"/>
  <c r="D153" i="52"/>
  <c r="E153" i="52"/>
  <c r="F153" i="52"/>
  <c r="G153" i="52"/>
  <c r="H153" i="52"/>
  <c r="I153" i="52"/>
  <c r="J153" i="52"/>
  <c r="C154" i="52"/>
  <c r="D154" i="52"/>
  <c r="E154" i="52"/>
  <c r="F154" i="52"/>
  <c r="G154" i="52"/>
  <c r="H154" i="52"/>
  <c r="I154" i="52"/>
  <c r="J154" i="52"/>
  <c r="C155" i="52"/>
  <c r="D155" i="52"/>
  <c r="E155" i="52"/>
  <c r="F155" i="52"/>
  <c r="G155" i="52"/>
  <c r="H155" i="52"/>
  <c r="I155" i="52"/>
  <c r="J155" i="52"/>
  <c r="C156" i="52"/>
  <c r="D156" i="52"/>
  <c r="E156" i="52"/>
  <c r="F156" i="52"/>
  <c r="G156" i="52"/>
  <c r="H156" i="52"/>
  <c r="I156" i="52"/>
  <c r="J156" i="52"/>
  <c r="D143" i="52"/>
  <c r="E143" i="52"/>
  <c r="F143" i="52"/>
  <c r="G143" i="52"/>
  <c r="H143" i="52"/>
  <c r="I143" i="52"/>
  <c r="J143" i="52"/>
  <c r="C143" i="52"/>
  <c r="L157" i="52"/>
  <c r="M157" i="52"/>
  <c r="N157" i="52"/>
  <c r="O157" i="52"/>
  <c r="P157" i="52"/>
  <c r="Q157" i="52"/>
  <c r="R157" i="52"/>
  <c r="S157" i="52"/>
  <c r="T157" i="52"/>
  <c r="L158" i="52"/>
  <c r="M158" i="52"/>
  <c r="N158" i="52"/>
  <c r="O158" i="52"/>
  <c r="P158" i="52"/>
  <c r="Q158" i="52"/>
  <c r="R158" i="52"/>
  <c r="S158" i="52"/>
  <c r="T158" i="52"/>
  <c r="L159" i="52"/>
  <c r="M159" i="52"/>
  <c r="N159" i="52"/>
  <c r="O159" i="52"/>
  <c r="P159" i="52"/>
  <c r="Q159" i="52"/>
  <c r="R159" i="52"/>
  <c r="S159" i="52"/>
  <c r="T159" i="52"/>
  <c r="L160" i="52"/>
  <c r="M160" i="52"/>
  <c r="N160" i="52"/>
  <c r="O160" i="52"/>
  <c r="P160" i="52"/>
  <c r="Q160" i="52"/>
  <c r="R160" i="52"/>
  <c r="S160" i="52"/>
  <c r="T160" i="52"/>
  <c r="L161" i="52"/>
  <c r="M161" i="52"/>
  <c r="N161" i="52"/>
  <c r="O161" i="52"/>
  <c r="P161" i="52"/>
  <c r="Q161" i="52"/>
  <c r="R161" i="52"/>
  <c r="S161" i="52"/>
  <c r="T161" i="52"/>
  <c r="L162" i="52"/>
  <c r="M162" i="52"/>
  <c r="N162" i="52"/>
  <c r="O162" i="52"/>
  <c r="P162" i="52"/>
  <c r="Q162" i="52"/>
  <c r="R162" i="52"/>
  <c r="S162" i="52"/>
  <c r="T162" i="52"/>
  <c r="L163" i="52"/>
  <c r="M163" i="52"/>
  <c r="N163" i="52"/>
  <c r="O163" i="52"/>
  <c r="P163" i="52"/>
  <c r="Q163" i="52"/>
  <c r="R163" i="52"/>
  <c r="S163" i="52"/>
  <c r="T163" i="52"/>
  <c r="L164" i="52"/>
  <c r="M164" i="52"/>
  <c r="N164" i="52"/>
  <c r="O164" i="52"/>
  <c r="P164" i="52"/>
  <c r="Q164" i="52"/>
  <c r="R164" i="52"/>
  <c r="S164" i="52"/>
  <c r="T164" i="52"/>
  <c r="L165" i="52"/>
  <c r="M165" i="52"/>
  <c r="N165" i="52"/>
  <c r="O165" i="52"/>
  <c r="P165" i="52"/>
  <c r="Q165" i="52"/>
  <c r="R165" i="52"/>
  <c r="S165" i="52"/>
  <c r="T165" i="52"/>
  <c r="L166" i="52"/>
  <c r="M166" i="52"/>
  <c r="N166" i="52"/>
  <c r="O166" i="52"/>
  <c r="P166" i="52"/>
  <c r="Q166" i="52"/>
  <c r="R166" i="52"/>
  <c r="S166" i="52"/>
  <c r="T166" i="52"/>
  <c r="L167" i="52"/>
  <c r="M167" i="52"/>
  <c r="N167" i="52"/>
  <c r="O167" i="52"/>
  <c r="P167" i="52"/>
  <c r="Q167" i="52"/>
  <c r="R167" i="52"/>
  <c r="S167" i="52"/>
  <c r="T167" i="52"/>
  <c r="L168" i="52"/>
  <c r="M168" i="52"/>
  <c r="N168" i="52"/>
  <c r="O168" i="52"/>
  <c r="P168" i="52"/>
  <c r="Q168" i="52"/>
  <c r="R168" i="52"/>
  <c r="S168" i="52"/>
  <c r="T168" i="52"/>
  <c r="L169" i="52"/>
  <c r="M169" i="52"/>
  <c r="N169" i="52"/>
  <c r="O169" i="52"/>
  <c r="P169" i="52"/>
  <c r="Q169" i="52"/>
  <c r="R169" i="52"/>
  <c r="S169" i="52"/>
  <c r="T169" i="52"/>
  <c r="L170" i="52"/>
  <c r="M170" i="52"/>
  <c r="N170" i="52"/>
  <c r="O170" i="52"/>
  <c r="P170" i="52"/>
  <c r="Q170" i="52"/>
  <c r="R170" i="52"/>
  <c r="S170" i="52"/>
  <c r="T170" i="52"/>
  <c r="K170" i="52"/>
  <c r="K158" i="52"/>
  <c r="K159" i="52"/>
  <c r="K160" i="52"/>
  <c r="K161" i="52"/>
  <c r="K162" i="52"/>
  <c r="K163" i="52"/>
  <c r="K164" i="52"/>
  <c r="K165" i="52"/>
  <c r="K166" i="52"/>
  <c r="K167" i="52"/>
  <c r="K168" i="52"/>
  <c r="K169" i="52"/>
  <c r="K157" i="52"/>
  <c r="G157" i="52"/>
  <c r="H157" i="52"/>
  <c r="I157" i="52"/>
  <c r="J157" i="52"/>
  <c r="G158" i="52"/>
  <c r="H158" i="52"/>
  <c r="I158" i="52"/>
  <c r="J158" i="52"/>
  <c r="G159" i="52"/>
  <c r="H159" i="52"/>
  <c r="I159" i="52"/>
  <c r="J159" i="52"/>
  <c r="G160" i="52"/>
  <c r="H160" i="52"/>
  <c r="I160" i="52"/>
  <c r="J160" i="52"/>
  <c r="G161" i="52"/>
  <c r="H161" i="52"/>
  <c r="I161" i="52"/>
  <c r="J161" i="52"/>
  <c r="G162" i="52"/>
  <c r="H162" i="52"/>
  <c r="I162" i="52"/>
  <c r="J162" i="52"/>
  <c r="G163" i="52"/>
  <c r="H163" i="52"/>
  <c r="I163" i="52"/>
  <c r="J163" i="52"/>
  <c r="G164" i="52"/>
  <c r="H164" i="52"/>
  <c r="I164" i="52"/>
  <c r="J164" i="52"/>
  <c r="G165" i="52"/>
  <c r="H165" i="52"/>
  <c r="I165" i="52"/>
  <c r="J165" i="52"/>
  <c r="G166" i="52"/>
  <c r="H166" i="52"/>
  <c r="I166" i="52"/>
  <c r="J166" i="52"/>
  <c r="G167" i="52"/>
  <c r="H167" i="52"/>
  <c r="I167" i="52"/>
  <c r="J167" i="52"/>
  <c r="G168" i="52"/>
  <c r="H168" i="52"/>
  <c r="I168" i="52"/>
  <c r="J168" i="52"/>
  <c r="G169" i="52"/>
  <c r="H169" i="52"/>
  <c r="I169" i="52"/>
  <c r="J169" i="52"/>
  <c r="G170" i="52"/>
  <c r="H170" i="52"/>
  <c r="I170" i="52"/>
  <c r="J170" i="52"/>
  <c r="D157" i="52"/>
  <c r="E157" i="52"/>
  <c r="F157" i="52"/>
  <c r="D158" i="52"/>
  <c r="E158" i="52"/>
  <c r="F158" i="52"/>
  <c r="D159" i="52"/>
  <c r="E159" i="52"/>
  <c r="F159" i="52"/>
  <c r="D160" i="52"/>
  <c r="E160" i="52"/>
  <c r="F160" i="52"/>
  <c r="D161" i="52"/>
  <c r="E161" i="52"/>
  <c r="F161" i="52"/>
  <c r="D162" i="52"/>
  <c r="E162" i="52"/>
  <c r="F162" i="52"/>
  <c r="D163" i="52"/>
  <c r="E163" i="52"/>
  <c r="F163" i="52"/>
  <c r="D164" i="52"/>
  <c r="E164" i="52"/>
  <c r="F164" i="52"/>
  <c r="D165" i="52"/>
  <c r="E165" i="52"/>
  <c r="F165" i="52"/>
  <c r="D166" i="52"/>
  <c r="E166" i="52"/>
  <c r="F166" i="52"/>
  <c r="D167" i="52"/>
  <c r="E167" i="52"/>
  <c r="F167" i="52"/>
  <c r="D168" i="52"/>
  <c r="E168" i="52"/>
  <c r="F168" i="52"/>
  <c r="D169" i="52"/>
  <c r="E169" i="52"/>
  <c r="F169" i="52"/>
  <c r="D170" i="52"/>
  <c r="E170" i="52"/>
  <c r="F170" i="52"/>
  <c r="C158" i="52"/>
  <c r="C159" i="52"/>
  <c r="C160" i="52"/>
  <c r="C161" i="52"/>
  <c r="C162" i="52"/>
  <c r="C163" i="52"/>
  <c r="C164" i="52"/>
  <c r="C165" i="52"/>
  <c r="C166" i="52"/>
  <c r="C167" i="52"/>
  <c r="C168" i="52"/>
  <c r="C169" i="52"/>
  <c r="C170" i="52"/>
  <c r="C157" i="52"/>
  <c r="P33" i="51"/>
  <c r="N34" i="50" s="1"/>
  <c r="Y34" i="50" s="1"/>
  <c r="K14" i="51"/>
  <c r="L14" i="51"/>
  <c r="H15" i="50" s="1"/>
  <c r="P15" i="50" s="1"/>
  <c r="M14" i="51"/>
  <c r="I15" i="50" s="1"/>
  <c r="Q15" i="50" s="1"/>
  <c r="J15" i="51"/>
  <c r="F16" i="50" s="1"/>
  <c r="N16" i="50" s="1"/>
  <c r="L15" i="51"/>
  <c r="H16" i="50" s="1"/>
  <c r="P16" i="50" s="1"/>
  <c r="M15" i="51"/>
  <c r="I16" i="50" s="1"/>
  <c r="Q16" i="50" s="1"/>
  <c r="J16" i="51"/>
  <c r="K16" i="51"/>
  <c r="G17" i="50" s="1"/>
  <c r="O17" i="50" s="1"/>
  <c r="L16" i="51"/>
  <c r="H17" i="50" s="1"/>
  <c r="P17" i="50" s="1"/>
  <c r="M16" i="51"/>
  <c r="I17" i="50" s="1"/>
  <c r="S38" i="50"/>
  <c r="R38" i="50"/>
  <c r="Q38" i="50"/>
  <c r="P38" i="50"/>
  <c r="O38" i="50"/>
  <c r="S37" i="50"/>
  <c r="R37" i="50"/>
  <c r="Q37" i="50"/>
  <c r="P37" i="50"/>
  <c r="O37" i="50"/>
  <c r="S36" i="50"/>
  <c r="R36" i="50"/>
  <c r="Q36" i="50"/>
  <c r="P36" i="50"/>
  <c r="O36" i="50"/>
  <c r="S35" i="50"/>
  <c r="R35" i="50"/>
  <c r="Q35" i="50"/>
  <c r="P35" i="50"/>
  <c r="O35" i="50"/>
  <c r="S34" i="50"/>
  <c r="R34" i="50"/>
  <c r="Q34" i="50"/>
  <c r="P34" i="50"/>
  <c r="O34" i="50"/>
  <c r="S33" i="50"/>
  <c r="R33" i="50"/>
  <c r="Q33" i="50"/>
  <c r="P33" i="50"/>
  <c r="O33" i="50"/>
  <c r="S32" i="50"/>
  <c r="R32" i="50"/>
  <c r="Q32" i="50"/>
  <c r="P32" i="50"/>
  <c r="O32" i="50"/>
  <c r="S31" i="50"/>
  <c r="R31" i="50"/>
  <c r="Q31" i="50"/>
  <c r="P31" i="50"/>
  <c r="O31" i="50"/>
  <c r="S30" i="50"/>
  <c r="R30" i="50"/>
  <c r="Q30" i="50"/>
  <c r="P30" i="50"/>
  <c r="O30" i="50"/>
  <c r="S29" i="50"/>
  <c r="R29" i="50"/>
  <c r="Q29" i="50"/>
  <c r="P29" i="50"/>
  <c r="O29" i="50"/>
  <c r="S28" i="50"/>
  <c r="R28" i="50"/>
  <c r="Q28" i="50"/>
  <c r="P28" i="50"/>
  <c r="O28" i="50"/>
  <c r="S27" i="50"/>
  <c r="R27" i="50"/>
  <c r="Q27" i="50"/>
  <c r="P27" i="50"/>
  <c r="O27" i="50"/>
  <c r="S26" i="50"/>
  <c r="R26" i="50"/>
  <c r="Q26" i="50"/>
  <c r="P26" i="50"/>
  <c r="O26" i="50"/>
  <c r="S25" i="50"/>
  <c r="R25" i="50"/>
  <c r="Q25" i="50"/>
  <c r="P25" i="50"/>
  <c r="O25" i="50"/>
  <c r="M18" i="50"/>
  <c r="L18" i="50"/>
  <c r="K18" i="50"/>
  <c r="J18" i="50"/>
  <c r="M17" i="50"/>
  <c r="L17" i="50"/>
  <c r="K17" i="50"/>
  <c r="J17" i="50"/>
  <c r="F17" i="50"/>
  <c r="N17" i="50" s="1"/>
  <c r="M16" i="50"/>
  <c r="L16" i="50"/>
  <c r="K16" i="50"/>
  <c r="J16" i="50"/>
  <c r="G16" i="50"/>
  <c r="O16" i="50" s="1"/>
  <c r="M15" i="50"/>
  <c r="L15" i="50"/>
  <c r="K15" i="50"/>
  <c r="J15" i="50"/>
  <c r="G15" i="50"/>
  <c r="O15" i="50" s="1"/>
  <c r="M14" i="50"/>
  <c r="L14" i="50"/>
  <c r="K14" i="50"/>
  <c r="J14" i="50"/>
  <c r="G14" i="50"/>
  <c r="O14" i="50" s="1"/>
  <c r="M13" i="50"/>
  <c r="L13" i="50"/>
  <c r="K13" i="50"/>
  <c r="J13" i="50"/>
  <c r="M12" i="50"/>
  <c r="L12" i="50"/>
  <c r="K12" i="50"/>
  <c r="J12" i="50"/>
  <c r="M11" i="50"/>
  <c r="L11" i="50"/>
  <c r="K11" i="50"/>
  <c r="J11" i="50"/>
  <c r="M10" i="50"/>
  <c r="L10" i="50"/>
  <c r="K10" i="50"/>
  <c r="J10" i="50"/>
  <c r="M9" i="50"/>
  <c r="L9" i="50"/>
  <c r="K9" i="50"/>
  <c r="J9" i="50"/>
  <c r="M8" i="50"/>
  <c r="L8" i="50"/>
  <c r="K8" i="50"/>
  <c r="J8" i="50"/>
  <c r="M7" i="50"/>
  <c r="L7" i="50"/>
  <c r="K7" i="50"/>
  <c r="J7" i="50"/>
  <c r="M6" i="50"/>
  <c r="L6" i="50"/>
  <c r="K6" i="50"/>
  <c r="J6" i="50"/>
  <c r="M5" i="50"/>
  <c r="L5" i="50"/>
  <c r="K5" i="50"/>
  <c r="J5" i="50"/>
  <c r="L39" i="50"/>
  <c r="K39" i="50"/>
  <c r="J39" i="50"/>
  <c r="P37" i="51"/>
  <c r="N38" i="50" s="1"/>
  <c r="Y38" i="50" s="1"/>
  <c r="O37" i="51"/>
  <c r="M38" i="50" s="1"/>
  <c r="X38" i="50" s="1"/>
  <c r="N37" i="51"/>
  <c r="L38" i="50" s="1"/>
  <c r="V38" i="50" s="1"/>
  <c r="M37" i="51"/>
  <c r="K38" i="50" s="1"/>
  <c r="U38" i="50" s="1"/>
  <c r="L37" i="51"/>
  <c r="J38" i="50" s="1"/>
  <c r="T38" i="50" s="1"/>
  <c r="P36" i="51"/>
  <c r="N37" i="50" s="1"/>
  <c r="Y37" i="50" s="1"/>
  <c r="L36" i="51"/>
  <c r="J37" i="50" s="1"/>
  <c r="T37" i="50" s="1"/>
  <c r="P35" i="51"/>
  <c r="N36" i="50" s="1"/>
  <c r="Y36" i="50" s="1"/>
  <c r="O35" i="51"/>
  <c r="N35" i="51"/>
  <c r="N36" i="51" s="1"/>
  <c r="L37" i="50" s="1"/>
  <c r="V37" i="50" s="1"/>
  <c r="L35" i="51"/>
  <c r="J36" i="50" s="1"/>
  <c r="T36" i="50" s="1"/>
  <c r="P34" i="51"/>
  <c r="N35" i="50" s="1"/>
  <c r="Y35" i="50" s="1"/>
  <c r="O34" i="51"/>
  <c r="M35" i="50" s="1"/>
  <c r="X35" i="50" s="1"/>
  <c r="N34" i="51"/>
  <c r="L35" i="50" s="1"/>
  <c r="V35" i="50" s="1"/>
  <c r="M34" i="51"/>
  <c r="O33" i="51"/>
  <c r="M34" i="50" s="1"/>
  <c r="X34" i="50" s="1"/>
  <c r="N33" i="51"/>
  <c r="L34" i="50" s="1"/>
  <c r="V34" i="50" s="1"/>
  <c r="M33" i="51"/>
  <c r="L33" i="51" s="1"/>
  <c r="J34" i="50" s="1"/>
  <c r="T34" i="50" s="1"/>
  <c r="R32" i="51"/>
  <c r="Q32" i="51"/>
  <c r="M33" i="50"/>
  <c r="X33" i="50" s="1"/>
  <c r="N32" i="51"/>
  <c r="L33" i="50" s="1"/>
  <c r="V33" i="50" s="1"/>
  <c r="M32" i="51"/>
  <c r="L32" i="51" s="1"/>
  <c r="J33" i="50" s="1"/>
  <c r="T33" i="50" s="1"/>
  <c r="K33" i="50"/>
  <c r="U33" i="50" s="1"/>
  <c r="N32" i="50"/>
  <c r="Y32" i="50" s="1"/>
  <c r="M32" i="50"/>
  <c r="X32" i="50" s="1"/>
  <c r="N31" i="51"/>
  <c r="L32" i="50" s="1"/>
  <c r="V32" i="50" s="1"/>
  <c r="M31" i="51"/>
  <c r="K32" i="50" s="1"/>
  <c r="U32" i="50" s="1"/>
  <c r="L31" i="51"/>
  <c r="J32" i="50" s="1"/>
  <c r="T32" i="50" s="1"/>
  <c r="P30" i="51"/>
  <c r="N31" i="50" s="1"/>
  <c r="Y31" i="50" s="1"/>
  <c r="O30" i="51"/>
  <c r="M31" i="50" s="1"/>
  <c r="X31" i="50" s="1"/>
  <c r="N30" i="51"/>
  <c r="L31" i="50" s="1"/>
  <c r="V31" i="50" s="1"/>
  <c r="M30" i="51"/>
  <c r="K31" i="50" s="1"/>
  <c r="U31" i="50" s="1"/>
  <c r="L30" i="51"/>
  <c r="J31" i="50" s="1"/>
  <c r="T31" i="50" s="1"/>
  <c r="P29" i="51"/>
  <c r="N30" i="50" s="1"/>
  <c r="Y30" i="50" s="1"/>
  <c r="O29" i="51"/>
  <c r="M30" i="50" s="1"/>
  <c r="X30" i="50" s="1"/>
  <c r="N29" i="51"/>
  <c r="L30" i="50"/>
  <c r="V30" i="50" s="1"/>
  <c r="M29" i="51"/>
  <c r="K30" i="50" s="1"/>
  <c r="U30" i="50" s="1"/>
  <c r="L29" i="51"/>
  <c r="J30" i="50" s="1"/>
  <c r="T30" i="50" s="1"/>
  <c r="N28" i="51"/>
  <c r="L29" i="50" s="1"/>
  <c r="V29" i="50" s="1"/>
  <c r="M28" i="51"/>
  <c r="K29" i="50" s="1"/>
  <c r="U29" i="50" s="1"/>
  <c r="L28" i="51"/>
  <c r="J29" i="50" s="1"/>
  <c r="T29" i="50" s="1"/>
  <c r="N27" i="51"/>
  <c r="L28" i="50" s="1"/>
  <c r="V28" i="50" s="1"/>
  <c r="M27" i="51"/>
  <c r="K28" i="50" s="1"/>
  <c r="U28" i="50" s="1"/>
  <c r="L27" i="51"/>
  <c r="J28" i="50" s="1"/>
  <c r="T28" i="50" s="1"/>
  <c r="M27" i="50"/>
  <c r="X27" i="50" s="1"/>
  <c r="N26" i="51"/>
  <c r="L27" i="50" s="1"/>
  <c r="V27" i="50" s="1"/>
  <c r="M26" i="51"/>
  <c r="K27" i="50" s="1"/>
  <c r="U27" i="50" s="1"/>
  <c r="L26" i="51"/>
  <c r="J27" i="50" s="1"/>
  <c r="T27" i="50" s="1"/>
  <c r="L26" i="50"/>
  <c r="V26" i="50" s="1"/>
  <c r="P24" i="51"/>
  <c r="N25" i="50" s="1"/>
  <c r="Y25" i="50" s="1"/>
  <c r="O24" i="51"/>
  <c r="M25" i="50" s="1"/>
  <c r="N24" i="51"/>
  <c r="L25" i="50" s="1"/>
  <c r="V25" i="50" s="1"/>
  <c r="M24" i="51"/>
  <c r="K25" i="50" s="1"/>
  <c r="U25" i="50" s="1"/>
  <c r="L24" i="51"/>
  <c r="J25" i="50" s="1"/>
  <c r="T25" i="50" s="1"/>
  <c r="I18" i="51"/>
  <c r="I19" i="51" s="1"/>
  <c r="H18" i="51"/>
  <c r="G18" i="51"/>
  <c r="F18" i="51"/>
  <c r="E18" i="51"/>
  <c r="D18" i="51"/>
  <c r="C18" i="51"/>
  <c r="B18" i="51"/>
  <c r="M17" i="51"/>
  <c r="I18" i="50" s="1"/>
  <c r="Q18" i="50" s="1"/>
  <c r="L17" i="51"/>
  <c r="H18" i="50" s="1"/>
  <c r="P18" i="50" s="1"/>
  <c r="K17" i="51"/>
  <c r="G18" i="50" s="1"/>
  <c r="O18" i="50" s="1"/>
  <c r="J17" i="51"/>
  <c r="F18" i="50" s="1"/>
  <c r="N18" i="50" s="1"/>
  <c r="M13" i="51"/>
  <c r="I14" i="50" s="1"/>
  <c r="Q14" i="50" s="1"/>
  <c r="L13" i="51"/>
  <c r="H14" i="50" s="1"/>
  <c r="P14" i="50" s="1"/>
  <c r="J13" i="51"/>
  <c r="F14" i="50" s="1"/>
  <c r="N14" i="50" s="1"/>
  <c r="M12" i="51"/>
  <c r="I13" i="50" s="1"/>
  <c r="Q13" i="50" s="1"/>
  <c r="L12" i="51"/>
  <c r="H13" i="50"/>
  <c r="P13" i="50" s="1"/>
  <c r="K12" i="51"/>
  <c r="G13" i="50" s="1"/>
  <c r="O13" i="50" s="1"/>
  <c r="J12" i="51"/>
  <c r="F13" i="50" s="1"/>
  <c r="N13" i="50" s="1"/>
  <c r="M11" i="51"/>
  <c r="I12" i="50" s="1"/>
  <c r="Q12" i="50" s="1"/>
  <c r="L11" i="51"/>
  <c r="H12" i="50" s="1"/>
  <c r="P12" i="50" s="1"/>
  <c r="K11" i="51"/>
  <c r="G12" i="50" s="1"/>
  <c r="O12" i="50" s="1"/>
  <c r="J11" i="51"/>
  <c r="F12" i="50" s="1"/>
  <c r="N12" i="50" s="1"/>
  <c r="M10" i="51"/>
  <c r="I11" i="50" s="1"/>
  <c r="Q11" i="50" s="1"/>
  <c r="L10" i="51"/>
  <c r="H11" i="50" s="1"/>
  <c r="P11" i="50" s="1"/>
  <c r="K10" i="51"/>
  <c r="G11" i="50" s="1"/>
  <c r="O11" i="50" s="1"/>
  <c r="J10" i="51"/>
  <c r="F11" i="50" s="1"/>
  <c r="N11" i="50" s="1"/>
  <c r="M9" i="51"/>
  <c r="I10" i="50" s="1"/>
  <c r="Q10" i="50" s="1"/>
  <c r="L9" i="51"/>
  <c r="H10" i="50" s="1"/>
  <c r="P10" i="50" s="1"/>
  <c r="K9" i="51"/>
  <c r="G10" i="50" s="1"/>
  <c r="O10" i="50" s="1"/>
  <c r="J9" i="51"/>
  <c r="F10" i="50" s="1"/>
  <c r="N10" i="50" s="1"/>
  <c r="M8" i="51"/>
  <c r="I9" i="50" s="1"/>
  <c r="Q9" i="50" s="1"/>
  <c r="L8" i="51"/>
  <c r="H9" i="50" s="1"/>
  <c r="P9" i="50" s="1"/>
  <c r="K8" i="51"/>
  <c r="G9" i="50" s="1"/>
  <c r="O9" i="50" s="1"/>
  <c r="J8" i="51"/>
  <c r="M7" i="51"/>
  <c r="I8" i="50" s="1"/>
  <c r="Q8" i="50" s="1"/>
  <c r="L7" i="51"/>
  <c r="H8" i="50" s="1"/>
  <c r="P8" i="50" s="1"/>
  <c r="K7" i="51"/>
  <c r="G8" i="50" s="1"/>
  <c r="O8" i="50" s="1"/>
  <c r="J7" i="51"/>
  <c r="F8" i="50" s="1"/>
  <c r="N8" i="50" s="1"/>
  <c r="M6" i="51"/>
  <c r="I7" i="50" s="1"/>
  <c r="Q7" i="50" s="1"/>
  <c r="L6" i="51"/>
  <c r="H7" i="50" s="1"/>
  <c r="P7" i="50" s="1"/>
  <c r="K6" i="51"/>
  <c r="G7" i="50" s="1"/>
  <c r="O7" i="50" s="1"/>
  <c r="J6" i="51"/>
  <c r="F7" i="50" s="1"/>
  <c r="N7" i="50" s="1"/>
  <c r="M5" i="51"/>
  <c r="I6" i="50"/>
  <c r="Q6" i="50" s="1"/>
  <c r="L5" i="51"/>
  <c r="H6" i="50" s="1"/>
  <c r="P6" i="50" s="1"/>
  <c r="K5" i="51"/>
  <c r="G6" i="50" s="1"/>
  <c r="O6" i="50" s="1"/>
  <c r="J5" i="51"/>
  <c r="F6" i="50" s="1"/>
  <c r="N6" i="50" s="1"/>
  <c r="M4" i="51"/>
  <c r="I5" i="50" s="1"/>
  <c r="Q5" i="50" s="1"/>
  <c r="L4" i="51"/>
  <c r="H5" i="50" s="1"/>
  <c r="P5" i="50" s="1"/>
  <c r="K4" i="51"/>
  <c r="G5" i="50" s="1"/>
  <c r="O5" i="50" s="1"/>
  <c r="J4" i="51"/>
  <c r="F5" i="50" s="1"/>
  <c r="N5" i="50" s="1"/>
  <c r="C74" i="50"/>
  <c r="B74" i="50"/>
  <c r="C73" i="50"/>
  <c r="B73" i="50"/>
  <c r="C72" i="50"/>
  <c r="B72" i="50"/>
  <c r="C71" i="50"/>
  <c r="B71" i="50"/>
  <c r="D71" i="50" s="1"/>
  <c r="C70" i="50"/>
  <c r="D70" i="50" s="1"/>
  <c r="B70" i="50"/>
  <c r="C68" i="50"/>
  <c r="G39" i="50"/>
  <c r="B56" i="50" s="1"/>
  <c r="F39" i="50"/>
  <c r="B55" i="50" s="1"/>
  <c r="D39" i="50"/>
  <c r="C39" i="50"/>
  <c r="B53" i="50" s="1"/>
  <c r="B39" i="50"/>
  <c r="B52" i="50"/>
  <c r="X25" i="50"/>
  <c r="E19" i="50"/>
  <c r="B67" i="50"/>
  <c r="D67" i="50" s="1"/>
  <c r="D19" i="50"/>
  <c r="B66" i="50" s="1"/>
  <c r="D66" i="50" s="1"/>
  <c r="C19" i="50"/>
  <c r="B65" i="50" s="1"/>
  <c r="B19" i="50"/>
  <c r="B64" i="50" s="1"/>
  <c r="Q17" i="50"/>
  <c r="Q32" i="48"/>
  <c r="R32" i="48"/>
  <c r="AA33" i="49" s="1"/>
  <c r="R31" i="48"/>
  <c r="AA32" i="49" s="1"/>
  <c r="Q31" i="48"/>
  <c r="AB32" i="49" s="1"/>
  <c r="E18" i="48"/>
  <c r="I18" i="48"/>
  <c r="D18" i="48"/>
  <c r="H18" i="48"/>
  <c r="C18" i="48"/>
  <c r="G18" i="48"/>
  <c r="B18" i="48"/>
  <c r="F18" i="48"/>
  <c r="E19" i="49"/>
  <c r="B67" i="49" s="1"/>
  <c r="D67" i="49" s="1"/>
  <c r="D19" i="49"/>
  <c r="C19" i="49"/>
  <c r="B46" i="49" s="1"/>
  <c r="B19" i="49"/>
  <c r="K11" i="48"/>
  <c r="G12" i="49" s="1"/>
  <c r="O12" i="49" s="1"/>
  <c r="O27" i="48"/>
  <c r="K28" i="49" s="1"/>
  <c r="U28" i="49" s="1"/>
  <c r="O28" i="48"/>
  <c r="K29" i="49" s="1"/>
  <c r="U29" i="49" s="1"/>
  <c r="O26" i="48"/>
  <c r="K27" i="49" s="1"/>
  <c r="U27" i="49" s="1"/>
  <c r="Y27" i="49" s="1"/>
  <c r="O31" i="48"/>
  <c r="K32" i="49" s="1"/>
  <c r="U32" i="49" s="1"/>
  <c r="Y32" i="49" s="1"/>
  <c r="O32" i="48"/>
  <c r="K33" i="49" s="1"/>
  <c r="U33" i="49" s="1"/>
  <c r="O33" i="48"/>
  <c r="K34" i="49" s="1"/>
  <c r="U34" i="49" s="1"/>
  <c r="O34" i="48"/>
  <c r="K35" i="49" s="1"/>
  <c r="U35" i="49" s="1"/>
  <c r="O35" i="48"/>
  <c r="K36" i="49" s="1"/>
  <c r="U36" i="49" s="1"/>
  <c r="P27" i="48"/>
  <c r="L28" i="49" s="1"/>
  <c r="V28" i="49" s="1"/>
  <c r="P28" i="48"/>
  <c r="L29" i="49" s="1"/>
  <c r="V29" i="49" s="1"/>
  <c r="P26" i="48"/>
  <c r="L27" i="49" s="1"/>
  <c r="V27" i="49" s="1"/>
  <c r="P31" i="48"/>
  <c r="L32" i="49" s="1"/>
  <c r="V32" i="49" s="1"/>
  <c r="P32" i="48"/>
  <c r="P33" i="48"/>
  <c r="L34" i="49" s="1"/>
  <c r="V34" i="49" s="1"/>
  <c r="P34" i="48"/>
  <c r="L35" i="49" s="1"/>
  <c r="V35" i="49" s="1"/>
  <c r="P35" i="48"/>
  <c r="L36" i="49" s="1"/>
  <c r="V36" i="49" s="1"/>
  <c r="N31" i="48"/>
  <c r="J32" i="49" s="1"/>
  <c r="T32" i="49" s="1"/>
  <c r="N32" i="48"/>
  <c r="J33" i="49" s="1"/>
  <c r="T33" i="49" s="1"/>
  <c r="N33" i="48"/>
  <c r="J34" i="49" s="1"/>
  <c r="T34" i="49" s="1"/>
  <c r="N34" i="48"/>
  <c r="J35" i="49" s="1"/>
  <c r="T35" i="49" s="1"/>
  <c r="N35" i="48"/>
  <c r="J36" i="49" s="1"/>
  <c r="T36" i="49" s="1"/>
  <c r="M31" i="48"/>
  <c r="I32" i="49" s="1"/>
  <c r="S32" i="49" s="1"/>
  <c r="M32" i="48"/>
  <c r="I33" i="49" s="1"/>
  <c r="S33" i="49" s="1"/>
  <c r="M33" i="48"/>
  <c r="I34" i="49" s="1"/>
  <c r="S34" i="49" s="1"/>
  <c r="M34" i="48"/>
  <c r="I35" i="49" s="1"/>
  <c r="S35" i="49" s="1"/>
  <c r="M35" i="48"/>
  <c r="I36" i="49" s="1"/>
  <c r="S36" i="49" s="1"/>
  <c r="X36" i="49" s="1"/>
  <c r="L31" i="48"/>
  <c r="H32" i="49" s="1"/>
  <c r="R32" i="49" s="1"/>
  <c r="X32" i="49" s="1"/>
  <c r="L32" i="48"/>
  <c r="H33" i="49" s="1"/>
  <c r="R33" i="49" s="1"/>
  <c r="L33" i="48"/>
  <c r="H34" i="49" s="1"/>
  <c r="R34" i="49" s="1"/>
  <c r="L34" i="48"/>
  <c r="H35" i="49" s="1"/>
  <c r="R35" i="49" s="1"/>
  <c r="L35" i="48"/>
  <c r="H36" i="49" s="1"/>
  <c r="R36" i="49" s="1"/>
  <c r="E39" i="49"/>
  <c r="D39" i="49"/>
  <c r="C39" i="49"/>
  <c r="B39" i="49"/>
  <c r="F39" i="49"/>
  <c r="B56" i="49" s="1"/>
  <c r="G28" i="49"/>
  <c r="G27" i="49"/>
  <c r="F38" i="48"/>
  <c r="K38" i="48"/>
  <c r="E38" i="48"/>
  <c r="J38" i="48"/>
  <c r="D38" i="48"/>
  <c r="I38" i="48"/>
  <c r="C38" i="48"/>
  <c r="H38" i="48"/>
  <c r="B38" i="48"/>
  <c r="G38" i="48"/>
  <c r="Q38" i="49"/>
  <c r="P38" i="49"/>
  <c r="O38" i="49"/>
  <c r="N38" i="49"/>
  <c r="M38" i="49"/>
  <c r="Q37" i="49"/>
  <c r="P37" i="49"/>
  <c r="O37" i="49"/>
  <c r="N37" i="49"/>
  <c r="M37" i="49"/>
  <c r="Q36" i="49"/>
  <c r="P36" i="49"/>
  <c r="O36" i="49"/>
  <c r="N36" i="49"/>
  <c r="M36" i="49"/>
  <c r="Q35" i="49"/>
  <c r="P35" i="49"/>
  <c r="O35" i="49"/>
  <c r="N35" i="49"/>
  <c r="M35" i="49"/>
  <c r="Q34" i="49"/>
  <c r="P34" i="49"/>
  <c r="O34" i="49"/>
  <c r="N34" i="49"/>
  <c r="M34" i="49"/>
  <c r="Q33" i="49"/>
  <c r="P33" i="49"/>
  <c r="O33" i="49"/>
  <c r="N33" i="49"/>
  <c r="M33" i="49"/>
  <c r="Q32" i="49"/>
  <c r="P32" i="49"/>
  <c r="O32" i="49"/>
  <c r="N32" i="49"/>
  <c r="M32" i="49"/>
  <c r="Q31" i="49"/>
  <c r="P31" i="49"/>
  <c r="O31" i="49"/>
  <c r="N31" i="49"/>
  <c r="M31" i="49"/>
  <c r="Q30" i="49"/>
  <c r="P30" i="49"/>
  <c r="O30" i="49"/>
  <c r="N30" i="49"/>
  <c r="M30" i="49"/>
  <c r="Q29" i="49"/>
  <c r="P29" i="49"/>
  <c r="O29" i="49"/>
  <c r="N29" i="49"/>
  <c r="M29" i="49"/>
  <c r="Q28" i="49"/>
  <c r="P28" i="49"/>
  <c r="O28" i="49"/>
  <c r="N28" i="49"/>
  <c r="M28" i="49"/>
  <c r="Q27" i="49"/>
  <c r="P27" i="49"/>
  <c r="O27" i="49"/>
  <c r="N27" i="49"/>
  <c r="M27" i="49"/>
  <c r="Q26" i="49"/>
  <c r="P26" i="49"/>
  <c r="O26" i="49"/>
  <c r="N26" i="49"/>
  <c r="M26" i="49"/>
  <c r="Q25" i="49"/>
  <c r="P25" i="49"/>
  <c r="O25" i="49"/>
  <c r="N25" i="49"/>
  <c r="M25" i="49"/>
  <c r="M16" i="49"/>
  <c r="M18" i="49"/>
  <c r="L18" i="49"/>
  <c r="K18" i="49"/>
  <c r="J18" i="49"/>
  <c r="M17" i="49"/>
  <c r="L17" i="49"/>
  <c r="K17" i="49"/>
  <c r="J17" i="49"/>
  <c r="L16" i="49"/>
  <c r="K16" i="49"/>
  <c r="J16" i="49"/>
  <c r="M15" i="49"/>
  <c r="L15" i="49"/>
  <c r="K15" i="49"/>
  <c r="J15" i="49"/>
  <c r="L14" i="48"/>
  <c r="H15" i="49" s="1"/>
  <c r="P15" i="49" s="1"/>
  <c r="K14" i="48"/>
  <c r="G15" i="49" s="1"/>
  <c r="O15" i="49" s="1"/>
  <c r="M14" i="49"/>
  <c r="L14" i="49"/>
  <c r="K14" i="49"/>
  <c r="J14" i="49"/>
  <c r="M13" i="48"/>
  <c r="I14" i="49" s="1"/>
  <c r="Q14" i="49" s="1"/>
  <c r="L13" i="48"/>
  <c r="H14" i="49" s="1"/>
  <c r="P14" i="49" s="1"/>
  <c r="K13" i="48"/>
  <c r="G14" i="49" s="1"/>
  <c r="O14" i="49" s="1"/>
  <c r="J13" i="48"/>
  <c r="F14" i="49" s="1"/>
  <c r="N14" i="49" s="1"/>
  <c r="M13" i="49"/>
  <c r="L13" i="49"/>
  <c r="K13" i="49"/>
  <c r="J13" i="49"/>
  <c r="M12" i="48"/>
  <c r="I13" i="49" s="1"/>
  <c r="Q13" i="49" s="1"/>
  <c r="L12" i="48"/>
  <c r="H13" i="49" s="1"/>
  <c r="P13" i="49" s="1"/>
  <c r="K12" i="48"/>
  <c r="G13" i="49" s="1"/>
  <c r="O13" i="49" s="1"/>
  <c r="J12" i="48"/>
  <c r="F13" i="49" s="1"/>
  <c r="N13" i="49" s="1"/>
  <c r="M12" i="49"/>
  <c r="L12" i="49"/>
  <c r="K12" i="49"/>
  <c r="J12" i="49"/>
  <c r="M11" i="48"/>
  <c r="I12" i="49" s="1"/>
  <c r="Q12" i="49" s="1"/>
  <c r="L11" i="48"/>
  <c r="H12" i="49" s="1"/>
  <c r="P12" i="49" s="1"/>
  <c r="J11" i="48"/>
  <c r="F12" i="49" s="1"/>
  <c r="N12" i="49" s="1"/>
  <c r="M11" i="49"/>
  <c r="L11" i="49"/>
  <c r="K11" i="49"/>
  <c r="J11" i="49"/>
  <c r="M10" i="48"/>
  <c r="I11" i="49" s="1"/>
  <c r="Q11" i="49" s="1"/>
  <c r="L10" i="48"/>
  <c r="H11" i="49" s="1"/>
  <c r="P11" i="49" s="1"/>
  <c r="K10" i="48"/>
  <c r="G11" i="49" s="1"/>
  <c r="O11" i="49" s="1"/>
  <c r="J10" i="48"/>
  <c r="F11" i="49"/>
  <c r="N11" i="49" s="1"/>
  <c r="M10" i="49"/>
  <c r="L10" i="49"/>
  <c r="K10" i="49"/>
  <c r="J10" i="49"/>
  <c r="M9" i="48"/>
  <c r="I10" i="49" s="1"/>
  <c r="Q10" i="49" s="1"/>
  <c r="L9" i="48"/>
  <c r="H10" i="49" s="1"/>
  <c r="P10" i="49" s="1"/>
  <c r="K9" i="48"/>
  <c r="G10" i="49" s="1"/>
  <c r="O10" i="49" s="1"/>
  <c r="J9" i="48"/>
  <c r="F10" i="49" s="1"/>
  <c r="N10" i="49" s="1"/>
  <c r="M9" i="49"/>
  <c r="L9" i="49"/>
  <c r="K9" i="49"/>
  <c r="J9" i="49"/>
  <c r="M8" i="48"/>
  <c r="I9" i="49" s="1"/>
  <c r="Q9" i="49" s="1"/>
  <c r="L8" i="48"/>
  <c r="H9" i="49" s="1"/>
  <c r="P9" i="49" s="1"/>
  <c r="K8" i="48"/>
  <c r="G9" i="49" s="1"/>
  <c r="O9" i="49" s="1"/>
  <c r="J8" i="48"/>
  <c r="F9" i="49" s="1"/>
  <c r="N9" i="49" s="1"/>
  <c r="M8" i="49"/>
  <c r="L8" i="49"/>
  <c r="K8" i="49"/>
  <c r="J8" i="49"/>
  <c r="M7" i="48"/>
  <c r="I8" i="49" s="1"/>
  <c r="Q8" i="49" s="1"/>
  <c r="J7" i="48"/>
  <c r="F8" i="49" s="1"/>
  <c r="N8" i="49" s="1"/>
  <c r="M7" i="49"/>
  <c r="L7" i="49"/>
  <c r="K7" i="49"/>
  <c r="J7" i="49"/>
  <c r="M6" i="48"/>
  <c r="I7" i="49" s="1"/>
  <c r="Q7" i="49" s="1"/>
  <c r="J6" i="48"/>
  <c r="F7" i="49" s="1"/>
  <c r="N7" i="49" s="1"/>
  <c r="M6" i="49"/>
  <c r="L6" i="49"/>
  <c r="K6" i="49"/>
  <c r="J6" i="49"/>
  <c r="J5" i="48"/>
  <c r="F6" i="49" s="1"/>
  <c r="N6" i="49" s="1"/>
  <c r="M5" i="49"/>
  <c r="L5" i="49"/>
  <c r="K5" i="49"/>
  <c r="J5" i="49"/>
  <c r="J4" i="48"/>
  <c r="F5" i="49" s="1"/>
  <c r="N5" i="49" s="1"/>
  <c r="G25" i="49"/>
  <c r="G26" i="49"/>
  <c r="G29" i="49"/>
  <c r="G30" i="49"/>
  <c r="G31" i="49"/>
  <c r="G32" i="49"/>
  <c r="G33" i="49"/>
  <c r="G34" i="49"/>
  <c r="G35" i="49"/>
  <c r="G36" i="49"/>
  <c r="G37" i="49"/>
  <c r="G38" i="49"/>
  <c r="B48" i="49"/>
  <c r="B52" i="49"/>
  <c r="C68" i="49"/>
  <c r="B70" i="49"/>
  <c r="C70" i="49"/>
  <c r="B71" i="49"/>
  <c r="C71" i="49"/>
  <c r="B72" i="49"/>
  <c r="C72" i="49"/>
  <c r="B73" i="49"/>
  <c r="C73" i="49"/>
  <c r="B74" i="49"/>
  <c r="C74" i="49"/>
  <c r="K4" i="48"/>
  <c r="G5" i="49" s="1"/>
  <c r="O5" i="49" s="1"/>
  <c r="L4" i="48"/>
  <c r="H5" i="49"/>
  <c r="P5" i="49" s="1"/>
  <c r="M4" i="48"/>
  <c r="I5" i="49" s="1"/>
  <c r="Q5" i="49" s="1"/>
  <c r="K5" i="48"/>
  <c r="G6" i="49" s="1"/>
  <c r="O6" i="49" s="1"/>
  <c r="L5" i="48"/>
  <c r="H6" i="49" s="1"/>
  <c r="P6" i="49" s="1"/>
  <c r="M5" i="48"/>
  <c r="I6" i="49" s="1"/>
  <c r="Q6" i="49" s="1"/>
  <c r="K6" i="48"/>
  <c r="G7" i="49" s="1"/>
  <c r="O7" i="49" s="1"/>
  <c r="L6" i="48"/>
  <c r="H7" i="49" s="1"/>
  <c r="P7" i="49" s="1"/>
  <c r="K7" i="48"/>
  <c r="G8" i="49" s="1"/>
  <c r="O8" i="49" s="1"/>
  <c r="L7" i="48"/>
  <c r="H8" i="49" s="1"/>
  <c r="P8" i="49" s="1"/>
  <c r="M14" i="48"/>
  <c r="M15" i="48" s="1"/>
  <c r="J15" i="48"/>
  <c r="F16" i="49" s="1"/>
  <c r="N16" i="49" s="1"/>
  <c r="K15" i="48"/>
  <c r="G16" i="49" s="1"/>
  <c r="O16" i="49" s="1"/>
  <c r="L15" i="48"/>
  <c r="H16" i="49" s="1"/>
  <c r="P16" i="49" s="1"/>
  <c r="K16" i="48"/>
  <c r="G17" i="49"/>
  <c r="O17" i="49" s="1"/>
  <c r="L16" i="48"/>
  <c r="H17" i="49" s="1"/>
  <c r="P17" i="49" s="1"/>
  <c r="J17" i="48"/>
  <c r="F18" i="49" s="1"/>
  <c r="N18" i="49" s="1"/>
  <c r="K17" i="48"/>
  <c r="G18" i="49" s="1"/>
  <c r="O18" i="49" s="1"/>
  <c r="L17" i="48"/>
  <c r="H18" i="49" s="1"/>
  <c r="P18" i="49" s="1"/>
  <c r="M17" i="48"/>
  <c r="I18" i="49"/>
  <c r="Q18" i="49" s="1"/>
  <c r="L24" i="48"/>
  <c r="H25" i="49" s="1"/>
  <c r="R25" i="49" s="1"/>
  <c r="M24" i="48"/>
  <c r="I25" i="49" s="1"/>
  <c r="S25" i="49" s="1"/>
  <c r="N24" i="48"/>
  <c r="J25" i="49" s="1"/>
  <c r="T25" i="49" s="1"/>
  <c r="O24" i="48"/>
  <c r="K25" i="49" s="1"/>
  <c r="U25" i="49" s="1"/>
  <c r="P24" i="48"/>
  <c r="L25" i="49"/>
  <c r="V25" i="49" s="1"/>
  <c r="L25" i="48"/>
  <c r="H26" i="49" s="1"/>
  <c r="R26" i="49" s="1"/>
  <c r="M25" i="48"/>
  <c r="I26" i="49" s="1"/>
  <c r="S26" i="49" s="1"/>
  <c r="N25" i="48"/>
  <c r="J26" i="49" s="1"/>
  <c r="T26" i="49" s="1"/>
  <c r="O25" i="48"/>
  <c r="K26" i="49" s="1"/>
  <c r="U26" i="49" s="1"/>
  <c r="Y26" i="49" s="1"/>
  <c r="P25" i="48"/>
  <c r="L26" i="49" s="1"/>
  <c r="V26" i="49" s="1"/>
  <c r="L26" i="48"/>
  <c r="H27" i="49" s="1"/>
  <c r="R27" i="49" s="1"/>
  <c r="M26" i="48"/>
  <c r="I27" i="49" s="1"/>
  <c r="S27" i="49" s="1"/>
  <c r="N26" i="48"/>
  <c r="J27" i="49" s="1"/>
  <c r="T27" i="49" s="1"/>
  <c r="L27" i="48"/>
  <c r="H28" i="49" s="1"/>
  <c r="R28" i="49" s="1"/>
  <c r="M27" i="48"/>
  <c r="I28" i="49" s="1"/>
  <c r="S28" i="49" s="1"/>
  <c r="N27" i="48"/>
  <c r="J28" i="49" s="1"/>
  <c r="T28" i="49" s="1"/>
  <c r="L28" i="48"/>
  <c r="H29" i="49" s="1"/>
  <c r="R29" i="49" s="1"/>
  <c r="M28" i="48"/>
  <c r="I29" i="49" s="1"/>
  <c r="S29" i="49" s="1"/>
  <c r="N28" i="48"/>
  <c r="J29" i="49" s="1"/>
  <c r="T29" i="49" s="1"/>
  <c r="L29" i="48"/>
  <c r="H30" i="49" s="1"/>
  <c r="R30" i="49" s="1"/>
  <c r="M29" i="48"/>
  <c r="I30" i="49" s="1"/>
  <c r="S30" i="49" s="1"/>
  <c r="N29" i="48"/>
  <c r="J30" i="49" s="1"/>
  <c r="T30" i="49" s="1"/>
  <c r="O29" i="48"/>
  <c r="K30" i="49" s="1"/>
  <c r="U30" i="49" s="1"/>
  <c r="P29" i="48"/>
  <c r="L30" i="49" s="1"/>
  <c r="V30" i="49" s="1"/>
  <c r="L30" i="48"/>
  <c r="H31" i="49" s="1"/>
  <c r="R31" i="49" s="1"/>
  <c r="M30" i="48"/>
  <c r="I31" i="49" s="1"/>
  <c r="S31" i="49" s="1"/>
  <c r="N30" i="48"/>
  <c r="J31" i="49" s="1"/>
  <c r="T31" i="49" s="1"/>
  <c r="O30" i="48"/>
  <c r="K31" i="49" s="1"/>
  <c r="U31" i="49" s="1"/>
  <c r="Y31" i="49" s="1"/>
  <c r="P30" i="48"/>
  <c r="L31" i="49" s="1"/>
  <c r="V31" i="49" s="1"/>
  <c r="L36" i="48"/>
  <c r="H37" i="49" s="1"/>
  <c r="R37" i="49" s="1"/>
  <c r="M36" i="48"/>
  <c r="I37" i="49" s="1"/>
  <c r="S37" i="49" s="1"/>
  <c r="X37" i="49" s="1"/>
  <c r="N36" i="48"/>
  <c r="J37" i="49" s="1"/>
  <c r="T37" i="49" s="1"/>
  <c r="O36" i="48"/>
  <c r="K37" i="49" s="1"/>
  <c r="U37" i="49" s="1"/>
  <c r="P36" i="48"/>
  <c r="L37" i="49" s="1"/>
  <c r="V37" i="49" s="1"/>
  <c r="L37" i="48"/>
  <c r="H38" i="49" s="1"/>
  <c r="R38" i="49" s="1"/>
  <c r="M37" i="48"/>
  <c r="I38" i="49" s="1"/>
  <c r="S38" i="49" s="1"/>
  <c r="N37" i="48"/>
  <c r="J38" i="49" s="1"/>
  <c r="T38" i="49" s="1"/>
  <c r="O37" i="48"/>
  <c r="K38" i="49" s="1"/>
  <c r="U38" i="49" s="1"/>
  <c r="P37" i="48"/>
  <c r="L38" i="49" s="1"/>
  <c r="V38" i="49" s="1"/>
  <c r="E4" i="47"/>
  <c r="E5" i="47"/>
  <c r="C6" i="47"/>
  <c r="D6" i="47"/>
  <c r="J15" i="47" s="1"/>
  <c r="D9" i="47"/>
  <c r="D12" i="47"/>
  <c r="G12" i="47"/>
  <c r="D13" i="47"/>
  <c r="G13" i="47"/>
  <c r="D14" i="47"/>
  <c r="G14" i="47"/>
  <c r="E17" i="47"/>
  <c r="F17" i="47"/>
  <c r="H18" i="47"/>
  <c r="H19" i="47" s="1"/>
  <c r="I18" i="47"/>
  <c r="I19" i="47" s="1"/>
  <c r="I27" i="47" s="1"/>
  <c r="H20" i="47"/>
  <c r="H21" i="47" s="1"/>
  <c r="I20" i="47"/>
  <c r="I21" i="47" s="1"/>
  <c r="G23" i="47"/>
  <c r="H24" i="47"/>
  <c r="I24" i="47"/>
  <c r="H17" i="46"/>
  <c r="P17" i="46" s="1"/>
  <c r="I16" i="46"/>
  <c r="Q16" i="46" s="1"/>
  <c r="K31" i="45"/>
  <c r="J31" i="45"/>
  <c r="F31" i="45"/>
  <c r="E31" i="45"/>
  <c r="L34" i="45"/>
  <c r="H35" i="46" s="1"/>
  <c r="R35" i="46" s="1"/>
  <c r="X35" i="46" s="1"/>
  <c r="Q34" i="45"/>
  <c r="M34" i="45"/>
  <c r="I35" i="46" s="1"/>
  <c r="S35" i="46" s="1"/>
  <c r="B38" i="45"/>
  <c r="O33" i="45"/>
  <c r="K34" i="46" s="1"/>
  <c r="U34" i="46" s="1"/>
  <c r="P33" i="45"/>
  <c r="L34" i="46" s="1"/>
  <c r="V34" i="46" s="1"/>
  <c r="Y34" i="46" s="1"/>
  <c r="Q33" i="45"/>
  <c r="K27" i="46"/>
  <c r="U27" i="46" s="1"/>
  <c r="J25" i="46"/>
  <c r="T25" i="46" s="1"/>
  <c r="X25" i="46" s="1"/>
  <c r="I25" i="46"/>
  <c r="S25" i="46" s="1"/>
  <c r="G27" i="46"/>
  <c r="K11" i="45"/>
  <c r="G14" i="44"/>
  <c r="D14" i="44"/>
  <c r="F39" i="46"/>
  <c r="E39" i="46"/>
  <c r="B55" i="46" s="1"/>
  <c r="D39" i="46"/>
  <c r="O39" i="46" s="1"/>
  <c r="D38" i="45"/>
  <c r="C39" i="46"/>
  <c r="C38" i="45"/>
  <c r="B39" i="46"/>
  <c r="I38" i="45"/>
  <c r="N38" i="45" s="1"/>
  <c r="J39" i="46" s="1"/>
  <c r="H38" i="45"/>
  <c r="G38" i="45"/>
  <c r="E19" i="46"/>
  <c r="E18" i="45"/>
  <c r="D19" i="46"/>
  <c r="B47" i="46" s="1"/>
  <c r="D18" i="45"/>
  <c r="C19" i="46"/>
  <c r="K19" i="46" s="1"/>
  <c r="C18" i="45"/>
  <c r="B19" i="46"/>
  <c r="B18" i="45"/>
  <c r="I18" i="45"/>
  <c r="H18" i="45"/>
  <c r="G18" i="45"/>
  <c r="K18" i="45" s="1"/>
  <c r="G19" i="46" s="1"/>
  <c r="F18" i="45"/>
  <c r="N33" i="45"/>
  <c r="J34" i="46" s="1"/>
  <c r="T34" i="46" s="1"/>
  <c r="M33" i="45"/>
  <c r="I34" i="46" s="1"/>
  <c r="S34" i="46" s="1"/>
  <c r="L33" i="45"/>
  <c r="H34" i="46" s="1"/>
  <c r="R34" i="46" s="1"/>
  <c r="P27" i="45"/>
  <c r="L28" i="46" s="1"/>
  <c r="V28" i="46" s="1"/>
  <c r="O27" i="45"/>
  <c r="K28" i="46" s="1"/>
  <c r="U28" i="46" s="1"/>
  <c r="P26" i="45"/>
  <c r="L27" i="46" s="1"/>
  <c r="V27" i="46" s="1"/>
  <c r="O26" i="45"/>
  <c r="P25" i="45"/>
  <c r="L26" i="46" s="1"/>
  <c r="O25" i="45"/>
  <c r="K26" i="46" s="1"/>
  <c r="U26" i="46" s="1"/>
  <c r="N25" i="45"/>
  <c r="M25" i="45"/>
  <c r="I26" i="46" s="1"/>
  <c r="S26" i="46" s="1"/>
  <c r="L25" i="45"/>
  <c r="H26" i="46" s="1"/>
  <c r="R26" i="46" s="1"/>
  <c r="L24" i="45"/>
  <c r="H25" i="46" s="1"/>
  <c r="R25" i="46" s="1"/>
  <c r="K13" i="45"/>
  <c r="G14" i="46" s="1"/>
  <c r="O14" i="46" s="1"/>
  <c r="K12" i="45"/>
  <c r="G13" i="46" s="1"/>
  <c r="O13" i="46" s="1"/>
  <c r="Q38" i="46"/>
  <c r="P38" i="46"/>
  <c r="O38" i="46"/>
  <c r="N38" i="46"/>
  <c r="M38" i="46"/>
  <c r="L37" i="45"/>
  <c r="H38" i="46" s="1"/>
  <c r="R38" i="46" s="1"/>
  <c r="Q37" i="46"/>
  <c r="P37" i="46"/>
  <c r="O37" i="46"/>
  <c r="N37" i="46"/>
  <c r="M37" i="46"/>
  <c r="L36" i="45"/>
  <c r="H37" i="46" s="1"/>
  <c r="R37" i="46" s="1"/>
  <c r="Q36" i="46"/>
  <c r="P36" i="46"/>
  <c r="O36" i="46"/>
  <c r="N36" i="46"/>
  <c r="M36" i="46"/>
  <c r="P35" i="45"/>
  <c r="L36" i="46" s="1"/>
  <c r="V36" i="46" s="1"/>
  <c r="O35" i="45"/>
  <c r="K36" i="46" s="1"/>
  <c r="U36" i="46" s="1"/>
  <c r="N35" i="45"/>
  <c r="J36" i="46" s="1"/>
  <c r="T36" i="46" s="1"/>
  <c r="M35" i="45"/>
  <c r="I36" i="46" s="1"/>
  <c r="S36" i="46" s="1"/>
  <c r="L35" i="45"/>
  <c r="H36" i="46" s="1"/>
  <c r="R36" i="46" s="1"/>
  <c r="Q35" i="46"/>
  <c r="P35" i="46"/>
  <c r="O35" i="46"/>
  <c r="N35" i="46"/>
  <c r="M35" i="46"/>
  <c r="P34" i="45"/>
  <c r="L35" i="46"/>
  <c r="V35" i="46" s="1"/>
  <c r="O34" i="45"/>
  <c r="K35" i="46" s="1"/>
  <c r="U35" i="46" s="1"/>
  <c r="W35" i="46" s="1"/>
  <c r="N34" i="45"/>
  <c r="J35" i="46" s="1"/>
  <c r="T35" i="46" s="1"/>
  <c r="Q34" i="46"/>
  <c r="P34" i="46"/>
  <c r="O34" i="46"/>
  <c r="N34" i="46"/>
  <c r="M34" i="46"/>
  <c r="Q33" i="46"/>
  <c r="P33" i="46"/>
  <c r="O33" i="46"/>
  <c r="N33" i="46"/>
  <c r="M33" i="46"/>
  <c r="O32" i="46"/>
  <c r="N32" i="46"/>
  <c r="M32" i="46"/>
  <c r="Q31" i="46"/>
  <c r="P31" i="46"/>
  <c r="O31" i="46"/>
  <c r="N31" i="46"/>
  <c r="M31" i="46"/>
  <c r="Q30" i="46"/>
  <c r="P30" i="46"/>
  <c r="O30" i="46"/>
  <c r="N30" i="46"/>
  <c r="M30" i="46"/>
  <c r="Q29" i="46"/>
  <c r="P29" i="46"/>
  <c r="O29" i="46"/>
  <c r="N29" i="46"/>
  <c r="M29" i="46"/>
  <c r="Q28" i="46"/>
  <c r="P28" i="46"/>
  <c r="O28" i="46"/>
  <c r="N28" i="46"/>
  <c r="M28" i="46"/>
  <c r="Q27" i="46"/>
  <c r="P27" i="46"/>
  <c r="O27" i="46"/>
  <c r="N27" i="46"/>
  <c r="M27" i="46"/>
  <c r="Q26" i="46"/>
  <c r="P26" i="46"/>
  <c r="O26" i="46"/>
  <c r="N26" i="46"/>
  <c r="M26" i="46"/>
  <c r="Q25" i="46"/>
  <c r="P25" i="46"/>
  <c r="O25" i="46"/>
  <c r="N25" i="46"/>
  <c r="M25" i="46"/>
  <c r="M18" i="46"/>
  <c r="L18" i="46"/>
  <c r="K18" i="46"/>
  <c r="J18" i="46"/>
  <c r="M17" i="46"/>
  <c r="L17" i="46"/>
  <c r="K17" i="46"/>
  <c r="J17" i="46"/>
  <c r="M16" i="45"/>
  <c r="I17" i="46" s="1"/>
  <c r="Q17" i="46" s="1"/>
  <c r="J16" i="45"/>
  <c r="L16" i="46"/>
  <c r="K16" i="46"/>
  <c r="J16" i="46"/>
  <c r="L15" i="45"/>
  <c r="H16" i="46" s="1"/>
  <c r="P16" i="46" s="1"/>
  <c r="K15" i="45"/>
  <c r="G16" i="46" s="1"/>
  <c r="O16" i="46" s="1"/>
  <c r="J15" i="45"/>
  <c r="F16" i="46" s="1"/>
  <c r="N16" i="46" s="1"/>
  <c r="M15" i="46"/>
  <c r="L15" i="46"/>
  <c r="K15" i="46"/>
  <c r="J15" i="46"/>
  <c r="M14" i="45"/>
  <c r="I15" i="46"/>
  <c r="Q15" i="46" s="1"/>
  <c r="L14" i="45"/>
  <c r="H15" i="46" s="1"/>
  <c r="P15" i="46" s="1"/>
  <c r="K14" i="45"/>
  <c r="G15" i="46" s="1"/>
  <c r="O15" i="46" s="1"/>
  <c r="J14" i="45"/>
  <c r="F15" i="46" s="1"/>
  <c r="N15" i="46" s="1"/>
  <c r="M14" i="46"/>
  <c r="L14" i="46"/>
  <c r="K14" i="46"/>
  <c r="J14" i="46"/>
  <c r="M13" i="45"/>
  <c r="I14" i="46" s="1"/>
  <c r="Q14" i="46" s="1"/>
  <c r="L13" i="45"/>
  <c r="H14" i="46" s="1"/>
  <c r="P14" i="46" s="1"/>
  <c r="J13" i="45"/>
  <c r="F14" i="46" s="1"/>
  <c r="N14" i="46" s="1"/>
  <c r="M13" i="46"/>
  <c r="L13" i="46"/>
  <c r="K13" i="46"/>
  <c r="J13" i="46"/>
  <c r="M12" i="45"/>
  <c r="I13" i="46" s="1"/>
  <c r="Q13" i="46" s="1"/>
  <c r="L12" i="45"/>
  <c r="H13" i="46" s="1"/>
  <c r="P13" i="46" s="1"/>
  <c r="J12" i="45"/>
  <c r="F13" i="46" s="1"/>
  <c r="N13" i="46" s="1"/>
  <c r="M12" i="46"/>
  <c r="L12" i="46"/>
  <c r="K12" i="46"/>
  <c r="J12" i="46"/>
  <c r="M11" i="45"/>
  <c r="I12" i="46" s="1"/>
  <c r="Q12" i="46" s="1"/>
  <c r="L11" i="45"/>
  <c r="H12" i="46"/>
  <c r="P12" i="46" s="1"/>
  <c r="J11" i="45"/>
  <c r="F12" i="46" s="1"/>
  <c r="N12" i="46" s="1"/>
  <c r="M11" i="46"/>
  <c r="L11" i="46"/>
  <c r="K11" i="46"/>
  <c r="J11" i="46"/>
  <c r="M10" i="45"/>
  <c r="I11" i="46" s="1"/>
  <c r="Q11" i="46" s="1"/>
  <c r="L10" i="45"/>
  <c r="H11" i="46" s="1"/>
  <c r="P11" i="46" s="1"/>
  <c r="K10" i="45"/>
  <c r="G11" i="46" s="1"/>
  <c r="J10" i="45"/>
  <c r="F11" i="46" s="1"/>
  <c r="N11" i="46" s="1"/>
  <c r="M10" i="46"/>
  <c r="L10" i="46"/>
  <c r="K10" i="46"/>
  <c r="J10" i="46"/>
  <c r="M9" i="45"/>
  <c r="I10" i="46" s="1"/>
  <c r="Q10" i="46" s="1"/>
  <c r="L9" i="45"/>
  <c r="H10" i="46" s="1"/>
  <c r="P10" i="46" s="1"/>
  <c r="K9" i="45"/>
  <c r="G10" i="46" s="1"/>
  <c r="O10" i="46" s="1"/>
  <c r="J9" i="45"/>
  <c r="F10" i="46" s="1"/>
  <c r="N10" i="46" s="1"/>
  <c r="M9" i="46"/>
  <c r="L9" i="46"/>
  <c r="K9" i="46"/>
  <c r="J9" i="46"/>
  <c r="M8" i="45"/>
  <c r="I9" i="46" s="1"/>
  <c r="Q9" i="46" s="1"/>
  <c r="L8" i="45"/>
  <c r="H9" i="46" s="1"/>
  <c r="P9" i="46" s="1"/>
  <c r="K8" i="45"/>
  <c r="G9" i="46" s="1"/>
  <c r="O9" i="46" s="1"/>
  <c r="J8" i="45"/>
  <c r="F9" i="46" s="1"/>
  <c r="N9" i="46" s="1"/>
  <c r="M8" i="46"/>
  <c r="L8" i="46"/>
  <c r="K8" i="46"/>
  <c r="J8" i="46"/>
  <c r="M7" i="45"/>
  <c r="I8" i="46" s="1"/>
  <c r="Q8" i="46" s="1"/>
  <c r="L7" i="45"/>
  <c r="H8" i="46" s="1"/>
  <c r="P8" i="46" s="1"/>
  <c r="K7" i="45"/>
  <c r="G8" i="46" s="1"/>
  <c r="O8" i="46" s="1"/>
  <c r="J7" i="45"/>
  <c r="F8" i="46" s="1"/>
  <c r="N8" i="46" s="1"/>
  <c r="M7" i="46"/>
  <c r="L7" i="46"/>
  <c r="K7" i="46"/>
  <c r="J7" i="46"/>
  <c r="M6" i="45"/>
  <c r="I7" i="46" s="1"/>
  <c r="Q7" i="46" s="1"/>
  <c r="L6" i="45"/>
  <c r="H7" i="46" s="1"/>
  <c r="P7" i="46" s="1"/>
  <c r="K6" i="45"/>
  <c r="G7" i="46" s="1"/>
  <c r="O7" i="46" s="1"/>
  <c r="J6" i="45"/>
  <c r="F7" i="46" s="1"/>
  <c r="N7" i="46" s="1"/>
  <c r="M6" i="46"/>
  <c r="L6" i="46"/>
  <c r="K6" i="46"/>
  <c r="J6" i="46"/>
  <c r="M5" i="45"/>
  <c r="I6" i="46" s="1"/>
  <c r="Q6" i="46" s="1"/>
  <c r="L5" i="45"/>
  <c r="H6" i="46" s="1"/>
  <c r="P6" i="46" s="1"/>
  <c r="K5" i="45"/>
  <c r="G6" i="46" s="1"/>
  <c r="O6" i="46" s="1"/>
  <c r="J5" i="45"/>
  <c r="F6" i="46" s="1"/>
  <c r="N6" i="46" s="1"/>
  <c r="M5" i="46"/>
  <c r="L5" i="46"/>
  <c r="K5" i="46"/>
  <c r="J5" i="46"/>
  <c r="M4" i="45"/>
  <c r="I5" i="46" s="1"/>
  <c r="Q5" i="46" s="1"/>
  <c r="L4" i="45"/>
  <c r="H5" i="46" s="1"/>
  <c r="P5" i="46" s="1"/>
  <c r="K4" i="45"/>
  <c r="G5" i="46" s="1"/>
  <c r="O5" i="46" s="1"/>
  <c r="J4" i="45"/>
  <c r="F5" i="46" s="1"/>
  <c r="N5" i="46" s="1"/>
  <c r="V26" i="46"/>
  <c r="C73" i="46"/>
  <c r="C75" i="46" s="1"/>
  <c r="F13" i="44" s="1"/>
  <c r="F17" i="44" s="1"/>
  <c r="C74" i="46"/>
  <c r="C70" i="46"/>
  <c r="C71" i="46"/>
  <c r="C72" i="46"/>
  <c r="B70" i="46"/>
  <c r="B71" i="46"/>
  <c r="B72" i="46"/>
  <c r="B73" i="46"/>
  <c r="B74" i="46"/>
  <c r="B66" i="46"/>
  <c r="D66" i="46" s="1"/>
  <c r="D9" i="44"/>
  <c r="G25" i="46"/>
  <c r="G26" i="46"/>
  <c r="G28" i="46"/>
  <c r="G29" i="46"/>
  <c r="G30" i="46"/>
  <c r="G31" i="46"/>
  <c r="G32" i="46"/>
  <c r="G33" i="46"/>
  <c r="G34" i="46"/>
  <c r="G35" i="46"/>
  <c r="G36" i="46"/>
  <c r="G37" i="46"/>
  <c r="G38" i="46"/>
  <c r="B48" i="46"/>
  <c r="B52" i="46"/>
  <c r="C68" i="46"/>
  <c r="F12" i="44" s="1"/>
  <c r="M15" i="45"/>
  <c r="K16" i="45"/>
  <c r="G17" i="46" s="1"/>
  <c r="O17" i="46" s="1"/>
  <c r="L16" i="45"/>
  <c r="J17" i="45"/>
  <c r="F18" i="46" s="1"/>
  <c r="N18" i="46" s="1"/>
  <c r="K17" i="45"/>
  <c r="G18" i="46" s="1"/>
  <c r="O18" i="46" s="1"/>
  <c r="L17" i="45"/>
  <c r="H18" i="46" s="1"/>
  <c r="P18" i="46" s="1"/>
  <c r="M17" i="45"/>
  <c r="I18" i="46"/>
  <c r="Q18" i="46" s="1"/>
  <c r="M24" i="45"/>
  <c r="N24" i="45"/>
  <c r="O24" i="45"/>
  <c r="K25" i="46" s="1"/>
  <c r="U25" i="46" s="1"/>
  <c r="P24" i="45"/>
  <c r="L25" i="46" s="1"/>
  <c r="V25" i="46" s="1"/>
  <c r="Y25" i="46" s="1"/>
  <c r="L26" i="45"/>
  <c r="H27" i="46" s="1"/>
  <c r="R27" i="46" s="1"/>
  <c r="X27" i="46" s="1"/>
  <c r="M26" i="45"/>
  <c r="I27" i="46" s="1"/>
  <c r="S27" i="46" s="1"/>
  <c r="N26" i="45"/>
  <c r="J27" i="46" s="1"/>
  <c r="T27" i="46" s="1"/>
  <c r="L27" i="45"/>
  <c r="H28" i="46" s="1"/>
  <c r="R28" i="46" s="1"/>
  <c r="M27" i="45"/>
  <c r="I28" i="46" s="1"/>
  <c r="S28" i="46" s="1"/>
  <c r="N27" i="45"/>
  <c r="J28" i="46" s="1"/>
  <c r="T28" i="46" s="1"/>
  <c r="L28" i="45"/>
  <c r="H29" i="46" s="1"/>
  <c r="R29" i="46" s="1"/>
  <c r="M28" i="45"/>
  <c r="I29" i="46" s="1"/>
  <c r="S29" i="46" s="1"/>
  <c r="N28" i="45"/>
  <c r="J29" i="46" s="1"/>
  <c r="T29" i="46" s="1"/>
  <c r="O28" i="45"/>
  <c r="K29" i="46" s="1"/>
  <c r="U29" i="46" s="1"/>
  <c r="P28" i="45"/>
  <c r="L29" i="46" s="1"/>
  <c r="V29" i="46" s="1"/>
  <c r="L29" i="45"/>
  <c r="H30" i="46" s="1"/>
  <c r="R30" i="46" s="1"/>
  <c r="M29" i="45"/>
  <c r="I30" i="46" s="1"/>
  <c r="S30" i="46" s="1"/>
  <c r="N29" i="45"/>
  <c r="J30" i="46" s="1"/>
  <c r="T30" i="46" s="1"/>
  <c r="O29" i="45"/>
  <c r="K30" i="46" s="1"/>
  <c r="U30" i="46" s="1"/>
  <c r="P29" i="45"/>
  <c r="L30" i="46" s="1"/>
  <c r="V30" i="46" s="1"/>
  <c r="L30" i="45"/>
  <c r="H31" i="46" s="1"/>
  <c r="R31" i="46" s="1"/>
  <c r="M30" i="45"/>
  <c r="I31" i="46" s="1"/>
  <c r="S31" i="46" s="1"/>
  <c r="N30" i="45"/>
  <c r="J31" i="46" s="1"/>
  <c r="T31" i="46" s="1"/>
  <c r="O30" i="45"/>
  <c r="K31" i="46" s="1"/>
  <c r="U31" i="46" s="1"/>
  <c r="P30" i="45"/>
  <c r="L31" i="46" s="1"/>
  <c r="V31" i="46" s="1"/>
  <c r="L31" i="45"/>
  <c r="H32" i="46" s="1"/>
  <c r="R32" i="46" s="1"/>
  <c r="M31" i="45"/>
  <c r="I32" i="46" s="1"/>
  <c r="S32" i="46" s="1"/>
  <c r="N31" i="45"/>
  <c r="J32" i="46" s="1"/>
  <c r="T32" i="46" s="1"/>
  <c r="L32" i="45"/>
  <c r="H33" i="46" s="1"/>
  <c r="R33" i="46" s="1"/>
  <c r="M32" i="45"/>
  <c r="I33" i="46" s="1"/>
  <c r="S33" i="46" s="1"/>
  <c r="N32" i="45"/>
  <c r="J33" i="46" s="1"/>
  <c r="T33" i="46" s="1"/>
  <c r="O32" i="45"/>
  <c r="K33" i="46" s="1"/>
  <c r="U33" i="46" s="1"/>
  <c r="P32" i="45"/>
  <c r="L33" i="46" s="1"/>
  <c r="V33" i="46" s="1"/>
  <c r="M36" i="45"/>
  <c r="I37" i="46" s="1"/>
  <c r="S37" i="46" s="1"/>
  <c r="N36" i="45"/>
  <c r="J37" i="46"/>
  <c r="T37" i="46" s="1"/>
  <c r="W37" i="46" s="1"/>
  <c r="O36" i="45"/>
  <c r="K37" i="46" s="1"/>
  <c r="U37" i="46" s="1"/>
  <c r="P36" i="45"/>
  <c r="L37" i="46" s="1"/>
  <c r="V37" i="46" s="1"/>
  <c r="M37" i="45"/>
  <c r="I38" i="46" s="1"/>
  <c r="S38" i="46" s="1"/>
  <c r="N37" i="45"/>
  <c r="J38" i="46" s="1"/>
  <c r="T38" i="46" s="1"/>
  <c r="O37" i="45"/>
  <c r="K38" i="46" s="1"/>
  <c r="U38" i="46" s="1"/>
  <c r="P37" i="45"/>
  <c r="L38" i="46" s="1"/>
  <c r="V38" i="46" s="1"/>
  <c r="E4" i="44"/>
  <c r="E5" i="44"/>
  <c r="C6" i="44"/>
  <c r="D6" i="44"/>
  <c r="J15" i="44" s="1"/>
  <c r="H20" i="44"/>
  <c r="H21" i="44" s="1"/>
  <c r="I20" i="44"/>
  <c r="I21" i="44" s="1"/>
  <c r="G23" i="44"/>
  <c r="H24" i="44"/>
  <c r="I24" i="44"/>
  <c r="L33" i="43"/>
  <c r="H34" i="42" s="1"/>
  <c r="R34" i="42" s="1"/>
  <c r="N33" i="43"/>
  <c r="J34" i="42" s="1"/>
  <c r="T34" i="42" s="1"/>
  <c r="O33" i="43"/>
  <c r="K34" i="42" s="1"/>
  <c r="U34" i="42" s="1"/>
  <c r="G14" i="42"/>
  <c r="O14" i="42" s="1"/>
  <c r="G13" i="42"/>
  <c r="O13" i="42" s="1"/>
  <c r="L31" i="43"/>
  <c r="H32" i="42" s="1"/>
  <c r="R32" i="42" s="1"/>
  <c r="L32" i="43"/>
  <c r="H33" i="42" s="1"/>
  <c r="R33" i="42" s="1"/>
  <c r="L35" i="43"/>
  <c r="H36" i="42" s="1"/>
  <c r="R36" i="42" s="1"/>
  <c r="X36" i="42" s="1"/>
  <c r="M31" i="43"/>
  <c r="I32" i="42" s="1"/>
  <c r="S32" i="42" s="1"/>
  <c r="M32" i="43"/>
  <c r="I33" i="42" s="1"/>
  <c r="S33" i="42" s="1"/>
  <c r="M33" i="43"/>
  <c r="I34" i="42" s="1"/>
  <c r="S34" i="42" s="1"/>
  <c r="M35" i="43"/>
  <c r="I36" i="42" s="1"/>
  <c r="S36" i="42" s="1"/>
  <c r="M36" i="43"/>
  <c r="I37" i="42" s="1"/>
  <c r="S37" i="42" s="1"/>
  <c r="N31" i="43"/>
  <c r="J32" i="42" s="1"/>
  <c r="T32" i="42" s="1"/>
  <c r="N32" i="43"/>
  <c r="N35" i="43"/>
  <c r="J36" i="42" s="1"/>
  <c r="T36" i="42" s="1"/>
  <c r="N36" i="43"/>
  <c r="J37" i="42" s="1"/>
  <c r="T37" i="42" s="1"/>
  <c r="O31" i="43"/>
  <c r="K32" i="42"/>
  <c r="U32" i="42" s="1"/>
  <c r="O32" i="43"/>
  <c r="O35" i="43"/>
  <c r="K36" i="42" s="1"/>
  <c r="U36" i="42" s="1"/>
  <c r="P31" i="43"/>
  <c r="L32" i="42" s="1"/>
  <c r="V32" i="42" s="1"/>
  <c r="P32" i="43"/>
  <c r="L33" i="42" s="1"/>
  <c r="V33" i="42" s="1"/>
  <c r="P33" i="43"/>
  <c r="L34" i="42" s="1"/>
  <c r="V34" i="42" s="1"/>
  <c r="P34" i="43"/>
  <c r="L35" i="42" s="1"/>
  <c r="V35" i="42" s="1"/>
  <c r="P35" i="43"/>
  <c r="L36" i="42" s="1"/>
  <c r="V36" i="42" s="1"/>
  <c r="M8" i="43"/>
  <c r="I9" i="42" s="1"/>
  <c r="Q9" i="42" s="1"/>
  <c r="M9" i="43"/>
  <c r="I10" i="42" s="1"/>
  <c r="Q10" i="42" s="1"/>
  <c r="M10" i="43"/>
  <c r="I11" i="42" s="1"/>
  <c r="Q11" i="42" s="1"/>
  <c r="M11" i="43"/>
  <c r="I12" i="42" s="1"/>
  <c r="Q12" i="42" s="1"/>
  <c r="M12" i="43"/>
  <c r="I13" i="42" s="1"/>
  <c r="Q13" i="42" s="1"/>
  <c r="M13" i="43"/>
  <c r="I14" i="42" s="1"/>
  <c r="Q14" i="42" s="1"/>
  <c r="M14" i="43"/>
  <c r="I15" i="42" s="1"/>
  <c r="Q15" i="42" s="1"/>
  <c r="K12" i="43"/>
  <c r="K13" i="43"/>
  <c r="K14" i="43"/>
  <c r="G15" i="42" s="1"/>
  <c r="O15" i="42" s="1"/>
  <c r="K15" i="43"/>
  <c r="G16" i="42" s="1"/>
  <c r="O16" i="42" s="1"/>
  <c r="J4" i="43"/>
  <c r="F5" i="42" s="1"/>
  <c r="N5" i="42" s="1"/>
  <c r="J12" i="43"/>
  <c r="F13" i="42" s="1"/>
  <c r="N13" i="42" s="1"/>
  <c r="J13" i="43"/>
  <c r="F14" i="42" s="1"/>
  <c r="N14" i="42" s="1"/>
  <c r="J14" i="43"/>
  <c r="F15" i="42" s="1"/>
  <c r="N15" i="42" s="1"/>
  <c r="J15" i="43"/>
  <c r="F16" i="42" s="1"/>
  <c r="N16" i="42" s="1"/>
  <c r="L12" i="43"/>
  <c r="H13" i="42" s="1"/>
  <c r="P13" i="42" s="1"/>
  <c r="L13" i="43"/>
  <c r="H14" i="42" s="1"/>
  <c r="P14" i="42" s="1"/>
  <c r="L14" i="43"/>
  <c r="H15" i="42" s="1"/>
  <c r="P15" i="42" s="1"/>
  <c r="L24" i="43"/>
  <c r="H25" i="42" s="1"/>
  <c r="R25" i="42" s="1"/>
  <c r="L25" i="43"/>
  <c r="H26" i="42" s="1"/>
  <c r="R26" i="42" s="1"/>
  <c r="L26" i="43"/>
  <c r="H27" i="42" s="1"/>
  <c r="R27" i="42" s="1"/>
  <c r="L27" i="43"/>
  <c r="H28" i="42" s="1"/>
  <c r="R28" i="42" s="1"/>
  <c r="M24" i="43"/>
  <c r="I25" i="42"/>
  <c r="S25" i="42" s="1"/>
  <c r="X25" i="42" s="1"/>
  <c r="M26" i="43"/>
  <c r="I27" i="42" s="1"/>
  <c r="S27" i="42" s="1"/>
  <c r="M27" i="43"/>
  <c r="I28" i="42" s="1"/>
  <c r="S28" i="42" s="1"/>
  <c r="N24" i="43"/>
  <c r="J25" i="42" s="1"/>
  <c r="T25" i="42" s="1"/>
  <c r="N25" i="43"/>
  <c r="N26" i="43"/>
  <c r="N27" i="43"/>
  <c r="J28" i="42" s="1"/>
  <c r="T28" i="42" s="1"/>
  <c r="O24" i="43"/>
  <c r="K25" i="42" s="1"/>
  <c r="U25" i="42" s="1"/>
  <c r="O25" i="43"/>
  <c r="O27" i="43"/>
  <c r="K28" i="42" s="1"/>
  <c r="U28" i="42" s="1"/>
  <c r="P24" i="43"/>
  <c r="L25" i="42" s="1"/>
  <c r="V25" i="42" s="1"/>
  <c r="P25" i="43"/>
  <c r="L26" i="42" s="1"/>
  <c r="V26" i="42" s="1"/>
  <c r="G20" i="41"/>
  <c r="G23" i="41" s="1"/>
  <c r="H15" i="37" s="1"/>
  <c r="D21" i="41"/>
  <c r="G21" i="41"/>
  <c r="H21" i="41"/>
  <c r="H22" i="41"/>
  <c r="I22" i="41" s="1"/>
  <c r="D6" i="37"/>
  <c r="C6" i="37"/>
  <c r="B70" i="42"/>
  <c r="B71" i="42"/>
  <c r="B72" i="42"/>
  <c r="B73" i="42"/>
  <c r="B74" i="42"/>
  <c r="C70" i="42"/>
  <c r="D70" i="42" s="1"/>
  <c r="C71" i="42"/>
  <c r="C72" i="42"/>
  <c r="C73" i="42"/>
  <c r="D73" i="42" s="1"/>
  <c r="C74" i="42"/>
  <c r="E19" i="42"/>
  <c r="B19" i="42"/>
  <c r="B45" i="42" s="1"/>
  <c r="D19" i="42"/>
  <c r="B66" i="42" s="1"/>
  <c r="C19" i="42"/>
  <c r="B46" i="42" s="1"/>
  <c r="B38" i="43"/>
  <c r="C38" i="43"/>
  <c r="D38" i="43"/>
  <c r="E38" i="43"/>
  <c r="F38" i="43"/>
  <c r="Q39" i="42" s="1"/>
  <c r="B39" i="42"/>
  <c r="C39" i="42"/>
  <c r="D39" i="42"/>
  <c r="E39" i="42"/>
  <c r="F39" i="42"/>
  <c r="Q38" i="42"/>
  <c r="P38" i="42"/>
  <c r="O38" i="42"/>
  <c r="N38" i="42"/>
  <c r="M38" i="42"/>
  <c r="Q37" i="42"/>
  <c r="P37" i="42"/>
  <c r="O37" i="42"/>
  <c r="N37" i="42"/>
  <c r="M37" i="42"/>
  <c r="Q36" i="42"/>
  <c r="P36" i="42"/>
  <c r="O36" i="42"/>
  <c r="N36" i="42"/>
  <c r="M36" i="42"/>
  <c r="Q35" i="42"/>
  <c r="P35" i="42"/>
  <c r="O35" i="42"/>
  <c r="N35" i="42"/>
  <c r="M35" i="42"/>
  <c r="Q34" i="42"/>
  <c r="P34" i="42"/>
  <c r="O34" i="42"/>
  <c r="N34" i="42"/>
  <c r="M34" i="42"/>
  <c r="Q33" i="42"/>
  <c r="P33" i="42"/>
  <c r="O33" i="42"/>
  <c r="N33" i="42"/>
  <c r="M33" i="42"/>
  <c r="Q32" i="42"/>
  <c r="P32" i="42"/>
  <c r="O32" i="42"/>
  <c r="N32" i="42"/>
  <c r="M32" i="42"/>
  <c r="Q31" i="42"/>
  <c r="P31" i="42"/>
  <c r="O31" i="42"/>
  <c r="N31" i="42"/>
  <c r="M31" i="42"/>
  <c r="Q30" i="42"/>
  <c r="P30" i="42"/>
  <c r="O30" i="42"/>
  <c r="N30" i="42"/>
  <c r="M30" i="42"/>
  <c r="Q29" i="42"/>
  <c r="P29" i="42"/>
  <c r="O29" i="42"/>
  <c r="N29" i="42"/>
  <c r="M29" i="42"/>
  <c r="Q28" i="42"/>
  <c r="P28" i="42"/>
  <c r="O28" i="42"/>
  <c r="N28" i="42"/>
  <c r="M28" i="42"/>
  <c r="Q27" i="42"/>
  <c r="P27" i="42"/>
  <c r="O27" i="42"/>
  <c r="N27" i="42"/>
  <c r="M27" i="42"/>
  <c r="Q26" i="42"/>
  <c r="P26" i="42"/>
  <c r="O26" i="42"/>
  <c r="N26" i="42"/>
  <c r="M26" i="42"/>
  <c r="Q25" i="42"/>
  <c r="P25" i="42"/>
  <c r="O25" i="42"/>
  <c r="N25" i="42"/>
  <c r="M25" i="42"/>
  <c r="M18" i="42"/>
  <c r="L18" i="42"/>
  <c r="K18" i="42"/>
  <c r="J18" i="42"/>
  <c r="M17" i="42"/>
  <c r="L17" i="42"/>
  <c r="K17" i="42"/>
  <c r="J17" i="42"/>
  <c r="M16" i="42"/>
  <c r="L16" i="42"/>
  <c r="K16" i="42"/>
  <c r="J16" i="42"/>
  <c r="M15" i="42"/>
  <c r="L15" i="42"/>
  <c r="K15" i="42"/>
  <c r="J15" i="42"/>
  <c r="M14" i="42"/>
  <c r="L14" i="42"/>
  <c r="K14" i="42"/>
  <c r="J14" i="42"/>
  <c r="M13" i="42"/>
  <c r="L13" i="42"/>
  <c r="K13" i="42"/>
  <c r="J13" i="42"/>
  <c r="M12" i="42"/>
  <c r="L12" i="42"/>
  <c r="K12" i="42"/>
  <c r="J12" i="42"/>
  <c r="M11" i="42"/>
  <c r="L11" i="42"/>
  <c r="K11" i="42"/>
  <c r="J11" i="42"/>
  <c r="M10" i="42"/>
  <c r="L10" i="42"/>
  <c r="K10" i="42"/>
  <c r="J10" i="42"/>
  <c r="M9" i="42"/>
  <c r="L9" i="42"/>
  <c r="K9" i="42"/>
  <c r="J9" i="42"/>
  <c r="M8" i="42"/>
  <c r="L8" i="42"/>
  <c r="K8" i="42"/>
  <c r="J8" i="42"/>
  <c r="M7" i="42"/>
  <c r="L7" i="42"/>
  <c r="K7" i="42"/>
  <c r="J7" i="42"/>
  <c r="M6" i="42"/>
  <c r="L6" i="42"/>
  <c r="K6" i="42"/>
  <c r="J6" i="42"/>
  <c r="M5" i="42"/>
  <c r="L5" i="42"/>
  <c r="K5" i="42"/>
  <c r="J5" i="42"/>
  <c r="B23" i="41"/>
  <c r="E15" i="37" s="1"/>
  <c r="C23" i="41"/>
  <c r="F15" i="37" s="1"/>
  <c r="D20" i="41"/>
  <c r="D22" i="41"/>
  <c r="K4" i="43"/>
  <c r="G5" i="42" s="1"/>
  <c r="O5" i="42" s="1"/>
  <c r="L4" i="43"/>
  <c r="H5" i="42" s="1"/>
  <c r="P5" i="42" s="1"/>
  <c r="M4" i="43"/>
  <c r="I5" i="42" s="1"/>
  <c r="Q5" i="42" s="1"/>
  <c r="J5" i="43"/>
  <c r="F6" i="42" s="1"/>
  <c r="N6" i="42" s="1"/>
  <c r="K5" i="43"/>
  <c r="G6" i="42" s="1"/>
  <c r="O6" i="42" s="1"/>
  <c r="L5" i="43"/>
  <c r="H6" i="42" s="1"/>
  <c r="P6" i="42" s="1"/>
  <c r="M5" i="43"/>
  <c r="I6" i="42" s="1"/>
  <c r="Q6" i="42" s="1"/>
  <c r="J6" i="43"/>
  <c r="F7" i="42" s="1"/>
  <c r="N7" i="42" s="1"/>
  <c r="K6" i="43"/>
  <c r="G7" i="42" s="1"/>
  <c r="O7" i="42" s="1"/>
  <c r="L6" i="43"/>
  <c r="H7" i="42" s="1"/>
  <c r="P7" i="42" s="1"/>
  <c r="M6" i="43"/>
  <c r="I7" i="42" s="1"/>
  <c r="Q7" i="42" s="1"/>
  <c r="J7" i="43"/>
  <c r="F8" i="42" s="1"/>
  <c r="N8" i="42" s="1"/>
  <c r="K7" i="43"/>
  <c r="G8" i="42" s="1"/>
  <c r="O8" i="42" s="1"/>
  <c r="L7" i="43"/>
  <c r="H8" i="42" s="1"/>
  <c r="P8" i="42" s="1"/>
  <c r="M7" i="43"/>
  <c r="I8" i="42" s="1"/>
  <c r="Q8" i="42" s="1"/>
  <c r="J8" i="43"/>
  <c r="F9" i="42" s="1"/>
  <c r="N9" i="42" s="1"/>
  <c r="K8" i="43"/>
  <c r="G9" i="42" s="1"/>
  <c r="O9" i="42" s="1"/>
  <c r="L8" i="43"/>
  <c r="H9" i="42" s="1"/>
  <c r="P9" i="42" s="1"/>
  <c r="J9" i="43"/>
  <c r="F10" i="42" s="1"/>
  <c r="N10" i="42" s="1"/>
  <c r="K9" i="43"/>
  <c r="G10" i="42" s="1"/>
  <c r="O10" i="42" s="1"/>
  <c r="L9" i="43"/>
  <c r="H10" i="42" s="1"/>
  <c r="P10" i="42" s="1"/>
  <c r="J10" i="43"/>
  <c r="F11" i="42" s="1"/>
  <c r="N11" i="42" s="1"/>
  <c r="K10" i="43"/>
  <c r="G11" i="42" s="1"/>
  <c r="O11" i="42" s="1"/>
  <c r="L10" i="43"/>
  <c r="H11" i="42" s="1"/>
  <c r="P11" i="42" s="1"/>
  <c r="J11" i="43"/>
  <c r="F12" i="42" s="1"/>
  <c r="N12" i="42" s="1"/>
  <c r="K11" i="43"/>
  <c r="G12" i="42" s="1"/>
  <c r="O12" i="42" s="1"/>
  <c r="L11" i="43"/>
  <c r="H12" i="42" s="1"/>
  <c r="P12" i="42" s="1"/>
  <c r="L15" i="43"/>
  <c r="H16" i="42" s="1"/>
  <c r="P16" i="42" s="1"/>
  <c r="M15" i="43"/>
  <c r="I16" i="42" s="1"/>
  <c r="Q16" i="42" s="1"/>
  <c r="J16" i="43"/>
  <c r="F17" i="42" s="1"/>
  <c r="N17" i="42" s="1"/>
  <c r="K16" i="43"/>
  <c r="G17" i="42" s="1"/>
  <c r="O17" i="42" s="1"/>
  <c r="L16" i="43"/>
  <c r="H17" i="42" s="1"/>
  <c r="P17" i="42" s="1"/>
  <c r="M16" i="43"/>
  <c r="I17" i="42" s="1"/>
  <c r="Q17" i="42" s="1"/>
  <c r="J17" i="43"/>
  <c r="F18" i="42" s="1"/>
  <c r="N18" i="42" s="1"/>
  <c r="K17" i="43"/>
  <c r="G18" i="42" s="1"/>
  <c r="O18" i="42" s="1"/>
  <c r="L17" i="43"/>
  <c r="H18" i="42" s="1"/>
  <c r="P18" i="42" s="1"/>
  <c r="M17" i="43"/>
  <c r="I18" i="42" s="1"/>
  <c r="Q18" i="42" s="1"/>
  <c r="B18" i="43"/>
  <c r="C18" i="43"/>
  <c r="D18" i="43"/>
  <c r="E18" i="43"/>
  <c r="F18" i="43"/>
  <c r="G18" i="43"/>
  <c r="H18" i="43"/>
  <c r="I18" i="43"/>
  <c r="M25" i="43"/>
  <c r="I26" i="42" s="1"/>
  <c r="S26" i="42" s="1"/>
  <c r="O26" i="43"/>
  <c r="K27" i="42" s="1"/>
  <c r="U27" i="42" s="1"/>
  <c r="Y27" i="42" s="1"/>
  <c r="P26" i="43"/>
  <c r="L27" i="42" s="1"/>
  <c r="V27" i="42" s="1"/>
  <c r="P27" i="43"/>
  <c r="L28" i="42" s="1"/>
  <c r="V28" i="42" s="1"/>
  <c r="L28" i="43"/>
  <c r="H29" i="42" s="1"/>
  <c r="R29" i="42" s="1"/>
  <c r="M28" i="43"/>
  <c r="I29" i="42" s="1"/>
  <c r="S29" i="42" s="1"/>
  <c r="N28" i="43"/>
  <c r="J29" i="42" s="1"/>
  <c r="T29" i="42" s="1"/>
  <c r="O28" i="43"/>
  <c r="K29" i="42" s="1"/>
  <c r="U29" i="42" s="1"/>
  <c r="P28" i="43"/>
  <c r="L29" i="42"/>
  <c r="V29" i="42" s="1"/>
  <c r="L29" i="43"/>
  <c r="H30" i="42" s="1"/>
  <c r="R30" i="42" s="1"/>
  <c r="M29" i="43"/>
  <c r="I30" i="42" s="1"/>
  <c r="S30" i="42" s="1"/>
  <c r="N29" i="43"/>
  <c r="J30" i="42" s="1"/>
  <c r="T30" i="42" s="1"/>
  <c r="O29" i="43"/>
  <c r="K30" i="42" s="1"/>
  <c r="U30" i="42" s="1"/>
  <c r="P29" i="43"/>
  <c r="L30" i="42" s="1"/>
  <c r="V30" i="42" s="1"/>
  <c r="L30" i="43"/>
  <c r="H31" i="42" s="1"/>
  <c r="R31" i="42" s="1"/>
  <c r="M30" i="43"/>
  <c r="I31" i="42" s="1"/>
  <c r="S31" i="42" s="1"/>
  <c r="N30" i="43"/>
  <c r="J31" i="42" s="1"/>
  <c r="T31" i="42" s="1"/>
  <c r="O30" i="43"/>
  <c r="K31" i="42" s="1"/>
  <c r="U31" i="42" s="1"/>
  <c r="Y31" i="42" s="1"/>
  <c r="P30" i="43"/>
  <c r="L31" i="42" s="1"/>
  <c r="V31" i="42" s="1"/>
  <c r="L34" i="43"/>
  <c r="H35" i="42" s="1"/>
  <c r="R35" i="42" s="1"/>
  <c r="M34" i="43"/>
  <c r="I35" i="42" s="1"/>
  <c r="S35" i="42" s="1"/>
  <c r="N34" i="43"/>
  <c r="J35" i="42" s="1"/>
  <c r="T35" i="42" s="1"/>
  <c r="O34" i="43"/>
  <c r="K35" i="42" s="1"/>
  <c r="U35" i="42" s="1"/>
  <c r="L36" i="43"/>
  <c r="H37" i="42" s="1"/>
  <c r="R37" i="42" s="1"/>
  <c r="O36" i="43"/>
  <c r="K37" i="42" s="1"/>
  <c r="U37" i="42" s="1"/>
  <c r="P36" i="43"/>
  <c r="L37" i="42" s="1"/>
  <c r="V37" i="42" s="1"/>
  <c r="L37" i="43"/>
  <c r="H38" i="42" s="1"/>
  <c r="R38" i="42" s="1"/>
  <c r="M37" i="43"/>
  <c r="I38" i="42" s="1"/>
  <c r="S38" i="42" s="1"/>
  <c r="N37" i="43"/>
  <c r="J38" i="42" s="1"/>
  <c r="T38" i="42" s="1"/>
  <c r="O37" i="43"/>
  <c r="K38" i="42" s="1"/>
  <c r="U38" i="42" s="1"/>
  <c r="P37" i="43"/>
  <c r="L38" i="42" s="1"/>
  <c r="V38" i="42" s="1"/>
  <c r="Y38" i="42" s="1"/>
  <c r="G38" i="43"/>
  <c r="H38" i="43"/>
  <c r="M38" i="43" s="1"/>
  <c r="I39" i="42" s="1"/>
  <c r="I38" i="43"/>
  <c r="N38" i="43" s="1"/>
  <c r="J39" i="42" s="1"/>
  <c r="J38" i="43"/>
  <c r="K39" i="43" s="1"/>
  <c r="K38" i="43"/>
  <c r="P38" i="43" s="1"/>
  <c r="L39" i="42" s="1"/>
  <c r="J4" i="36"/>
  <c r="F5" i="35" s="1"/>
  <c r="N5" i="35" s="1"/>
  <c r="K4" i="36"/>
  <c r="G5" i="35" s="1"/>
  <c r="O5" i="35" s="1"/>
  <c r="L4" i="36"/>
  <c r="H5" i="35" s="1"/>
  <c r="P5" i="35" s="1"/>
  <c r="M4" i="36"/>
  <c r="I5" i="35" s="1"/>
  <c r="Q5" i="35" s="1"/>
  <c r="J5" i="36"/>
  <c r="K5" i="36"/>
  <c r="G6" i="35" s="1"/>
  <c r="O6" i="35" s="1"/>
  <c r="L5" i="36"/>
  <c r="H6" i="35" s="1"/>
  <c r="P6" i="35" s="1"/>
  <c r="M5" i="36"/>
  <c r="I6" i="35" s="1"/>
  <c r="Q6" i="35" s="1"/>
  <c r="J6" i="36"/>
  <c r="F7" i="35" s="1"/>
  <c r="N7" i="35"/>
  <c r="K6" i="36"/>
  <c r="G7" i="35" s="1"/>
  <c r="O7" i="35" s="1"/>
  <c r="L6" i="36"/>
  <c r="H7" i="35" s="1"/>
  <c r="P7" i="35" s="1"/>
  <c r="M6" i="36"/>
  <c r="I7" i="35" s="1"/>
  <c r="Q7" i="35" s="1"/>
  <c r="J7" i="36"/>
  <c r="F8" i="35" s="1"/>
  <c r="N8" i="35" s="1"/>
  <c r="K7" i="36"/>
  <c r="G8" i="35" s="1"/>
  <c r="O8" i="35" s="1"/>
  <c r="L7" i="36"/>
  <c r="H8" i="35" s="1"/>
  <c r="P8" i="35" s="1"/>
  <c r="M7" i="36"/>
  <c r="I8" i="35" s="1"/>
  <c r="Q8" i="35" s="1"/>
  <c r="J8" i="36"/>
  <c r="F9" i="35" s="1"/>
  <c r="N9" i="35" s="1"/>
  <c r="K8" i="36"/>
  <c r="L8" i="36"/>
  <c r="H9" i="35" s="1"/>
  <c r="P9" i="35" s="1"/>
  <c r="M8" i="36"/>
  <c r="I9" i="35" s="1"/>
  <c r="Q9" i="35" s="1"/>
  <c r="J9" i="36"/>
  <c r="K9" i="36"/>
  <c r="G10" i="35" s="1"/>
  <c r="O10" i="35" s="1"/>
  <c r="L9" i="36"/>
  <c r="M9" i="36"/>
  <c r="I10" i="35" s="1"/>
  <c r="Q10" i="35" s="1"/>
  <c r="J10" i="36"/>
  <c r="F11" i="35" s="1"/>
  <c r="N11" i="35" s="1"/>
  <c r="K10" i="36"/>
  <c r="G11" i="35" s="1"/>
  <c r="O11" i="35" s="1"/>
  <c r="L10" i="36"/>
  <c r="H11" i="35" s="1"/>
  <c r="P11" i="35" s="1"/>
  <c r="M10" i="36"/>
  <c r="I11" i="35" s="1"/>
  <c r="J11" i="36"/>
  <c r="F12" i="35" s="1"/>
  <c r="N12" i="35" s="1"/>
  <c r="L11" i="36"/>
  <c r="H12" i="35" s="1"/>
  <c r="P12" i="35" s="1"/>
  <c r="M11" i="36"/>
  <c r="I12" i="35" s="1"/>
  <c r="Q12" i="35" s="1"/>
  <c r="J12" i="36"/>
  <c r="F13" i="35" s="1"/>
  <c r="N13" i="35" s="1"/>
  <c r="K12" i="36"/>
  <c r="G13" i="35" s="1"/>
  <c r="O13" i="35" s="1"/>
  <c r="L12" i="36"/>
  <c r="H13" i="35" s="1"/>
  <c r="P13" i="35" s="1"/>
  <c r="M12" i="36"/>
  <c r="I13" i="35" s="1"/>
  <c r="Q13" i="35" s="1"/>
  <c r="J13" i="36"/>
  <c r="F14" i="35" s="1"/>
  <c r="N14" i="35" s="1"/>
  <c r="K13" i="36"/>
  <c r="G14" i="35" s="1"/>
  <c r="O14" i="35" s="1"/>
  <c r="L13" i="36"/>
  <c r="M13" i="36"/>
  <c r="I14" i="35" s="1"/>
  <c r="Q14" i="35" s="1"/>
  <c r="J14" i="36"/>
  <c r="F15" i="35" s="1"/>
  <c r="N15" i="35" s="1"/>
  <c r="K14" i="36"/>
  <c r="G15" i="35" s="1"/>
  <c r="O15" i="35" s="1"/>
  <c r="L14" i="36"/>
  <c r="H15" i="35" s="1"/>
  <c r="P15" i="35" s="1"/>
  <c r="M14" i="36"/>
  <c r="I15" i="35" s="1"/>
  <c r="Q15" i="35" s="1"/>
  <c r="J15" i="36"/>
  <c r="F16" i="35" s="1"/>
  <c r="N16" i="35" s="1"/>
  <c r="K15" i="36"/>
  <c r="L15" i="36"/>
  <c r="H16" i="35" s="1"/>
  <c r="P16" i="35" s="1"/>
  <c r="M15" i="36"/>
  <c r="I16" i="35" s="1"/>
  <c r="Q16" i="35" s="1"/>
  <c r="J16" i="36"/>
  <c r="F17" i="35" s="1"/>
  <c r="N17" i="35" s="1"/>
  <c r="K16" i="36"/>
  <c r="G17" i="35" s="1"/>
  <c r="O17" i="35" s="1"/>
  <c r="L16" i="36"/>
  <c r="H17" i="35" s="1"/>
  <c r="P17" i="35" s="1"/>
  <c r="M16" i="36"/>
  <c r="J17" i="36"/>
  <c r="F18" i="35" s="1"/>
  <c r="N18" i="35" s="1"/>
  <c r="K17" i="36"/>
  <c r="G18" i="35" s="1"/>
  <c r="O18" i="35" s="1"/>
  <c r="L17" i="36"/>
  <c r="M17" i="36"/>
  <c r="I18" i="35" s="1"/>
  <c r="Q18" i="35" s="1"/>
  <c r="F18" i="36"/>
  <c r="B18" i="36"/>
  <c r="G18" i="36"/>
  <c r="I19" i="36" s="1"/>
  <c r="C18" i="36"/>
  <c r="H18" i="36"/>
  <c r="D18" i="36"/>
  <c r="I18" i="36"/>
  <c r="E18" i="36"/>
  <c r="G25" i="42"/>
  <c r="O24" i="36"/>
  <c r="P24" i="36"/>
  <c r="G26" i="42"/>
  <c r="L25" i="36"/>
  <c r="N25" i="36"/>
  <c r="J26" i="35" s="1"/>
  <c r="T26" i="35" s="1"/>
  <c r="O25" i="36"/>
  <c r="K26" i="35" s="1"/>
  <c r="U26" i="35" s="1"/>
  <c r="P25" i="36"/>
  <c r="L26" i="35" s="1"/>
  <c r="V26" i="35" s="1"/>
  <c r="G27" i="42"/>
  <c r="L26" i="36"/>
  <c r="M26" i="36"/>
  <c r="I27" i="35" s="1"/>
  <c r="S27" i="35" s="1"/>
  <c r="N26" i="36"/>
  <c r="J27" i="35" s="1"/>
  <c r="T27" i="35" s="1"/>
  <c r="O26" i="36"/>
  <c r="P26" i="36"/>
  <c r="L27" i="35" s="1"/>
  <c r="V27" i="35" s="1"/>
  <c r="G28" i="42"/>
  <c r="L27" i="36"/>
  <c r="H28" i="35" s="1"/>
  <c r="R28" i="35" s="1"/>
  <c r="M27" i="36"/>
  <c r="I28" i="35" s="1"/>
  <c r="S28" i="35" s="1"/>
  <c r="N27" i="36"/>
  <c r="O27" i="36"/>
  <c r="K28" i="35" s="1"/>
  <c r="U28" i="35" s="1"/>
  <c r="P27" i="36"/>
  <c r="L28" i="35" s="1"/>
  <c r="V28" i="35" s="1"/>
  <c r="G29" i="42"/>
  <c r="L28" i="36"/>
  <c r="H29" i="35" s="1"/>
  <c r="R29" i="35" s="1"/>
  <c r="M28" i="36"/>
  <c r="I29" i="35" s="1"/>
  <c r="S29" i="35" s="1"/>
  <c r="N28" i="36"/>
  <c r="J29" i="35" s="1"/>
  <c r="O28" i="36"/>
  <c r="P28" i="36"/>
  <c r="G30" i="42"/>
  <c r="L29" i="36"/>
  <c r="H30" i="35" s="1"/>
  <c r="R30" i="35" s="1"/>
  <c r="M29" i="36"/>
  <c r="I30" i="35" s="1"/>
  <c r="S30" i="35" s="1"/>
  <c r="N29" i="36"/>
  <c r="J30" i="35" s="1"/>
  <c r="T30" i="35" s="1"/>
  <c r="O29" i="36"/>
  <c r="K30" i="35" s="1"/>
  <c r="U30" i="35" s="1"/>
  <c r="P29" i="36"/>
  <c r="L30" i="35" s="1"/>
  <c r="V30" i="35" s="1"/>
  <c r="G31" i="42"/>
  <c r="L30" i="36"/>
  <c r="H31" i="35" s="1"/>
  <c r="R31" i="35" s="1"/>
  <c r="N30" i="36"/>
  <c r="J31" i="35" s="1"/>
  <c r="T31" i="35" s="1"/>
  <c r="G32" i="42"/>
  <c r="L31" i="36"/>
  <c r="M31" i="36"/>
  <c r="I32" i="35" s="1"/>
  <c r="S32" i="35" s="1"/>
  <c r="N31" i="36"/>
  <c r="J32" i="35" s="1"/>
  <c r="T32" i="35" s="1"/>
  <c r="O31" i="36"/>
  <c r="K32" i="35" s="1"/>
  <c r="U32" i="35" s="1"/>
  <c r="P31" i="36"/>
  <c r="L32" i="35" s="1"/>
  <c r="V32" i="35" s="1"/>
  <c r="G33" i="42"/>
  <c r="L32" i="36"/>
  <c r="H33" i="35" s="1"/>
  <c r="R33" i="35" s="1"/>
  <c r="M32" i="36"/>
  <c r="I33" i="35" s="1"/>
  <c r="S33" i="35" s="1"/>
  <c r="N32" i="36"/>
  <c r="J33" i="35" s="1"/>
  <c r="T33" i="35" s="1"/>
  <c r="O32" i="36"/>
  <c r="P32" i="36"/>
  <c r="L33" i="35" s="1"/>
  <c r="V33" i="35" s="1"/>
  <c r="G34" i="42"/>
  <c r="L33" i="36"/>
  <c r="H34" i="35" s="1"/>
  <c r="M33" i="36"/>
  <c r="I34" i="35" s="1"/>
  <c r="S34" i="35" s="1"/>
  <c r="N33" i="36"/>
  <c r="J34" i="35" s="1"/>
  <c r="T34" i="35" s="1"/>
  <c r="P33" i="36"/>
  <c r="G35" i="42"/>
  <c r="L34" i="36"/>
  <c r="H35" i="35" s="1"/>
  <c r="R35" i="35"/>
  <c r="M34" i="36"/>
  <c r="I35" i="35" s="1"/>
  <c r="N34" i="36"/>
  <c r="J35" i="35" s="1"/>
  <c r="O34" i="36"/>
  <c r="K35" i="35" s="1"/>
  <c r="U35" i="35" s="1"/>
  <c r="P34" i="36"/>
  <c r="G36" i="42"/>
  <c r="L35" i="36"/>
  <c r="H36" i="35" s="1"/>
  <c r="R36" i="35" s="1"/>
  <c r="M35" i="36"/>
  <c r="I36" i="35" s="1"/>
  <c r="S36" i="35" s="1"/>
  <c r="N35" i="36"/>
  <c r="J36" i="35" s="1"/>
  <c r="T36" i="35" s="1"/>
  <c r="G37" i="42"/>
  <c r="L36" i="36"/>
  <c r="H37" i="35" s="1"/>
  <c r="R37" i="35" s="1"/>
  <c r="M36" i="36"/>
  <c r="I37" i="35" s="1"/>
  <c r="S37" i="35" s="1"/>
  <c r="N36" i="36"/>
  <c r="J37" i="35" s="1"/>
  <c r="T37" i="35" s="1"/>
  <c r="P36" i="36"/>
  <c r="G38" i="42"/>
  <c r="L37" i="36"/>
  <c r="H38" i="35" s="1"/>
  <c r="R38" i="35" s="1"/>
  <c r="M37" i="36"/>
  <c r="I38" i="35" s="1"/>
  <c r="S38" i="35" s="1"/>
  <c r="N37" i="36"/>
  <c r="O37" i="36"/>
  <c r="K38" i="35" s="1"/>
  <c r="U38" i="35" s="1"/>
  <c r="P37" i="36"/>
  <c r="L38" i="35" s="1"/>
  <c r="V38" i="35" s="1"/>
  <c r="G38" i="36"/>
  <c r="B38" i="36"/>
  <c r="H38" i="36"/>
  <c r="C38" i="36"/>
  <c r="I38" i="36"/>
  <c r="K39" i="36" s="1"/>
  <c r="D38" i="36"/>
  <c r="J38" i="36"/>
  <c r="E38" i="36"/>
  <c r="K38" i="36"/>
  <c r="F38" i="36"/>
  <c r="B48" i="42"/>
  <c r="B55" i="42"/>
  <c r="C68" i="42"/>
  <c r="F12" i="37" s="1"/>
  <c r="D72" i="42"/>
  <c r="D4" i="41"/>
  <c r="G4" i="41"/>
  <c r="H4" i="41"/>
  <c r="H16" i="41" s="1"/>
  <c r="D5" i="41"/>
  <c r="G5" i="41"/>
  <c r="H5" i="41"/>
  <c r="D6" i="41"/>
  <c r="G6" i="41"/>
  <c r="H6" i="41"/>
  <c r="D7" i="41"/>
  <c r="G7" i="41"/>
  <c r="H7" i="41"/>
  <c r="D8" i="41"/>
  <c r="G8" i="41"/>
  <c r="H8" i="41"/>
  <c r="D9" i="41"/>
  <c r="G9" i="41"/>
  <c r="H9" i="41"/>
  <c r="D10" i="41"/>
  <c r="G10" i="41"/>
  <c r="H10" i="41"/>
  <c r="D11" i="41"/>
  <c r="G11" i="41"/>
  <c r="H11" i="41"/>
  <c r="D12" i="41"/>
  <c r="G12" i="41"/>
  <c r="H12" i="41"/>
  <c r="G13" i="41"/>
  <c r="H13" i="41"/>
  <c r="G14" i="41"/>
  <c r="H14" i="41"/>
  <c r="G15" i="41"/>
  <c r="H15" i="41"/>
  <c r="B16" i="41"/>
  <c r="C16" i="41"/>
  <c r="E16" i="41"/>
  <c r="F16" i="41"/>
  <c r="I20" i="41"/>
  <c r="E23" i="41"/>
  <c r="F23" i="41"/>
  <c r="T7" i="31"/>
  <c r="X7" i="31"/>
  <c r="L8" i="31"/>
  <c r="P8" i="31"/>
  <c r="T8" i="31"/>
  <c r="S13" i="32" s="1"/>
  <c r="T13" i="32" s="1"/>
  <c r="X8" i="31"/>
  <c r="W13" i="32" s="1"/>
  <c r="X13" i="32" s="1"/>
  <c r="T9" i="31"/>
  <c r="X9" i="31"/>
  <c r="W14" i="32" s="1"/>
  <c r="X14" i="32" s="1"/>
  <c r="T10" i="31"/>
  <c r="S15" i="32" s="1"/>
  <c r="T15" i="32" s="1"/>
  <c r="X10" i="31"/>
  <c r="W15" i="32" s="1"/>
  <c r="X15" i="32" s="1"/>
  <c r="H12" i="31"/>
  <c r="G17" i="32" s="1"/>
  <c r="H17" i="32" s="1"/>
  <c r="H14" i="31"/>
  <c r="G19" i="32" s="1"/>
  <c r="H19" i="32" s="1"/>
  <c r="L15" i="31"/>
  <c r="P15" i="31"/>
  <c r="O20" i="32" s="1"/>
  <c r="L16" i="31"/>
  <c r="P16" i="31"/>
  <c r="H23" i="31"/>
  <c r="G33" i="32" s="1"/>
  <c r="L23" i="31"/>
  <c r="K33" i="32" s="1"/>
  <c r="P23" i="31"/>
  <c r="O33" i="32" s="1"/>
  <c r="X23" i="31"/>
  <c r="W33" i="32" s="1"/>
  <c r="D24" i="31"/>
  <c r="C34" i="32" s="1"/>
  <c r="D34" i="32" s="1"/>
  <c r="H24" i="31"/>
  <c r="G34" i="32" s="1"/>
  <c r="H34" i="32" s="1"/>
  <c r="L24" i="31"/>
  <c r="K34" i="32" s="1"/>
  <c r="L34" i="32" s="1"/>
  <c r="P24" i="31"/>
  <c r="O34" i="32" s="1"/>
  <c r="AB24" i="31"/>
  <c r="AA34" i="32" s="1"/>
  <c r="D25" i="31"/>
  <c r="C35" i="32" s="1"/>
  <c r="D35" i="32" s="1"/>
  <c r="H25" i="31"/>
  <c r="L25" i="31"/>
  <c r="K35" i="32" s="1"/>
  <c r="L35" i="32" s="1"/>
  <c r="P25" i="31"/>
  <c r="O35" i="32" s="1"/>
  <c r="T25" i="31"/>
  <c r="X25" i="31"/>
  <c r="D26" i="31"/>
  <c r="L26" i="31"/>
  <c r="K36" i="32" s="1"/>
  <c r="L36" i="32" s="1"/>
  <c r="P26" i="31"/>
  <c r="O36" i="32" s="1"/>
  <c r="T26" i="31"/>
  <c r="D28" i="31"/>
  <c r="C38" i="32" s="1"/>
  <c r="D38" i="32" s="1"/>
  <c r="H28" i="31"/>
  <c r="P28" i="31"/>
  <c r="O38" i="32" s="1"/>
  <c r="T28" i="31"/>
  <c r="S38" i="32" s="1"/>
  <c r="X28" i="31"/>
  <c r="W38" i="32" s="1"/>
  <c r="AB28" i="31"/>
  <c r="AA38" i="32" s="1"/>
  <c r="H29" i="31"/>
  <c r="P29" i="31"/>
  <c r="T29" i="31"/>
  <c r="S39" i="32" s="1"/>
  <c r="X29" i="31"/>
  <c r="W39" i="32" s="1"/>
  <c r="AB29" i="31"/>
  <c r="AA39" i="32" s="1"/>
  <c r="D30" i="31"/>
  <c r="C40" i="32" s="1"/>
  <c r="D40" i="32" s="1"/>
  <c r="H30" i="31"/>
  <c r="G40" i="32" s="1"/>
  <c r="H40" i="32" s="1"/>
  <c r="P30" i="31"/>
  <c r="T30" i="31"/>
  <c r="X30" i="31"/>
  <c r="W40" i="32" s="1"/>
  <c r="H31" i="31"/>
  <c r="L31" i="31"/>
  <c r="P31" i="31"/>
  <c r="O41" i="32" s="1"/>
  <c r="T31" i="31"/>
  <c r="S41" i="32" s="1"/>
  <c r="X31" i="31"/>
  <c r="W41" i="32" s="1"/>
  <c r="H32" i="31"/>
  <c r="L32" i="31"/>
  <c r="K42" i="32" s="1"/>
  <c r="L42" i="32" s="1"/>
  <c r="P32" i="31"/>
  <c r="O42" i="32" s="1"/>
  <c r="T32" i="31"/>
  <c r="S42" i="32" s="1"/>
  <c r="X32" i="31"/>
  <c r="AB32" i="31"/>
  <c r="AA42" i="32" s="1"/>
  <c r="E4" i="37"/>
  <c r="E5" i="37"/>
  <c r="D9" i="37"/>
  <c r="R12" i="32"/>
  <c r="G69" i="32"/>
  <c r="G70" i="32"/>
  <c r="J70" i="32" s="1"/>
  <c r="G71" i="32"/>
  <c r="J71" i="32" s="1"/>
  <c r="G72" i="32"/>
  <c r="J72" i="32" s="1"/>
  <c r="F6" i="35"/>
  <c r="N6" i="35" s="1"/>
  <c r="F10" i="35"/>
  <c r="N10" i="35" s="1"/>
  <c r="G9" i="35"/>
  <c r="O9" i="35" s="1"/>
  <c r="G12" i="35"/>
  <c r="O12" i="35" s="1"/>
  <c r="G16" i="35"/>
  <c r="O16" i="35" s="1"/>
  <c r="H10" i="35"/>
  <c r="P10" i="35" s="1"/>
  <c r="H14" i="35"/>
  <c r="P14" i="35" s="1"/>
  <c r="H18" i="35"/>
  <c r="P18" i="35" s="1"/>
  <c r="Q11" i="35"/>
  <c r="I17" i="35"/>
  <c r="Q17" i="35" s="1"/>
  <c r="H74" i="32"/>
  <c r="H75" i="32"/>
  <c r="H76" i="32"/>
  <c r="H77" i="32"/>
  <c r="H78" i="32"/>
  <c r="G74" i="32"/>
  <c r="G75" i="32"/>
  <c r="G76" i="32"/>
  <c r="G77" i="32"/>
  <c r="G78" i="32"/>
  <c r="H25" i="35"/>
  <c r="R25" i="35" s="1"/>
  <c r="H26" i="35"/>
  <c r="R26" i="35" s="1"/>
  <c r="H27" i="35"/>
  <c r="R27" i="35" s="1"/>
  <c r="H32" i="35"/>
  <c r="R32" i="35" s="1"/>
  <c r="R34" i="35"/>
  <c r="I25" i="35"/>
  <c r="I26" i="35"/>
  <c r="S26" i="35" s="1"/>
  <c r="I31" i="35"/>
  <c r="S31" i="35" s="1"/>
  <c r="S35" i="35"/>
  <c r="J28" i="35"/>
  <c r="T28" i="35" s="1"/>
  <c r="T29" i="35"/>
  <c r="T35" i="35"/>
  <c r="J38" i="35"/>
  <c r="T38" i="35" s="1"/>
  <c r="K25" i="35"/>
  <c r="U25" i="35" s="1"/>
  <c r="W25" i="35" s="1"/>
  <c r="K27" i="35"/>
  <c r="U27" i="35" s="1"/>
  <c r="K29" i="35"/>
  <c r="U29" i="35" s="1"/>
  <c r="K31" i="35"/>
  <c r="U31" i="35" s="1"/>
  <c r="K33" i="35"/>
  <c r="U33" i="35" s="1"/>
  <c r="K34" i="35"/>
  <c r="U34" i="35" s="1"/>
  <c r="K36" i="35"/>
  <c r="U36" i="35" s="1"/>
  <c r="U37" i="35"/>
  <c r="L25" i="35"/>
  <c r="V25" i="35" s="1"/>
  <c r="L29" i="35"/>
  <c r="V29" i="35" s="1"/>
  <c r="L31" i="35"/>
  <c r="V31" i="35" s="1"/>
  <c r="L34" i="35"/>
  <c r="V34" i="35" s="1"/>
  <c r="L35" i="35"/>
  <c r="V35" i="35" s="1"/>
  <c r="L36" i="35"/>
  <c r="V36" i="35" s="1"/>
  <c r="L37" i="35"/>
  <c r="V37" i="35" s="1"/>
  <c r="G14" i="37"/>
  <c r="G20" i="37" s="1"/>
  <c r="D20" i="33"/>
  <c r="D22" i="33"/>
  <c r="B21" i="33"/>
  <c r="B23" i="33" s="1"/>
  <c r="E15" i="34" s="1"/>
  <c r="C21" i="33"/>
  <c r="C23" i="33" s="1"/>
  <c r="F15" i="34" s="1"/>
  <c r="G20" i="33"/>
  <c r="I20" i="33" s="1"/>
  <c r="E21" i="33"/>
  <c r="F21" i="33"/>
  <c r="H21" i="33"/>
  <c r="H20" i="37"/>
  <c r="H21" i="37" s="1"/>
  <c r="I20" i="37"/>
  <c r="I21" i="37" s="1"/>
  <c r="G23" i="37"/>
  <c r="G24" i="37" s="1"/>
  <c r="H24" i="37"/>
  <c r="I24" i="37"/>
  <c r="G33" i="35"/>
  <c r="O35" i="36"/>
  <c r="O36" i="36"/>
  <c r="P35" i="36"/>
  <c r="B39" i="35"/>
  <c r="C39" i="35"/>
  <c r="B53" i="35" s="1"/>
  <c r="D39" i="35"/>
  <c r="O39" i="35" s="1"/>
  <c r="E39" i="35"/>
  <c r="F39" i="35"/>
  <c r="B56" i="35" s="1"/>
  <c r="G38" i="35"/>
  <c r="G37" i="35"/>
  <c r="G36" i="35"/>
  <c r="G35" i="35"/>
  <c r="G34" i="35"/>
  <c r="G32" i="35"/>
  <c r="G31" i="35"/>
  <c r="G30" i="35"/>
  <c r="G29" i="35"/>
  <c r="G28" i="35"/>
  <c r="G27" i="35"/>
  <c r="G26" i="35"/>
  <c r="G25" i="35"/>
  <c r="Q32" i="35"/>
  <c r="P32" i="35"/>
  <c r="O32" i="35"/>
  <c r="N32" i="35"/>
  <c r="M32" i="35"/>
  <c r="Q31" i="35"/>
  <c r="P31" i="35"/>
  <c r="O31" i="35"/>
  <c r="N31" i="35"/>
  <c r="M31" i="35"/>
  <c r="Q30" i="35"/>
  <c r="P30" i="35"/>
  <c r="O30" i="35"/>
  <c r="N30" i="35"/>
  <c r="M30" i="35"/>
  <c r="Q29" i="35"/>
  <c r="P29" i="35"/>
  <c r="O29" i="35"/>
  <c r="N29" i="35"/>
  <c r="M29" i="35"/>
  <c r="Q28" i="35"/>
  <c r="P28" i="35"/>
  <c r="O28" i="35"/>
  <c r="N28" i="35"/>
  <c r="M28" i="35"/>
  <c r="Q27" i="35"/>
  <c r="P27" i="35"/>
  <c r="O27" i="35"/>
  <c r="N27" i="35"/>
  <c r="M27" i="35"/>
  <c r="Q26" i="35"/>
  <c r="P26" i="35"/>
  <c r="O26" i="35"/>
  <c r="N26" i="35"/>
  <c r="Q25" i="35"/>
  <c r="P25" i="35"/>
  <c r="O25" i="35"/>
  <c r="N25" i="35"/>
  <c r="M25" i="35"/>
  <c r="B56" i="32"/>
  <c r="B55" i="32"/>
  <c r="B54" i="32"/>
  <c r="C36" i="32"/>
  <c r="D36" i="32" s="1"/>
  <c r="D37" i="32" s="1"/>
  <c r="G36" i="32"/>
  <c r="H36" i="32" s="1"/>
  <c r="C70" i="35"/>
  <c r="B70" i="35"/>
  <c r="C71" i="35"/>
  <c r="B71" i="35"/>
  <c r="C72" i="35"/>
  <c r="B72" i="35"/>
  <c r="D72" i="35" s="1"/>
  <c r="C73" i="35"/>
  <c r="B73" i="35"/>
  <c r="C74" i="35"/>
  <c r="B74" i="35"/>
  <c r="B19" i="35"/>
  <c r="J19" i="35" s="1"/>
  <c r="C19" i="35"/>
  <c r="B65" i="35" s="1"/>
  <c r="D65" i="35" s="1"/>
  <c r="D19" i="35"/>
  <c r="L19" i="35" s="1"/>
  <c r="E19" i="35"/>
  <c r="B67" i="35" s="1"/>
  <c r="D67" i="35" s="1"/>
  <c r="C68" i="35"/>
  <c r="Q38" i="35"/>
  <c r="P38" i="35"/>
  <c r="O38" i="35"/>
  <c r="N38" i="35"/>
  <c r="M38" i="35"/>
  <c r="Q37" i="35"/>
  <c r="P37" i="35"/>
  <c r="O37" i="35"/>
  <c r="N37" i="35"/>
  <c r="M37" i="35"/>
  <c r="Q36" i="35"/>
  <c r="P36" i="35"/>
  <c r="O36" i="35"/>
  <c r="N36" i="35"/>
  <c r="M36" i="35"/>
  <c r="Q35" i="35"/>
  <c r="P35" i="35"/>
  <c r="O35" i="35"/>
  <c r="N35" i="35"/>
  <c r="M35" i="35"/>
  <c r="Q34" i="35"/>
  <c r="P34" i="35"/>
  <c r="O34" i="35"/>
  <c r="N34" i="35"/>
  <c r="M34" i="35"/>
  <c r="Q33" i="35"/>
  <c r="P33" i="35"/>
  <c r="O33" i="35"/>
  <c r="N33" i="35"/>
  <c r="M33" i="35"/>
  <c r="M26" i="35"/>
  <c r="O33" i="36"/>
  <c r="P30" i="36"/>
  <c r="O30" i="36"/>
  <c r="M30" i="36"/>
  <c r="M25" i="36"/>
  <c r="N24" i="36"/>
  <c r="M24" i="36"/>
  <c r="L24" i="36"/>
  <c r="K11" i="36"/>
  <c r="V42" i="36"/>
  <c r="V41" i="36"/>
  <c r="V40" i="36"/>
  <c r="V39" i="36"/>
  <c r="V48" i="36"/>
  <c r="V47" i="36"/>
  <c r="V46" i="36"/>
  <c r="V45" i="36"/>
  <c r="V44" i="36"/>
  <c r="U48" i="36"/>
  <c r="U46" i="36"/>
  <c r="U45" i="36"/>
  <c r="U44" i="36"/>
  <c r="U47" i="36"/>
  <c r="U41" i="36"/>
  <c r="M18" i="35"/>
  <c r="L18" i="35"/>
  <c r="K18" i="35"/>
  <c r="J18" i="35"/>
  <c r="M17" i="35"/>
  <c r="L17" i="35"/>
  <c r="K17" i="35"/>
  <c r="J17" i="35"/>
  <c r="M16" i="35"/>
  <c r="L16" i="35"/>
  <c r="K16" i="35"/>
  <c r="J16" i="35"/>
  <c r="M15" i="35"/>
  <c r="L15" i="35"/>
  <c r="K15" i="35"/>
  <c r="J15" i="35"/>
  <c r="M14" i="35"/>
  <c r="L14" i="35"/>
  <c r="K14" i="35"/>
  <c r="J14" i="35"/>
  <c r="M13" i="35"/>
  <c r="L13" i="35"/>
  <c r="K13" i="35"/>
  <c r="J13" i="35"/>
  <c r="M12" i="35"/>
  <c r="L12" i="35"/>
  <c r="K12" i="35"/>
  <c r="J12" i="35"/>
  <c r="M11" i="35"/>
  <c r="L11" i="35"/>
  <c r="K11" i="35"/>
  <c r="J11" i="35"/>
  <c r="M10" i="35"/>
  <c r="L10" i="35"/>
  <c r="K10" i="35"/>
  <c r="J10" i="35"/>
  <c r="M9" i="35"/>
  <c r="L9" i="35"/>
  <c r="K9" i="35"/>
  <c r="J9" i="35"/>
  <c r="M8" i="35"/>
  <c r="L8" i="35"/>
  <c r="K8" i="35"/>
  <c r="J8" i="35"/>
  <c r="M7" i="35"/>
  <c r="L7" i="35"/>
  <c r="K7" i="35"/>
  <c r="J7" i="35"/>
  <c r="M6" i="35"/>
  <c r="L6" i="35"/>
  <c r="K6" i="35"/>
  <c r="J6" i="35"/>
  <c r="M5" i="35"/>
  <c r="L5" i="35"/>
  <c r="K5" i="35"/>
  <c r="J5" i="35"/>
  <c r="B39" i="31"/>
  <c r="B40" i="31"/>
  <c r="B41" i="31"/>
  <c r="B42" i="31"/>
  <c r="D42" i="31" s="1"/>
  <c r="C39" i="31"/>
  <c r="D39" i="31" s="1"/>
  <c r="C40" i="31"/>
  <c r="C41" i="31"/>
  <c r="C42" i="31"/>
  <c r="Z33" i="36"/>
  <c r="AD33" i="36"/>
  <c r="AH33" i="36"/>
  <c r="AL33" i="36"/>
  <c r="Y33" i="36"/>
  <c r="AC33" i="36"/>
  <c r="AG33" i="36"/>
  <c r="AK33" i="36"/>
  <c r="Z48" i="36"/>
  <c r="Z17" i="36"/>
  <c r="AD17" i="36"/>
  <c r="AH17" i="36"/>
  <c r="Y17" i="36"/>
  <c r="AC17" i="36"/>
  <c r="AG17" i="36"/>
  <c r="U39" i="36"/>
  <c r="U40" i="36"/>
  <c r="U42" i="36"/>
  <c r="AT33" i="36"/>
  <c r="AU33" i="36" s="1"/>
  <c r="AS33" i="36"/>
  <c r="AP33" i="36"/>
  <c r="AO33" i="36"/>
  <c r="V33" i="36"/>
  <c r="U33" i="36"/>
  <c r="AU32" i="36"/>
  <c r="AQ32" i="36"/>
  <c r="AM32" i="36"/>
  <c r="AI32" i="36"/>
  <c r="AE32" i="36"/>
  <c r="AA32" i="36"/>
  <c r="AQ31" i="36"/>
  <c r="AM31" i="36"/>
  <c r="AI31" i="36"/>
  <c r="AE31" i="36"/>
  <c r="AA31" i="36"/>
  <c r="AQ30" i="36"/>
  <c r="AM30" i="36"/>
  <c r="AI30" i="36"/>
  <c r="AA30" i="36"/>
  <c r="W30" i="36"/>
  <c r="AU29" i="36"/>
  <c r="AQ29" i="36"/>
  <c r="AM29" i="36"/>
  <c r="AI29" i="36"/>
  <c r="AA29" i="36"/>
  <c r="W29" i="36"/>
  <c r="AU28" i="36"/>
  <c r="AQ28" i="36"/>
  <c r="AM28" i="36"/>
  <c r="AI28" i="36"/>
  <c r="AA28" i="36"/>
  <c r="W28" i="36"/>
  <c r="AW27" i="36"/>
  <c r="AT27" i="36"/>
  <c r="AS27" i="36"/>
  <c r="AP27" i="36"/>
  <c r="AO27" i="36"/>
  <c r="AL27" i="36"/>
  <c r="AK27" i="36"/>
  <c r="AH27" i="36"/>
  <c r="AG27" i="36"/>
  <c r="AD27" i="36"/>
  <c r="AC27" i="36"/>
  <c r="AE27" i="36" s="1"/>
  <c r="Z27" i="36"/>
  <c r="Y27" i="36"/>
  <c r="AA27" i="36" s="1"/>
  <c r="V27" i="36"/>
  <c r="U27" i="36"/>
  <c r="AM24" i="36"/>
  <c r="AI24" i="36"/>
  <c r="AE24" i="36"/>
  <c r="W24" i="36"/>
  <c r="AQ25" i="36"/>
  <c r="AM25" i="36"/>
  <c r="AI25" i="36"/>
  <c r="AE25" i="36"/>
  <c r="AA25" i="36"/>
  <c r="W25" i="36"/>
  <c r="AU23" i="36"/>
  <c r="AI23" i="36"/>
  <c r="AE23" i="36"/>
  <c r="AA23" i="36"/>
  <c r="W23" i="36"/>
  <c r="AQ26" i="36"/>
  <c r="AI26" i="36"/>
  <c r="AE26" i="36"/>
  <c r="AA26" i="36"/>
  <c r="W26" i="36"/>
  <c r="V17" i="36"/>
  <c r="U17" i="36"/>
  <c r="AI16" i="36"/>
  <c r="AE16" i="36"/>
  <c r="AI15" i="36"/>
  <c r="AE15" i="36"/>
  <c r="AA14" i="36"/>
  <c r="AA12" i="36"/>
  <c r="W12" i="36"/>
  <c r="AP11" i="36"/>
  <c r="AO11" i="36"/>
  <c r="AL11" i="36"/>
  <c r="AK11" i="36"/>
  <c r="AH11" i="36"/>
  <c r="AG11" i="36"/>
  <c r="AD11" i="36"/>
  <c r="AC11" i="36"/>
  <c r="Z11" i="36"/>
  <c r="Y11" i="36"/>
  <c r="U11" i="36"/>
  <c r="AQ8" i="36"/>
  <c r="AM8" i="36"/>
  <c r="AQ9" i="36"/>
  <c r="AM9" i="36"/>
  <c r="AQ7" i="36"/>
  <c r="AM7" i="36"/>
  <c r="AI7" i="36"/>
  <c r="AE7" i="36"/>
  <c r="AQ10" i="36"/>
  <c r="AM10" i="36"/>
  <c r="D23" i="31"/>
  <c r="C39" i="32"/>
  <c r="G23" i="34"/>
  <c r="K41" i="32"/>
  <c r="L41" i="32" s="1"/>
  <c r="C42" i="32"/>
  <c r="D42" i="32" s="1"/>
  <c r="C41" i="32"/>
  <c r="D41" i="32" s="1"/>
  <c r="P20" i="32"/>
  <c r="K21" i="32"/>
  <c r="L21" i="32" s="1"/>
  <c r="K20" i="32"/>
  <c r="L20" i="32" s="1"/>
  <c r="G61" i="32" s="1"/>
  <c r="G18" i="32"/>
  <c r="H18" i="32" s="1"/>
  <c r="D19" i="32"/>
  <c r="C18" i="32"/>
  <c r="D18" i="32" s="1"/>
  <c r="D23" i="32" s="1"/>
  <c r="C17" i="32"/>
  <c r="D17" i="32" s="1"/>
  <c r="G38" i="32"/>
  <c r="H38" i="32" s="1"/>
  <c r="D29" i="31"/>
  <c r="D39" i="32"/>
  <c r="G39" i="32"/>
  <c r="H39" i="32" s="1"/>
  <c r="G41" i="32"/>
  <c r="H41" i="32"/>
  <c r="H61" i="32" s="1"/>
  <c r="O21" i="32"/>
  <c r="P21" i="32" s="1"/>
  <c r="G42" i="32"/>
  <c r="H42" i="32" s="1"/>
  <c r="F43" i="32"/>
  <c r="G14" i="34"/>
  <c r="G20" i="34" s="1"/>
  <c r="G21" i="34" s="1"/>
  <c r="G35" i="32"/>
  <c r="H35" i="32" s="1"/>
  <c r="K13" i="32"/>
  <c r="L13" i="32"/>
  <c r="O13" i="32"/>
  <c r="P13" i="32" s="1"/>
  <c r="S34" i="32"/>
  <c r="T34" i="32" s="1"/>
  <c r="T37" i="32" s="1"/>
  <c r="W34" i="32"/>
  <c r="X34" i="32" s="1"/>
  <c r="X37" i="32" s="1"/>
  <c r="AE34" i="32"/>
  <c r="AF34" i="32" s="1"/>
  <c r="AF37" i="32" s="1"/>
  <c r="S14" i="32"/>
  <c r="T14" i="32" s="1"/>
  <c r="S12" i="32"/>
  <c r="T12" i="32" s="1"/>
  <c r="W12" i="32"/>
  <c r="X12" i="32" s="1"/>
  <c r="I20" i="34"/>
  <c r="I26" i="34" s="1"/>
  <c r="I24" i="34"/>
  <c r="H20" i="34"/>
  <c r="H24" i="34"/>
  <c r="D9" i="34"/>
  <c r="AF43" i="32"/>
  <c r="AD43" i="32"/>
  <c r="AE42" i="32"/>
  <c r="AE41" i="32"/>
  <c r="AE40" i="32"/>
  <c r="AE39" i="32"/>
  <c r="AE38" i="32"/>
  <c r="AD37" i="32"/>
  <c r="AD45" i="32" s="1"/>
  <c r="AE36" i="32"/>
  <c r="AE35" i="32"/>
  <c r="AE33" i="32"/>
  <c r="AB43" i="32"/>
  <c r="Z43" i="32"/>
  <c r="AA41" i="32"/>
  <c r="AA40" i="32"/>
  <c r="AB37" i="32"/>
  <c r="Z37" i="32"/>
  <c r="AA36" i="32"/>
  <c r="AA35" i="32"/>
  <c r="AA33" i="32"/>
  <c r="X43" i="32"/>
  <c r="V43" i="32"/>
  <c r="W42" i="32"/>
  <c r="W35" i="32"/>
  <c r="V37" i="32"/>
  <c r="V45" i="32" s="1"/>
  <c r="W36" i="32"/>
  <c r="T43" i="32"/>
  <c r="T45" i="32" s="1"/>
  <c r="R43" i="32"/>
  <c r="S40" i="32"/>
  <c r="S35" i="32"/>
  <c r="R37" i="32"/>
  <c r="S36" i="32"/>
  <c r="S33" i="32"/>
  <c r="P43" i="32"/>
  <c r="N43" i="32"/>
  <c r="N45" i="32" s="1"/>
  <c r="O40" i="32"/>
  <c r="O39" i="32"/>
  <c r="P37" i="32"/>
  <c r="O37" i="32" s="1"/>
  <c r="N37" i="32"/>
  <c r="K38" i="32"/>
  <c r="J43" i="32"/>
  <c r="K40" i="32"/>
  <c r="K39" i="32"/>
  <c r="J37" i="32"/>
  <c r="F37" i="32"/>
  <c r="F12" i="34"/>
  <c r="E5" i="34"/>
  <c r="E4" i="34"/>
  <c r="E6" i="34"/>
  <c r="AD24" i="9"/>
  <c r="C16" i="52" s="1"/>
  <c r="AD24" i="8"/>
  <c r="Z24" i="9"/>
  <c r="F17" i="46"/>
  <c r="N17" i="46" s="1"/>
  <c r="G33" i="31"/>
  <c r="K33" i="31"/>
  <c r="O33" i="31"/>
  <c r="H44" i="31" s="1"/>
  <c r="S33" i="31"/>
  <c r="H48" i="31" s="1"/>
  <c r="F33" i="31"/>
  <c r="J33" i="31"/>
  <c r="N33" i="31"/>
  <c r="R33" i="31"/>
  <c r="G48" i="31" s="1"/>
  <c r="C44" i="31"/>
  <c r="C45" i="31"/>
  <c r="C46" i="31"/>
  <c r="C47" i="31"/>
  <c r="C48" i="31"/>
  <c r="B44" i="31"/>
  <c r="B45" i="31"/>
  <c r="B46" i="31"/>
  <c r="B47" i="31"/>
  <c r="B48" i="31"/>
  <c r="G17" i="31"/>
  <c r="K17" i="31"/>
  <c r="O17" i="31"/>
  <c r="F17" i="31"/>
  <c r="J17" i="31"/>
  <c r="N17" i="31"/>
  <c r="AA33" i="31"/>
  <c r="Z33" i="31"/>
  <c r="W33" i="31"/>
  <c r="V33" i="31"/>
  <c r="C33" i="31"/>
  <c r="B33" i="31"/>
  <c r="AD27" i="31"/>
  <c r="AA27" i="31"/>
  <c r="Z27" i="31"/>
  <c r="W27" i="31"/>
  <c r="V27" i="31"/>
  <c r="S27" i="31"/>
  <c r="T27" i="31" s="1"/>
  <c r="R27" i="31"/>
  <c r="O27" i="31"/>
  <c r="N27" i="31"/>
  <c r="K27" i="31"/>
  <c r="J27" i="31"/>
  <c r="G27" i="31"/>
  <c r="F27" i="31"/>
  <c r="C27" i="31"/>
  <c r="B27" i="31"/>
  <c r="H17" i="31"/>
  <c r="C17" i="31"/>
  <c r="B17" i="31"/>
  <c r="D12" i="31"/>
  <c r="W11" i="31"/>
  <c r="V11" i="31"/>
  <c r="S11" i="31"/>
  <c r="R11" i="31"/>
  <c r="O11" i="31"/>
  <c r="P11" i="31" s="1"/>
  <c r="N11" i="31"/>
  <c r="K11" i="31"/>
  <c r="J11" i="31"/>
  <c r="G11" i="31"/>
  <c r="F11" i="31"/>
  <c r="B11" i="31"/>
  <c r="T25" i="28"/>
  <c r="S35" i="29" s="1"/>
  <c r="T35" i="29" s="1"/>
  <c r="J76" i="32"/>
  <c r="J75" i="32"/>
  <c r="P7" i="28"/>
  <c r="O13" i="29" s="1"/>
  <c r="P13" i="29" s="1"/>
  <c r="T7" i="28"/>
  <c r="S13" i="29" s="1"/>
  <c r="T13" i="29" s="1"/>
  <c r="X7" i="28"/>
  <c r="W13" i="29" s="1"/>
  <c r="X13" i="29" s="1"/>
  <c r="D24" i="28"/>
  <c r="C34" i="29" s="1"/>
  <c r="D34" i="29" s="1"/>
  <c r="H24" i="28"/>
  <c r="G34" i="29" s="1"/>
  <c r="L24" i="28"/>
  <c r="P24" i="28"/>
  <c r="AB24" i="28"/>
  <c r="AA34" i="29" s="1"/>
  <c r="AB34" i="29" s="1"/>
  <c r="AB37" i="29" s="1"/>
  <c r="T8" i="28"/>
  <c r="S14" i="29" s="1"/>
  <c r="T14" i="29" s="1"/>
  <c r="X8" i="28"/>
  <c r="W14" i="29" s="1"/>
  <c r="X14" i="29" s="1"/>
  <c r="D25" i="28"/>
  <c r="C35" i="29" s="1"/>
  <c r="D35" i="29" s="1"/>
  <c r="H25" i="28"/>
  <c r="G35" i="29" s="1"/>
  <c r="H35" i="29" s="1"/>
  <c r="L25" i="28"/>
  <c r="P25" i="28"/>
  <c r="O35" i="29" s="1"/>
  <c r="P35" i="29" s="1"/>
  <c r="X25" i="28"/>
  <c r="W35" i="29" s="1"/>
  <c r="X35" i="29" s="1"/>
  <c r="T9" i="28"/>
  <c r="S15" i="29" s="1"/>
  <c r="T15" i="29" s="1"/>
  <c r="X9" i="28"/>
  <c r="W15" i="29" s="1"/>
  <c r="X15" i="29" s="1"/>
  <c r="D26" i="28"/>
  <c r="C36" i="29" s="1"/>
  <c r="D36" i="29" s="1"/>
  <c r="L26" i="28"/>
  <c r="K36" i="29" s="1"/>
  <c r="L36" i="29" s="1"/>
  <c r="P26" i="28"/>
  <c r="O36" i="29" s="1"/>
  <c r="P36" i="29" s="1"/>
  <c r="T26" i="28"/>
  <c r="S36" i="29" s="1"/>
  <c r="T36" i="29" s="1"/>
  <c r="D11" i="28"/>
  <c r="C17" i="29" s="1"/>
  <c r="D12" i="28"/>
  <c r="C18" i="29" s="1"/>
  <c r="D18" i="29" s="1"/>
  <c r="L14" i="28"/>
  <c r="L15" i="28"/>
  <c r="K21" i="29" s="1"/>
  <c r="L21" i="29" s="1"/>
  <c r="D29" i="28"/>
  <c r="C39" i="29" s="1"/>
  <c r="D39" i="29" s="1"/>
  <c r="D30" i="28"/>
  <c r="D32" i="28"/>
  <c r="C42" i="29" s="1"/>
  <c r="D42" i="29" s="1"/>
  <c r="H28" i="28"/>
  <c r="G38" i="29" s="1"/>
  <c r="H38" i="29" s="1"/>
  <c r="H29" i="28"/>
  <c r="G39" i="29" s="1"/>
  <c r="H39" i="29" s="1"/>
  <c r="G61" i="29" s="1"/>
  <c r="H30" i="28"/>
  <c r="G40" i="29" s="1"/>
  <c r="H40" i="29" s="1"/>
  <c r="H32" i="28"/>
  <c r="G42" i="29" s="1"/>
  <c r="H42" i="29" s="1"/>
  <c r="L28" i="28"/>
  <c r="K38" i="29" s="1"/>
  <c r="L38" i="29" s="1"/>
  <c r="L29" i="28"/>
  <c r="K39" i="29" s="1"/>
  <c r="L39" i="29" s="1"/>
  <c r="L30" i="28"/>
  <c r="K40" i="29" s="1"/>
  <c r="L40" i="29" s="1"/>
  <c r="L31" i="28"/>
  <c r="K41" i="29" s="1"/>
  <c r="L41" i="29" s="1"/>
  <c r="L32" i="28"/>
  <c r="K42" i="29" s="1"/>
  <c r="L42" i="29" s="1"/>
  <c r="P28" i="28"/>
  <c r="P29" i="28"/>
  <c r="O39" i="29" s="1"/>
  <c r="P39" i="29" s="1"/>
  <c r="P30" i="28"/>
  <c r="O40" i="29" s="1"/>
  <c r="P40" i="29" s="1"/>
  <c r="P32" i="28"/>
  <c r="O42" i="29" s="1"/>
  <c r="P42" i="29" s="1"/>
  <c r="T28" i="28"/>
  <c r="S38" i="29" s="1"/>
  <c r="T38" i="29" s="1"/>
  <c r="T29" i="28"/>
  <c r="S39" i="29" s="1"/>
  <c r="T39" i="29" s="1"/>
  <c r="T30" i="28"/>
  <c r="S40" i="29" s="1"/>
  <c r="T40" i="29" s="1"/>
  <c r="T31" i="28"/>
  <c r="S41" i="29" s="1"/>
  <c r="T41" i="29" s="1"/>
  <c r="T32" i="28"/>
  <c r="S42" i="29" s="1"/>
  <c r="T42" i="29" s="1"/>
  <c r="X28" i="28"/>
  <c r="W38" i="29"/>
  <c r="X38" i="29" s="1"/>
  <c r="X29" i="28"/>
  <c r="W39" i="29" s="1"/>
  <c r="X39" i="29" s="1"/>
  <c r="X30" i="28"/>
  <c r="W40" i="29" s="1"/>
  <c r="X40" i="29" s="1"/>
  <c r="X31" i="28"/>
  <c r="W41" i="29" s="1"/>
  <c r="X41" i="29" s="1"/>
  <c r="X32" i="28"/>
  <c r="W42" i="29" s="1"/>
  <c r="X42" i="29" s="1"/>
  <c r="AB32" i="28"/>
  <c r="AA42" i="29" s="1"/>
  <c r="AB42" i="29" s="1"/>
  <c r="AB45" i="29" s="1"/>
  <c r="B53" i="32"/>
  <c r="B22" i="32"/>
  <c r="F22" i="32"/>
  <c r="J22" i="32"/>
  <c r="N22" i="32"/>
  <c r="B43" i="32"/>
  <c r="B62" i="32"/>
  <c r="B61" i="32"/>
  <c r="B60" i="32"/>
  <c r="B59" i="32"/>
  <c r="B58" i="32"/>
  <c r="B37" i="32"/>
  <c r="N16" i="32"/>
  <c r="J16" i="32"/>
  <c r="H16" i="32"/>
  <c r="F16" i="32"/>
  <c r="D16" i="32"/>
  <c r="B16" i="32"/>
  <c r="X22" i="32"/>
  <c r="V22" i="32"/>
  <c r="T22" i="32"/>
  <c r="R22" i="32"/>
  <c r="V16" i="32"/>
  <c r="R16" i="32"/>
  <c r="E7" i="33"/>
  <c r="G7" i="33" s="1"/>
  <c r="F11" i="33"/>
  <c r="E6" i="33"/>
  <c r="G6" i="33" s="1"/>
  <c r="H12" i="33"/>
  <c r="H13" i="33"/>
  <c r="H14" i="33"/>
  <c r="H4" i="33"/>
  <c r="H5" i="33"/>
  <c r="H6" i="33"/>
  <c r="H7" i="33"/>
  <c r="H8" i="33"/>
  <c r="H9" i="33"/>
  <c r="H10" i="33"/>
  <c r="H15" i="33"/>
  <c r="G4" i="33"/>
  <c r="G5" i="33"/>
  <c r="G8" i="33"/>
  <c r="G9" i="33"/>
  <c r="G10" i="33"/>
  <c r="G11" i="33"/>
  <c r="G12" i="33"/>
  <c r="G13" i="33"/>
  <c r="G14" i="33"/>
  <c r="G15" i="33"/>
  <c r="D12" i="33"/>
  <c r="D11" i="33"/>
  <c r="D10" i="33"/>
  <c r="D9" i="33"/>
  <c r="C13" i="33"/>
  <c r="C14" i="33"/>
  <c r="C15" i="33"/>
  <c r="D4" i="33"/>
  <c r="D5" i="33"/>
  <c r="D6" i="33"/>
  <c r="D7" i="33"/>
  <c r="D8" i="33"/>
  <c r="H22" i="29"/>
  <c r="K20" i="29"/>
  <c r="L20" i="29" s="1"/>
  <c r="P22" i="29"/>
  <c r="C38" i="29"/>
  <c r="D38" i="29" s="1"/>
  <c r="D44" i="29" s="1"/>
  <c r="C40" i="29"/>
  <c r="D40" i="29" s="1"/>
  <c r="C41" i="29"/>
  <c r="D41" i="29" s="1"/>
  <c r="G41" i="29"/>
  <c r="H41" i="29" s="1"/>
  <c r="O38" i="29"/>
  <c r="P38" i="29" s="1"/>
  <c r="O41" i="29"/>
  <c r="P41" i="29" s="1"/>
  <c r="AF43" i="29"/>
  <c r="B22" i="29"/>
  <c r="F22" i="29"/>
  <c r="J22" i="29"/>
  <c r="N22" i="29"/>
  <c r="B43" i="29"/>
  <c r="F43" i="29"/>
  <c r="J43" i="29"/>
  <c r="N43" i="29"/>
  <c r="R43" i="29"/>
  <c r="V43" i="29"/>
  <c r="Z43" i="29"/>
  <c r="AD43" i="29"/>
  <c r="B64" i="29"/>
  <c r="P17" i="12" s="1"/>
  <c r="B63" i="29"/>
  <c r="P16" i="12" s="1"/>
  <c r="B62" i="29"/>
  <c r="P15" i="12" s="1"/>
  <c r="B61" i="29"/>
  <c r="P14" i="12" s="1"/>
  <c r="B60" i="29"/>
  <c r="P13" i="12" s="1"/>
  <c r="C33" i="29"/>
  <c r="D33" i="29" s="1"/>
  <c r="G33" i="29"/>
  <c r="H33" i="29" s="1"/>
  <c r="K33" i="29"/>
  <c r="L33" i="29"/>
  <c r="O33" i="29"/>
  <c r="P33" i="29" s="1"/>
  <c r="K13" i="29"/>
  <c r="L13" i="29" s="1"/>
  <c r="L16" i="29" s="1"/>
  <c r="H34" i="29"/>
  <c r="K34" i="29"/>
  <c r="L34" i="29" s="1"/>
  <c r="O34" i="29"/>
  <c r="P34" i="29" s="1"/>
  <c r="S34" i="29"/>
  <c r="T34" i="29" s="1"/>
  <c r="W34" i="29"/>
  <c r="X34" i="29" s="1"/>
  <c r="AF34" i="29"/>
  <c r="AF37" i="29" s="1"/>
  <c r="AE37" i="29" s="1"/>
  <c r="K35" i="29"/>
  <c r="L35" i="29" s="1"/>
  <c r="G36" i="29"/>
  <c r="H36" i="29" s="1"/>
  <c r="B55" i="29"/>
  <c r="P8" i="12" s="1"/>
  <c r="B56" i="29"/>
  <c r="P9" i="12" s="1"/>
  <c r="B57" i="29"/>
  <c r="P10" i="12" s="1"/>
  <c r="B58" i="29"/>
  <c r="P11" i="12" s="1"/>
  <c r="C14" i="11"/>
  <c r="D14" i="11" s="1"/>
  <c r="E14" i="11"/>
  <c r="C15" i="11"/>
  <c r="D15" i="11" s="1"/>
  <c r="E15" i="11"/>
  <c r="H17" i="11"/>
  <c r="H16" i="11"/>
  <c r="C17" i="11"/>
  <c r="E17" i="11"/>
  <c r="C16" i="11"/>
  <c r="E16" i="11"/>
  <c r="X6" i="1"/>
  <c r="W12" i="16" s="1"/>
  <c r="X12" i="16" s="1"/>
  <c r="D23" i="1"/>
  <c r="C33" i="16" s="1"/>
  <c r="D33" i="16" s="1"/>
  <c r="H23" i="1"/>
  <c r="G33" i="16" s="1"/>
  <c r="H33" i="16" s="1"/>
  <c r="L23" i="1"/>
  <c r="K33" i="16" s="1"/>
  <c r="L33" i="16" s="1"/>
  <c r="P23" i="1"/>
  <c r="O33" i="16" s="1"/>
  <c r="P33" i="16" s="1"/>
  <c r="T23" i="1"/>
  <c r="S33" i="16" s="1"/>
  <c r="T33" i="16" s="1"/>
  <c r="X23" i="1"/>
  <c r="W33" i="16" s="1"/>
  <c r="X33" i="16" s="1"/>
  <c r="H7" i="1"/>
  <c r="G13" i="16" s="1"/>
  <c r="H13" i="16" s="1"/>
  <c r="H16" i="16" s="1"/>
  <c r="L7" i="1"/>
  <c r="K13" i="16" s="1"/>
  <c r="L13" i="16" s="1"/>
  <c r="L16" i="16" s="1"/>
  <c r="P7" i="1"/>
  <c r="O13" i="16" s="1"/>
  <c r="P13" i="16" s="1"/>
  <c r="P16" i="16" s="1"/>
  <c r="T7" i="1"/>
  <c r="S13" i="16" s="1"/>
  <c r="T13" i="16" s="1"/>
  <c r="X7" i="1"/>
  <c r="W13" i="16" s="1"/>
  <c r="X13" i="16" s="1"/>
  <c r="D24" i="1"/>
  <c r="C34" i="16" s="1"/>
  <c r="D34" i="16" s="1"/>
  <c r="H24" i="1"/>
  <c r="G34" i="16" s="1"/>
  <c r="H34" i="16" s="1"/>
  <c r="L24" i="1"/>
  <c r="K34" i="16" s="1"/>
  <c r="L34" i="16" s="1"/>
  <c r="P24" i="1"/>
  <c r="O34" i="16"/>
  <c r="P34" i="16" s="1"/>
  <c r="T24" i="1"/>
  <c r="S34" i="16" s="1"/>
  <c r="T34" i="16" s="1"/>
  <c r="X24" i="1"/>
  <c r="W34" i="16" s="1"/>
  <c r="X34" i="16" s="1"/>
  <c r="AB24" i="1"/>
  <c r="AA34" i="16" s="1"/>
  <c r="AB34" i="16" s="1"/>
  <c r="C38" i="9"/>
  <c r="C38" i="8"/>
  <c r="C38" i="17"/>
  <c r="C38" i="18"/>
  <c r="C38" i="20"/>
  <c r="C38" i="22"/>
  <c r="D38" i="22" s="1"/>
  <c r="C40" i="1"/>
  <c r="B38" i="17"/>
  <c r="B38" i="18"/>
  <c r="B38" i="20"/>
  <c r="B38" i="22"/>
  <c r="B40" i="1"/>
  <c r="D40" i="1" s="1"/>
  <c r="T14" i="16"/>
  <c r="X8" i="1"/>
  <c r="W14" i="16" s="1"/>
  <c r="X14" i="16" s="1"/>
  <c r="D25" i="1"/>
  <c r="C35" i="16"/>
  <c r="D35" i="16" s="1"/>
  <c r="H25" i="1"/>
  <c r="G35" i="16" s="1"/>
  <c r="H35" i="16" s="1"/>
  <c r="L25" i="1"/>
  <c r="K35" i="16" s="1"/>
  <c r="L35" i="16" s="1"/>
  <c r="P25" i="1"/>
  <c r="O35" i="16" s="1"/>
  <c r="P35" i="16" s="1"/>
  <c r="T25" i="1"/>
  <c r="S35" i="16" s="1"/>
  <c r="T35" i="16" s="1"/>
  <c r="X25" i="1"/>
  <c r="W35" i="16" s="1"/>
  <c r="X35" i="16" s="1"/>
  <c r="AA35" i="16"/>
  <c r="AB35" i="16" s="1"/>
  <c r="T15" i="16"/>
  <c r="X9" i="1"/>
  <c r="W15" i="16" s="1"/>
  <c r="X15" i="16" s="1"/>
  <c r="D26" i="1"/>
  <c r="C36" i="16" s="1"/>
  <c r="D36" i="16" s="1"/>
  <c r="H26" i="1"/>
  <c r="G36" i="16" s="1"/>
  <c r="H36" i="16" s="1"/>
  <c r="L26" i="1"/>
  <c r="K36" i="16" s="1"/>
  <c r="L36" i="16" s="1"/>
  <c r="P26" i="1"/>
  <c r="O36" i="16" s="1"/>
  <c r="P36" i="16" s="1"/>
  <c r="C40" i="9"/>
  <c r="C40" i="8"/>
  <c r="C40" i="17"/>
  <c r="C40" i="18"/>
  <c r="C40" i="20"/>
  <c r="C42" i="1"/>
  <c r="B40" i="17"/>
  <c r="B40" i="18"/>
  <c r="B40" i="20"/>
  <c r="B40" i="22"/>
  <c r="B42" i="1"/>
  <c r="D17" i="16"/>
  <c r="D23" i="16" s="1"/>
  <c r="H11" i="1"/>
  <c r="G17" i="16" s="1"/>
  <c r="H17" i="16" s="1"/>
  <c r="H12" i="1"/>
  <c r="G18" i="16" s="1"/>
  <c r="H18" i="16" s="1"/>
  <c r="H23" i="16" s="1"/>
  <c r="H13" i="1"/>
  <c r="G19" i="16" s="1"/>
  <c r="H19" i="16" s="1"/>
  <c r="L11" i="1"/>
  <c r="K17" i="16" s="1"/>
  <c r="L17" i="16" s="1"/>
  <c r="L12" i="1"/>
  <c r="K18" i="16" s="1"/>
  <c r="L18" i="16" s="1"/>
  <c r="L13" i="1"/>
  <c r="K19" i="16" s="1"/>
  <c r="K20" i="16" s="1"/>
  <c r="L20" i="16" s="1"/>
  <c r="P13" i="1"/>
  <c r="O19" i="16" s="1"/>
  <c r="P19" i="16" s="1"/>
  <c r="P23" i="16" s="1"/>
  <c r="O16" i="1"/>
  <c r="P16" i="1" s="1"/>
  <c r="O21" i="16" s="1"/>
  <c r="P21" i="16" s="1"/>
  <c r="N16" i="1"/>
  <c r="B55" i="16"/>
  <c r="B56" i="16"/>
  <c r="N9" i="12" s="1"/>
  <c r="B57" i="16"/>
  <c r="N10" i="12" s="1"/>
  <c r="B58" i="16"/>
  <c r="B22" i="16"/>
  <c r="F22" i="16"/>
  <c r="J22" i="16"/>
  <c r="N22" i="16"/>
  <c r="B43" i="16"/>
  <c r="H32" i="1"/>
  <c r="G42" i="16" s="1"/>
  <c r="H42" i="16" s="1"/>
  <c r="L32" i="1"/>
  <c r="K42" i="16" s="1"/>
  <c r="L42" i="16" s="1"/>
  <c r="P32" i="1"/>
  <c r="O42" i="16" s="1"/>
  <c r="P42" i="16" s="1"/>
  <c r="T32" i="1"/>
  <c r="S42" i="16" s="1"/>
  <c r="S41" i="16" s="1"/>
  <c r="T41" i="16" s="1"/>
  <c r="R42" i="16"/>
  <c r="J15" i="25" s="1"/>
  <c r="X32" i="1"/>
  <c r="W42" i="16" s="1"/>
  <c r="W41" i="16" s="1"/>
  <c r="X41" i="16" s="1"/>
  <c r="V42" i="16"/>
  <c r="H31" i="1"/>
  <c r="G41" i="16" s="1"/>
  <c r="H41" i="16" s="1"/>
  <c r="L31" i="1"/>
  <c r="K41" i="16"/>
  <c r="L41" i="16" s="1"/>
  <c r="P31" i="1"/>
  <c r="O41" i="16" s="1"/>
  <c r="P41" i="16" s="1"/>
  <c r="P45" i="16" s="1"/>
  <c r="R41" i="16"/>
  <c r="V41" i="16"/>
  <c r="C45" i="17"/>
  <c r="C45" i="18"/>
  <c r="C45" i="20"/>
  <c r="B45" i="9"/>
  <c r="B45" i="8"/>
  <c r="B45" i="17"/>
  <c r="B45" i="18"/>
  <c r="B45" i="20"/>
  <c r="H30" i="1"/>
  <c r="G40" i="16" s="1"/>
  <c r="H40" i="16" s="1"/>
  <c r="L30" i="1"/>
  <c r="K40" i="16" s="1"/>
  <c r="J40" i="16"/>
  <c r="P30" i="1"/>
  <c r="O40" i="16" s="1"/>
  <c r="P40" i="16" s="1"/>
  <c r="T30" i="1"/>
  <c r="S40" i="16" s="1"/>
  <c r="T40" i="16" s="1"/>
  <c r="X30" i="1"/>
  <c r="W40" i="16" s="1"/>
  <c r="V40" i="16"/>
  <c r="AA40" i="16"/>
  <c r="AB40" i="16" s="1"/>
  <c r="H29" i="1"/>
  <c r="G39" i="16" s="1"/>
  <c r="H39" i="16" s="1"/>
  <c r="L29" i="1"/>
  <c r="K39" i="16" s="1"/>
  <c r="J39" i="16"/>
  <c r="D13" i="25" s="1"/>
  <c r="P29" i="1"/>
  <c r="O39" i="16" s="1"/>
  <c r="P39" i="16" s="1"/>
  <c r="T29" i="1"/>
  <c r="S39" i="16" s="1"/>
  <c r="T39" i="16" s="1"/>
  <c r="X29" i="1"/>
  <c r="W39" i="16" s="1"/>
  <c r="V39" i="16"/>
  <c r="B61" i="16" s="1"/>
  <c r="N14" i="12" s="1"/>
  <c r="AB29" i="1"/>
  <c r="AA39" i="16" s="1"/>
  <c r="AB39" i="16" s="1"/>
  <c r="H28" i="1"/>
  <c r="G38" i="16" s="1"/>
  <c r="H38" i="16" s="1"/>
  <c r="L28" i="1"/>
  <c r="K38" i="16" s="1"/>
  <c r="J38" i="16"/>
  <c r="J43" i="16" s="1"/>
  <c r="P28" i="1"/>
  <c r="O38" i="16" s="1"/>
  <c r="P38" i="16" s="1"/>
  <c r="T28" i="1"/>
  <c r="S38" i="16" s="1"/>
  <c r="T38" i="16" s="1"/>
  <c r="X28" i="1"/>
  <c r="W38" i="16" s="1"/>
  <c r="V38" i="16"/>
  <c r="AB28" i="1"/>
  <c r="AA38" i="16" s="1"/>
  <c r="AB38" i="16" s="1"/>
  <c r="N11" i="12"/>
  <c r="M8" i="12"/>
  <c r="L8" i="12"/>
  <c r="F22" i="30"/>
  <c r="G22" i="30" s="1"/>
  <c r="E21" i="30"/>
  <c r="F21" i="30"/>
  <c r="AA36" i="29"/>
  <c r="AA35" i="29"/>
  <c r="W36" i="29"/>
  <c r="C21" i="30"/>
  <c r="B21" i="30"/>
  <c r="E20" i="30"/>
  <c r="G20" i="30" s="1"/>
  <c r="G12" i="27"/>
  <c r="H6" i="27"/>
  <c r="G11" i="27"/>
  <c r="E6" i="27"/>
  <c r="E5" i="27"/>
  <c r="E4" i="27"/>
  <c r="I5" i="27"/>
  <c r="F18" i="27" s="1"/>
  <c r="F9" i="27"/>
  <c r="H76" i="29"/>
  <c r="H77" i="29"/>
  <c r="H78" i="29"/>
  <c r="H79" i="29"/>
  <c r="H80" i="29"/>
  <c r="C11" i="30"/>
  <c r="F11" i="30" s="1"/>
  <c r="C12" i="30"/>
  <c r="F12" i="30" s="1"/>
  <c r="C13" i="30"/>
  <c r="F13" i="30" s="1"/>
  <c r="C14" i="30"/>
  <c r="F14" i="30"/>
  <c r="C15" i="30"/>
  <c r="F15" i="30" s="1"/>
  <c r="I4" i="27"/>
  <c r="E18" i="27" s="1"/>
  <c r="G71" i="29"/>
  <c r="J71" i="29" s="1"/>
  <c r="G72" i="29"/>
  <c r="G73" i="29"/>
  <c r="J73" i="29" s="1"/>
  <c r="G74" i="29"/>
  <c r="J74" i="29" s="1"/>
  <c r="G76" i="29"/>
  <c r="G77" i="29"/>
  <c r="J77" i="29" s="1"/>
  <c r="G78" i="29"/>
  <c r="J78" i="29" s="1"/>
  <c r="G79" i="29"/>
  <c r="G80" i="29"/>
  <c r="J80" i="29" s="1"/>
  <c r="B11" i="30"/>
  <c r="E11" i="30" s="1"/>
  <c r="G11" i="30" s="1"/>
  <c r="B12" i="30"/>
  <c r="B13" i="30"/>
  <c r="E13" i="30" s="1"/>
  <c r="G6" i="27"/>
  <c r="D4" i="30"/>
  <c r="D5" i="30"/>
  <c r="D6" i="30"/>
  <c r="D7" i="30"/>
  <c r="D8" i="30"/>
  <c r="D9" i="30"/>
  <c r="D16" i="30" s="1"/>
  <c r="D11" i="27" s="1"/>
  <c r="D22" i="30"/>
  <c r="D20" i="30"/>
  <c r="G17" i="27"/>
  <c r="G18" i="27" s="1"/>
  <c r="D17" i="27"/>
  <c r="E22" i="30"/>
  <c r="E23" i="30" s="1"/>
  <c r="B46" i="28"/>
  <c r="C46" i="28"/>
  <c r="F10" i="30"/>
  <c r="F9" i="30"/>
  <c r="F8" i="30"/>
  <c r="F7" i="30"/>
  <c r="F6" i="30"/>
  <c r="F5" i="30"/>
  <c r="F4" i="30"/>
  <c r="E15" i="30"/>
  <c r="E14" i="30"/>
  <c r="E12" i="30"/>
  <c r="E10" i="30"/>
  <c r="E9" i="30"/>
  <c r="E8" i="30"/>
  <c r="E7" i="30"/>
  <c r="E6" i="30"/>
  <c r="E5" i="30"/>
  <c r="E4" i="30"/>
  <c r="I9" i="27"/>
  <c r="I18" i="27"/>
  <c r="H18" i="27"/>
  <c r="C33" i="28"/>
  <c r="B33" i="28"/>
  <c r="C12" i="27"/>
  <c r="C39" i="9"/>
  <c r="C39" i="8"/>
  <c r="C39" i="17"/>
  <c r="C39" i="18"/>
  <c r="C39" i="20"/>
  <c r="C39" i="22"/>
  <c r="C41" i="1"/>
  <c r="C46" i="8"/>
  <c r="C46" i="17"/>
  <c r="C46" i="18"/>
  <c r="C46" i="20"/>
  <c r="C44" i="9"/>
  <c r="C44" i="8"/>
  <c r="C44" i="17"/>
  <c r="C44" i="18"/>
  <c r="C44" i="20"/>
  <c r="C43" i="9"/>
  <c r="C43" i="8"/>
  <c r="C43" i="17"/>
  <c r="C43" i="18"/>
  <c r="C43" i="20"/>
  <c r="C42" i="9"/>
  <c r="C42" i="8"/>
  <c r="C42" i="17"/>
  <c r="C42" i="18"/>
  <c r="C42" i="20"/>
  <c r="B46" i="9"/>
  <c r="B46" i="8"/>
  <c r="B46" i="17"/>
  <c r="B46" i="18"/>
  <c r="B46" i="20"/>
  <c r="B44" i="9"/>
  <c r="D44" i="9" s="1"/>
  <c r="B44" i="8"/>
  <c r="B44" i="17"/>
  <c r="B44" i="18"/>
  <c r="B44" i="20"/>
  <c r="B43" i="9"/>
  <c r="B43" i="8"/>
  <c r="B43" i="17"/>
  <c r="B43" i="18"/>
  <c r="B43" i="20"/>
  <c r="D43" i="20" s="1"/>
  <c r="B42" i="9"/>
  <c r="B42" i="8"/>
  <c r="B42" i="17"/>
  <c r="D42" i="17" s="1"/>
  <c r="W36" i="15" s="1"/>
  <c r="X36" i="15" s="1"/>
  <c r="B42" i="18"/>
  <c r="B42" i="20"/>
  <c r="B39" i="17"/>
  <c r="B39" i="18"/>
  <c r="B39" i="20"/>
  <c r="B39" i="22"/>
  <c r="B41" i="1"/>
  <c r="AD37" i="29"/>
  <c r="Z37" i="29"/>
  <c r="V37" i="29"/>
  <c r="R37" i="29"/>
  <c r="N37" i="29"/>
  <c r="J37" i="29"/>
  <c r="J47" i="29"/>
  <c r="F37" i="29"/>
  <c r="B37" i="29"/>
  <c r="V16" i="29"/>
  <c r="R16" i="29"/>
  <c r="N16" i="29"/>
  <c r="J16" i="29"/>
  <c r="H16" i="29"/>
  <c r="G16" i="29" s="1"/>
  <c r="F16" i="29"/>
  <c r="D16" i="29"/>
  <c r="B16" i="29"/>
  <c r="B26" i="29" s="1"/>
  <c r="X22" i="29"/>
  <c r="V22" i="29"/>
  <c r="T22" i="29"/>
  <c r="R22" i="29"/>
  <c r="P15" i="28"/>
  <c r="P11" i="28"/>
  <c r="P12" i="28"/>
  <c r="D13" i="28"/>
  <c r="D14" i="28"/>
  <c r="D15" i="28"/>
  <c r="H14" i="28"/>
  <c r="H15" i="28"/>
  <c r="K33" i="28"/>
  <c r="J33" i="28"/>
  <c r="C16" i="28"/>
  <c r="B16" i="28"/>
  <c r="G33" i="28"/>
  <c r="O33" i="28"/>
  <c r="S33" i="28"/>
  <c r="F33" i="28"/>
  <c r="N33" i="28"/>
  <c r="P33" i="28" s="1"/>
  <c r="R33" i="28"/>
  <c r="G48" i="28" s="1"/>
  <c r="C43" i="28"/>
  <c r="C44" i="28"/>
  <c r="C45" i="28"/>
  <c r="C47" i="28"/>
  <c r="B43" i="28"/>
  <c r="B44" i="28"/>
  <c r="B45" i="28"/>
  <c r="B47" i="28"/>
  <c r="G16" i="28"/>
  <c r="K16" i="28"/>
  <c r="O16" i="28"/>
  <c r="F16" i="28"/>
  <c r="J16" i="28"/>
  <c r="N16" i="28"/>
  <c r="C39" i="28"/>
  <c r="C40" i="28"/>
  <c r="C41" i="28"/>
  <c r="B39" i="28"/>
  <c r="B40" i="28"/>
  <c r="B41" i="28"/>
  <c r="AA33" i="28"/>
  <c r="Z33" i="28"/>
  <c r="W33" i="28"/>
  <c r="V33" i="28"/>
  <c r="AB29" i="28"/>
  <c r="AB28" i="28"/>
  <c r="AD27" i="28"/>
  <c r="AA27" i="28"/>
  <c r="Z27" i="28"/>
  <c r="W27" i="28"/>
  <c r="V27" i="28"/>
  <c r="S27" i="28"/>
  <c r="R27" i="28"/>
  <c r="O27" i="28"/>
  <c r="N27" i="28"/>
  <c r="K27" i="28"/>
  <c r="J27" i="28"/>
  <c r="G27" i="28"/>
  <c r="F27" i="28"/>
  <c r="C27" i="28"/>
  <c r="B27" i="28"/>
  <c r="X23" i="28"/>
  <c r="P14" i="28"/>
  <c r="P13" i="28"/>
  <c r="L13" i="28"/>
  <c r="H13" i="28"/>
  <c r="L12" i="28"/>
  <c r="H12" i="28"/>
  <c r="L11" i="28"/>
  <c r="H11" i="28"/>
  <c r="W10" i="28"/>
  <c r="V10" i="28"/>
  <c r="X10" i="28" s="1"/>
  <c r="S10" i="28"/>
  <c r="R10" i="28"/>
  <c r="O10" i="28"/>
  <c r="N10" i="28"/>
  <c r="K10" i="28"/>
  <c r="J10" i="28"/>
  <c r="G10" i="28"/>
  <c r="F10" i="28"/>
  <c r="B10" i="28"/>
  <c r="N26" i="29"/>
  <c r="J26" i="29"/>
  <c r="C43" i="22"/>
  <c r="B43" i="22"/>
  <c r="C42" i="22"/>
  <c r="B42" i="22"/>
  <c r="C44" i="22"/>
  <c r="B44" i="22"/>
  <c r="C46" i="22"/>
  <c r="B46" i="22"/>
  <c r="B45" i="22"/>
  <c r="C40" i="14"/>
  <c r="D40" i="14" s="1"/>
  <c r="D32" i="17"/>
  <c r="C40" i="15" s="1"/>
  <c r="D40" i="15" s="1"/>
  <c r="D32" i="18"/>
  <c r="C40" i="19" s="1"/>
  <c r="D40" i="19" s="1"/>
  <c r="G40" i="10"/>
  <c r="H40" i="10" s="1"/>
  <c r="G40" i="14"/>
  <c r="H40" i="14" s="1"/>
  <c r="H32" i="17"/>
  <c r="G40" i="15" s="1"/>
  <c r="H40" i="15" s="1"/>
  <c r="G40" i="19"/>
  <c r="H40" i="19" s="1"/>
  <c r="H32" i="20"/>
  <c r="G40" i="21" s="1"/>
  <c r="H40" i="21" s="1"/>
  <c r="H32" i="22"/>
  <c r="G40" i="23" s="1"/>
  <c r="H40" i="23" s="1"/>
  <c r="K40" i="14"/>
  <c r="L40" i="14" s="1"/>
  <c r="L32" i="17"/>
  <c r="L32" i="18"/>
  <c r="K40" i="19" s="1"/>
  <c r="L40" i="19" s="1"/>
  <c r="L32" i="20"/>
  <c r="K40" i="21"/>
  <c r="L40" i="21" s="1"/>
  <c r="L32" i="22"/>
  <c r="K40" i="23" s="1"/>
  <c r="L40" i="23" s="1"/>
  <c r="P32" i="8"/>
  <c r="O40" i="14" s="1"/>
  <c r="P40" i="14" s="1"/>
  <c r="P32" i="17"/>
  <c r="O40" i="15" s="1"/>
  <c r="P40" i="15" s="1"/>
  <c r="P32" i="18"/>
  <c r="O40" i="19" s="1"/>
  <c r="P40" i="19" s="1"/>
  <c r="P32" i="20"/>
  <c r="O40" i="21" s="1"/>
  <c r="P40" i="21" s="1"/>
  <c r="P32" i="22"/>
  <c r="O40" i="23" s="1"/>
  <c r="P40" i="23" s="1"/>
  <c r="S40" i="10"/>
  <c r="T40" i="10" s="1"/>
  <c r="T32" i="8"/>
  <c r="S40" i="14" s="1"/>
  <c r="T40" i="14" s="1"/>
  <c r="T32" i="18"/>
  <c r="S40" i="19" s="1"/>
  <c r="T40" i="19" s="1"/>
  <c r="T32" i="20"/>
  <c r="S40" i="21" s="1"/>
  <c r="T40" i="21" s="1"/>
  <c r="T32" i="22"/>
  <c r="S40" i="23" s="1"/>
  <c r="T40" i="23" s="1"/>
  <c r="W40" i="10"/>
  <c r="X40" i="10" s="1"/>
  <c r="W40" i="14"/>
  <c r="X40" i="14" s="1"/>
  <c r="X32" i="18"/>
  <c r="W40" i="19" s="1"/>
  <c r="X40" i="19" s="1"/>
  <c r="X32" i="20"/>
  <c r="W40" i="21" s="1"/>
  <c r="X40" i="21" s="1"/>
  <c r="X32" i="22"/>
  <c r="W40" i="23" s="1"/>
  <c r="X40" i="23" s="1"/>
  <c r="AA40" i="14"/>
  <c r="AB40" i="14" s="1"/>
  <c r="AB32" i="17"/>
  <c r="AA40" i="15" s="1"/>
  <c r="AB40" i="15" s="1"/>
  <c r="AB32" i="18"/>
  <c r="AA40" i="19" s="1"/>
  <c r="AB40" i="19" s="1"/>
  <c r="AB32" i="20"/>
  <c r="AA40" i="21"/>
  <c r="AB40" i="21" s="1"/>
  <c r="K17" i="25" s="1"/>
  <c r="D31" i="17"/>
  <c r="C39" i="15" s="1"/>
  <c r="D39" i="15" s="1"/>
  <c r="I11" i="25" s="1"/>
  <c r="C39" i="19"/>
  <c r="D39" i="19" s="1"/>
  <c r="G39" i="10"/>
  <c r="H39" i="10" s="1"/>
  <c r="G39" i="15"/>
  <c r="H39" i="15" s="1"/>
  <c r="G39" i="19"/>
  <c r="H39" i="19" s="1"/>
  <c r="H31" i="20"/>
  <c r="G39" i="21" s="1"/>
  <c r="H39" i="21" s="1"/>
  <c r="G39" i="23"/>
  <c r="H39" i="23" s="1"/>
  <c r="P31" i="17"/>
  <c r="O39" i="15" s="1"/>
  <c r="P39" i="15" s="1"/>
  <c r="D30" i="8"/>
  <c r="C38" i="14" s="1"/>
  <c r="D38" i="14" s="1"/>
  <c r="D30" i="17"/>
  <c r="C38" i="15" s="1"/>
  <c r="D38" i="15" s="1"/>
  <c r="D30" i="18"/>
  <c r="C38" i="19" s="1"/>
  <c r="D38" i="19" s="1"/>
  <c r="G38" i="10"/>
  <c r="H38" i="10" s="1"/>
  <c r="H30" i="8"/>
  <c r="G38" i="14" s="1"/>
  <c r="H38" i="14" s="1"/>
  <c r="H30" i="17"/>
  <c r="G38" i="15" s="1"/>
  <c r="H38" i="15" s="1"/>
  <c r="H30" i="18"/>
  <c r="G38" i="19" s="1"/>
  <c r="H38" i="19" s="1"/>
  <c r="H30" i="20"/>
  <c r="G38" i="21" s="1"/>
  <c r="H38" i="21" s="1"/>
  <c r="H30" i="22"/>
  <c r="G38" i="23" s="1"/>
  <c r="H38" i="23" s="1"/>
  <c r="L30" i="8"/>
  <c r="K38" i="14" s="1"/>
  <c r="L38" i="14" s="1"/>
  <c r="L30" i="17"/>
  <c r="K38" i="15" s="1"/>
  <c r="L38" i="15" s="1"/>
  <c r="L30" i="18"/>
  <c r="K38" i="19" s="1"/>
  <c r="L38" i="19" s="1"/>
  <c r="L30" i="20"/>
  <c r="K38" i="21" s="1"/>
  <c r="L38" i="21" s="1"/>
  <c r="L30" i="22"/>
  <c r="K38" i="23" s="1"/>
  <c r="L38" i="23" s="1"/>
  <c r="O38" i="10"/>
  <c r="P38" i="10" s="1"/>
  <c r="P30" i="8"/>
  <c r="O38" i="14" s="1"/>
  <c r="P38" i="14" s="1"/>
  <c r="P30" i="17"/>
  <c r="O38" i="15" s="1"/>
  <c r="P38" i="15" s="1"/>
  <c r="P30" i="18"/>
  <c r="O38" i="19" s="1"/>
  <c r="P38" i="19" s="1"/>
  <c r="P30" i="20"/>
  <c r="O38" i="21" s="1"/>
  <c r="P38" i="21" s="1"/>
  <c r="P30" i="22"/>
  <c r="O38" i="23" s="1"/>
  <c r="P38" i="23" s="1"/>
  <c r="S38" i="10"/>
  <c r="T38" i="10" s="1"/>
  <c r="T30" i="8"/>
  <c r="S38" i="14" s="1"/>
  <c r="T38" i="14" s="1"/>
  <c r="T30" i="17"/>
  <c r="S38" i="15" s="1"/>
  <c r="T38" i="15" s="1"/>
  <c r="T30" i="18"/>
  <c r="S38" i="19" s="1"/>
  <c r="T38" i="19" s="1"/>
  <c r="T30" i="20"/>
  <c r="S38" i="21" s="1"/>
  <c r="T38" i="21" s="1"/>
  <c r="T30" i="22"/>
  <c r="S38" i="23" s="1"/>
  <c r="T38" i="23" s="1"/>
  <c r="X30" i="9"/>
  <c r="W38" i="10" s="1"/>
  <c r="X38" i="10" s="1"/>
  <c r="X30" i="8"/>
  <c r="W38" i="14" s="1"/>
  <c r="X38" i="14" s="1"/>
  <c r="X30" i="17"/>
  <c r="W38" i="15" s="1"/>
  <c r="X38" i="15" s="1"/>
  <c r="X30" i="18"/>
  <c r="W38" i="19" s="1"/>
  <c r="X38" i="19" s="1"/>
  <c r="X30" i="20"/>
  <c r="W38" i="21" s="1"/>
  <c r="X38" i="21" s="1"/>
  <c r="X30" i="22"/>
  <c r="W38" i="23" s="1"/>
  <c r="X38" i="23" s="1"/>
  <c r="AA38" i="10"/>
  <c r="AB38" i="10" s="1"/>
  <c r="AB30" i="8"/>
  <c r="AA38" i="14" s="1"/>
  <c r="AB38" i="14" s="1"/>
  <c r="AB30" i="17"/>
  <c r="AA38" i="15" s="1"/>
  <c r="AB38" i="15" s="1"/>
  <c r="AB41" i="15" s="1"/>
  <c r="AB30" i="18"/>
  <c r="AA38" i="19" s="1"/>
  <c r="AB38" i="19" s="1"/>
  <c r="AB30" i="20"/>
  <c r="AA38" i="21" s="1"/>
  <c r="AB38" i="21" s="1"/>
  <c r="AB30" i="22"/>
  <c r="AA38" i="23" s="1"/>
  <c r="AB38" i="23" s="1"/>
  <c r="AF30" i="9"/>
  <c r="AE38" i="10" s="1"/>
  <c r="AF38" i="10" s="1"/>
  <c r="G18" i="25" s="1"/>
  <c r="D29" i="8"/>
  <c r="C37" i="14" s="1"/>
  <c r="D37" i="14" s="1"/>
  <c r="D29" i="17"/>
  <c r="C37" i="15" s="1"/>
  <c r="D37" i="15" s="1"/>
  <c r="D29" i="18"/>
  <c r="C37" i="19" s="1"/>
  <c r="D37" i="19" s="1"/>
  <c r="H29" i="9"/>
  <c r="G37" i="10" s="1"/>
  <c r="H37" i="10" s="1"/>
  <c r="H29" i="8"/>
  <c r="G37" i="14" s="1"/>
  <c r="H37" i="14" s="1"/>
  <c r="H29" i="17"/>
  <c r="G37" i="15" s="1"/>
  <c r="H37" i="15" s="1"/>
  <c r="H29" i="18"/>
  <c r="G37" i="19" s="1"/>
  <c r="H37" i="19" s="1"/>
  <c r="H29" i="20"/>
  <c r="G37" i="21" s="1"/>
  <c r="H37" i="21" s="1"/>
  <c r="H29" i="22"/>
  <c r="G37" i="23" s="1"/>
  <c r="H37" i="23" s="1"/>
  <c r="L29" i="9"/>
  <c r="K37" i="10" s="1"/>
  <c r="L37" i="10" s="1"/>
  <c r="L29" i="8"/>
  <c r="K37" i="14" s="1"/>
  <c r="L37" i="14" s="1"/>
  <c r="L29" i="17"/>
  <c r="K37" i="15" s="1"/>
  <c r="L37" i="15" s="1"/>
  <c r="L29" i="18"/>
  <c r="K37" i="19" s="1"/>
  <c r="L37" i="19" s="1"/>
  <c r="L29" i="20"/>
  <c r="K37" i="21" s="1"/>
  <c r="L37" i="21" s="1"/>
  <c r="L29" i="22"/>
  <c r="K37" i="23" s="1"/>
  <c r="L37" i="23" s="1"/>
  <c r="P29" i="9"/>
  <c r="O37" i="10" s="1"/>
  <c r="P37" i="10" s="1"/>
  <c r="P29" i="8"/>
  <c r="O37" i="14" s="1"/>
  <c r="P37" i="14" s="1"/>
  <c r="P29" i="17"/>
  <c r="O37" i="15" s="1"/>
  <c r="P37" i="15" s="1"/>
  <c r="P29" i="18"/>
  <c r="O37" i="19" s="1"/>
  <c r="P37" i="19" s="1"/>
  <c r="P29" i="20"/>
  <c r="O37" i="21" s="1"/>
  <c r="P37" i="21" s="1"/>
  <c r="P29" i="22"/>
  <c r="O37" i="23" s="1"/>
  <c r="P37" i="23"/>
  <c r="T29" i="9"/>
  <c r="S37" i="10" s="1"/>
  <c r="T37" i="10" s="1"/>
  <c r="T29" i="8"/>
  <c r="S37" i="14" s="1"/>
  <c r="T37" i="14" s="1"/>
  <c r="T29" i="17"/>
  <c r="S37" i="15" s="1"/>
  <c r="T37" i="15" s="1"/>
  <c r="T29" i="18"/>
  <c r="S37" i="19" s="1"/>
  <c r="T37" i="19" s="1"/>
  <c r="T29" i="20"/>
  <c r="S37" i="21" s="1"/>
  <c r="T37" i="21" s="1"/>
  <c r="T29" i="22"/>
  <c r="S37" i="23" s="1"/>
  <c r="T37" i="23" s="1"/>
  <c r="X29" i="9"/>
  <c r="W37" i="10" s="1"/>
  <c r="X37" i="10" s="1"/>
  <c r="X29" i="8"/>
  <c r="W37" i="14" s="1"/>
  <c r="X37" i="14" s="1"/>
  <c r="X29" i="17"/>
  <c r="W37" i="15" s="1"/>
  <c r="X37" i="15" s="1"/>
  <c r="X29" i="20"/>
  <c r="W37" i="21" s="1"/>
  <c r="X37" i="21" s="1"/>
  <c r="X29" i="18"/>
  <c r="W37" i="19" s="1"/>
  <c r="X37" i="19" s="1"/>
  <c r="X29" i="22"/>
  <c r="W37" i="23" s="1"/>
  <c r="X37" i="23" s="1"/>
  <c r="AB29" i="9"/>
  <c r="AA37" i="10" s="1"/>
  <c r="AB37" i="10" s="1"/>
  <c r="AB29" i="8"/>
  <c r="AA37" i="14" s="1"/>
  <c r="AB37" i="14" s="1"/>
  <c r="AB29" i="17"/>
  <c r="AA37" i="15" s="1"/>
  <c r="AB37" i="15" s="1"/>
  <c r="AB29" i="18"/>
  <c r="AA37" i="19" s="1"/>
  <c r="AB37" i="19" s="1"/>
  <c r="AB29" i="20"/>
  <c r="AA37" i="21" s="1"/>
  <c r="AB37" i="21" s="1"/>
  <c r="AB29" i="22"/>
  <c r="AA37" i="23" s="1"/>
  <c r="AB37" i="23" s="1"/>
  <c r="AF29" i="9"/>
  <c r="AE37" i="10" s="1"/>
  <c r="AF37" i="10" s="1"/>
  <c r="E18" i="25" s="1"/>
  <c r="D28" i="8"/>
  <c r="C36" i="14" s="1"/>
  <c r="D36" i="14" s="1"/>
  <c r="D28" i="17"/>
  <c r="C36" i="15" s="1"/>
  <c r="D36" i="15" s="1"/>
  <c r="D28" i="18"/>
  <c r="C36" i="19" s="1"/>
  <c r="D36" i="19" s="1"/>
  <c r="H28" i="9"/>
  <c r="G36" i="10" s="1"/>
  <c r="H36" i="10" s="1"/>
  <c r="H28" i="8"/>
  <c r="G36" i="14" s="1"/>
  <c r="H36" i="14" s="1"/>
  <c r="H28" i="17"/>
  <c r="G36" i="15"/>
  <c r="H36" i="15" s="1"/>
  <c r="H28" i="18"/>
  <c r="G36" i="19" s="1"/>
  <c r="H36" i="19" s="1"/>
  <c r="H28" i="20"/>
  <c r="G36" i="21" s="1"/>
  <c r="H36" i="21" s="1"/>
  <c r="H28" i="22"/>
  <c r="G36" i="23" s="1"/>
  <c r="H36" i="23" s="1"/>
  <c r="L28" i="9"/>
  <c r="K36" i="10" s="1"/>
  <c r="L36" i="10" s="1"/>
  <c r="L28" i="8"/>
  <c r="K36" i="14" s="1"/>
  <c r="L36" i="14" s="1"/>
  <c r="L28" i="17"/>
  <c r="K36" i="15" s="1"/>
  <c r="L36" i="15" s="1"/>
  <c r="L28" i="18"/>
  <c r="K36" i="19" s="1"/>
  <c r="L36" i="19" s="1"/>
  <c r="L28" i="20"/>
  <c r="K36" i="21" s="1"/>
  <c r="L36" i="21" s="1"/>
  <c r="L28" i="22"/>
  <c r="K36" i="23" s="1"/>
  <c r="L36" i="23" s="1"/>
  <c r="P28" i="9"/>
  <c r="O36" i="10" s="1"/>
  <c r="P36" i="10" s="1"/>
  <c r="P28" i="8"/>
  <c r="O36" i="14" s="1"/>
  <c r="P36" i="14" s="1"/>
  <c r="P28" i="17"/>
  <c r="O36" i="15" s="1"/>
  <c r="P36" i="15" s="1"/>
  <c r="P28" i="18"/>
  <c r="O36" i="19" s="1"/>
  <c r="P36" i="19" s="1"/>
  <c r="P28" i="20"/>
  <c r="O36" i="21" s="1"/>
  <c r="P36" i="21" s="1"/>
  <c r="P28" i="22"/>
  <c r="O36" i="23" s="1"/>
  <c r="P36" i="23" s="1"/>
  <c r="T28" i="9"/>
  <c r="S36" i="10" s="1"/>
  <c r="T36" i="10" s="1"/>
  <c r="T28" i="8"/>
  <c r="S36" i="14" s="1"/>
  <c r="T36" i="14" s="1"/>
  <c r="T28" i="17"/>
  <c r="S36" i="15" s="1"/>
  <c r="T36" i="15" s="1"/>
  <c r="T28" i="18"/>
  <c r="S36" i="19" s="1"/>
  <c r="T36" i="19" s="1"/>
  <c r="T28" i="20"/>
  <c r="S36" i="21" s="1"/>
  <c r="T36" i="21" s="1"/>
  <c r="S36" i="23"/>
  <c r="T36" i="23" s="1"/>
  <c r="X28" i="9"/>
  <c r="W36" i="10" s="1"/>
  <c r="X36" i="10" s="1"/>
  <c r="W36" i="14"/>
  <c r="X36" i="14" s="1"/>
  <c r="W36" i="19"/>
  <c r="X36" i="19" s="1"/>
  <c r="X28" i="20"/>
  <c r="W36" i="21" s="1"/>
  <c r="X36" i="21" s="1"/>
  <c r="X28" i="22"/>
  <c r="W36" i="23" s="1"/>
  <c r="X36" i="23" s="1"/>
  <c r="AA36" i="21"/>
  <c r="AB36" i="21" s="1"/>
  <c r="F5" i="25"/>
  <c r="D5" i="25"/>
  <c r="B5" i="25"/>
  <c r="H6" i="25"/>
  <c r="F6" i="25"/>
  <c r="D6" i="25"/>
  <c r="B6" i="25"/>
  <c r="J7" i="25"/>
  <c r="H7" i="25"/>
  <c r="O7" i="25" s="1"/>
  <c r="F7" i="25"/>
  <c r="D7" i="25"/>
  <c r="J8" i="25"/>
  <c r="H8" i="25"/>
  <c r="J11" i="25"/>
  <c r="J12" i="25"/>
  <c r="J13" i="25"/>
  <c r="J14" i="25"/>
  <c r="J17" i="25"/>
  <c r="H11" i="25"/>
  <c r="H12" i="25"/>
  <c r="H13" i="25"/>
  <c r="H14" i="25"/>
  <c r="H17" i="25"/>
  <c r="F11" i="25"/>
  <c r="F12" i="25"/>
  <c r="F14" i="25"/>
  <c r="F15" i="25"/>
  <c r="F17" i="25"/>
  <c r="F18" i="25"/>
  <c r="D11" i="25"/>
  <c r="D12" i="25"/>
  <c r="D14" i="25"/>
  <c r="D15" i="25"/>
  <c r="D16" i="25"/>
  <c r="D17" i="25"/>
  <c r="D18" i="25"/>
  <c r="L18" i="25" s="1"/>
  <c r="B11" i="25"/>
  <c r="B12" i="25"/>
  <c r="B14" i="25"/>
  <c r="B15" i="25"/>
  <c r="B16" i="25"/>
  <c r="B17" i="25"/>
  <c r="B18" i="25"/>
  <c r="O10" i="25"/>
  <c r="Q10" i="25"/>
  <c r="O9" i="25"/>
  <c r="P9" i="25" s="1"/>
  <c r="Q9" i="25"/>
  <c r="L10" i="25"/>
  <c r="N10" i="25"/>
  <c r="L9" i="25"/>
  <c r="N9" i="25"/>
  <c r="N13" i="24"/>
  <c r="Q13" i="24" s="1"/>
  <c r="E34" i="24" s="1"/>
  <c r="B34" i="24"/>
  <c r="D12" i="24"/>
  <c r="F12" i="24"/>
  <c r="J12" i="24"/>
  <c r="R12" i="24" s="1"/>
  <c r="B33" i="24"/>
  <c r="D11" i="24"/>
  <c r="F11" i="24"/>
  <c r="J11" i="24"/>
  <c r="R11" i="24" s="1"/>
  <c r="B32" i="24"/>
  <c r="D10" i="24"/>
  <c r="F10" i="24"/>
  <c r="H10" i="24"/>
  <c r="Q10" i="24" s="1"/>
  <c r="J10" i="24"/>
  <c r="B31" i="24"/>
  <c r="D9" i="24"/>
  <c r="F9" i="24"/>
  <c r="J9" i="24"/>
  <c r="B30" i="24"/>
  <c r="D8" i="24"/>
  <c r="F8" i="24"/>
  <c r="H8" i="24"/>
  <c r="J8" i="24"/>
  <c r="B29" i="24"/>
  <c r="D7" i="24"/>
  <c r="F7" i="24"/>
  <c r="H7" i="24"/>
  <c r="J7" i="24"/>
  <c r="B28" i="24"/>
  <c r="R9" i="24"/>
  <c r="E13" i="24"/>
  <c r="G12" i="11"/>
  <c r="L20" i="12" s="1"/>
  <c r="G11" i="11"/>
  <c r="J20" i="12" s="1"/>
  <c r="G10" i="11"/>
  <c r="H20" i="12" s="1"/>
  <c r="G9" i="11"/>
  <c r="F20" i="12" s="1"/>
  <c r="G8" i="11"/>
  <c r="C7" i="11"/>
  <c r="D7" i="11" s="1"/>
  <c r="AA33" i="22"/>
  <c r="Z33" i="22"/>
  <c r="W33" i="22"/>
  <c r="V33" i="22"/>
  <c r="X33" i="22" s="1"/>
  <c r="S33" i="22"/>
  <c r="R33" i="22"/>
  <c r="O33" i="22"/>
  <c r="N33" i="22"/>
  <c r="K33" i="22"/>
  <c r="J33" i="22"/>
  <c r="G33" i="22"/>
  <c r="F33" i="22"/>
  <c r="AA33" i="18"/>
  <c r="Z33" i="18"/>
  <c r="W33" i="18"/>
  <c r="V33" i="18"/>
  <c r="S33" i="18"/>
  <c r="R33" i="18"/>
  <c r="O33" i="18"/>
  <c r="N33" i="18"/>
  <c r="K33" i="18"/>
  <c r="J33" i="18"/>
  <c r="G33" i="18"/>
  <c r="F33" i="18"/>
  <c r="C33" i="18"/>
  <c r="B33" i="18"/>
  <c r="AA33" i="17"/>
  <c r="Z33" i="17"/>
  <c r="W33" i="17"/>
  <c r="V33" i="17"/>
  <c r="S33" i="17"/>
  <c r="R33" i="17"/>
  <c r="O33" i="17"/>
  <c r="P33" i="17" s="1"/>
  <c r="N33" i="17"/>
  <c r="K33" i="17"/>
  <c r="J33" i="17"/>
  <c r="G33" i="17"/>
  <c r="F33" i="17"/>
  <c r="C33" i="17"/>
  <c r="B33" i="17"/>
  <c r="AE33" i="8"/>
  <c r="AD33" i="8"/>
  <c r="AA33" i="8"/>
  <c r="Z33" i="8"/>
  <c r="W33" i="8"/>
  <c r="X33" i="8" s="1"/>
  <c r="V33" i="8"/>
  <c r="S33" i="8"/>
  <c r="R33" i="8"/>
  <c r="O33" i="8"/>
  <c r="N33" i="8"/>
  <c r="K33" i="8"/>
  <c r="J33" i="8"/>
  <c r="G33" i="8"/>
  <c r="F33" i="8"/>
  <c r="C33" i="8"/>
  <c r="B33" i="8"/>
  <c r="AE33" i="9"/>
  <c r="AD33" i="9"/>
  <c r="AA33" i="9"/>
  <c r="Z33" i="9"/>
  <c r="W33" i="9"/>
  <c r="X33" i="9" s="1"/>
  <c r="V33" i="9"/>
  <c r="S33" i="9"/>
  <c r="R33" i="9"/>
  <c r="O33" i="9"/>
  <c r="N33" i="9"/>
  <c r="K33" i="9"/>
  <c r="J33" i="9"/>
  <c r="G33" i="9"/>
  <c r="H33" i="9" s="1"/>
  <c r="F33" i="9"/>
  <c r="IV33" i="9"/>
  <c r="AE33" i="20"/>
  <c r="AF33" i="20" s="1"/>
  <c r="AD33" i="20"/>
  <c r="AA33" i="20"/>
  <c r="Z33" i="20"/>
  <c r="W33" i="20"/>
  <c r="V33" i="20"/>
  <c r="S33" i="20"/>
  <c r="R33" i="20"/>
  <c r="O33" i="20"/>
  <c r="N33" i="20"/>
  <c r="K33" i="20"/>
  <c r="J33" i="20"/>
  <c r="G33" i="20"/>
  <c r="F33" i="20"/>
  <c r="AD37" i="16"/>
  <c r="AD47" i="16" s="1"/>
  <c r="Z37" i="16"/>
  <c r="V37" i="16"/>
  <c r="R37" i="16"/>
  <c r="N37" i="16"/>
  <c r="N47" i="16" s="1"/>
  <c r="J37" i="16"/>
  <c r="F37" i="16"/>
  <c r="F47" i="16" s="1"/>
  <c r="B37" i="16"/>
  <c r="V16" i="16"/>
  <c r="W27" i="1"/>
  <c r="V27" i="1"/>
  <c r="R27" i="1"/>
  <c r="S27" i="1"/>
  <c r="O27" i="1"/>
  <c r="N27" i="1"/>
  <c r="K27" i="1"/>
  <c r="J27" i="1"/>
  <c r="G27" i="1"/>
  <c r="F27" i="1"/>
  <c r="C27" i="1"/>
  <c r="D27" i="1" s="1"/>
  <c r="B27" i="1"/>
  <c r="W10" i="1"/>
  <c r="V10" i="1"/>
  <c r="AA33" i="1"/>
  <c r="Z33" i="1"/>
  <c r="AA27" i="1"/>
  <c r="Z27" i="1"/>
  <c r="V33" i="1"/>
  <c r="W33" i="1"/>
  <c r="S33" i="1"/>
  <c r="G33" i="1"/>
  <c r="O33" i="1"/>
  <c r="F33" i="1"/>
  <c r="N33" i="1"/>
  <c r="G48" i="1" s="1"/>
  <c r="R33" i="1"/>
  <c r="G49" i="1" s="1"/>
  <c r="G16" i="1"/>
  <c r="K16" i="1"/>
  <c r="F16" i="1"/>
  <c r="J16" i="1"/>
  <c r="L33" i="1"/>
  <c r="G10" i="1"/>
  <c r="F10" i="1"/>
  <c r="D48" i="1"/>
  <c r="D45" i="1"/>
  <c r="AD27" i="1"/>
  <c r="S10" i="1"/>
  <c r="R10" i="1"/>
  <c r="O10" i="1"/>
  <c r="N10" i="1"/>
  <c r="K10" i="1"/>
  <c r="J10" i="1"/>
  <c r="B10" i="1"/>
  <c r="N16" i="16"/>
  <c r="J16" i="16"/>
  <c r="J26" i="16" s="1"/>
  <c r="F16" i="16"/>
  <c r="B16" i="16"/>
  <c r="B26" i="16" s="1"/>
  <c r="R16" i="16"/>
  <c r="D12" i="11"/>
  <c r="F12" i="11"/>
  <c r="L7" i="22"/>
  <c r="K13" i="23" s="1"/>
  <c r="L13" i="23" s="1"/>
  <c r="P7" i="22"/>
  <c r="O13" i="23" s="1"/>
  <c r="P13" i="23" s="1"/>
  <c r="P16" i="23" s="1"/>
  <c r="T7" i="22"/>
  <c r="S13" i="23" s="1"/>
  <c r="T13" i="23" s="1"/>
  <c r="X7" i="22"/>
  <c r="W13" i="23" s="1"/>
  <c r="X13" i="23" s="1"/>
  <c r="D24" i="22"/>
  <c r="C32" i="23" s="1"/>
  <c r="D32" i="23" s="1"/>
  <c r="H24" i="22"/>
  <c r="G32" i="23" s="1"/>
  <c r="H32" i="23" s="1"/>
  <c r="L24" i="22"/>
  <c r="K32" i="23" s="1"/>
  <c r="L32" i="23" s="1"/>
  <c r="P24" i="22"/>
  <c r="O32" i="23" s="1"/>
  <c r="P32" i="23" s="1"/>
  <c r="T24" i="22"/>
  <c r="S32" i="23" s="1"/>
  <c r="T32" i="23" s="1"/>
  <c r="X24" i="22"/>
  <c r="W32" i="23" s="1"/>
  <c r="X32" i="23" s="1"/>
  <c r="X35" i="23" s="1"/>
  <c r="T8" i="22"/>
  <c r="S14" i="23"/>
  <c r="T14" i="23" s="1"/>
  <c r="X8" i="22"/>
  <c r="W14" i="23" s="1"/>
  <c r="X14" i="23" s="1"/>
  <c r="D25" i="22"/>
  <c r="C33" i="23" s="1"/>
  <c r="D33" i="23" s="1"/>
  <c r="G33" i="23"/>
  <c r="H33" i="23" s="1"/>
  <c r="K33" i="23"/>
  <c r="L33" i="23" s="1"/>
  <c r="O33" i="23"/>
  <c r="P33" i="23" s="1"/>
  <c r="S15" i="23"/>
  <c r="T15" i="23" s="1"/>
  <c r="W15" i="23"/>
  <c r="X15" i="23" s="1"/>
  <c r="C34" i="23"/>
  <c r="D34" i="23" s="1"/>
  <c r="G34" i="23"/>
  <c r="H34" i="23" s="1"/>
  <c r="K34" i="23"/>
  <c r="L34" i="23" s="1"/>
  <c r="O34" i="23"/>
  <c r="P34" i="23" s="1"/>
  <c r="D11" i="11"/>
  <c r="F11" i="11"/>
  <c r="H7" i="20"/>
  <c r="G13" i="21" s="1"/>
  <c r="H13" i="21" s="1"/>
  <c r="K13" i="21"/>
  <c r="L13" i="21" s="1"/>
  <c r="L16" i="21" s="1"/>
  <c r="P7" i="20"/>
  <c r="O13" i="21" s="1"/>
  <c r="P13" i="21" s="1"/>
  <c r="T7" i="20"/>
  <c r="S13" i="21" s="1"/>
  <c r="T13" i="21" s="1"/>
  <c r="X7" i="20"/>
  <c r="W13" i="21" s="1"/>
  <c r="X13" i="21" s="1"/>
  <c r="D24" i="20"/>
  <c r="C32" i="21" s="1"/>
  <c r="D32" i="21" s="1"/>
  <c r="H24" i="20"/>
  <c r="G32" i="21" s="1"/>
  <c r="H32" i="21" s="1"/>
  <c r="L24" i="20"/>
  <c r="K32" i="21" s="1"/>
  <c r="L32" i="21" s="1"/>
  <c r="O32" i="21"/>
  <c r="P32" i="21" s="1"/>
  <c r="T24" i="20"/>
  <c r="S32" i="21" s="1"/>
  <c r="T32" i="21" s="1"/>
  <c r="X24" i="20"/>
  <c r="W32" i="21" s="1"/>
  <c r="X32" i="21" s="1"/>
  <c r="X35" i="21" s="1"/>
  <c r="AB24" i="20"/>
  <c r="AA32" i="21" s="1"/>
  <c r="AB32" i="21" s="1"/>
  <c r="AB35" i="21" s="1"/>
  <c r="P8" i="20"/>
  <c r="O14" i="21" s="1"/>
  <c r="P14" i="21" s="1"/>
  <c r="T8" i="20"/>
  <c r="S14" i="21" s="1"/>
  <c r="T14" i="21" s="1"/>
  <c r="X8" i="20"/>
  <c r="W14" i="21" s="1"/>
  <c r="X14" i="21" s="1"/>
  <c r="D25" i="20"/>
  <c r="C33" i="21" s="1"/>
  <c r="D33" i="21" s="1"/>
  <c r="H25" i="20"/>
  <c r="G33" i="21" s="1"/>
  <c r="H33" i="21" s="1"/>
  <c r="L25" i="20"/>
  <c r="K33" i="21" s="1"/>
  <c r="L33" i="21" s="1"/>
  <c r="S33" i="21"/>
  <c r="T33" i="21" s="1"/>
  <c r="T9" i="20"/>
  <c r="S15" i="21" s="1"/>
  <c r="T15" i="21" s="1"/>
  <c r="X9" i="20"/>
  <c r="W15" i="21" s="1"/>
  <c r="X15" i="21" s="1"/>
  <c r="D26" i="20"/>
  <c r="C34" i="21" s="1"/>
  <c r="D34" i="21" s="1"/>
  <c r="H26" i="20"/>
  <c r="G34" i="21" s="1"/>
  <c r="H34" i="21" s="1"/>
  <c r="L26" i="20"/>
  <c r="K34" i="21" s="1"/>
  <c r="L34" i="21" s="1"/>
  <c r="O34" i="21"/>
  <c r="P34" i="21" s="1"/>
  <c r="D10" i="11"/>
  <c r="F10" i="11"/>
  <c r="K13" i="19"/>
  <c r="L13" i="19" s="1"/>
  <c r="P7" i="18"/>
  <c r="O13" i="19" s="1"/>
  <c r="P13" i="19" s="1"/>
  <c r="T7" i="18"/>
  <c r="S13" i="19" s="1"/>
  <c r="T13" i="19" s="1"/>
  <c r="X7" i="18"/>
  <c r="W13" i="19" s="1"/>
  <c r="X13" i="19" s="1"/>
  <c r="D24" i="18"/>
  <c r="C32" i="19" s="1"/>
  <c r="D32" i="19" s="1"/>
  <c r="H24" i="18"/>
  <c r="G32" i="19" s="1"/>
  <c r="H32" i="19" s="1"/>
  <c r="L24" i="18"/>
  <c r="K32" i="19" s="1"/>
  <c r="L32" i="19" s="1"/>
  <c r="P24" i="18"/>
  <c r="O32" i="19" s="1"/>
  <c r="P32" i="19" s="1"/>
  <c r="S32" i="19"/>
  <c r="T32" i="19" s="1"/>
  <c r="O14" i="19"/>
  <c r="P14" i="19" s="1"/>
  <c r="T8" i="18"/>
  <c r="S14" i="19" s="1"/>
  <c r="T14" i="19" s="1"/>
  <c r="X8" i="18"/>
  <c r="W14" i="19" s="1"/>
  <c r="X14" i="19" s="1"/>
  <c r="D25" i="18"/>
  <c r="C33" i="19" s="1"/>
  <c r="D33" i="19" s="1"/>
  <c r="H25" i="18"/>
  <c r="G33" i="19" s="1"/>
  <c r="H33" i="19" s="1"/>
  <c r="L25" i="18"/>
  <c r="K33" i="19" s="1"/>
  <c r="L33" i="19" s="1"/>
  <c r="P25" i="18"/>
  <c r="O33" i="19" s="1"/>
  <c r="P33" i="19" s="1"/>
  <c r="S33" i="19"/>
  <c r="T33" i="19" s="1"/>
  <c r="T9" i="18"/>
  <c r="S15" i="19" s="1"/>
  <c r="T15" i="19" s="1"/>
  <c r="X9" i="18"/>
  <c r="W15" i="19" s="1"/>
  <c r="X15" i="19" s="1"/>
  <c r="C34" i="19"/>
  <c r="D34" i="19" s="1"/>
  <c r="H26" i="18"/>
  <c r="G34" i="19" s="1"/>
  <c r="H34" i="19" s="1"/>
  <c r="K34" i="19"/>
  <c r="L34" i="19" s="1"/>
  <c r="O34" i="19"/>
  <c r="P34" i="19" s="1"/>
  <c r="D9" i="11"/>
  <c r="F9" i="11"/>
  <c r="D7" i="17"/>
  <c r="C13" i="15" s="1"/>
  <c r="D13" i="15" s="1"/>
  <c r="L7" i="17"/>
  <c r="K13" i="15" s="1"/>
  <c r="L13" i="15" s="1"/>
  <c r="L16" i="15" s="1"/>
  <c r="P7" i="17"/>
  <c r="O13" i="15" s="1"/>
  <c r="P13" i="15" s="1"/>
  <c r="P16" i="15" s="1"/>
  <c r="T7" i="17"/>
  <c r="S13" i="15" s="1"/>
  <c r="T13" i="15" s="1"/>
  <c r="X7" i="17"/>
  <c r="W13" i="15" s="1"/>
  <c r="X13" i="15" s="1"/>
  <c r="D24" i="17"/>
  <c r="C32" i="15" s="1"/>
  <c r="D32" i="15" s="1"/>
  <c r="H24" i="17"/>
  <c r="G32" i="15" s="1"/>
  <c r="H32" i="15" s="1"/>
  <c r="L24" i="17"/>
  <c r="K32" i="15" s="1"/>
  <c r="L32" i="15" s="1"/>
  <c r="O32" i="15"/>
  <c r="P32" i="15" s="1"/>
  <c r="T24" i="17"/>
  <c r="S32" i="15" s="1"/>
  <c r="T32" i="15" s="1"/>
  <c r="T35" i="15" s="1"/>
  <c r="W32" i="15"/>
  <c r="X32" i="15" s="1"/>
  <c r="X35" i="15" s="1"/>
  <c r="P8" i="17"/>
  <c r="O14" i="15" s="1"/>
  <c r="P14" i="15" s="1"/>
  <c r="S14" i="15"/>
  <c r="T14" i="15" s="1"/>
  <c r="X8" i="17"/>
  <c r="W14" i="15" s="1"/>
  <c r="X14" i="15" s="1"/>
  <c r="D25" i="17"/>
  <c r="C33" i="15" s="1"/>
  <c r="D33" i="15" s="1"/>
  <c r="H25" i="17"/>
  <c r="G33" i="15" s="1"/>
  <c r="H33" i="15" s="1"/>
  <c r="K33" i="15"/>
  <c r="L33" i="15" s="1"/>
  <c r="O33" i="15"/>
  <c r="P33" i="15" s="1"/>
  <c r="T9" i="17"/>
  <c r="S15" i="15" s="1"/>
  <c r="T15" i="15" s="1"/>
  <c r="X9" i="17"/>
  <c r="W15" i="15" s="1"/>
  <c r="X15" i="15" s="1"/>
  <c r="D26" i="17"/>
  <c r="C34" i="15" s="1"/>
  <c r="D34" i="15" s="1"/>
  <c r="G34" i="15"/>
  <c r="H34" i="15" s="1"/>
  <c r="K34" i="15"/>
  <c r="L34" i="15" s="1"/>
  <c r="O34" i="15"/>
  <c r="P34" i="15" s="1"/>
  <c r="D8" i="11"/>
  <c r="F8" i="11"/>
  <c r="C13" i="14"/>
  <c r="D13" i="14" s="1"/>
  <c r="H7" i="8"/>
  <c r="G13" i="14" s="1"/>
  <c r="H13" i="14" s="1"/>
  <c r="H16" i="14" s="1"/>
  <c r="H24" i="14" s="1"/>
  <c r="L7" i="8"/>
  <c r="K13" i="14" s="1"/>
  <c r="L13" i="14" s="1"/>
  <c r="L16" i="14" s="1"/>
  <c r="P7" i="8"/>
  <c r="O13" i="14" s="1"/>
  <c r="P13" i="14" s="1"/>
  <c r="P16" i="14" s="1"/>
  <c r="S13" i="14"/>
  <c r="T13" i="14" s="1"/>
  <c r="X7" i="8"/>
  <c r="W13" i="14" s="1"/>
  <c r="X13" i="14" s="1"/>
  <c r="D24" i="8"/>
  <c r="C32" i="14"/>
  <c r="D32" i="14" s="1"/>
  <c r="H24" i="8"/>
  <c r="G32" i="14" s="1"/>
  <c r="H32" i="14" s="1"/>
  <c r="L24" i="8"/>
  <c r="K32" i="14" s="1"/>
  <c r="L32" i="14" s="1"/>
  <c r="P24" i="8"/>
  <c r="O32" i="14" s="1"/>
  <c r="P32" i="14" s="1"/>
  <c r="S32" i="14"/>
  <c r="T32" i="14" s="1"/>
  <c r="W32" i="14"/>
  <c r="X32" i="14" s="1"/>
  <c r="W14" i="14"/>
  <c r="X14" i="14" s="1"/>
  <c r="D25" i="8"/>
  <c r="C33" i="14" s="1"/>
  <c r="D33" i="14" s="1"/>
  <c r="H25" i="8"/>
  <c r="G33" i="14" s="1"/>
  <c r="H33" i="14" s="1"/>
  <c r="L25" i="8"/>
  <c r="K33" i="14" s="1"/>
  <c r="L33" i="14" s="1"/>
  <c r="P25" i="8"/>
  <c r="O33" i="14" s="1"/>
  <c r="P33" i="14" s="1"/>
  <c r="T25" i="8"/>
  <c r="S33" i="14" s="1"/>
  <c r="T33" i="14" s="1"/>
  <c r="X25" i="8"/>
  <c r="W33" i="14" s="1"/>
  <c r="X33" i="14" s="1"/>
  <c r="AB25" i="8"/>
  <c r="AA33" i="14" s="1"/>
  <c r="AB33" i="14" s="1"/>
  <c r="AB35" i="14" s="1"/>
  <c r="S15" i="14"/>
  <c r="T15" i="14" s="1"/>
  <c r="X9" i="8"/>
  <c r="W15" i="14" s="1"/>
  <c r="X15" i="14" s="1"/>
  <c r="D26" i="8"/>
  <c r="C34" i="14" s="1"/>
  <c r="D34" i="14" s="1"/>
  <c r="F7" i="11"/>
  <c r="H7" i="9"/>
  <c r="G13" i="10" s="1"/>
  <c r="H13" i="10" s="1"/>
  <c r="L7" i="9"/>
  <c r="K13" i="10" s="1"/>
  <c r="L13" i="10" s="1"/>
  <c r="L16" i="10" s="1"/>
  <c r="P7" i="9"/>
  <c r="O13" i="10" s="1"/>
  <c r="P13" i="10" s="1"/>
  <c r="P16" i="10" s="1"/>
  <c r="T7" i="9"/>
  <c r="S13" i="10" s="1"/>
  <c r="T13" i="10" s="1"/>
  <c r="T16" i="10" s="1"/>
  <c r="X7" i="9"/>
  <c r="W13" i="10" s="1"/>
  <c r="X13" i="10" s="1"/>
  <c r="D24" i="9"/>
  <c r="C32" i="10" s="1"/>
  <c r="D32" i="10" s="1"/>
  <c r="H24" i="9"/>
  <c r="G32" i="10" s="1"/>
  <c r="H32" i="10" s="1"/>
  <c r="L24" i="9"/>
  <c r="K32" i="10" s="1"/>
  <c r="L32" i="10" s="1"/>
  <c r="P24" i="9"/>
  <c r="O32" i="10" s="1"/>
  <c r="P32" i="10" s="1"/>
  <c r="T24" i="9"/>
  <c r="S32" i="10" s="1"/>
  <c r="T32" i="10" s="1"/>
  <c r="X24" i="9"/>
  <c r="W32" i="10" s="1"/>
  <c r="X32" i="10" s="1"/>
  <c r="AA32" i="10"/>
  <c r="AB32" i="10" s="1"/>
  <c r="X8" i="9"/>
  <c r="W14" i="10" s="1"/>
  <c r="X14" i="10" s="1"/>
  <c r="D25" i="9"/>
  <c r="C33" i="10" s="1"/>
  <c r="D33" i="10" s="1"/>
  <c r="H25" i="9"/>
  <c r="G33" i="10" s="1"/>
  <c r="H33" i="10" s="1"/>
  <c r="L25" i="9"/>
  <c r="K33" i="10" s="1"/>
  <c r="L33" i="10" s="1"/>
  <c r="P25" i="9"/>
  <c r="O33" i="10" s="1"/>
  <c r="P33" i="10" s="1"/>
  <c r="T25" i="9"/>
  <c r="S33" i="10" s="1"/>
  <c r="T33" i="10" s="1"/>
  <c r="X25" i="9"/>
  <c r="W33" i="10" s="1"/>
  <c r="X33" i="10" s="1"/>
  <c r="AB25" i="9"/>
  <c r="AA33" i="10" s="1"/>
  <c r="AB33" i="10" s="1"/>
  <c r="X9" i="9"/>
  <c r="W15" i="10" s="1"/>
  <c r="X15" i="10" s="1"/>
  <c r="X16" i="10" s="1"/>
  <c r="X24" i="10" s="1"/>
  <c r="D26" i="9"/>
  <c r="C34" i="10" s="1"/>
  <c r="D34" i="10" s="1"/>
  <c r="H26" i="9"/>
  <c r="G34" i="10" s="1"/>
  <c r="H34" i="10" s="1"/>
  <c r="L26" i="9"/>
  <c r="K34" i="10" s="1"/>
  <c r="L34" i="10" s="1"/>
  <c r="P26" i="9"/>
  <c r="O34" i="10" s="1"/>
  <c r="P34" i="10" s="1"/>
  <c r="D20" i="12"/>
  <c r="B52" i="14"/>
  <c r="B53" i="14"/>
  <c r="B54" i="14"/>
  <c r="D11" i="12" s="1"/>
  <c r="B56" i="14"/>
  <c r="D13" i="12" s="1"/>
  <c r="B57" i="14"/>
  <c r="D14" i="12" s="1"/>
  <c r="B58" i="14"/>
  <c r="D15" i="12" s="1"/>
  <c r="B59" i="14"/>
  <c r="D16" i="12" s="1"/>
  <c r="B60" i="14"/>
  <c r="D17" i="12" s="1"/>
  <c r="B52" i="15"/>
  <c r="B53" i="15"/>
  <c r="F10" i="12" s="1"/>
  <c r="B54" i="15"/>
  <c r="F11" i="12" s="1"/>
  <c r="B56" i="15"/>
  <c r="B57" i="15"/>
  <c r="F14" i="12" s="1"/>
  <c r="B58" i="15"/>
  <c r="F15" i="12" s="1"/>
  <c r="B59" i="15"/>
  <c r="F16" i="12" s="1"/>
  <c r="B60" i="15"/>
  <c r="F17" i="12" s="1"/>
  <c r="B52" i="19"/>
  <c r="H9" i="12" s="1"/>
  <c r="B53" i="19"/>
  <c r="B54" i="19"/>
  <c r="H11" i="12" s="1"/>
  <c r="B56" i="19"/>
  <c r="B57" i="19"/>
  <c r="H14" i="12" s="1"/>
  <c r="B58" i="19"/>
  <c r="H15" i="12" s="1"/>
  <c r="B59" i="19"/>
  <c r="H16" i="12" s="1"/>
  <c r="B60" i="19"/>
  <c r="H17" i="12" s="1"/>
  <c r="B52" i="21"/>
  <c r="J9" i="12" s="1"/>
  <c r="B53" i="21"/>
  <c r="B54" i="21"/>
  <c r="J11" i="12" s="1"/>
  <c r="B56" i="21"/>
  <c r="J13" i="12" s="1"/>
  <c r="B57" i="21"/>
  <c r="J14" i="12" s="1"/>
  <c r="B58" i="21"/>
  <c r="J15" i="12" s="1"/>
  <c r="B59" i="21"/>
  <c r="J16" i="12" s="1"/>
  <c r="B60" i="21"/>
  <c r="J17" i="12" s="1"/>
  <c r="B52" i="23"/>
  <c r="L9" i="12" s="1"/>
  <c r="B53" i="23"/>
  <c r="L10" i="12" s="1"/>
  <c r="B54" i="23"/>
  <c r="L11" i="12" s="1"/>
  <c r="B56" i="23"/>
  <c r="L13" i="12" s="1"/>
  <c r="B57" i="23"/>
  <c r="L14" i="12" s="1"/>
  <c r="B58" i="23"/>
  <c r="L15" i="12" s="1"/>
  <c r="B59" i="23"/>
  <c r="L16" i="12" s="1"/>
  <c r="B60" i="23"/>
  <c r="L17" i="12" s="1"/>
  <c r="B52" i="10"/>
  <c r="B9" i="12" s="1"/>
  <c r="B53" i="10"/>
  <c r="B10" i="12" s="1"/>
  <c r="B54" i="10"/>
  <c r="B11" i="12" s="1"/>
  <c r="B56" i="10"/>
  <c r="B13" i="12" s="1"/>
  <c r="B57" i="10"/>
  <c r="B14" i="12" s="1"/>
  <c r="B58" i="10"/>
  <c r="B15" i="12" s="1"/>
  <c r="B59" i="10"/>
  <c r="B16" i="12" s="1"/>
  <c r="B60" i="10"/>
  <c r="B17" i="12" s="1"/>
  <c r="L8" i="11"/>
  <c r="L9" i="11"/>
  <c r="L10" i="11"/>
  <c r="L11" i="11"/>
  <c r="L12" i="11"/>
  <c r="L7" i="11"/>
  <c r="P16" i="9"/>
  <c r="C19" i="24"/>
  <c r="C20" i="24"/>
  <c r="C21" i="24"/>
  <c r="C22" i="24"/>
  <c r="C23" i="24"/>
  <c r="C18" i="24"/>
  <c r="N16" i="23"/>
  <c r="N22" i="23"/>
  <c r="J16" i="23"/>
  <c r="J22" i="23"/>
  <c r="F16" i="23"/>
  <c r="F22" i="23"/>
  <c r="B16" i="23"/>
  <c r="B22" i="23"/>
  <c r="Z41" i="21"/>
  <c r="V41" i="21"/>
  <c r="R41" i="21"/>
  <c r="N41" i="21"/>
  <c r="J41" i="21"/>
  <c r="Z35" i="21"/>
  <c r="V35" i="21"/>
  <c r="V43" i="21" s="1"/>
  <c r="R35" i="21"/>
  <c r="N35" i="21"/>
  <c r="J35" i="21"/>
  <c r="F35" i="21"/>
  <c r="V16" i="21"/>
  <c r="V22" i="21"/>
  <c r="R16" i="21"/>
  <c r="R22" i="21"/>
  <c r="N16" i="21"/>
  <c r="N22" i="21"/>
  <c r="J16" i="21"/>
  <c r="J24" i="21" s="1"/>
  <c r="J22" i="21"/>
  <c r="F16" i="21"/>
  <c r="F22" i="21"/>
  <c r="B16" i="21"/>
  <c r="B22" i="21"/>
  <c r="Z35" i="19"/>
  <c r="Z41" i="19"/>
  <c r="V35" i="19"/>
  <c r="V41" i="19"/>
  <c r="R35" i="19"/>
  <c r="R41" i="19"/>
  <c r="N35" i="19"/>
  <c r="N41" i="19"/>
  <c r="J35" i="19"/>
  <c r="J41" i="19"/>
  <c r="F35" i="19"/>
  <c r="F41" i="19"/>
  <c r="V16" i="19"/>
  <c r="V24" i="19" s="1"/>
  <c r="R16" i="19"/>
  <c r="R24" i="19" s="1"/>
  <c r="N16" i="19"/>
  <c r="N22" i="19"/>
  <c r="J16" i="19"/>
  <c r="J22" i="19"/>
  <c r="F16" i="19"/>
  <c r="F22" i="19"/>
  <c r="B16" i="19"/>
  <c r="B22" i="19"/>
  <c r="Z41" i="15"/>
  <c r="V41" i="15"/>
  <c r="R41" i="15"/>
  <c r="N41" i="15"/>
  <c r="J41" i="15"/>
  <c r="F41" i="15"/>
  <c r="B41" i="15"/>
  <c r="V35" i="15"/>
  <c r="R35" i="15"/>
  <c r="N35" i="15"/>
  <c r="J35" i="15"/>
  <c r="F35" i="15"/>
  <c r="B35" i="15"/>
  <c r="V16" i="15"/>
  <c r="V24" i="15" s="1"/>
  <c r="R16" i="15"/>
  <c r="R24" i="15" s="1"/>
  <c r="N16" i="15"/>
  <c r="N22" i="15"/>
  <c r="J16" i="15"/>
  <c r="J22" i="15"/>
  <c r="F16" i="15"/>
  <c r="F22" i="15"/>
  <c r="B16" i="15"/>
  <c r="B22" i="15"/>
  <c r="Z35" i="14"/>
  <c r="Z41" i="14"/>
  <c r="V35" i="14"/>
  <c r="V41" i="14"/>
  <c r="R35" i="14"/>
  <c r="R41" i="14"/>
  <c r="N35" i="14"/>
  <c r="N41" i="14"/>
  <c r="J35" i="14"/>
  <c r="J41" i="14"/>
  <c r="F35" i="14"/>
  <c r="F41" i="14"/>
  <c r="V22" i="14"/>
  <c r="R22" i="14"/>
  <c r="F16" i="14"/>
  <c r="F22" i="14"/>
  <c r="V16" i="14"/>
  <c r="R16" i="14"/>
  <c r="N16" i="14"/>
  <c r="N22" i="14"/>
  <c r="N24" i="14" s="1"/>
  <c r="J16" i="14"/>
  <c r="J22" i="14"/>
  <c r="B16" i="14"/>
  <c r="B22" i="14"/>
  <c r="AD41" i="10"/>
  <c r="Z41" i="10"/>
  <c r="V41" i="10"/>
  <c r="R41" i="10"/>
  <c r="N41" i="10"/>
  <c r="J41" i="10"/>
  <c r="F41" i="10"/>
  <c r="AD35" i="10"/>
  <c r="Z35" i="10"/>
  <c r="V35" i="10"/>
  <c r="R35" i="10"/>
  <c r="N35" i="10"/>
  <c r="J35" i="10"/>
  <c r="F35" i="10"/>
  <c r="F43" i="10" s="1"/>
  <c r="V16" i="10"/>
  <c r="V24" i="10" s="1"/>
  <c r="R16" i="10"/>
  <c r="R24" i="10" s="1"/>
  <c r="N16" i="10"/>
  <c r="N22" i="10"/>
  <c r="L22" i="10"/>
  <c r="J16" i="10"/>
  <c r="J22" i="10"/>
  <c r="H22" i="10"/>
  <c r="F16" i="10"/>
  <c r="F22" i="10"/>
  <c r="B16" i="10"/>
  <c r="B22" i="10"/>
  <c r="B35" i="10"/>
  <c r="D45" i="20"/>
  <c r="F41" i="21"/>
  <c r="B41" i="21"/>
  <c r="B35" i="21"/>
  <c r="F27" i="9"/>
  <c r="G27" i="9"/>
  <c r="B27" i="9"/>
  <c r="C27" i="9"/>
  <c r="Z35" i="15"/>
  <c r="Z43" i="15" s="1"/>
  <c r="X32" i="17"/>
  <c r="T32" i="17"/>
  <c r="X28" i="17"/>
  <c r="C41" i="22"/>
  <c r="D39" i="22"/>
  <c r="AD27" i="22"/>
  <c r="Z27" i="22"/>
  <c r="W27" i="22"/>
  <c r="V27" i="22"/>
  <c r="S27" i="22"/>
  <c r="T27" i="22" s="1"/>
  <c r="R27" i="22"/>
  <c r="O27" i="22"/>
  <c r="N27" i="22"/>
  <c r="K27" i="22"/>
  <c r="J27" i="22"/>
  <c r="G27" i="22"/>
  <c r="F27" i="22"/>
  <c r="C27" i="22"/>
  <c r="B27" i="22"/>
  <c r="W10" i="22"/>
  <c r="V10" i="22"/>
  <c r="S10" i="22"/>
  <c r="R10" i="22"/>
  <c r="O10" i="22"/>
  <c r="N10" i="22"/>
  <c r="K10" i="22"/>
  <c r="J10" i="22"/>
  <c r="F10" i="22"/>
  <c r="B10" i="22"/>
  <c r="B41" i="20"/>
  <c r="AD27" i="20"/>
  <c r="AA27" i="20"/>
  <c r="Z27" i="20"/>
  <c r="W27" i="20"/>
  <c r="V27" i="20"/>
  <c r="S27" i="20"/>
  <c r="R27" i="20"/>
  <c r="O27" i="20"/>
  <c r="N27" i="20"/>
  <c r="K27" i="20"/>
  <c r="J27" i="20"/>
  <c r="G27" i="20"/>
  <c r="F27" i="20"/>
  <c r="C27" i="20"/>
  <c r="B27" i="20"/>
  <c r="W10" i="20"/>
  <c r="V10" i="20"/>
  <c r="S10" i="20"/>
  <c r="R10" i="20"/>
  <c r="O10" i="20"/>
  <c r="N10" i="20"/>
  <c r="K10" i="20"/>
  <c r="J10" i="20"/>
  <c r="G10" i="20"/>
  <c r="F10" i="20"/>
  <c r="B10" i="20"/>
  <c r="D42" i="18"/>
  <c r="AD27" i="18"/>
  <c r="Z27" i="18"/>
  <c r="V27" i="18"/>
  <c r="R27" i="18"/>
  <c r="O27" i="18"/>
  <c r="N27" i="18"/>
  <c r="K27" i="18"/>
  <c r="J27" i="18"/>
  <c r="G27" i="18"/>
  <c r="F27" i="18"/>
  <c r="C27" i="18"/>
  <c r="B27" i="18"/>
  <c r="W10" i="18"/>
  <c r="V10" i="18"/>
  <c r="S10" i="18"/>
  <c r="R10" i="18"/>
  <c r="O10" i="18"/>
  <c r="N10" i="18"/>
  <c r="K10" i="18"/>
  <c r="J10" i="18"/>
  <c r="G10" i="18"/>
  <c r="F10" i="18"/>
  <c r="B10" i="18"/>
  <c r="Z35" i="23"/>
  <c r="Z43" i="23" s="1"/>
  <c r="Z41" i="23"/>
  <c r="V35" i="23"/>
  <c r="V41" i="23"/>
  <c r="R35" i="23"/>
  <c r="R41" i="23"/>
  <c r="N35" i="23"/>
  <c r="N43" i="23" s="1"/>
  <c r="N41" i="23"/>
  <c r="J35" i="23"/>
  <c r="J41" i="23"/>
  <c r="F35" i="23"/>
  <c r="F41" i="23"/>
  <c r="B35" i="23"/>
  <c r="B41" i="23"/>
  <c r="V16" i="23"/>
  <c r="R16" i="23"/>
  <c r="B35" i="19"/>
  <c r="B41" i="19"/>
  <c r="AD27" i="17"/>
  <c r="Z27" i="17"/>
  <c r="V27" i="17"/>
  <c r="S27" i="17"/>
  <c r="R27" i="17"/>
  <c r="O27" i="17"/>
  <c r="N27" i="17"/>
  <c r="K27" i="17"/>
  <c r="J27" i="17"/>
  <c r="G27" i="17"/>
  <c r="F27" i="17"/>
  <c r="C27" i="17"/>
  <c r="B27" i="17"/>
  <c r="W10" i="17"/>
  <c r="V10" i="17"/>
  <c r="S10" i="17"/>
  <c r="R10" i="17"/>
  <c r="O10" i="17"/>
  <c r="N10" i="17"/>
  <c r="K10" i="17"/>
  <c r="J10" i="17"/>
  <c r="F10" i="17"/>
  <c r="B10" i="17"/>
  <c r="D43" i="8"/>
  <c r="D44" i="8"/>
  <c r="B41" i="14"/>
  <c r="B35" i="14"/>
  <c r="B43" i="14"/>
  <c r="AA27" i="9"/>
  <c r="AA27" i="8"/>
  <c r="W27" i="9"/>
  <c r="X27" i="9" s="1"/>
  <c r="W27" i="8"/>
  <c r="S27" i="9"/>
  <c r="S27" i="8"/>
  <c r="O27" i="9"/>
  <c r="O27" i="8"/>
  <c r="K27" i="9"/>
  <c r="K27" i="8"/>
  <c r="G27" i="8"/>
  <c r="Z27" i="9"/>
  <c r="Z27" i="8"/>
  <c r="V27" i="9"/>
  <c r="V27" i="8"/>
  <c r="R27" i="9"/>
  <c r="R27" i="8"/>
  <c r="N27" i="9"/>
  <c r="N27" i="8"/>
  <c r="P27" i="8" s="1"/>
  <c r="J27" i="9"/>
  <c r="J27" i="8"/>
  <c r="F27" i="8"/>
  <c r="B27" i="8"/>
  <c r="C41" i="9"/>
  <c r="C27" i="8"/>
  <c r="W10" i="8"/>
  <c r="V10" i="8"/>
  <c r="R10" i="8"/>
  <c r="O10" i="8"/>
  <c r="N10" i="8"/>
  <c r="K10" i="8"/>
  <c r="J10" i="8"/>
  <c r="G10" i="8"/>
  <c r="F10" i="8"/>
  <c r="B10" i="8"/>
  <c r="B41" i="10"/>
  <c r="W10" i="9"/>
  <c r="V10" i="9"/>
  <c r="S10" i="9"/>
  <c r="R10" i="9"/>
  <c r="O10" i="9"/>
  <c r="N10" i="9"/>
  <c r="K10" i="9"/>
  <c r="J10" i="9"/>
  <c r="G10" i="9"/>
  <c r="F10" i="9"/>
  <c r="B10" i="9"/>
  <c r="B105" i="5"/>
  <c r="B104" i="5"/>
  <c r="B103" i="5"/>
  <c r="B102" i="5"/>
  <c r="B101" i="5"/>
  <c r="C34" i="5"/>
  <c r="C35" i="5"/>
  <c r="D35" i="5" s="1"/>
  <c r="C36" i="5"/>
  <c r="D36" i="5" s="1"/>
  <c r="G34" i="5"/>
  <c r="G35" i="5"/>
  <c r="H35" i="5" s="1"/>
  <c r="G36" i="5"/>
  <c r="H36" i="5" s="1"/>
  <c r="K34" i="5"/>
  <c r="K35" i="5"/>
  <c r="L35" i="5" s="1"/>
  <c r="K36" i="5"/>
  <c r="L36" i="5" s="1"/>
  <c r="O34" i="5"/>
  <c r="P34" i="5" s="1"/>
  <c r="O35" i="5"/>
  <c r="P35" i="5" s="1"/>
  <c r="O36" i="5"/>
  <c r="P36" i="5" s="1"/>
  <c r="O38" i="5"/>
  <c r="P38" i="5" s="1"/>
  <c r="S34" i="5"/>
  <c r="S39" i="5" s="1"/>
  <c r="S35" i="5"/>
  <c r="T35" i="5" s="1"/>
  <c r="S36" i="5"/>
  <c r="T36" i="5" s="1"/>
  <c r="S37" i="5"/>
  <c r="T37" i="5" s="1"/>
  <c r="S38" i="5"/>
  <c r="T38" i="5" s="1"/>
  <c r="W35" i="5"/>
  <c r="X35" i="5" s="1"/>
  <c r="W36" i="5"/>
  <c r="X36" i="5" s="1"/>
  <c r="W34" i="5"/>
  <c r="W39" i="5" s="1"/>
  <c r="W38" i="5"/>
  <c r="X38" i="5" s="1"/>
  <c r="AA35" i="5"/>
  <c r="AA39" i="5" s="1"/>
  <c r="AA36" i="5"/>
  <c r="AB36" i="5" s="1"/>
  <c r="AA37" i="5"/>
  <c r="AB37" i="5" s="1"/>
  <c r="AA38" i="5"/>
  <c r="AB38" i="5" s="1"/>
  <c r="C30" i="5"/>
  <c r="G30" i="5"/>
  <c r="K30" i="5"/>
  <c r="O30" i="5"/>
  <c r="C53" i="5"/>
  <c r="C58" i="5" s="1"/>
  <c r="C54" i="5"/>
  <c r="D54" i="5" s="1"/>
  <c r="C55" i="5"/>
  <c r="D55" i="5" s="1"/>
  <c r="C57" i="5"/>
  <c r="D57" i="5" s="1"/>
  <c r="C56" i="5"/>
  <c r="D56" i="5" s="1"/>
  <c r="G53" i="5"/>
  <c r="G58" i="5" s="1"/>
  <c r="G54" i="5"/>
  <c r="H54" i="5" s="1"/>
  <c r="G55" i="5"/>
  <c r="H55" i="5" s="1"/>
  <c r="G57" i="5"/>
  <c r="H57" i="5" s="1"/>
  <c r="K53" i="5"/>
  <c r="K58" i="5" s="1"/>
  <c r="K54" i="5"/>
  <c r="L54" i="5" s="1"/>
  <c r="K55" i="5"/>
  <c r="L55" i="5" s="1"/>
  <c r="K57" i="5"/>
  <c r="L57" i="5" s="1"/>
  <c r="O53" i="5"/>
  <c r="P53" i="5" s="1"/>
  <c r="O54" i="5"/>
  <c r="P54" i="5" s="1"/>
  <c r="O55" i="5"/>
  <c r="P55" i="5" s="1"/>
  <c r="O57" i="5"/>
  <c r="P57" i="5" s="1"/>
  <c r="O56" i="5"/>
  <c r="P56" i="5" s="1"/>
  <c r="S53" i="5"/>
  <c r="S54" i="5"/>
  <c r="T54" i="5" s="1"/>
  <c r="S55" i="5"/>
  <c r="T55" i="5" s="1"/>
  <c r="S56" i="5"/>
  <c r="T56" i="5" s="1"/>
  <c r="S57" i="5"/>
  <c r="W54" i="5"/>
  <c r="X54" i="5" s="1"/>
  <c r="W55" i="5"/>
  <c r="X55" i="5" s="1"/>
  <c r="W53" i="5"/>
  <c r="W58" i="5" s="1"/>
  <c r="W56" i="5"/>
  <c r="X56" i="5" s="1"/>
  <c r="W57" i="5"/>
  <c r="X57" i="5" s="1"/>
  <c r="AA53" i="5"/>
  <c r="AA58" i="5" s="1"/>
  <c r="AA54" i="5"/>
  <c r="AB54" i="5" s="1"/>
  <c r="AA55" i="5"/>
  <c r="AB55" i="5" s="1"/>
  <c r="AA57" i="5"/>
  <c r="AB57" i="5" s="1"/>
  <c r="C49" i="5"/>
  <c r="G49" i="5"/>
  <c r="K49" i="5"/>
  <c r="O49" i="5"/>
  <c r="C72" i="5"/>
  <c r="C77" i="5" s="1"/>
  <c r="C73" i="5"/>
  <c r="D73" i="5" s="1"/>
  <c r="C74" i="5"/>
  <c r="D74" i="5" s="1"/>
  <c r="C76" i="5"/>
  <c r="D76" i="5" s="1"/>
  <c r="C75" i="5"/>
  <c r="D75" i="5" s="1"/>
  <c r="G72" i="5"/>
  <c r="G77" i="5" s="1"/>
  <c r="G73" i="5"/>
  <c r="H73" i="5" s="1"/>
  <c r="G74" i="5"/>
  <c r="H74" i="5" s="1"/>
  <c r="G75" i="5"/>
  <c r="H75" i="5" s="1"/>
  <c r="G76" i="5"/>
  <c r="H76" i="5" s="1"/>
  <c r="K72" i="5"/>
  <c r="L72" i="5" s="1"/>
  <c r="K73" i="5"/>
  <c r="L73" i="5" s="1"/>
  <c r="K74" i="5"/>
  <c r="L74" i="5" s="1"/>
  <c r="K75" i="5"/>
  <c r="L75" i="5" s="1"/>
  <c r="K76" i="5"/>
  <c r="L76" i="5" s="1"/>
  <c r="O72" i="5"/>
  <c r="O73" i="5"/>
  <c r="P73" i="5" s="1"/>
  <c r="O74" i="5"/>
  <c r="P74" i="5" s="1"/>
  <c r="O75" i="5"/>
  <c r="O76" i="5"/>
  <c r="P76" i="5" s="1"/>
  <c r="S73" i="5"/>
  <c r="T73" i="5" s="1"/>
  <c r="S74" i="5"/>
  <c r="T74" i="5" s="1"/>
  <c r="S72" i="5"/>
  <c r="S76" i="5"/>
  <c r="T76" i="5" s="1"/>
  <c r="W73" i="5"/>
  <c r="X73" i="5" s="1"/>
  <c r="W74" i="5"/>
  <c r="X74" i="5" s="1"/>
  <c r="W72" i="5"/>
  <c r="X72" i="5" s="1"/>
  <c r="W76" i="5"/>
  <c r="X76" i="5" s="1"/>
  <c r="AA73" i="5"/>
  <c r="AB73" i="5" s="1"/>
  <c r="AA74" i="5"/>
  <c r="AB74" i="5" s="1"/>
  <c r="AA72" i="5"/>
  <c r="AA77" i="5" s="1"/>
  <c r="AA75" i="5"/>
  <c r="AB75" i="5" s="1"/>
  <c r="AA76" i="5"/>
  <c r="AB76" i="5" s="1"/>
  <c r="C68" i="5"/>
  <c r="G68" i="5"/>
  <c r="K68" i="5"/>
  <c r="O68" i="5"/>
  <c r="G91" i="5"/>
  <c r="G96" i="5" s="1"/>
  <c r="G92" i="5"/>
  <c r="H92" i="5" s="1"/>
  <c r="G93" i="5"/>
  <c r="H93" i="5" s="1"/>
  <c r="G94" i="5"/>
  <c r="H94" i="5" s="1"/>
  <c r="G95" i="5"/>
  <c r="H95" i="5" s="1"/>
  <c r="K91" i="5"/>
  <c r="L91" i="5" s="1"/>
  <c r="K92" i="5"/>
  <c r="L92" i="5" s="1"/>
  <c r="K93" i="5"/>
  <c r="L93" i="5" s="1"/>
  <c r="K95" i="5"/>
  <c r="L95" i="5" s="1"/>
  <c r="O91" i="5"/>
  <c r="P91" i="5" s="1"/>
  <c r="O92" i="5"/>
  <c r="P92" i="5" s="1"/>
  <c r="O93" i="5"/>
  <c r="P93" i="5" s="1"/>
  <c r="O94" i="5"/>
  <c r="P94" i="5" s="1"/>
  <c r="O95" i="5"/>
  <c r="P95" i="5" s="1"/>
  <c r="S91" i="5"/>
  <c r="S92" i="5"/>
  <c r="T92" i="5" s="1"/>
  <c r="S93" i="5"/>
  <c r="T93" i="5" s="1"/>
  <c r="S94" i="5"/>
  <c r="S95" i="5"/>
  <c r="T95" i="5" s="1"/>
  <c r="W91" i="5"/>
  <c r="X91" i="5" s="1"/>
  <c r="W92" i="5"/>
  <c r="X92" i="5" s="1"/>
  <c r="W93" i="5"/>
  <c r="X93" i="5" s="1"/>
  <c r="W94" i="5"/>
  <c r="X94" i="5" s="1"/>
  <c r="W95" i="5"/>
  <c r="X95" i="5" s="1"/>
  <c r="AA92" i="5"/>
  <c r="AB92" i="5" s="1"/>
  <c r="AA93" i="5"/>
  <c r="AB93" i="5" s="1"/>
  <c r="AA91" i="5"/>
  <c r="AB91" i="5" s="1"/>
  <c r="AA94" i="5"/>
  <c r="AB94" i="5" s="1"/>
  <c r="AA95" i="5"/>
  <c r="AB95" i="5" s="1"/>
  <c r="C87" i="5"/>
  <c r="G87" i="5"/>
  <c r="K87" i="5"/>
  <c r="O87" i="5"/>
  <c r="C96" i="5"/>
  <c r="G15" i="5"/>
  <c r="G20" i="5" s="1"/>
  <c r="G16" i="5"/>
  <c r="H16" i="5" s="1"/>
  <c r="K15" i="5"/>
  <c r="L15" i="5" s="1"/>
  <c r="K16" i="5"/>
  <c r="L16" i="5" s="1"/>
  <c r="O15" i="5"/>
  <c r="O16" i="5"/>
  <c r="P16" i="5" s="1"/>
  <c r="S15" i="5"/>
  <c r="S20" i="5" s="1"/>
  <c r="S16" i="5"/>
  <c r="T16" i="5" s="1"/>
  <c r="S17" i="5"/>
  <c r="T17" i="5" s="1"/>
  <c r="S19" i="5"/>
  <c r="T19" i="5" s="1"/>
  <c r="W15" i="5"/>
  <c r="W20" i="5" s="1"/>
  <c r="W16" i="5"/>
  <c r="X16" i="5" s="1"/>
  <c r="W17" i="5"/>
  <c r="X17" i="5" s="1"/>
  <c r="W19" i="5"/>
  <c r="X19" i="5" s="1"/>
  <c r="AA16" i="5"/>
  <c r="AB16" i="5" s="1"/>
  <c r="AA15" i="5"/>
  <c r="AA17" i="5"/>
  <c r="AB17" i="5" s="1"/>
  <c r="AE15" i="5"/>
  <c r="AE16" i="5"/>
  <c r="AF16" i="5" s="1"/>
  <c r="AE17" i="5"/>
  <c r="AF17" i="5" s="1"/>
  <c r="C11" i="5"/>
  <c r="C20" i="5"/>
  <c r="G11" i="5"/>
  <c r="K11" i="5"/>
  <c r="O11" i="5"/>
  <c r="AD20" i="5"/>
  <c r="Z20" i="5"/>
  <c r="V20" i="5"/>
  <c r="R20" i="5"/>
  <c r="N20" i="5"/>
  <c r="N11" i="5"/>
  <c r="J20" i="5"/>
  <c r="F20" i="5"/>
  <c r="B11" i="5"/>
  <c r="Z39" i="5"/>
  <c r="V39" i="5"/>
  <c r="R39" i="5"/>
  <c r="N39" i="5"/>
  <c r="J39" i="5"/>
  <c r="J30" i="5"/>
  <c r="L30" i="5" s="1"/>
  <c r="B30" i="5"/>
  <c r="F39" i="5"/>
  <c r="B39" i="5"/>
  <c r="Z58" i="5"/>
  <c r="V58" i="5"/>
  <c r="R58" i="5"/>
  <c r="B49" i="5"/>
  <c r="F49" i="5"/>
  <c r="J49" i="5"/>
  <c r="N49" i="5"/>
  <c r="N58" i="5"/>
  <c r="J58" i="5"/>
  <c r="F58" i="5"/>
  <c r="B58" i="5"/>
  <c r="B68" i="5"/>
  <c r="F68" i="5"/>
  <c r="J68" i="5"/>
  <c r="N68" i="5"/>
  <c r="Z77" i="5"/>
  <c r="V77" i="5"/>
  <c r="R77" i="5"/>
  <c r="N77" i="5"/>
  <c r="J77" i="5"/>
  <c r="F77" i="5"/>
  <c r="B77" i="5"/>
  <c r="N87" i="5"/>
  <c r="J87" i="5"/>
  <c r="F87" i="5"/>
  <c r="B87" i="5"/>
  <c r="F96" i="5"/>
  <c r="J96" i="5"/>
  <c r="N96" i="5"/>
  <c r="R96" i="5"/>
  <c r="V96" i="5"/>
  <c r="Z96" i="5"/>
  <c r="B96" i="5"/>
  <c r="N30" i="5"/>
  <c r="F30" i="5"/>
  <c r="B20" i="5"/>
  <c r="J11" i="5"/>
  <c r="F11" i="5"/>
  <c r="AY7" i="6"/>
  <c r="AZ7" i="6" s="1"/>
  <c r="AZ6" i="6"/>
  <c r="AY14" i="6"/>
  <c r="AZ14" i="6" s="1"/>
  <c r="AY34" i="6"/>
  <c r="AZ34" i="6" s="1"/>
  <c r="AU7" i="6"/>
  <c r="AV7" i="6" s="1"/>
  <c r="AU6" i="6"/>
  <c r="AV6" i="6" s="1"/>
  <c r="AU14" i="6"/>
  <c r="AV14" i="6" s="1"/>
  <c r="AV13" i="6"/>
  <c r="AV20" i="6"/>
  <c r="AU34" i="6"/>
  <c r="AV34" i="6" s="1"/>
  <c r="AQ34" i="6"/>
  <c r="AR34" i="6" s="1"/>
  <c r="AQ7" i="6"/>
  <c r="AR7" i="6" s="1"/>
  <c r="AQ6" i="6"/>
  <c r="AR6" i="6" s="1"/>
  <c r="AQ14" i="6"/>
  <c r="AR14" i="6" s="1"/>
  <c r="AR13" i="6"/>
  <c r="AQ20" i="6"/>
  <c r="AR20" i="6" s="1"/>
  <c r="AR29" i="6"/>
  <c r="AR28" i="6"/>
  <c r="AR27" i="6"/>
  <c r="AR36" i="6"/>
  <c r="AR35" i="6"/>
  <c r="AM8" i="6"/>
  <c r="AN8" i="6" s="1"/>
  <c r="AM7" i="6"/>
  <c r="AN7" i="6" s="1"/>
  <c r="AM6" i="6"/>
  <c r="AN6" i="6" s="1"/>
  <c r="AM14" i="6"/>
  <c r="AN14" i="6" s="1"/>
  <c r="AM13" i="6"/>
  <c r="AN13" i="6" s="1"/>
  <c r="AN22" i="6"/>
  <c r="AN21" i="6"/>
  <c r="AN20" i="6"/>
  <c r="AN29" i="6"/>
  <c r="AM28" i="6"/>
  <c r="AN28" i="6" s="1"/>
  <c r="AM27" i="6"/>
  <c r="AN27" i="6" s="1"/>
  <c r="AN36" i="6"/>
  <c r="AN34" i="6"/>
  <c r="AI8" i="6"/>
  <c r="AJ8" i="6" s="1"/>
  <c r="AI7" i="6"/>
  <c r="AJ7" i="6" s="1"/>
  <c r="AI6" i="6"/>
  <c r="AJ6" i="6" s="1"/>
  <c r="AI14" i="6"/>
  <c r="AJ14" i="6" s="1"/>
  <c r="AI13" i="6"/>
  <c r="AJ13" i="6" s="1"/>
  <c r="AJ22" i="6"/>
  <c r="AJ21" i="6"/>
  <c r="AI20" i="6"/>
  <c r="AJ20" i="6" s="1"/>
  <c r="AJ29" i="6"/>
  <c r="AI28" i="6"/>
  <c r="AJ28" i="6" s="1"/>
  <c r="AI27" i="6"/>
  <c r="AJ27" i="6" s="1"/>
  <c r="AI36" i="6"/>
  <c r="AJ36" i="6" s="1"/>
  <c r="AI35" i="6"/>
  <c r="AJ35" i="6" s="1"/>
  <c r="AI34" i="6"/>
  <c r="AJ34" i="6" s="1"/>
  <c r="AE8" i="6"/>
  <c r="AF8" i="6" s="1"/>
  <c r="AE7" i="6"/>
  <c r="AF7" i="6" s="1"/>
  <c r="AE6" i="6"/>
  <c r="AF6" i="6" s="1"/>
  <c r="AE14" i="6"/>
  <c r="AF14" i="6" s="1"/>
  <c r="AE13" i="6"/>
  <c r="AF13" i="6" s="1"/>
  <c r="AF22" i="6"/>
  <c r="AE21" i="6"/>
  <c r="AF21" i="6" s="1"/>
  <c r="AE20" i="6"/>
  <c r="AF20" i="6" s="1"/>
  <c r="AE29" i="6"/>
  <c r="AF29" i="6" s="1"/>
  <c r="AE28" i="6"/>
  <c r="AF28" i="6" s="1"/>
  <c r="AE27" i="6"/>
  <c r="AF27" i="6" s="1"/>
  <c r="AE36" i="6"/>
  <c r="AF36" i="6" s="1"/>
  <c r="AE35" i="6"/>
  <c r="AF35" i="6" s="1"/>
  <c r="AE34" i="6"/>
  <c r="AF34" i="6" s="1"/>
  <c r="AA8" i="6"/>
  <c r="AB8" i="6" s="1"/>
  <c r="AA7" i="6"/>
  <c r="AB7" i="6" s="1"/>
  <c r="AA6" i="6"/>
  <c r="AB6" i="6" s="1"/>
  <c r="AA15" i="6"/>
  <c r="AB15" i="6" s="1"/>
  <c r="AA14" i="6"/>
  <c r="AB14" i="6" s="1"/>
  <c r="AA13" i="6"/>
  <c r="AB13" i="6" s="1"/>
  <c r="AA22" i="6"/>
  <c r="AB22" i="6" s="1"/>
  <c r="AA21" i="6"/>
  <c r="AB21" i="6" s="1"/>
  <c r="AA20" i="6"/>
  <c r="AB20" i="6" s="1"/>
  <c r="AA29" i="6"/>
  <c r="AB29" i="6" s="1"/>
  <c r="AA28" i="6"/>
  <c r="AB28" i="6" s="1"/>
  <c r="AA27" i="6"/>
  <c r="AB27" i="6" s="1"/>
  <c r="AA36" i="6"/>
  <c r="AB36" i="6" s="1"/>
  <c r="AA35" i="6"/>
  <c r="AB35" i="6" s="1"/>
  <c r="AA34" i="6"/>
  <c r="AB34" i="6" s="1"/>
  <c r="W8" i="6"/>
  <c r="X8" i="6" s="1"/>
  <c r="W7" i="6"/>
  <c r="X7" i="6" s="1"/>
  <c r="W6" i="6"/>
  <c r="X6" i="6" s="1"/>
  <c r="W15" i="6"/>
  <c r="X15" i="6" s="1"/>
  <c r="X14" i="6"/>
  <c r="W13" i="6"/>
  <c r="X13" i="6" s="1"/>
  <c r="W22" i="6"/>
  <c r="X22" i="6" s="1"/>
  <c r="W21" i="6"/>
  <c r="X21" i="6" s="1"/>
  <c r="W20" i="6"/>
  <c r="X20" i="6" s="1"/>
  <c r="W29" i="6"/>
  <c r="X29" i="6" s="1"/>
  <c r="W28" i="6"/>
  <c r="X28" i="6" s="1"/>
  <c r="W27" i="6"/>
  <c r="X27" i="6" s="1"/>
  <c r="W36" i="6"/>
  <c r="X36" i="6" s="1"/>
  <c r="W35" i="6"/>
  <c r="X35" i="6" s="1"/>
  <c r="W34" i="6"/>
  <c r="X34" i="6" s="1"/>
  <c r="S6" i="6"/>
  <c r="T6" i="6" s="1"/>
  <c r="T15" i="6"/>
  <c r="T13" i="6"/>
  <c r="S22" i="6"/>
  <c r="T22" i="6" s="1"/>
  <c r="T21" i="6"/>
  <c r="S20" i="6"/>
  <c r="T20" i="6" s="1"/>
  <c r="S29" i="6"/>
  <c r="T29" i="6" s="1"/>
  <c r="S28" i="6"/>
  <c r="T28" i="6" s="1"/>
  <c r="S27" i="6"/>
  <c r="T27" i="6" s="1"/>
  <c r="S36" i="6"/>
  <c r="T36" i="6" s="1"/>
  <c r="S35" i="6"/>
  <c r="T35" i="6" s="1"/>
  <c r="S34" i="6"/>
  <c r="T34" i="6" s="1"/>
  <c r="O35" i="6"/>
  <c r="P35" i="6" s="1"/>
  <c r="O34" i="6"/>
  <c r="P34" i="6" s="1"/>
  <c r="P28" i="6"/>
  <c r="O27" i="6"/>
  <c r="P27" i="6" s="1"/>
  <c r="O21" i="6"/>
  <c r="P21" i="6" s="1"/>
  <c r="O20" i="6"/>
  <c r="P20" i="6" s="1"/>
  <c r="O13" i="6"/>
  <c r="P13" i="6" s="1"/>
  <c r="O6" i="6"/>
  <c r="P6" i="6" s="1"/>
  <c r="L34" i="6"/>
  <c r="L27" i="6"/>
  <c r="K20" i="6"/>
  <c r="L20" i="6" s="1"/>
  <c r="K13" i="6"/>
  <c r="L13" i="6" s="1"/>
  <c r="K6" i="6"/>
  <c r="L6" i="6" s="1"/>
  <c r="G34" i="6"/>
  <c r="H34" i="6" s="1"/>
  <c r="G13" i="6"/>
  <c r="H13" i="6" s="1"/>
  <c r="G6" i="6"/>
  <c r="H6" i="6" s="1"/>
  <c r="C20" i="6"/>
  <c r="D20" i="6" s="1"/>
  <c r="D13" i="6"/>
  <c r="X53" i="5"/>
  <c r="T57" i="5"/>
  <c r="L94" i="5"/>
  <c r="P86" i="5"/>
  <c r="P85" i="5"/>
  <c r="L85" i="5"/>
  <c r="L84" i="5"/>
  <c r="L83" i="5"/>
  <c r="H85" i="5"/>
  <c r="H82" i="5"/>
  <c r="D83" i="5"/>
  <c r="D82" i="5"/>
  <c r="H19" i="5"/>
  <c r="H18" i="5"/>
  <c r="H17" i="5"/>
  <c r="P67" i="5"/>
  <c r="P66" i="5"/>
  <c r="L67" i="5"/>
  <c r="H65" i="5"/>
  <c r="H64" i="5"/>
  <c r="H63" i="5"/>
  <c r="D63" i="5"/>
  <c r="L56" i="5"/>
  <c r="H56" i="5"/>
  <c r="P48" i="5"/>
  <c r="P47" i="5"/>
  <c r="L48" i="5"/>
  <c r="H46" i="5"/>
  <c r="H45" i="5"/>
  <c r="D45" i="5"/>
  <c r="D44" i="5"/>
  <c r="L38" i="5"/>
  <c r="H38" i="5"/>
  <c r="D38" i="5"/>
  <c r="L29" i="5"/>
  <c r="L28" i="5"/>
  <c r="P17" i="5"/>
  <c r="L17" i="5"/>
  <c r="P10" i="5"/>
  <c r="P9" i="5"/>
  <c r="D27" i="5"/>
  <c r="D26" i="5"/>
  <c r="D25" i="5"/>
  <c r="D6" i="5"/>
  <c r="C16" i="33"/>
  <c r="B16" i="33"/>
  <c r="J19" i="49"/>
  <c r="J18" i="48"/>
  <c r="F19" i="49" s="1"/>
  <c r="M19" i="49"/>
  <c r="H16" i="10"/>
  <c r="H45" i="1"/>
  <c r="Q12" i="24"/>
  <c r="E33" i="24" s="1"/>
  <c r="D39" i="28"/>
  <c r="J72" i="29"/>
  <c r="H33" i="31"/>
  <c r="D44" i="31"/>
  <c r="W42" i="36"/>
  <c r="W45" i="36"/>
  <c r="K19" i="42"/>
  <c r="J19" i="42"/>
  <c r="M19" i="42"/>
  <c r="B65" i="42"/>
  <c r="D65" i="42" s="1"/>
  <c r="D66" i="42"/>
  <c r="B64" i="42"/>
  <c r="B67" i="42"/>
  <c r="D67" i="42" s="1"/>
  <c r="W38" i="49"/>
  <c r="G18" i="47"/>
  <c r="G19" i="47" s="1"/>
  <c r="L33" i="49"/>
  <c r="V33" i="49" s="1"/>
  <c r="W33" i="49" s="1"/>
  <c r="N39" i="50"/>
  <c r="M39" i="50"/>
  <c r="S39" i="50"/>
  <c r="D74" i="50"/>
  <c r="R39" i="50"/>
  <c r="Q39" i="50"/>
  <c r="D72" i="50"/>
  <c r="P39" i="50"/>
  <c r="O39" i="50"/>
  <c r="D41" i="28"/>
  <c r="J27" i="42"/>
  <c r="T27" i="42" s="1"/>
  <c r="S12" i="29"/>
  <c r="T12" i="29" s="1"/>
  <c r="K33" i="42"/>
  <c r="U33" i="42" s="1"/>
  <c r="W12" i="29"/>
  <c r="X12" i="29" s="1"/>
  <c r="B50" i="1"/>
  <c r="H48" i="1"/>
  <c r="O20" i="16"/>
  <c r="P20" i="16" s="1"/>
  <c r="L19" i="16"/>
  <c r="J33" i="42"/>
  <c r="T33" i="42" s="1"/>
  <c r="K38" i="10"/>
  <c r="L38" i="10" s="1"/>
  <c r="M19" i="50"/>
  <c r="L19" i="50"/>
  <c r="K19" i="50"/>
  <c r="J19" i="50"/>
  <c r="D73" i="50"/>
  <c r="I39" i="50"/>
  <c r="B45" i="50"/>
  <c r="B47" i="50"/>
  <c r="B46" i="50"/>
  <c r="B48" i="50"/>
  <c r="K26" i="42"/>
  <c r="U26" i="42" s="1"/>
  <c r="Y26" i="42" s="1"/>
  <c r="J26" i="46"/>
  <c r="T26" i="46" s="1"/>
  <c r="J26" i="42"/>
  <c r="T26" i="42" s="1"/>
  <c r="X26" i="42" s="1"/>
  <c r="L18" i="51"/>
  <c r="H19" i="50" s="1"/>
  <c r="K21" i="16"/>
  <c r="L21" i="16" s="1"/>
  <c r="L16" i="32"/>
  <c r="S37" i="32"/>
  <c r="D40" i="50"/>
  <c r="D64" i="50"/>
  <c r="B54" i="50"/>
  <c r="M39" i="54"/>
  <c r="W39" i="54" s="1"/>
  <c r="O16" i="23"/>
  <c r="P24" i="32"/>
  <c r="P22" i="32"/>
  <c r="O22" i="32" s="1"/>
  <c r="J25" i="35"/>
  <c r="T25" i="35" s="1"/>
  <c r="S25" i="35"/>
  <c r="D10" i="12"/>
  <c r="AB43" i="29"/>
  <c r="AA43" i="29" s="1"/>
  <c r="P16" i="32"/>
  <c r="C23" i="30"/>
  <c r="AF33" i="9"/>
  <c r="J44" i="16"/>
  <c r="L33" i="22"/>
  <c r="D43" i="28"/>
  <c r="H26" i="29"/>
  <c r="N8" i="12"/>
  <c r="B56" i="42"/>
  <c r="J24" i="15"/>
  <c r="H33" i="20"/>
  <c r="G15" i="11"/>
  <c r="F15" i="11"/>
  <c r="C50" i="31"/>
  <c r="C30" i="52"/>
  <c r="J69" i="32"/>
  <c r="I11" i="41"/>
  <c r="B52" i="42"/>
  <c r="Y30" i="42"/>
  <c r="L5" i="25"/>
  <c r="J43" i="10"/>
  <c r="F13" i="25"/>
  <c r="H15" i="25"/>
  <c r="B63" i="16"/>
  <c r="N16" i="12" s="1"/>
  <c r="M38" i="36"/>
  <c r="I39" i="35" s="1"/>
  <c r="J18" i="36"/>
  <c r="F19" i="35" s="1"/>
  <c r="X37" i="42"/>
  <c r="B47" i="42"/>
  <c r="B49" i="42" s="1"/>
  <c r="E20" i="42"/>
  <c r="V45" i="16"/>
  <c r="H16" i="25"/>
  <c r="H45" i="16"/>
  <c r="O22" i="29"/>
  <c r="I7" i="41"/>
  <c r="Y35" i="42"/>
  <c r="B53" i="46"/>
  <c r="N39" i="46"/>
  <c r="P10" i="25"/>
  <c r="T11" i="31"/>
  <c r="J14" i="47"/>
  <c r="G20" i="47"/>
  <c r="L38" i="16"/>
  <c r="X44" i="29"/>
  <c r="U50" i="36"/>
  <c r="W44" i="36"/>
  <c r="D70" i="46"/>
  <c r="I5" i="41"/>
  <c r="L38" i="43"/>
  <c r="H39" i="42" s="1"/>
  <c r="F39" i="36"/>
  <c r="B56" i="46"/>
  <c r="Y27" i="46"/>
  <c r="E19" i="48"/>
  <c r="K18" i="48"/>
  <c r="G19" i="49" s="1"/>
  <c r="H47" i="28"/>
  <c r="V44" i="16"/>
  <c r="V43" i="16"/>
  <c r="W39" i="36"/>
  <c r="B66" i="35"/>
  <c r="J14" i="37"/>
  <c r="X38" i="49"/>
  <c r="O36" i="51"/>
  <c r="M37" i="50" s="1"/>
  <c r="X37" i="50" s="1"/>
  <c r="M36" i="50"/>
  <c r="X36" i="50" s="1"/>
  <c r="D71" i="35"/>
  <c r="Y25" i="42"/>
  <c r="X34" i="42"/>
  <c r="I14" i="41"/>
  <c r="X31" i="42"/>
  <c r="X28" i="42"/>
  <c r="G39" i="46"/>
  <c r="F40" i="46"/>
  <c r="M39" i="46"/>
  <c r="T150" i="52"/>
  <c r="K38" i="45"/>
  <c r="P31" i="45"/>
  <c r="L32" i="46" s="1"/>
  <c r="V32" i="46" s="1"/>
  <c r="P39" i="49"/>
  <c r="B55" i="49"/>
  <c r="X33" i="49"/>
  <c r="X34" i="46"/>
  <c r="G12" i="46"/>
  <c r="O12" i="46" s="1"/>
  <c r="O11" i="46"/>
  <c r="B67" i="46"/>
  <c r="N150" i="52"/>
  <c r="O31" i="45"/>
  <c r="K32" i="46" s="1"/>
  <c r="U32" i="46" s="1"/>
  <c r="P32" i="46"/>
  <c r="AB33" i="49"/>
  <c r="Z33" i="49"/>
  <c r="AC33" i="49" s="1"/>
  <c r="E20" i="46"/>
  <c r="N39" i="49"/>
  <c r="B53" i="49"/>
  <c r="B75" i="42"/>
  <c r="E13" i="37" s="1"/>
  <c r="L38" i="45"/>
  <c r="H39" i="46" s="1"/>
  <c r="E38" i="45"/>
  <c r="S150" i="52"/>
  <c r="J38" i="45"/>
  <c r="M39" i="49"/>
  <c r="L38" i="48"/>
  <c r="H39" i="49" s="1"/>
  <c r="O39" i="49"/>
  <c r="B54" i="49"/>
  <c r="B45" i="49"/>
  <c r="B64" i="49"/>
  <c r="D64" i="49" s="1"/>
  <c r="M18" i="45"/>
  <c r="I19" i="46" s="1"/>
  <c r="D72" i="49"/>
  <c r="Y38" i="49"/>
  <c r="X26" i="49"/>
  <c r="J14" i="48"/>
  <c r="F15" i="49" s="1"/>
  <c r="N15" i="49" s="1"/>
  <c r="J16" i="48"/>
  <c r="F17" i="49" s="1"/>
  <c r="N17" i="49" s="1"/>
  <c r="P38" i="48"/>
  <c r="L39" i="49" s="1"/>
  <c r="Y36" i="49"/>
  <c r="Y33" i="49"/>
  <c r="Y38" i="46"/>
  <c r="L34" i="51"/>
  <c r="J35" i="50" s="1"/>
  <c r="T35" i="50" s="1"/>
  <c r="K35" i="50"/>
  <c r="U35" i="50" s="1"/>
  <c r="G21" i="47"/>
  <c r="P26" i="32"/>
  <c r="O16" i="32"/>
  <c r="D67" i="46"/>
  <c r="S33" i="54"/>
  <c r="J33" i="54"/>
  <c r="C67" i="54"/>
  <c r="E67" i="54" s="1"/>
  <c r="N19" i="54"/>
  <c r="J36" i="54"/>
  <c r="AA29" i="54"/>
  <c r="L38" i="54"/>
  <c r="V38" i="54" s="1"/>
  <c r="M38" i="54"/>
  <c r="W38" i="54" s="1"/>
  <c r="AA34" i="54"/>
  <c r="X29" i="54"/>
  <c r="X28" i="54"/>
  <c r="AC35" i="54"/>
  <c r="X31" i="54"/>
  <c r="X25" i="54"/>
  <c r="AA31" i="54"/>
  <c r="AA30" i="54"/>
  <c r="X34" i="54"/>
  <c r="AC34" i="54"/>
  <c r="W33" i="54"/>
  <c r="V33" i="54"/>
  <c r="AD36" i="54"/>
  <c r="R41" i="54"/>
  <c r="N41" i="53"/>
  <c r="L41" i="54" s="1"/>
  <c r="L36" i="54"/>
  <c r="V36" i="54" s="1"/>
  <c r="M41" i="53"/>
  <c r="K41" i="54" s="1"/>
  <c r="N38" i="54"/>
  <c r="Y38" i="54" s="1"/>
  <c r="AD38" i="54" s="1"/>
  <c r="J38" i="54"/>
  <c r="D76" i="54"/>
  <c r="Z32" i="54"/>
  <c r="T32" i="54"/>
  <c r="H41" i="54"/>
  <c r="C58" i="54" s="1"/>
  <c r="G41" i="54"/>
  <c r="C57" i="54" s="1"/>
  <c r="S32" i="54"/>
  <c r="D75" i="54"/>
  <c r="C75" i="54"/>
  <c r="I32" i="54"/>
  <c r="E74" i="54"/>
  <c r="Q41" i="54"/>
  <c r="C56" i="54"/>
  <c r="Q41" i="53"/>
  <c r="O41" i="54" s="1"/>
  <c r="M19" i="53"/>
  <c r="I19" i="54" s="1"/>
  <c r="F20" i="53"/>
  <c r="AA38" i="54"/>
  <c r="P35" i="21"/>
  <c r="W38" i="35"/>
  <c r="O16" i="14"/>
  <c r="P24" i="14"/>
  <c r="H58" i="32"/>
  <c r="Y33" i="46"/>
  <c r="X29" i="49"/>
  <c r="Z35" i="50"/>
  <c r="AC35" i="50"/>
  <c r="Y34" i="42"/>
  <c r="AD34" i="54"/>
  <c r="J37" i="54"/>
  <c r="J35" i="54"/>
  <c r="E72" i="54"/>
  <c r="J34" i="54"/>
  <c r="C12" i="13"/>
  <c r="C13" i="13"/>
  <c r="G7" i="13"/>
  <c r="G16" i="13"/>
  <c r="J15" i="13"/>
  <c r="D14" i="13"/>
  <c r="D15" i="13"/>
  <c r="E14" i="13"/>
  <c r="D16" i="13"/>
  <c r="B13" i="13"/>
  <c r="G17" i="13"/>
  <c r="I8" i="13"/>
  <c r="I15" i="13"/>
  <c r="F8" i="13"/>
  <c r="F12" i="13"/>
  <c r="C20" i="13"/>
  <c r="H15" i="13"/>
  <c r="H13" i="13"/>
  <c r="H20" i="13"/>
  <c r="B15" i="13"/>
  <c r="G18" i="13"/>
  <c r="E10" i="13"/>
  <c r="F18" i="13"/>
  <c r="F14" i="13"/>
  <c r="J17" i="13"/>
  <c r="G8" i="13"/>
  <c r="D20" i="13"/>
  <c r="I14" i="13"/>
  <c r="D10" i="13"/>
  <c r="C17" i="13"/>
  <c r="H9" i="13"/>
  <c r="B6" i="13"/>
  <c r="J18" i="13"/>
  <c r="I16" i="13"/>
  <c r="G14" i="13"/>
  <c r="G6" i="13"/>
  <c r="I9" i="13"/>
  <c r="I20" i="13"/>
  <c r="G12" i="13"/>
  <c r="D12" i="13"/>
  <c r="C15" i="13"/>
  <c r="G13" i="13"/>
  <c r="B10" i="13"/>
  <c r="I10" i="13"/>
  <c r="E13" i="13"/>
  <c r="B9" i="13"/>
  <c r="B17" i="13"/>
  <c r="F15" i="13"/>
  <c r="D13" i="13"/>
  <c r="J16" i="13"/>
  <c r="J20" i="13"/>
  <c r="J10" i="13"/>
  <c r="J12" i="13"/>
  <c r="C16" i="13"/>
  <c r="J13" i="13"/>
  <c r="H12" i="13"/>
  <c r="J9" i="13"/>
  <c r="G15" i="13"/>
  <c r="B7" i="13"/>
  <c r="E15" i="13"/>
  <c r="H8" i="13"/>
  <c r="C11" i="13"/>
  <c r="B12" i="13"/>
  <c r="J14" i="13"/>
  <c r="B11" i="13"/>
  <c r="H14" i="13"/>
  <c r="G20" i="13"/>
  <c r="C14" i="13"/>
  <c r="G19" i="13"/>
  <c r="I12" i="13"/>
  <c r="D17" i="13"/>
  <c r="F7" i="13"/>
  <c r="J8" i="13"/>
  <c r="F16" i="13"/>
  <c r="E17" i="13"/>
  <c r="B14" i="13"/>
  <c r="E12" i="13"/>
  <c r="H19" i="13"/>
  <c r="H17" i="13"/>
  <c r="F17" i="13"/>
  <c r="B8" i="13"/>
  <c r="E9" i="13"/>
  <c r="C10" i="13"/>
  <c r="I13" i="13"/>
  <c r="D9" i="13"/>
  <c r="H7" i="13"/>
  <c r="D18" i="13"/>
  <c r="D11" i="13"/>
  <c r="I17" i="13"/>
  <c r="F13" i="13"/>
  <c r="B18" i="13"/>
  <c r="E11" i="13"/>
  <c r="E16" i="13"/>
  <c r="H16" i="13"/>
  <c r="E20" i="13"/>
  <c r="I7" i="13"/>
  <c r="F20" i="13"/>
  <c r="B16" i="13"/>
  <c r="H18" i="13"/>
  <c r="F6" i="13"/>
  <c r="E8" i="13"/>
  <c r="B20" i="13"/>
  <c r="X45" i="32" l="1"/>
  <c r="W45" i="32" s="1"/>
  <c r="W37" i="32"/>
  <c r="Y28" i="42"/>
  <c r="W28" i="42"/>
  <c r="P19" i="42"/>
  <c r="C47" i="42" s="1"/>
  <c r="G47" i="42" s="1"/>
  <c r="I47" i="42" s="1"/>
  <c r="D17" i="29"/>
  <c r="C23" i="29"/>
  <c r="W26" i="49"/>
  <c r="X10" i="20"/>
  <c r="R10" i="24"/>
  <c r="S10" i="24" s="1"/>
  <c r="D22" i="32"/>
  <c r="C22" i="32" s="1"/>
  <c r="W47" i="36"/>
  <c r="C75" i="35"/>
  <c r="C76" i="35" s="1"/>
  <c r="B54" i="35"/>
  <c r="G58" i="32"/>
  <c r="H22" i="32"/>
  <c r="W36" i="42"/>
  <c r="G24" i="44"/>
  <c r="Y36" i="46"/>
  <c r="H27" i="47"/>
  <c r="H8" i="11"/>
  <c r="E20" i="12" s="1"/>
  <c r="H35" i="21"/>
  <c r="O5" i="25"/>
  <c r="H45" i="29"/>
  <c r="R45" i="32"/>
  <c r="C37" i="32"/>
  <c r="N39" i="35"/>
  <c r="W37" i="35"/>
  <c r="D23" i="41"/>
  <c r="D15" i="37" s="1"/>
  <c r="F40" i="42"/>
  <c r="H23" i="41"/>
  <c r="H52" i="42"/>
  <c r="X31" i="46"/>
  <c r="L18" i="48"/>
  <c r="H19" i="49" s="1"/>
  <c r="AA25" i="50"/>
  <c r="AB34" i="54"/>
  <c r="T10" i="17"/>
  <c r="H10" i="18"/>
  <c r="C11" i="25"/>
  <c r="H23" i="32"/>
  <c r="W41" i="36"/>
  <c r="W40" i="36"/>
  <c r="C56" i="32"/>
  <c r="D56" i="32" s="1"/>
  <c r="M18" i="43"/>
  <c r="I19" i="42" s="1"/>
  <c r="AD35" i="54"/>
  <c r="M35" i="51"/>
  <c r="K36" i="50" s="1"/>
  <c r="U36" i="50" s="1"/>
  <c r="AB36" i="50" s="1"/>
  <c r="Y32" i="46"/>
  <c r="J14" i="34"/>
  <c r="B75" i="50"/>
  <c r="AA37" i="29"/>
  <c r="N19" i="46"/>
  <c r="C45" i="46" s="1"/>
  <c r="AA31" i="50"/>
  <c r="P11" i="5"/>
  <c r="J43" i="23"/>
  <c r="M10" i="25"/>
  <c r="O8" i="25"/>
  <c r="L45" i="16"/>
  <c r="AA37" i="32"/>
  <c r="AE37" i="32"/>
  <c r="K18" i="43"/>
  <c r="G19" i="42" s="1"/>
  <c r="O38" i="43"/>
  <c r="K39" i="42" s="1"/>
  <c r="D73" i="46"/>
  <c r="B75" i="49"/>
  <c r="AA36" i="54"/>
  <c r="L36" i="50"/>
  <c r="V36" i="50" s="1"/>
  <c r="V39" i="50" s="1"/>
  <c r="C54" i="50" s="1"/>
  <c r="D54" i="50" s="1"/>
  <c r="O35" i="21"/>
  <c r="AG32" i="54"/>
  <c r="AF47" i="29"/>
  <c r="N24" i="21"/>
  <c r="H10" i="1"/>
  <c r="B47" i="29"/>
  <c r="D16" i="33"/>
  <c r="S45" i="32"/>
  <c r="Y29" i="42"/>
  <c r="J18" i="43"/>
  <c r="F19" i="42" s="1"/>
  <c r="D72" i="46"/>
  <c r="Q19" i="46"/>
  <c r="C48" i="46" s="1"/>
  <c r="AA38" i="50"/>
  <c r="L19" i="53"/>
  <c r="H19" i="54" s="1"/>
  <c r="AF32" i="54"/>
  <c r="R43" i="21"/>
  <c r="P16" i="19"/>
  <c r="H35" i="23"/>
  <c r="G35" i="23" s="1"/>
  <c r="X33" i="1"/>
  <c r="D77" i="54"/>
  <c r="D78" i="54" s="1"/>
  <c r="D27" i="17"/>
  <c r="N24" i="15"/>
  <c r="D27" i="28"/>
  <c r="D40" i="28"/>
  <c r="D47" i="28"/>
  <c r="G44" i="28"/>
  <c r="D42" i="20"/>
  <c r="D44" i="17"/>
  <c r="D42" i="9"/>
  <c r="D33" i="28"/>
  <c r="H81" i="29"/>
  <c r="I6" i="33"/>
  <c r="Z45" i="32"/>
  <c r="P38" i="36"/>
  <c r="L39" i="35" s="1"/>
  <c r="Q19" i="35"/>
  <c r="C48" i="35" s="1"/>
  <c r="W34" i="49"/>
  <c r="L10" i="1"/>
  <c r="G44" i="1"/>
  <c r="AB27" i="1"/>
  <c r="H54" i="35"/>
  <c r="W29" i="35"/>
  <c r="W27" i="35"/>
  <c r="W37" i="49"/>
  <c r="H55" i="49"/>
  <c r="Z32" i="50"/>
  <c r="W36" i="49"/>
  <c r="B43" i="10"/>
  <c r="L16" i="1"/>
  <c r="P16" i="28"/>
  <c r="D43" i="18"/>
  <c r="B43" i="1"/>
  <c r="G16" i="11"/>
  <c r="W22" i="32"/>
  <c r="G47" i="31"/>
  <c r="G49" i="31" s="1"/>
  <c r="W34" i="46"/>
  <c r="M19" i="46"/>
  <c r="Y30" i="49"/>
  <c r="G54" i="49"/>
  <c r="C47" i="54"/>
  <c r="P10" i="22"/>
  <c r="P27" i="22"/>
  <c r="B43" i="15"/>
  <c r="P41" i="10"/>
  <c r="O41" i="10" s="1"/>
  <c r="K11" i="25"/>
  <c r="G62" i="29"/>
  <c r="D33" i="31"/>
  <c r="O38" i="36"/>
  <c r="K39" i="35" s="1"/>
  <c r="Y37" i="42"/>
  <c r="H52" i="46"/>
  <c r="Y29" i="46"/>
  <c r="X30" i="49"/>
  <c r="K18" i="51"/>
  <c r="G19" i="50" s="1"/>
  <c r="H26" i="32"/>
  <c r="G22" i="32"/>
  <c r="W33" i="35"/>
  <c r="AD39" i="54"/>
  <c r="AA39" i="54"/>
  <c r="G12" i="25"/>
  <c r="X29" i="46"/>
  <c r="W29" i="46"/>
  <c r="P19" i="46"/>
  <c r="C47" i="46" s="1"/>
  <c r="D47" i="46" s="1"/>
  <c r="W38" i="46"/>
  <c r="H53" i="49"/>
  <c r="X35" i="49"/>
  <c r="G57" i="29"/>
  <c r="J57" i="29" s="1"/>
  <c r="C57" i="29"/>
  <c r="D57" i="29" s="1"/>
  <c r="G58" i="29"/>
  <c r="J58" i="29" s="1"/>
  <c r="S39" i="42"/>
  <c r="C53" i="42" s="1"/>
  <c r="Y29" i="49"/>
  <c r="W29" i="49"/>
  <c r="G53" i="49"/>
  <c r="S39" i="49"/>
  <c r="C53" i="49" s="1"/>
  <c r="G53" i="35"/>
  <c r="X28" i="49"/>
  <c r="Y25" i="49"/>
  <c r="X29" i="42"/>
  <c r="W29" i="42"/>
  <c r="W31" i="49"/>
  <c r="H52" i="49"/>
  <c r="H57" i="49" s="1"/>
  <c r="H59" i="49" s="1"/>
  <c r="X31" i="49"/>
  <c r="W27" i="49"/>
  <c r="X27" i="49"/>
  <c r="W25" i="49"/>
  <c r="G71" i="16"/>
  <c r="H71" i="16" s="1"/>
  <c r="J47" i="16"/>
  <c r="X38" i="46"/>
  <c r="H53" i="46"/>
  <c r="W36" i="46"/>
  <c r="H56" i="49"/>
  <c r="D65" i="50"/>
  <c r="B68" i="50"/>
  <c r="B76" i="50" s="1"/>
  <c r="D76" i="50" s="1"/>
  <c r="AC32" i="50"/>
  <c r="W32" i="54"/>
  <c r="K19" i="49"/>
  <c r="R43" i="16"/>
  <c r="W31" i="42"/>
  <c r="G55" i="42"/>
  <c r="E42" i="54"/>
  <c r="L24" i="32"/>
  <c r="B59" i="16"/>
  <c r="N12" i="12" s="1"/>
  <c r="B13" i="25"/>
  <c r="B20" i="25" s="1"/>
  <c r="C42" i="28"/>
  <c r="L10" i="22"/>
  <c r="I6" i="27"/>
  <c r="D18" i="27" s="1"/>
  <c r="G70" i="16"/>
  <c r="C41" i="17"/>
  <c r="P33" i="31"/>
  <c r="S43" i="32"/>
  <c r="D70" i="35"/>
  <c r="G21" i="37"/>
  <c r="K34" i="50"/>
  <c r="U34" i="50" s="1"/>
  <c r="W34" i="50" s="1"/>
  <c r="AA34" i="50" s="1"/>
  <c r="B47" i="35"/>
  <c r="G44" i="31"/>
  <c r="B57" i="50"/>
  <c r="B60" i="50" s="1"/>
  <c r="W30" i="49"/>
  <c r="P10" i="1"/>
  <c r="H33" i="8"/>
  <c r="T33" i="18"/>
  <c r="T33" i="22"/>
  <c r="R13" i="24"/>
  <c r="I7" i="33"/>
  <c r="X11" i="31"/>
  <c r="P27" i="31"/>
  <c r="X33" i="31"/>
  <c r="D47" i="31"/>
  <c r="K19" i="35"/>
  <c r="L37" i="32"/>
  <c r="I4" i="41"/>
  <c r="Y37" i="46"/>
  <c r="I19" i="45"/>
  <c r="G53" i="46"/>
  <c r="M18" i="48"/>
  <c r="I19" i="49" s="1"/>
  <c r="AA35" i="54"/>
  <c r="C49" i="28"/>
  <c r="V39" i="35"/>
  <c r="C56" i="35" s="1"/>
  <c r="D56" i="35" s="1"/>
  <c r="C75" i="50"/>
  <c r="C76" i="50" s="1"/>
  <c r="V24" i="21"/>
  <c r="L37" i="16"/>
  <c r="K37" i="16" s="1"/>
  <c r="Y36" i="42"/>
  <c r="C50" i="54"/>
  <c r="Y34" i="49"/>
  <c r="B75" i="46"/>
  <c r="E13" i="44" s="1"/>
  <c r="D13" i="44" s="1"/>
  <c r="X33" i="42"/>
  <c r="H26" i="47"/>
  <c r="L33" i="28"/>
  <c r="B16" i="30"/>
  <c r="E11" i="27" s="1"/>
  <c r="H54" i="49"/>
  <c r="W32" i="49"/>
  <c r="F43" i="23"/>
  <c r="H35" i="14"/>
  <c r="G35" i="14" s="1"/>
  <c r="C53" i="15"/>
  <c r="G10" i="12" s="1"/>
  <c r="T16" i="19"/>
  <c r="T10" i="1"/>
  <c r="H16" i="1"/>
  <c r="L7" i="25"/>
  <c r="L27" i="28"/>
  <c r="G4" i="30"/>
  <c r="G6" i="30"/>
  <c r="G21" i="30"/>
  <c r="P45" i="29"/>
  <c r="D17" i="31"/>
  <c r="AE43" i="32"/>
  <c r="AI11" i="36"/>
  <c r="AU27" i="36"/>
  <c r="K24" i="29"/>
  <c r="W27" i="36"/>
  <c r="J20" i="53"/>
  <c r="AC33" i="54"/>
  <c r="Q39" i="49"/>
  <c r="I21" i="41"/>
  <c r="X37" i="46"/>
  <c r="X42" i="16"/>
  <c r="T39" i="49"/>
  <c r="C54" i="49" s="1"/>
  <c r="D54" i="49" s="1"/>
  <c r="D68" i="50"/>
  <c r="G55" i="49"/>
  <c r="N43" i="10"/>
  <c r="F43" i="19"/>
  <c r="P33" i="8"/>
  <c r="H33" i="17"/>
  <c r="AB33" i="18"/>
  <c r="AB33" i="22"/>
  <c r="O18" i="25"/>
  <c r="Z47" i="29"/>
  <c r="F23" i="30"/>
  <c r="W25" i="46"/>
  <c r="G52" i="49"/>
  <c r="AF37" i="54"/>
  <c r="U32" i="54"/>
  <c r="J39" i="54"/>
  <c r="AD27" i="54"/>
  <c r="B65" i="49"/>
  <c r="D65" i="49" s="1"/>
  <c r="C75" i="42"/>
  <c r="F13" i="37" s="1"/>
  <c r="F17" i="37" s="1"/>
  <c r="R45" i="16"/>
  <c r="G39" i="42"/>
  <c r="S39" i="35"/>
  <c r="C53" i="35" s="1"/>
  <c r="D53" i="35" s="1"/>
  <c r="B49" i="50"/>
  <c r="F40" i="35"/>
  <c r="D49" i="5"/>
  <c r="L10" i="9"/>
  <c r="X10" i="22"/>
  <c r="F24" i="10"/>
  <c r="B24" i="19"/>
  <c r="W35" i="15"/>
  <c r="P33" i="1"/>
  <c r="G7" i="11"/>
  <c r="B20" i="12" s="1"/>
  <c r="D46" i="22"/>
  <c r="J11" i="27"/>
  <c r="J18" i="45"/>
  <c r="F19" i="46" s="1"/>
  <c r="M38" i="48"/>
  <c r="I39" i="49" s="1"/>
  <c r="C16" i="29"/>
  <c r="T42" i="16"/>
  <c r="Q39" i="35"/>
  <c r="D41" i="1"/>
  <c r="D43" i="17"/>
  <c r="J76" i="29"/>
  <c r="K19" i="53"/>
  <c r="G19" i="54" s="1"/>
  <c r="G39" i="35"/>
  <c r="AC36" i="50"/>
  <c r="H54" i="50"/>
  <c r="I26" i="47"/>
  <c r="W27" i="46"/>
  <c r="R39" i="49"/>
  <c r="C52" i="49" s="1"/>
  <c r="D52" i="49" s="1"/>
  <c r="L22" i="32"/>
  <c r="K22" i="32" s="1"/>
  <c r="L10" i="18"/>
  <c r="H27" i="9"/>
  <c r="J24" i="14"/>
  <c r="F24" i="15"/>
  <c r="R43" i="15"/>
  <c r="J24" i="23"/>
  <c r="T16" i="21"/>
  <c r="T24" i="21" s="1"/>
  <c r="S24" i="21" s="1"/>
  <c r="O6" i="25"/>
  <c r="C41" i="8"/>
  <c r="G10" i="30"/>
  <c r="J79" i="29"/>
  <c r="J12" i="27"/>
  <c r="D37" i="29"/>
  <c r="C37" i="29" s="1"/>
  <c r="L45" i="29"/>
  <c r="AG33" i="54"/>
  <c r="N20" i="53"/>
  <c r="X25" i="49"/>
  <c r="G39" i="49"/>
  <c r="G56" i="46"/>
  <c r="G81" i="29"/>
  <c r="W26" i="46"/>
  <c r="W28" i="49"/>
  <c r="W35" i="49"/>
  <c r="AB33" i="17"/>
  <c r="G73" i="32"/>
  <c r="Z32" i="49"/>
  <c r="P10" i="20"/>
  <c r="N24" i="23"/>
  <c r="P35" i="19"/>
  <c r="T33" i="1"/>
  <c r="M9" i="25"/>
  <c r="D42" i="22"/>
  <c r="X27" i="28"/>
  <c r="D46" i="28"/>
  <c r="D38" i="17"/>
  <c r="L17" i="31"/>
  <c r="AI27" i="36"/>
  <c r="D23" i="33"/>
  <c r="D15" i="34" s="1"/>
  <c r="X36" i="46"/>
  <c r="L19" i="46"/>
  <c r="M18" i="51"/>
  <c r="I19" i="50" s="1"/>
  <c r="N19" i="53"/>
  <c r="J19" i="54" s="1"/>
  <c r="S16" i="21"/>
  <c r="J32" i="54"/>
  <c r="W34" i="35"/>
  <c r="AB47" i="29"/>
  <c r="W35" i="50"/>
  <c r="B61" i="23"/>
  <c r="S12" i="24"/>
  <c r="L10" i="20"/>
  <c r="D27" i="20"/>
  <c r="L27" i="20"/>
  <c r="T27" i="20"/>
  <c r="J10" i="12"/>
  <c r="J12" i="12" s="1"/>
  <c r="B55" i="21"/>
  <c r="H10" i="12"/>
  <c r="H12" i="12" s="1"/>
  <c r="B55" i="19"/>
  <c r="H62" i="32"/>
  <c r="L43" i="32"/>
  <c r="W24" i="10"/>
  <c r="X33" i="54"/>
  <c r="C76" i="46"/>
  <c r="D44" i="20"/>
  <c r="G23" i="30"/>
  <c r="H44" i="16"/>
  <c r="H43" i="16"/>
  <c r="B64" i="16"/>
  <c r="N17" i="12" s="1"/>
  <c r="J16" i="25"/>
  <c r="J20" i="25" s="1"/>
  <c r="D38" i="18"/>
  <c r="B41" i="18"/>
  <c r="H15" i="11"/>
  <c r="H62" i="29"/>
  <c r="N26" i="16"/>
  <c r="O16" i="16"/>
  <c r="W16" i="10"/>
  <c r="Z36" i="50"/>
  <c r="E75" i="54"/>
  <c r="J41" i="54"/>
  <c r="F22" i="33"/>
  <c r="L6" i="25"/>
  <c r="AE20" i="5"/>
  <c r="AF20" i="5" s="1"/>
  <c r="AF15" i="5"/>
  <c r="K39" i="5"/>
  <c r="L34" i="5"/>
  <c r="P27" i="17"/>
  <c r="D35" i="14"/>
  <c r="C35" i="14" s="1"/>
  <c r="X16" i="15"/>
  <c r="X24" i="15" s="1"/>
  <c r="W24" i="15" s="1"/>
  <c r="S35" i="15"/>
  <c r="K40" i="15"/>
  <c r="L40" i="15" s="1"/>
  <c r="S40" i="15"/>
  <c r="T40" i="15" s="1"/>
  <c r="D33" i="18"/>
  <c r="K12" i="25"/>
  <c r="L16" i="28"/>
  <c r="H43" i="28"/>
  <c r="F47" i="29"/>
  <c r="D42" i="8"/>
  <c r="D44" i="18"/>
  <c r="D46" i="8"/>
  <c r="G75" i="29"/>
  <c r="D45" i="17"/>
  <c r="X45" i="16"/>
  <c r="D40" i="18"/>
  <c r="G16" i="33"/>
  <c r="I5" i="33"/>
  <c r="I12" i="33"/>
  <c r="T44" i="29"/>
  <c r="AD25" i="8"/>
  <c r="B38" i="8"/>
  <c r="D38" i="8" s="1"/>
  <c r="AA43" i="32"/>
  <c r="D26" i="32"/>
  <c r="D75" i="50"/>
  <c r="G16" i="10"/>
  <c r="D11" i="5"/>
  <c r="P49" i="5"/>
  <c r="T39" i="5"/>
  <c r="L10" i="8"/>
  <c r="L10" i="17"/>
  <c r="B43" i="23"/>
  <c r="X10" i="18"/>
  <c r="H27" i="18"/>
  <c r="B24" i="10"/>
  <c r="R43" i="10"/>
  <c r="B24" i="14"/>
  <c r="Z43" i="19"/>
  <c r="J43" i="21"/>
  <c r="L35" i="10"/>
  <c r="K35" i="10" s="1"/>
  <c r="C53" i="14"/>
  <c r="E11" i="25"/>
  <c r="G14" i="25"/>
  <c r="T27" i="28"/>
  <c r="AB27" i="28"/>
  <c r="F26" i="29"/>
  <c r="G26" i="29" s="1"/>
  <c r="V47" i="29"/>
  <c r="B59" i="29"/>
  <c r="P12" i="12" s="1"/>
  <c r="AB45" i="32"/>
  <c r="AA45" i="32" s="1"/>
  <c r="C58" i="29"/>
  <c r="G56" i="29"/>
  <c r="J56" i="29" s="1"/>
  <c r="T33" i="31"/>
  <c r="AF45" i="32"/>
  <c r="G26" i="34"/>
  <c r="H37" i="32"/>
  <c r="G37" i="32" s="1"/>
  <c r="G56" i="32"/>
  <c r="J56" i="32" s="1"/>
  <c r="P39" i="35"/>
  <c r="B55" i="35"/>
  <c r="M39" i="35"/>
  <c r="B52" i="35"/>
  <c r="J14" i="44"/>
  <c r="G20" i="44"/>
  <c r="G21" i="44" s="1"/>
  <c r="O150" i="52"/>
  <c r="F38" i="45"/>
  <c r="Q39" i="46" s="1"/>
  <c r="U39" i="49"/>
  <c r="C55" i="49" s="1"/>
  <c r="AB31" i="54"/>
  <c r="G72" i="16"/>
  <c r="K39" i="45"/>
  <c r="AD33" i="49"/>
  <c r="G26" i="47"/>
  <c r="H16" i="28"/>
  <c r="J61" i="32"/>
  <c r="B68" i="42"/>
  <c r="E12" i="37" s="1"/>
  <c r="D12" i="37" s="1"/>
  <c r="H87" i="5"/>
  <c r="L49" i="5"/>
  <c r="P10" i="9"/>
  <c r="X10" i="8"/>
  <c r="L27" i="17"/>
  <c r="X27" i="22"/>
  <c r="J43" i="15"/>
  <c r="V43" i="19"/>
  <c r="O16" i="10"/>
  <c r="AA35" i="14"/>
  <c r="H35" i="15"/>
  <c r="H10" i="11"/>
  <c r="M10" i="11" s="1"/>
  <c r="W35" i="21"/>
  <c r="G45" i="1"/>
  <c r="T33" i="20"/>
  <c r="L33" i="9"/>
  <c r="T33" i="9"/>
  <c r="AB33" i="9"/>
  <c r="D33" i="8"/>
  <c r="T33" i="8"/>
  <c r="D33" i="17"/>
  <c r="L33" i="17"/>
  <c r="T33" i="17"/>
  <c r="H33" i="18"/>
  <c r="P33" i="18"/>
  <c r="H10" i="28"/>
  <c r="P10" i="28"/>
  <c r="H44" i="28"/>
  <c r="H45" i="28" s="1"/>
  <c r="W22" i="29"/>
  <c r="P37" i="29"/>
  <c r="O37" i="29" s="1"/>
  <c r="F16" i="33"/>
  <c r="H11" i="33"/>
  <c r="I11" i="33" s="1"/>
  <c r="S22" i="32"/>
  <c r="J26" i="32"/>
  <c r="AQ27" i="36"/>
  <c r="B45" i="35"/>
  <c r="B64" i="35"/>
  <c r="D64" i="35" s="1"/>
  <c r="AE33" i="36"/>
  <c r="C68" i="54"/>
  <c r="E68" i="54" s="1"/>
  <c r="E70" i="54" s="1"/>
  <c r="C49" i="54"/>
  <c r="T39" i="35"/>
  <c r="C54" i="35" s="1"/>
  <c r="D54" i="35" s="1"/>
  <c r="G16" i="14"/>
  <c r="AB77" i="5"/>
  <c r="H10" i="8"/>
  <c r="AB27" i="8"/>
  <c r="X10" i="17"/>
  <c r="H27" i="17"/>
  <c r="T27" i="17"/>
  <c r="R43" i="23"/>
  <c r="D27" i="18"/>
  <c r="X27" i="20"/>
  <c r="B43" i="21"/>
  <c r="V43" i="10"/>
  <c r="F43" i="14"/>
  <c r="N43" i="14"/>
  <c r="V43" i="14"/>
  <c r="B24" i="15"/>
  <c r="F43" i="15"/>
  <c r="F24" i="19"/>
  <c r="J43" i="19"/>
  <c r="R43" i="19"/>
  <c r="F24" i="21"/>
  <c r="N43" i="21"/>
  <c r="Z43" i="21"/>
  <c r="F24" i="23"/>
  <c r="K16" i="14"/>
  <c r="K16" i="15"/>
  <c r="L35" i="21"/>
  <c r="H11" i="11"/>
  <c r="K20" i="12" s="1"/>
  <c r="H12" i="11"/>
  <c r="M20" i="12" s="1"/>
  <c r="F26" i="16"/>
  <c r="AB33" i="1"/>
  <c r="T27" i="1"/>
  <c r="B47" i="16"/>
  <c r="I34" i="24"/>
  <c r="G34" i="24" s="1"/>
  <c r="P41" i="19"/>
  <c r="O41" i="19" s="1"/>
  <c r="E14" i="25"/>
  <c r="H41" i="19"/>
  <c r="G41" i="19" s="1"/>
  <c r="N47" i="29"/>
  <c r="AD47" i="29"/>
  <c r="D39" i="17"/>
  <c r="X37" i="16"/>
  <c r="G17" i="11"/>
  <c r="T37" i="29"/>
  <c r="S37" i="29" s="1"/>
  <c r="G22" i="29"/>
  <c r="I13" i="33"/>
  <c r="I10" i="33"/>
  <c r="L27" i="31"/>
  <c r="AB27" i="31"/>
  <c r="D46" i="31"/>
  <c r="AE11" i="36"/>
  <c r="W17" i="36"/>
  <c r="W33" i="36"/>
  <c r="O35" i="19"/>
  <c r="X10" i="1"/>
  <c r="P27" i="1"/>
  <c r="X27" i="1"/>
  <c r="R7" i="24"/>
  <c r="Q9" i="24"/>
  <c r="E30" i="24" s="1"/>
  <c r="I30" i="24" s="1"/>
  <c r="G30" i="24" s="1"/>
  <c r="L8" i="25"/>
  <c r="L23" i="25" s="1"/>
  <c r="L41" i="14"/>
  <c r="G5" i="30"/>
  <c r="B60" i="16"/>
  <c r="N13" i="12" s="1"/>
  <c r="L40" i="16"/>
  <c r="X37" i="29"/>
  <c r="W37" i="29" s="1"/>
  <c r="H27" i="31"/>
  <c r="G43" i="31"/>
  <c r="G45" i="31" s="1"/>
  <c r="D48" i="31"/>
  <c r="L47" i="32"/>
  <c r="B46" i="35"/>
  <c r="Z27" i="50"/>
  <c r="D71" i="46"/>
  <c r="M38" i="45"/>
  <c r="I39" i="46" s="1"/>
  <c r="D70" i="49"/>
  <c r="AF34" i="54"/>
  <c r="AF36" i="54"/>
  <c r="W48" i="36"/>
  <c r="D73" i="35"/>
  <c r="J77" i="32"/>
  <c r="I12" i="41"/>
  <c r="I8" i="41"/>
  <c r="L38" i="36"/>
  <c r="H39" i="35" s="1"/>
  <c r="L18" i="36"/>
  <c r="H19" i="35" s="1"/>
  <c r="M39" i="42"/>
  <c r="W34" i="42"/>
  <c r="E6" i="44"/>
  <c r="B54" i="46"/>
  <c r="B57" i="46" s="1"/>
  <c r="AA29" i="50"/>
  <c r="M19" i="54"/>
  <c r="AG36" i="54"/>
  <c r="P41" i="53"/>
  <c r="N41" i="54" s="1"/>
  <c r="O41" i="53"/>
  <c r="M41" i="54" s="1"/>
  <c r="I13" i="41"/>
  <c r="I10" i="41"/>
  <c r="I6" i="41"/>
  <c r="P39" i="42"/>
  <c r="D71" i="42"/>
  <c r="Y35" i="46"/>
  <c r="O38" i="48"/>
  <c r="K39" i="49" s="1"/>
  <c r="AA25" i="54"/>
  <c r="AB25" i="54" s="1"/>
  <c r="X35" i="54"/>
  <c r="AB35" i="54" s="1"/>
  <c r="AA33" i="55"/>
  <c r="P35" i="10"/>
  <c r="I20" i="12"/>
  <c r="X16" i="23"/>
  <c r="W16" i="23" s="1"/>
  <c r="AB43" i="15"/>
  <c r="AA43" i="15" s="1"/>
  <c r="AA41" i="15"/>
  <c r="C59" i="54"/>
  <c r="K16" i="10"/>
  <c r="L24" i="10"/>
  <c r="T24" i="19"/>
  <c r="S16" i="19"/>
  <c r="X16" i="21"/>
  <c r="W16" i="21" s="1"/>
  <c r="E12" i="25"/>
  <c r="D47" i="42"/>
  <c r="S41" i="54"/>
  <c r="D13" i="37"/>
  <c r="D17" i="37" s="1"/>
  <c r="E17" i="37"/>
  <c r="D66" i="35"/>
  <c r="M11" i="11"/>
  <c r="I54" i="49"/>
  <c r="T35" i="14"/>
  <c r="S35" i="14" s="1"/>
  <c r="AB29" i="54"/>
  <c r="AB35" i="50"/>
  <c r="P22" i="16"/>
  <c r="O22" i="16" s="1"/>
  <c r="G46" i="1"/>
  <c r="I53" i="49"/>
  <c r="H20" i="5"/>
  <c r="P68" i="5"/>
  <c r="H77" i="5"/>
  <c r="X39" i="5"/>
  <c r="P10" i="8"/>
  <c r="L27" i="8"/>
  <c r="V43" i="23"/>
  <c r="T10" i="20"/>
  <c r="H27" i="20"/>
  <c r="P27" i="20"/>
  <c r="T10" i="22"/>
  <c r="D27" i="22"/>
  <c r="L27" i="22"/>
  <c r="N24" i="10"/>
  <c r="AD43" i="10"/>
  <c r="F24" i="14"/>
  <c r="G24" i="14" s="1"/>
  <c r="R43" i="14"/>
  <c r="N24" i="19"/>
  <c r="R24" i="21"/>
  <c r="B61" i="10"/>
  <c r="B55" i="23"/>
  <c r="B63" i="23" s="1"/>
  <c r="X35" i="14"/>
  <c r="W35" i="14" s="1"/>
  <c r="H9" i="11"/>
  <c r="H35" i="19"/>
  <c r="D35" i="21"/>
  <c r="C35" i="21" s="1"/>
  <c r="D35" i="23"/>
  <c r="H33" i="1"/>
  <c r="G50" i="1"/>
  <c r="H27" i="1"/>
  <c r="P33" i="20"/>
  <c r="X33" i="20"/>
  <c r="L33" i="8"/>
  <c r="X33" i="18"/>
  <c r="H33" i="22"/>
  <c r="R8" i="24"/>
  <c r="Q11" i="24"/>
  <c r="E32" i="24" s="1"/>
  <c r="L41" i="10"/>
  <c r="K41" i="10" s="1"/>
  <c r="K14" i="25"/>
  <c r="D55" i="49"/>
  <c r="G82" i="29"/>
  <c r="I55" i="49"/>
  <c r="H91" i="5"/>
  <c r="T15" i="5"/>
  <c r="X58" i="5"/>
  <c r="L58" i="5"/>
  <c r="H58" i="5"/>
  <c r="L27" i="9"/>
  <c r="B43" i="19"/>
  <c r="L27" i="18"/>
  <c r="H10" i="20"/>
  <c r="H27" i="22"/>
  <c r="D27" i="9"/>
  <c r="J24" i="10"/>
  <c r="R24" i="14"/>
  <c r="V43" i="15"/>
  <c r="H7" i="11"/>
  <c r="M7" i="11" s="1"/>
  <c r="L35" i="14"/>
  <c r="L43" i="14" s="1"/>
  <c r="D35" i="19"/>
  <c r="C35" i="19" s="1"/>
  <c r="L27" i="1"/>
  <c r="X33" i="17"/>
  <c r="L33" i="18"/>
  <c r="S11" i="24"/>
  <c r="O13" i="25"/>
  <c r="X41" i="19"/>
  <c r="X43" i="19" s="1"/>
  <c r="W43" i="19" s="1"/>
  <c r="D53" i="49"/>
  <c r="D64" i="42"/>
  <c r="D68" i="42" s="1"/>
  <c r="H68" i="5"/>
  <c r="K77" i="5"/>
  <c r="L77" i="5" s="1"/>
  <c r="AB58" i="5"/>
  <c r="D30" i="5"/>
  <c r="AB39" i="5"/>
  <c r="L39" i="5"/>
  <c r="X27" i="8"/>
  <c r="T10" i="18"/>
  <c r="P27" i="18"/>
  <c r="V24" i="14"/>
  <c r="C54" i="14"/>
  <c r="W16" i="15"/>
  <c r="T16" i="15"/>
  <c r="K16" i="21"/>
  <c r="H49" i="1"/>
  <c r="H50" i="1" s="1"/>
  <c r="D20" i="25"/>
  <c r="L87" i="5"/>
  <c r="H96" i="5"/>
  <c r="D68" i="5"/>
  <c r="H27" i="8"/>
  <c r="P27" i="9"/>
  <c r="B18" i="12"/>
  <c r="L12" i="12"/>
  <c r="B61" i="19"/>
  <c r="AB35" i="10"/>
  <c r="AA35" i="10" s="1"/>
  <c r="X16" i="19"/>
  <c r="P16" i="21"/>
  <c r="R47" i="16"/>
  <c r="K41" i="14"/>
  <c r="C58" i="10"/>
  <c r="D58" i="10" s="1"/>
  <c r="C60" i="23"/>
  <c r="L10" i="28"/>
  <c r="T10" i="28"/>
  <c r="P27" i="28"/>
  <c r="G43" i="28"/>
  <c r="G45" i="28" s="1"/>
  <c r="B49" i="28"/>
  <c r="D49" i="28" s="1"/>
  <c r="T33" i="28"/>
  <c r="D39" i="20"/>
  <c r="D46" i="20"/>
  <c r="G7" i="30"/>
  <c r="X38" i="16"/>
  <c r="C60" i="16" s="1"/>
  <c r="L39" i="16"/>
  <c r="L44" i="16" s="1"/>
  <c r="D22" i="16"/>
  <c r="D26" i="16" s="1"/>
  <c r="D42" i="1"/>
  <c r="AB37" i="16"/>
  <c r="H37" i="16"/>
  <c r="I14" i="33"/>
  <c r="X43" i="29"/>
  <c r="W43" i="29" s="1"/>
  <c r="X16" i="29"/>
  <c r="W16" i="29" s="1"/>
  <c r="L11" i="31"/>
  <c r="P17" i="31"/>
  <c r="AD25" i="9"/>
  <c r="J45" i="32"/>
  <c r="W43" i="32"/>
  <c r="F45" i="32"/>
  <c r="H47" i="32"/>
  <c r="G24" i="34"/>
  <c r="B57" i="32"/>
  <c r="W35" i="35"/>
  <c r="O19" i="35"/>
  <c r="C46" i="35" s="1"/>
  <c r="G46" i="35" s="1"/>
  <c r="I46" i="35" s="1"/>
  <c r="X33" i="28"/>
  <c r="B42" i="28"/>
  <c r="D45" i="28"/>
  <c r="D43" i="9"/>
  <c r="G8" i="30"/>
  <c r="G15" i="30"/>
  <c r="T44" i="16"/>
  <c r="D40" i="20"/>
  <c r="D37" i="16"/>
  <c r="C55" i="16"/>
  <c r="G14" i="11"/>
  <c r="N20" i="12" s="1"/>
  <c r="H61" i="29"/>
  <c r="J61" i="29" s="1"/>
  <c r="G16" i="32"/>
  <c r="D27" i="31"/>
  <c r="B50" i="31"/>
  <c r="L33" i="31"/>
  <c r="B38" i="9"/>
  <c r="C58" i="32"/>
  <c r="D58" i="32" s="1"/>
  <c r="AQ11" i="36"/>
  <c r="AQ33" i="36"/>
  <c r="AI33" i="36"/>
  <c r="D41" i="31"/>
  <c r="V43" i="36"/>
  <c r="B75" i="35"/>
  <c r="K37" i="32"/>
  <c r="H52" i="35"/>
  <c r="D44" i="28"/>
  <c r="D46" i="17"/>
  <c r="G14" i="30"/>
  <c r="P37" i="16"/>
  <c r="O37" i="16" s="1"/>
  <c r="K16" i="16"/>
  <c r="H37" i="29"/>
  <c r="R47" i="29"/>
  <c r="C61" i="32"/>
  <c r="D61" i="32" s="1"/>
  <c r="W36" i="35"/>
  <c r="W26" i="35"/>
  <c r="W28" i="35"/>
  <c r="N19" i="42"/>
  <c r="C45" i="42" s="1"/>
  <c r="Y37" i="49"/>
  <c r="D43" i="22"/>
  <c r="H33" i="28"/>
  <c r="X39" i="16"/>
  <c r="H22" i="16"/>
  <c r="H26" i="16" s="1"/>
  <c r="G26" i="16" s="1"/>
  <c r="L37" i="29"/>
  <c r="AE43" i="29"/>
  <c r="C61" i="29"/>
  <c r="D61" i="29" s="1"/>
  <c r="I4" i="33"/>
  <c r="AM11" i="36"/>
  <c r="Z44" i="36"/>
  <c r="C43" i="31"/>
  <c r="D74" i="35"/>
  <c r="G52" i="42"/>
  <c r="S39" i="46"/>
  <c r="C53" i="46" s="1"/>
  <c r="D53" i="46" s="1"/>
  <c r="J78" i="32"/>
  <c r="I9" i="41"/>
  <c r="E19" i="36"/>
  <c r="M20" i="42" s="1"/>
  <c r="E19" i="45"/>
  <c r="M19" i="45" s="1"/>
  <c r="D74" i="49"/>
  <c r="Q19" i="50"/>
  <c r="C48" i="50" s="1"/>
  <c r="D48" i="50" s="1"/>
  <c r="Y28" i="46"/>
  <c r="N19" i="49"/>
  <c r="C45" i="49" s="1"/>
  <c r="P19" i="50"/>
  <c r="C47" i="50" s="1"/>
  <c r="G47" i="50" s="1"/>
  <c r="I47" i="50" s="1"/>
  <c r="C43" i="1"/>
  <c r="Q19" i="42"/>
  <c r="C48" i="42" s="1"/>
  <c r="F39" i="43"/>
  <c r="Q40" i="42" s="1"/>
  <c r="E6" i="37"/>
  <c r="W25" i="42"/>
  <c r="W33" i="46"/>
  <c r="D74" i="46"/>
  <c r="D17" i="47"/>
  <c r="O19" i="49"/>
  <c r="C46" i="49" s="1"/>
  <c r="G46" i="49" s="1"/>
  <c r="I46" i="49" s="1"/>
  <c r="D73" i="49"/>
  <c r="C75" i="49"/>
  <c r="C76" i="49" s="1"/>
  <c r="P19" i="49"/>
  <c r="C47" i="49" s="1"/>
  <c r="G47" i="49" s="1"/>
  <c r="I47" i="49" s="1"/>
  <c r="AA30" i="50"/>
  <c r="Z29" i="50"/>
  <c r="D16" i="41"/>
  <c r="N38" i="36"/>
  <c r="J39" i="35" s="1"/>
  <c r="W32" i="35"/>
  <c r="M18" i="36"/>
  <c r="I19" i="35" s="1"/>
  <c r="K18" i="36"/>
  <c r="G19" i="35" s="1"/>
  <c r="X35" i="42"/>
  <c r="I19" i="43"/>
  <c r="L18" i="45"/>
  <c r="H19" i="46" s="1"/>
  <c r="G24" i="47"/>
  <c r="G27" i="47" s="1"/>
  <c r="G29" i="47" s="1"/>
  <c r="J12" i="47"/>
  <c r="I15" i="49"/>
  <c r="Q15" i="49" s="1"/>
  <c r="X34" i="49"/>
  <c r="X30" i="54"/>
  <c r="AB30" i="54" s="1"/>
  <c r="W41" i="54"/>
  <c r="D56" i="54" s="1"/>
  <c r="E56" i="54" s="1"/>
  <c r="S31" i="56"/>
  <c r="T31" i="55"/>
  <c r="Q31" i="56"/>
  <c r="O31" i="55" s="1"/>
  <c r="Z31" i="55" s="1"/>
  <c r="Z42" i="55" s="1"/>
  <c r="I19" i="48"/>
  <c r="M19" i="48" s="1"/>
  <c r="AA26" i="50"/>
  <c r="P19" i="54"/>
  <c r="D48" i="54" s="1"/>
  <c r="L19" i="54"/>
  <c r="K39" i="48"/>
  <c r="R19" i="54"/>
  <c r="D50" i="54" s="1"/>
  <c r="P41" i="54"/>
  <c r="Z41" i="54"/>
  <c r="D58" i="54" s="1"/>
  <c r="E58" i="54" s="1"/>
  <c r="AF33" i="54"/>
  <c r="C77" i="54"/>
  <c r="AG38" i="54"/>
  <c r="AA28" i="54"/>
  <c r="AA33" i="54"/>
  <c r="AF35" i="54"/>
  <c r="AD38" i="55"/>
  <c r="O42" i="56"/>
  <c r="M42" i="55" s="1"/>
  <c r="L36" i="55"/>
  <c r="V36" i="55" s="1"/>
  <c r="X36" i="55" s="1"/>
  <c r="P42" i="55"/>
  <c r="R42" i="55"/>
  <c r="Q42" i="55"/>
  <c r="J31" i="55"/>
  <c r="AD31" i="55"/>
  <c r="L37" i="55"/>
  <c r="V37" i="55" s="1"/>
  <c r="AC34" i="55"/>
  <c r="U33" i="55"/>
  <c r="X33" i="55" s="1"/>
  <c r="AB33" i="55" s="1"/>
  <c r="AC36" i="55"/>
  <c r="AD36" i="55"/>
  <c r="J33" i="55"/>
  <c r="AD33" i="55"/>
  <c r="N42" i="56"/>
  <c r="L42" i="55" s="1"/>
  <c r="M42" i="56"/>
  <c r="K42" i="55" s="1"/>
  <c r="AD32" i="55"/>
  <c r="S42" i="55"/>
  <c r="AA36" i="55"/>
  <c r="AC37" i="55"/>
  <c r="AC38" i="55"/>
  <c r="AC33" i="55"/>
  <c r="AD40" i="55"/>
  <c r="J38" i="55"/>
  <c r="X30" i="55"/>
  <c r="AA30" i="55"/>
  <c r="Q42" i="56"/>
  <c r="O42" i="55" s="1"/>
  <c r="T42" i="55"/>
  <c r="D72" i="5"/>
  <c r="L53" i="5"/>
  <c r="AB72" i="5"/>
  <c r="X27" i="55"/>
  <c r="AA34" i="55"/>
  <c r="P42" i="56"/>
  <c r="N42" i="55" s="1"/>
  <c r="N19" i="56"/>
  <c r="J19" i="55" s="1"/>
  <c r="M19" i="56"/>
  <c r="I19" i="55" s="1"/>
  <c r="F20" i="56"/>
  <c r="L19" i="56"/>
  <c r="H19" i="55" s="1"/>
  <c r="L19" i="55"/>
  <c r="N19" i="55"/>
  <c r="M19" i="55"/>
  <c r="K19" i="55"/>
  <c r="R19" i="55"/>
  <c r="Q19" i="55"/>
  <c r="J20" i="56"/>
  <c r="J32" i="55"/>
  <c r="J34" i="55"/>
  <c r="J37" i="55"/>
  <c r="J40" i="55"/>
  <c r="AA40" i="55"/>
  <c r="AA26" i="55"/>
  <c r="AA29" i="55"/>
  <c r="W42" i="55"/>
  <c r="J36" i="55"/>
  <c r="P19" i="55"/>
  <c r="K96" i="5"/>
  <c r="L96" i="5" s="1"/>
  <c r="O58" i="5"/>
  <c r="P58" i="5" s="1"/>
  <c r="K19" i="56"/>
  <c r="G19" i="55" s="1"/>
  <c r="AA96" i="5"/>
  <c r="AB96" i="5" s="1"/>
  <c r="H72" i="5"/>
  <c r="O39" i="5"/>
  <c r="P39" i="5" s="1"/>
  <c r="O96" i="5"/>
  <c r="P96" i="5" s="1"/>
  <c r="H53" i="5"/>
  <c r="X34" i="5"/>
  <c r="W77" i="5"/>
  <c r="X77" i="5" s="1"/>
  <c r="AA25" i="55"/>
  <c r="Y42" i="55"/>
  <c r="O19" i="55"/>
  <c r="AA27" i="55"/>
  <c r="X38" i="55"/>
  <c r="X26" i="55"/>
  <c r="J42" i="55"/>
  <c r="E43" i="55"/>
  <c r="D77" i="5"/>
  <c r="C39" i="5"/>
  <c r="D39" i="5" s="1"/>
  <c r="D34" i="5"/>
  <c r="H15" i="5"/>
  <c r="X15" i="5"/>
  <c r="X25" i="55"/>
  <c r="AA37" i="55"/>
  <c r="X40" i="55"/>
  <c r="K20" i="5"/>
  <c r="L20" i="5" s="1"/>
  <c r="T34" i="5"/>
  <c r="AA28" i="55"/>
  <c r="X34" i="55"/>
  <c r="AA38" i="55"/>
  <c r="T53" i="5"/>
  <c r="S58" i="5"/>
  <c r="T58" i="5" s="1"/>
  <c r="P72" i="5"/>
  <c r="O77" i="5"/>
  <c r="P77" i="5" s="1"/>
  <c r="X31" i="55"/>
  <c r="X29" i="55"/>
  <c r="S77" i="5"/>
  <c r="T72" i="5"/>
  <c r="H34" i="5"/>
  <c r="G39" i="5"/>
  <c r="H39" i="5" s="1"/>
  <c r="X28" i="55"/>
  <c r="AA31" i="55"/>
  <c r="AA32" i="55"/>
  <c r="X20" i="5"/>
  <c r="U32" i="55"/>
  <c r="S34" i="19"/>
  <c r="T34" i="19" s="1"/>
  <c r="S36" i="16"/>
  <c r="T36" i="16" s="1"/>
  <c r="S34" i="21"/>
  <c r="T34" i="21" s="1"/>
  <c r="S34" i="10"/>
  <c r="T34" i="10" s="1"/>
  <c r="T35" i="10" s="1"/>
  <c r="S34" i="23"/>
  <c r="T34" i="23" s="1"/>
  <c r="T35" i="23" s="1"/>
  <c r="AE34" i="16"/>
  <c r="AF34" i="16" s="1"/>
  <c r="AF37" i="16" s="1"/>
  <c r="AF47" i="16" s="1"/>
  <c r="O21" i="10"/>
  <c r="P21" i="10" s="1"/>
  <c r="O21" i="19"/>
  <c r="P21" i="19" s="1"/>
  <c r="O21" i="21"/>
  <c r="P21" i="21" s="1"/>
  <c r="C60" i="21" s="1"/>
  <c r="O21" i="15"/>
  <c r="P21" i="15" s="1"/>
  <c r="K21" i="15"/>
  <c r="L21" i="15" s="1"/>
  <c r="K21" i="14"/>
  <c r="L21" i="14" s="1"/>
  <c r="K21" i="19"/>
  <c r="L21" i="19" s="1"/>
  <c r="C17" i="23"/>
  <c r="D17" i="23" s="1"/>
  <c r="C17" i="10"/>
  <c r="D17" i="10" s="1"/>
  <c r="C17" i="21"/>
  <c r="D17" i="21" s="1"/>
  <c r="AA36" i="10"/>
  <c r="AB36" i="10" s="1"/>
  <c r="C17" i="19"/>
  <c r="D17" i="19" s="1"/>
  <c r="C17" i="14"/>
  <c r="D17" i="14" s="1"/>
  <c r="G17" i="23"/>
  <c r="H17" i="23" s="1"/>
  <c r="C17" i="15"/>
  <c r="D17" i="15" s="1"/>
  <c r="G17" i="19"/>
  <c r="H17" i="19" s="1"/>
  <c r="AE36" i="10"/>
  <c r="AF36" i="10" s="1"/>
  <c r="G17" i="21"/>
  <c r="H17" i="21" s="1"/>
  <c r="AA36" i="19"/>
  <c r="AB36" i="19" s="1"/>
  <c r="C18" i="14"/>
  <c r="D18" i="14" s="1"/>
  <c r="G18" i="23"/>
  <c r="H18" i="23" s="1"/>
  <c r="K18" i="21"/>
  <c r="L18" i="21" s="1"/>
  <c r="K18" i="23"/>
  <c r="L18" i="23" s="1"/>
  <c r="L22" i="23" s="1"/>
  <c r="K22" i="23" s="1"/>
  <c r="C18" i="15"/>
  <c r="D18" i="15" s="1"/>
  <c r="G18" i="19"/>
  <c r="H18" i="19" s="1"/>
  <c r="C57" i="19" s="1"/>
  <c r="G18" i="15"/>
  <c r="H18" i="15" s="1"/>
  <c r="C18" i="21"/>
  <c r="D18" i="21" s="1"/>
  <c r="S39" i="15"/>
  <c r="T39" i="15" s="1"/>
  <c r="K39" i="21"/>
  <c r="L39" i="21" s="1"/>
  <c r="L41" i="21" s="1"/>
  <c r="K41" i="21" s="1"/>
  <c r="K39" i="23"/>
  <c r="L39" i="23" s="1"/>
  <c r="S39" i="23"/>
  <c r="T39" i="23" s="1"/>
  <c r="T41" i="23" s="1"/>
  <c r="S41" i="23" s="1"/>
  <c r="O20" i="19"/>
  <c r="P20" i="19" s="1"/>
  <c r="O20" i="15"/>
  <c r="P20" i="15" s="1"/>
  <c r="K39" i="15"/>
  <c r="L39" i="15" s="1"/>
  <c r="G20" i="21"/>
  <c r="H20" i="21" s="1"/>
  <c r="W39" i="15"/>
  <c r="X39" i="15" s="1"/>
  <c r="S39" i="14"/>
  <c r="T39" i="14" s="1"/>
  <c r="AA39" i="14"/>
  <c r="AB39" i="14" s="1"/>
  <c r="AB41" i="14" s="1"/>
  <c r="O20" i="23"/>
  <c r="P20" i="23" s="1"/>
  <c r="O20" i="21"/>
  <c r="P20" i="21" s="1"/>
  <c r="O39" i="23"/>
  <c r="P39" i="23" s="1"/>
  <c r="P41" i="23" s="1"/>
  <c r="O41" i="23" s="1"/>
  <c r="O39" i="21"/>
  <c r="P39" i="21" s="1"/>
  <c r="AA39" i="21"/>
  <c r="AB39" i="21" s="1"/>
  <c r="AB41" i="21" s="1"/>
  <c r="W39" i="23"/>
  <c r="X39" i="23" s="1"/>
  <c r="AA41" i="16"/>
  <c r="AB41" i="16" s="1"/>
  <c r="AB45" i="16" s="1"/>
  <c r="AA39" i="19"/>
  <c r="AB39" i="19" s="1"/>
  <c r="K39" i="19"/>
  <c r="L39" i="19" s="1"/>
  <c r="L41" i="19" s="1"/>
  <c r="K41" i="19" s="1"/>
  <c r="O20" i="10"/>
  <c r="P20" i="10" s="1"/>
  <c r="W39" i="21"/>
  <c r="X39" i="21" s="1"/>
  <c r="X41" i="21" s="1"/>
  <c r="W41" i="21" s="1"/>
  <c r="K20" i="21"/>
  <c r="L20" i="21" s="1"/>
  <c r="K20" i="14"/>
  <c r="L20" i="14" s="1"/>
  <c r="G19" i="19"/>
  <c r="H19" i="19" s="1"/>
  <c r="C58" i="19" s="1"/>
  <c r="K19" i="21"/>
  <c r="L19" i="21" s="1"/>
  <c r="G19" i="15"/>
  <c r="H19" i="15" s="1"/>
  <c r="C19" i="14"/>
  <c r="D19" i="14" s="1"/>
  <c r="C58" i="14" s="1"/>
  <c r="G37" i="29"/>
  <c r="AA37" i="16"/>
  <c r="W32" i="46"/>
  <c r="X27" i="54"/>
  <c r="AB27" i="54" s="1"/>
  <c r="D47" i="16"/>
  <c r="C47" i="16" s="1"/>
  <c r="C37" i="16"/>
  <c r="O8" i="12"/>
  <c r="D55" i="16"/>
  <c r="D58" i="29"/>
  <c r="Q11" i="12"/>
  <c r="U39" i="46"/>
  <c r="AB28" i="54"/>
  <c r="Z37" i="50"/>
  <c r="AC37" i="50"/>
  <c r="W16" i="19"/>
  <c r="X24" i="19"/>
  <c r="W24" i="19" s="1"/>
  <c r="D46" i="35"/>
  <c r="G45" i="49"/>
  <c r="D45" i="49"/>
  <c r="C64" i="16"/>
  <c r="L24" i="16"/>
  <c r="O19" i="46"/>
  <c r="C46" i="46" s="1"/>
  <c r="T45" i="16"/>
  <c r="T43" i="16"/>
  <c r="D43" i="21"/>
  <c r="X41" i="23"/>
  <c r="W41" i="23" s="1"/>
  <c r="Q14" i="12"/>
  <c r="H48" i="54"/>
  <c r="J48" i="54" s="1"/>
  <c r="AC38" i="54"/>
  <c r="X38" i="54"/>
  <c r="AB38" i="54" s="1"/>
  <c r="G37" i="16"/>
  <c r="H47" i="16"/>
  <c r="G47" i="16" s="1"/>
  <c r="C54" i="10"/>
  <c r="S16" i="15"/>
  <c r="T24" i="15"/>
  <c r="S24" i="15" s="1"/>
  <c r="K35" i="21"/>
  <c r="C64" i="29"/>
  <c r="D45" i="29"/>
  <c r="G64" i="29"/>
  <c r="D43" i="29"/>
  <c r="C43" i="29" s="1"/>
  <c r="H64" i="29"/>
  <c r="Z43" i="14"/>
  <c r="O14" i="25"/>
  <c r="L14" i="25"/>
  <c r="Y32" i="42"/>
  <c r="H55" i="42"/>
  <c r="I55" i="42" s="1"/>
  <c r="O19" i="54"/>
  <c r="D47" i="54" s="1"/>
  <c r="B57" i="49"/>
  <c r="T39" i="46"/>
  <c r="C54" i="46" s="1"/>
  <c r="D54" i="46" s="1"/>
  <c r="X26" i="46"/>
  <c r="T10" i="9"/>
  <c r="X24" i="21"/>
  <c r="W24" i="21" s="1"/>
  <c r="L33" i="20"/>
  <c r="Q8" i="24"/>
  <c r="E29" i="24" s="1"/>
  <c r="H41" i="23"/>
  <c r="L41" i="23"/>
  <c r="K41" i="23" s="1"/>
  <c r="V39" i="46"/>
  <c r="C56" i="46" s="1"/>
  <c r="D56" i="46" s="1"/>
  <c r="AA32" i="50"/>
  <c r="H52" i="50"/>
  <c r="Z33" i="50"/>
  <c r="H56" i="50"/>
  <c r="Y39" i="50"/>
  <c r="C56" i="50" s="1"/>
  <c r="D56" i="50" s="1"/>
  <c r="AC33" i="50"/>
  <c r="G56" i="50"/>
  <c r="E76" i="54"/>
  <c r="E77" i="54" s="1"/>
  <c r="AA32" i="54"/>
  <c r="I58" i="54"/>
  <c r="H58" i="54"/>
  <c r="Z43" i="10"/>
  <c r="V47" i="16"/>
  <c r="C57" i="10"/>
  <c r="E15" i="25"/>
  <c r="G15" i="25"/>
  <c r="K37" i="29"/>
  <c r="B26" i="32"/>
  <c r="C16" i="32"/>
  <c r="P19" i="35"/>
  <c r="C47" i="35" s="1"/>
  <c r="X38" i="42"/>
  <c r="W38" i="42"/>
  <c r="AC27" i="50"/>
  <c r="AA27" i="50"/>
  <c r="X39" i="50"/>
  <c r="Z34" i="50"/>
  <c r="H55" i="50"/>
  <c r="G55" i="50"/>
  <c r="O19" i="50"/>
  <c r="C46" i="50" s="1"/>
  <c r="H57" i="54"/>
  <c r="Y41" i="54"/>
  <c r="X26" i="54"/>
  <c r="AA37" i="54"/>
  <c r="AD37" i="54"/>
  <c r="I57" i="54"/>
  <c r="G13" i="25"/>
  <c r="AD28" i="54"/>
  <c r="E10" i="27"/>
  <c r="G17" i="25"/>
  <c r="H44" i="1"/>
  <c r="H46" i="1" s="1"/>
  <c r="J46" i="1" s="1"/>
  <c r="K46" i="1" s="1"/>
  <c r="H24" i="10"/>
  <c r="G24" i="10" s="1"/>
  <c r="X30" i="42"/>
  <c r="H34" i="24"/>
  <c r="F34" i="24" s="1"/>
  <c r="AD32" i="49"/>
  <c r="AC32" i="49"/>
  <c r="X10" i="9"/>
  <c r="L35" i="15"/>
  <c r="O16" i="21"/>
  <c r="L16" i="23"/>
  <c r="C52" i="23"/>
  <c r="G63" i="29"/>
  <c r="H63" i="29"/>
  <c r="W31" i="35"/>
  <c r="H55" i="35"/>
  <c r="G55" i="35"/>
  <c r="G79" i="32"/>
  <c r="J74" i="32"/>
  <c r="W37" i="42"/>
  <c r="G48" i="35"/>
  <c r="I48" i="35" s="1"/>
  <c r="M9" i="11"/>
  <c r="G20" i="12"/>
  <c r="H54" i="42"/>
  <c r="G54" i="42"/>
  <c r="G52" i="46"/>
  <c r="X30" i="46"/>
  <c r="W30" i="46"/>
  <c r="C58" i="23"/>
  <c r="W33" i="50"/>
  <c r="AA33" i="50" s="1"/>
  <c r="X36" i="54"/>
  <c r="AB36" i="54" s="1"/>
  <c r="AC36" i="54"/>
  <c r="B65" i="16"/>
  <c r="G73" i="16"/>
  <c r="U39" i="42"/>
  <c r="L11" i="25"/>
  <c r="O11" i="25"/>
  <c r="G12" i="30"/>
  <c r="F16" i="30"/>
  <c r="H56" i="42"/>
  <c r="G56" i="42"/>
  <c r="E19" i="51"/>
  <c r="M19" i="51" s="1"/>
  <c r="J18" i="51"/>
  <c r="F19" i="50" s="1"/>
  <c r="X32" i="54"/>
  <c r="W36" i="50"/>
  <c r="AA36" i="50" s="1"/>
  <c r="C14" i="25"/>
  <c r="O16" i="15"/>
  <c r="O17" i="25"/>
  <c r="L17" i="25"/>
  <c r="G54" i="35"/>
  <c r="I54" i="35" s="1"/>
  <c r="H56" i="46"/>
  <c r="I56" i="46" s="1"/>
  <c r="G52" i="50"/>
  <c r="D71" i="49"/>
  <c r="D75" i="49" s="1"/>
  <c r="AB33" i="50"/>
  <c r="AC34" i="50"/>
  <c r="W33" i="42"/>
  <c r="G56" i="49"/>
  <c r="V39" i="49"/>
  <c r="D35" i="10"/>
  <c r="X16" i="14"/>
  <c r="D16" i="14"/>
  <c r="C52" i="14"/>
  <c r="G35" i="15"/>
  <c r="C52" i="19"/>
  <c r="L16" i="19"/>
  <c r="C50" i="1"/>
  <c r="D50" i="1" s="1"/>
  <c r="E17" i="25"/>
  <c r="L22" i="16"/>
  <c r="L23" i="16"/>
  <c r="B41" i="17"/>
  <c r="D41" i="17" s="1"/>
  <c r="D40" i="17"/>
  <c r="T16" i="16"/>
  <c r="S16" i="16" s="1"/>
  <c r="T45" i="29"/>
  <c r="T43" i="29"/>
  <c r="G56" i="35"/>
  <c r="H56" i="35"/>
  <c r="U39" i="35"/>
  <c r="C55" i="35" s="1"/>
  <c r="D55" i="35" s="1"/>
  <c r="G48" i="46"/>
  <c r="I48" i="46" s="1"/>
  <c r="D48" i="46"/>
  <c r="C12" i="25"/>
  <c r="H41" i="14"/>
  <c r="G41" i="14" s="1"/>
  <c r="X41" i="10"/>
  <c r="W41" i="10" s="1"/>
  <c r="B23" i="30"/>
  <c r="D21" i="30"/>
  <c r="AI17" i="36"/>
  <c r="Z43" i="36"/>
  <c r="Z45" i="36" s="1"/>
  <c r="W30" i="42"/>
  <c r="R39" i="42"/>
  <c r="G54" i="46"/>
  <c r="P24" i="16"/>
  <c r="I32" i="24"/>
  <c r="G32" i="24" s="1"/>
  <c r="H32" i="24"/>
  <c r="F32" i="24" s="1"/>
  <c r="E19" i="43"/>
  <c r="L18" i="43"/>
  <c r="H19" i="42" s="1"/>
  <c r="L19" i="42"/>
  <c r="Y31" i="46"/>
  <c r="H55" i="46"/>
  <c r="G55" i="46"/>
  <c r="AC28" i="50"/>
  <c r="Z28" i="50"/>
  <c r="AA28" i="50"/>
  <c r="X39" i="54"/>
  <c r="AB39" i="54" s="1"/>
  <c r="AC39" i="54"/>
  <c r="O15" i="25"/>
  <c r="L15" i="25"/>
  <c r="Y33" i="42"/>
  <c r="B24" i="23"/>
  <c r="C53" i="19"/>
  <c r="P41" i="14"/>
  <c r="O41" i="14" s="1"/>
  <c r="I12" i="25"/>
  <c r="H41" i="10"/>
  <c r="G54" i="32"/>
  <c r="J54" i="32" s="1"/>
  <c r="C54" i="32"/>
  <c r="D54" i="32" s="1"/>
  <c r="R39" i="46"/>
  <c r="H49" i="5"/>
  <c r="C103" i="5"/>
  <c r="D103" i="5" s="1"/>
  <c r="H10" i="9"/>
  <c r="D53" i="15"/>
  <c r="G35" i="21"/>
  <c r="O24" i="14"/>
  <c r="AD33" i="54"/>
  <c r="K16" i="29"/>
  <c r="T39" i="50"/>
  <c r="AC29" i="50"/>
  <c r="O38" i="45"/>
  <c r="K39" i="46" s="1"/>
  <c r="X33" i="46"/>
  <c r="W35" i="42"/>
  <c r="E31" i="24"/>
  <c r="H82" i="29"/>
  <c r="F10" i="27"/>
  <c r="J81" i="29"/>
  <c r="D10" i="27" s="1"/>
  <c r="W31" i="46"/>
  <c r="C53" i="10"/>
  <c r="P35" i="14"/>
  <c r="T16" i="14"/>
  <c r="C53" i="23"/>
  <c r="T41" i="19"/>
  <c r="S41" i="19" s="1"/>
  <c r="C15" i="25"/>
  <c r="T41" i="10"/>
  <c r="S41" i="10" s="1"/>
  <c r="F16" i="25"/>
  <c r="B62" i="16"/>
  <c r="N15" i="12" s="1"/>
  <c r="C57" i="16"/>
  <c r="X16" i="16"/>
  <c r="W16" i="16" s="1"/>
  <c r="E23" i="33"/>
  <c r="G21" i="33"/>
  <c r="Q40" i="35"/>
  <c r="P39" i="36"/>
  <c r="W26" i="42"/>
  <c r="T39" i="42"/>
  <c r="C54" i="42" s="1"/>
  <c r="E10" i="12"/>
  <c r="D53" i="14"/>
  <c r="H16" i="21"/>
  <c r="C52" i="21"/>
  <c r="T37" i="16"/>
  <c r="G60" i="32"/>
  <c r="H60" i="32"/>
  <c r="H46" i="32"/>
  <c r="C60" i="32"/>
  <c r="D60" i="32" s="1"/>
  <c r="H54" i="46"/>
  <c r="X32" i="46"/>
  <c r="H30" i="24"/>
  <c r="F30" i="24" s="1"/>
  <c r="H33" i="24"/>
  <c r="F33" i="24" s="1"/>
  <c r="I33" i="24"/>
  <c r="G33" i="24" s="1"/>
  <c r="O12" i="25"/>
  <c r="L12" i="25"/>
  <c r="C13" i="25"/>
  <c r="G11" i="25"/>
  <c r="Q11" i="25" s="1"/>
  <c r="D41" i="14"/>
  <c r="L43" i="29"/>
  <c r="K43" i="29" s="1"/>
  <c r="L44" i="29"/>
  <c r="G53" i="32"/>
  <c r="C53" i="32"/>
  <c r="T16" i="32"/>
  <c r="S16" i="32" s="1"/>
  <c r="X28" i="46"/>
  <c r="W28" i="46"/>
  <c r="G45" i="46"/>
  <c r="I52" i="42"/>
  <c r="AB15" i="5"/>
  <c r="AA20" i="5"/>
  <c r="AB20" i="5" s="1"/>
  <c r="H20" i="25"/>
  <c r="L13" i="25"/>
  <c r="D23" i="30"/>
  <c r="D12" i="27" s="1"/>
  <c r="N19" i="35"/>
  <c r="X32" i="42"/>
  <c r="W32" i="42"/>
  <c r="G53" i="42"/>
  <c r="G57" i="42" s="1"/>
  <c r="G54" i="50"/>
  <c r="I54" i="50" s="1"/>
  <c r="L26" i="32"/>
  <c r="K26" i="32" s="1"/>
  <c r="K16" i="32"/>
  <c r="T16" i="29"/>
  <c r="S16" i="29" s="1"/>
  <c r="H35" i="10"/>
  <c r="W35" i="23"/>
  <c r="AC32" i="54"/>
  <c r="O16" i="19"/>
  <c r="AD32" i="54"/>
  <c r="AA35" i="50"/>
  <c r="P39" i="46"/>
  <c r="I23" i="41"/>
  <c r="I15" i="37"/>
  <c r="G15" i="37" s="1"/>
  <c r="J15" i="37" s="1"/>
  <c r="V39" i="42"/>
  <c r="C56" i="42" s="1"/>
  <c r="D56" i="42" s="1"/>
  <c r="W96" i="5"/>
  <c r="X96" i="5" s="1"/>
  <c r="F13" i="12"/>
  <c r="F18" i="12" s="1"/>
  <c r="B61" i="15"/>
  <c r="D18" i="12"/>
  <c r="D9" i="12"/>
  <c r="D12" i="12" s="1"/>
  <c r="B55" i="14"/>
  <c r="S16" i="10"/>
  <c r="T24" i="10"/>
  <c r="S24" i="10" s="1"/>
  <c r="AA35" i="21"/>
  <c r="X41" i="14"/>
  <c r="W41" i="14" s="1"/>
  <c r="C16" i="25"/>
  <c r="P44" i="16"/>
  <c r="P43" i="16"/>
  <c r="P47" i="16" s="1"/>
  <c r="O47" i="16" s="1"/>
  <c r="X40" i="16"/>
  <c r="C62" i="16" s="1"/>
  <c r="C58" i="16"/>
  <c r="W37" i="16"/>
  <c r="C62" i="29"/>
  <c r="P44" i="29"/>
  <c r="H44" i="29"/>
  <c r="H43" i="29"/>
  <c r="G43" i="29" s="1"/>
  <c r="D22" i="29"/>
  <c r="D23" i="29"/>
  <c r="G60" i="29"/>
  <c r="G65" i="29" s="1"/>
  <c r="C60" i="29"/>
  <c r="C56" i="29"/>
  <c r="P16" i="29"/>
  <c r="H59" i="32"/>
  <c r="C59" i="32"/>
  <c r="D59" i="32" s="1"/>
  <c r="D46" i="32"/>
  <c r="G59" i="32"/>
  <c r="D43" i="32"/>
  <c r="C62" i="32"/>
  <c r="D62" i="32" s="1"/>
  <c r="D47" i="32"/>
  <c r="AA44" i="36"/>
  <c r="AA47" i="36"/>
  <c r="AA33" i="36"/>
  <c r="R39" i="35"/>
  <c r="G52" i="35"/>
  <c r="T41" i="54"/>
  <c r="Q10" i="12"/>
  <c r="D50" i="31"/>
  <c r="C52" i="10"/>
  <c r="G55" i="29"/>
  <c r="O20" i="5"/>
  <c r="P20" i="5" s="1"/>
  <c r="P15" i="5"/>
  <c r="D53" i="5"/>
  <c r="B61" i="21"/>
  <c r="B63" i="21" s="1"/>
  <c r="S24" i="19"/>
  <c r="P33" i="9"/>
  <c r="AB33" i="8"/>
  <c r="D41" i="15"/>
  <c r="C41" i="15" s="1"/>
  <c r="G13" i="30"/>
  <c r="D47" i="29"/>
  <c r="C47" i="29" s="1"/>
  <c r="T20" i="5"/>
  <c r="D87" i="5"/>
  <c r="D58" i="5"/>
  <c r="C54" i="15"/>
  <c r="D35" i="15"/>
  <c r="D16" i="15"/>
  <c r="C52" i="15"/>
  <c r="L35" i="19"/>
  <c r="C53" i="21"/>
  <c r="L35" i="23"/>
  <c r="T16" i="23"/>
  <c r="S16" i="23" s="1"/>
  <c r="T41" i="21"/>
  <c r="S41" i="21" s="1"/>
  <c r="D39" i="18"/>
  <c r="C41" i="18"/>
  <c r="D41" i="18" s="1"/>
  <c r="N26" i="32"/>
  <c r="O26" i="32" s="1"/>
  <c r="C55" i="32"/>
  <c r="D55" i="32" s="1"/>
  <c r="G55" i="32"/>
  <c r="J55" i="32" s="1"/>
  <c r="I15" i="41"/>
  <c r="G16" i="41"/>
  <c r="I16" i="41" s="1"/>
  <c r="J58" i="32"/>
  <c r="G47" i="46"/>
  <c r="I47" i="46" s="1"/>
  <c r="W27" i="42"/>
  <c r="X27" i="42"/>
  <c r="H13" i="12"/>
  <c r="H18" i="12" s="1"/>
  <c r="H22" i="12" s="1"/>
  <c r="H24" i="12" s="1"/>
  <c r="P41" i="15"/>
  <c r="O41" i="15" s="1"/>
  <c r="AB33" i="28"/>
  <c r="D16" i="28"/>
  <c r="G9" i="30"/>
  <c r="E16" i="30"/>
  <c r="C63" i="29"/>
  <c r="L24" i="29"/>
  <c r="L22" i="29"/>
  <c r="K22" i="29" s="1"/>
  <c r="B45" i="32"/>
  <c r="H21" i="34"/>
  <c r="H26" i="34"/>
  <c r="T91" i="5"/>
  <c r="S96" i="5"/>
  <c r="T96" i="5" s="1"/>
  <c r="X35" i="10"/>
  <c r="K13" i="25"/>
  <c r="B65" i="29"/>
  <c r="M19" i="35"/>
  <c r="B48" i="35"/>
  <c r="B49" i="35" s="1"/>
  <c r="H53" i="42"/>
  <c r="C55" i="29"/>
  <c r="AB27" i="9"/>
  <c r="N43" i="15"/>
  <c r="N43" i="19"/>
  <c r="F43" i="21"/>
  <c r="J18" i="12"/>
  <c r="Z47" i="16"/>
  <c r="AF33" i="8"/>
  <c r="D44" i="22"/>
  <c r="D46" i="18"/>
  <c r="C41" i="20"/>
  <c r="D41" i="20" s="1"/>
  <c r="D38" i="20"/>
  <c r="X45" i="29"/>
  <c r="O43" i="32"/>
  <c r="P45" i="32"/>
  <c r="O45" i="32" s="1"/>
  <c r="F9" i="12"/>
  <c r="F12" i="12" s="1"/>
  <c r="B55" i="15"/>
  <c r="P35" i="15"/>
  <c r="P35" i="23"/>
  <c r="Q7" i="24"/>
  <c r="E28" i="24" s="1"/>
  <c r="H41" i="21"/>
  <c r="G41" i="21" s="1"/>
  <c r="AB44" i="16"/>
  <c r="D45" i="31"/>
  <c r="W30" i="35"/>
  <c r="O19" i="42"/>
  <c r="C46" i="42" s="1"/>
  <c r="N39" i="42"/>
  <c r="B53" i="42"/>
  <c r="D53" i="42" s="1"/>
  <c r="T27" i="8"/>
  <c r="P10" i="18"/>
  <c r="J24" i="19"/>
  <c r="B24" i="21"/>
  <c r="B12" i="12"/>
  <c r="B22" i="12" s="1"/>
  <c r="B24" i="12" s="1"/>
  <c r="B61" i="14"/>
  <c r="P33" i="22"/>
  <c r="S13" i="24"/>
  <c r="D41" i="19"/>
  <c r="C41" i="19" s="1"/>
  <c r="S22" i="29"/>
  <c r="B41" i="22"/>
  <c r="D41" i="22" s="1"/>
  <c r="H60" i="29"/>
  <c r="I8" i="33"/>
  <c r="G62" i="32"/>
  <c r="J62" i="32" s="1"/>
  <c r="P87" i="5"/>
  <c r="L68" i="5"/>
  <c r="B55" i="10"/>
  <c r="B63" i="10" s="1"/>
  <c r="D27" i="8"/>
  <c r="T27" i="9"/>
  <c r="P10" i="17"/>
  <c r="AB27" i="20"/>
  <c r="J43" i="14"/>
  <c r="L18" i="12"/>
  <c r="L22" i="12" s="1"/>
  <c r="L24" i="12" s="1"/>
  <c r="S9" i="24"/>
  <c r="H41" i="15"/>
  <c r="G41" i="15" s="1"/>
  <c r="X16" i="32"/>
  <c r="W16" i="32" s="1"/>
  <c r="AA48" i="36"/>
  <c r="AM33" i="36"/>
  <c r="AB35" i="5"/>
  <c r="H27" i="28"/>
  <c r="C16" i="30"/>
  <c r="F11" i="27" s="1"/>
  <c r="I15" i="33"/>
  <c r="E16" i="33"/>
  <c r="AB33" i="31"/>
  <c r="I21" i="34"/>
  <c r="B43" i="31"/>
  <c r="D43" i="31" s="1"/>
  <c r="H16" i="33"/>
  <c r="I16" i="33" s="1"/>
  <c r="B63" i="32"/>
  <c r="B66" i="32" s="1"/>
  <c r="H43" i="31"/>
  <c r="H45" i="31" s="1"/>
  <c r="H53" i="35"/>
  <c r="AB33" i="20"/>
  <c r="H48" i="28"/>
  <c r="H49" i="28" s="1"/>
  <c r="J49" i="28" s="1"/>
  <c r="K49" i="28" s="1"/>
  <c r="G47" i="28"/>
  <c r="G49" i="28" s="1"/>
  <c r="P43" i="29"/>
  <c r="C15" i="52"/>
  <c r="H43" i="32"/>
  <c r="G43" i="32" s="1"/>
  <c r="AA17" i="36"/>
  <c r="AA43" i="36"/>
  <c r="AA45" i="36" s="1"/>
  <c r="AC45" i="36" s="1"/>
  <c r="AD45" i="36" s="1"/>
  <c r="Z47" i="36"/>
  <c r="Z49" i="36" s="1"/>
  <c r="Y30" i="46"/>
  <c r="AB41" i="23"/>
  <c r="I9" i="33"/>
  <c r="W46" i="36"/>
  <c r="V50" i="36"/>
  <c r="W50" i="36" s="1"/>
  <c r="O39" i="42"/>
  <c r="B54" i="42"/>
  <c r="J19" i="46"/>
  <c r="B64" i="46"/>
  <c r="B45" i="46"/>
  <c r="W40" i="15"/>
  <c r="X40" i="15" s="1"/>
  <c r="K16" i="25" s="1"/>
  <c r="F14" i="11"/>
  <c r="H14" i="11" s="1"/>
  <c r="O20" i="12" s="1"/>
  <c r="F26" i="32"/>
  <c r="G26" i="32" s="1"/>
  <c r="X27" i="31"/>
  <c r="AE17" i="36"/>
  <c r="H79" i="32"/>
  <c r="D40" i="31"/>
  <c r="Y26" i="46"/>
  <c r="B66" i="49"/>
  <c r="L19" i="49"/>
  <c r="B47" i="49"/>
  <c r="B49" i="49" s="1"/>
  <c r="B60" i="49" s="1"/>
  <c r="F9" i="50"/>
  <c r="N9" i="50" s="1"/>
  <c r="J14" i="51"/>
  <c r="F15" i="50" s="1"/>
  <c r="N15" i="50" s="1"/>
  <c r="H47" i="31"/>
  <c r="H49" i="31" s="1"/>
  <c r="J49" i="31" s="1"/>
  <c r="K49" i="31" s="1"/>
  <c r="U43" i="36"/>
  <c r="E20" i="35"/>
  <c r="M20" i="35" s="1"/>
  <c r="D74" i="42"/>
  <c r="AM27" i="36"/>
  <c r="Y28" i="49"/>
  <c r="I16" i="49"/>
  <c r="Q16" i="49" s="1"/>
  <c r="M16" i="48"/>
  <c r="I17" i="49" s="1"/>
  <c r="Q17" i="49" s="1"/>
  <c r="Q32" i="46"/>
  <c r="N38" i="48"/>
  <c r="J39" i="49" s="1"/>
  <c r="F39" i="48"/>
  <c r="B65" i="46"/>
  <c r="D65" i="46" s="1"/>
  <c r="B46" i="46"/>
  <c r="Y35" i="49"/>
  <c r="Q19" i="54"/>
  <c r="D49" i="54" s="1"/>
  <c r="E6" i="47"/>
  <c r="J13" i="47"/>
  <c r="C48" i="54"/>
  <c r="AG35" i="54"/>
  <c r="L37" i="54"/>
  <c r="V37" i="54" s="1"/>
  <c r="I55" i="54" s="1"/>
  <c r="M37" i="53"/>
  <c r="K37" i="54" s="1"/>
  <c r="U37" i="54" s="1"/>
  <c r="U41" i="54" s="1"/>
  <c r="C61" i="16" l="1"/>
  <c r="G57" i="49"/>
  <c r="E13" i="25"/>
  <c r="D43" i="1"/>
  <c r="I52" i="49"/>
  <c r="C15" i="12"/>
  <c r="D42" i="28"/>
  <c r="M36" i="51"/>
  <c r="K37" i="50" s="1"/>
  <c r="U37" i="50" s="1"/>
  <c r="P43" i="19"/>
  <c r="B63" i="19"/>
  <c r="Q12" i="25"/>
  <c r="P12" i="25" s="1"/>
  <c r="L43" i="21"/>
  <c r="K43" i="21" s="1"/>
  <c r="C43" i="21"/>
  <c r="B57" i="42"/>
  <c r="B60" i="42" s="1"/>
  <c r="X39" i="49"/>
  <c r="M8" i="11"/>
  <c r="I56" i="49"/>
  <c r="J62" i="29"/>
  <c r="C51" i="54"/>
  <c r="C62" i="54" s="1"/>
  <c r="J82" i="29"/>
  <c r="L47" i="29"/>
  <c r="K47" i="29" s="1"/>
  <c r="J73" i="32"/>
  <c r="D12" i="34" s="1"/>
  <c r="E12" i="34"/>
  <c r="J57" i="54"/>
  <c r="D75" i="35"/>
  <c r="AA47" i="29"/>
  <c r="C76" i="42"/>
  <c r="H56" i="54"/>
  <c r="I56" i="54"/>
  <c r="AB43" i="16"/>
  <c r="AA43" i="16" s="1"/>
  <c r="J50" i="1"/>
  <c r="K50" i="1" s="1"/>
  <c r="D68" i="35"/>
  <c r="T41" i="15"/>
  <c r="AB34" i="50"/>
  <c r="L26" i="29"/>
  <c r="K26" i="29" s="1"/>
  <c r="B57" i="35"/>
  <c r="B60" i="35" s="1"/>
  <c r="M12" i="11"/>
  <c r="I53" i="46"/>
  <c r="P38" i="45"/>
  <c r="L39" i="46" s="1"/>
  <c r="C63" i="32"/>
  <c r="H45" i="32"/>
  <c r="G45" i="32" s="1"/>
  <c r="D48" i="35"/>
  <c r="J63" i="29"/>
  <c r="D46" i="49"/>
  <c r="G48" i="50"/>
  <c r="I48" i="50" s="1"/>
  <c r="I13" i="25"/>
  <c r="N13" i="25" s="1"/>
  <c r="M13" i="25" s="1"/>
  <c r="H22" i="21"/>
  <c r="G22" i="21" s="1"/>
  <c r="AB33" i="54"/>
  <c r="J45" i="28"/>
  <c r="K45" i="28" s="1"/>
  <c r="D47" i="49"/>
  <c r="F23" i="33"/>
  <c r="H22" i="33"/>
  <c r="M19" i="43"/>
  <c r="G22" i="16"/>
  <c r="H72" i="16"/>
  <c r="B66" i="16" s="1"/>
  <c r="K35" i="14"/>
  <c r="D75" i="46"/>
  <c r="L43" i="16"/>
  <c r="L47" i="16" s="1"/>
  <c r="K47" i="16" s="1"/>
  <c r="K15" i="25"/>
  <c r="M20" i="46"/>
  <c r="K43" i="32"/>
  <c r="L45" i="32"/>
  <c r="K45" i="32" s="1"/>
  <c r="D75" i="42"/>
  <c r="X47" i="29"/>
  <c r="W47" i="29" s="1"/>
  <c r="C54" i="23"/>
  <c r="Q19" i="49"/>
  <c r="C48" i="49" s="1"/>
  <c r="C49" i="49" s="1"/>
  <c r="D49" i="49" s="1"/>
  <c r="J45" i="31"/>
  <c r="K45" i="31" s="1"/>
  <c r="I53" i="42"/>
  <c r="G65" i="16"/>
  <c r="C63" i="16"/>
  <c r="O16" i="12" s="1"/>
  <c r="L43" i="10"/>
  <c r="K43" i="10" s="1"/>
  <c r="AB32" i="54"/>
  <c r="I55" i="35"/>
  <c r="J58" i="54"/>
  <c r="P26" i="16"/>
  <c r="O26" i="16" s="1"/>
  <c r="P22" i="21"/>
  <c r="O22" i="21" s="1"/>
  <c r="B68" i="35"/>
  <c r="B76" i="35" s="1"/>
  <c r="D76" i="35" s="1"/>
  <c r="B39" i="8"/>
  <c r="AD26" i="8"/>
  <c r="E30" i="52"/>
  <c r="J75" i="29"/>
  <c r="D9" i="27" s="1"/>
  <c r="D14" i="27" s="1"/>
  <c r="E9" i="27"/>
  <c r="E14" i="27" s="1"/>
  <c r="F39" i="45"/>
  <c r="Q40" i="46" s="1"/>
  <c r="B76" i="42"/>
  <c r="D76" i="42" s="1"/>
  <c r="C70" i="54"/>
  <c r="C78" i="54" s="1"/>
  <c r="E78" i="54" s="1"/>
  <c r="G57" i="46"/>
  <c r="M17" i="12"/>
  <c r="D60" i="23"/>
  <c r="D43" i="23"/>
  <c r="C43" i="23" s="1"/>
  <c r="C35" i="23"/>
  <c r="P39" i="48"/>
  <c r="B49" i="46"/>
  <c r="B60" i="46" s="1"/>
  <c r="G63" i="32"/>
  <c r="N11" i="25"/>
  <c r="M11" i="25" s="1"/>
  <c r="I57" i="49"/>
  <c r="H57" i="46"/>
  <c r="H59" i="46" s="1"/>
  <c r="E16" i="25"/>
  <c r="C20" i="12"/>
  <c r="W41" i="19"/>
  <c r="AA41" i="54"/>
  <c r="N12" i="25"/>
  <c r="H47" i="29"/>
  <c r="G47" i="29" s="1"/>
  <c r="M19" i="36"/>
  <c r="O35" i="10"/>
  <c r="P43" i="10"/>
  <c r="O43" i="10" s="1"/>
  <c r="J22" i="12"/>
  <c r="J24" i="12" s="1"/>
  <c r="D54" i="42"/>
  <c r="D47" i="50"/>
  <c r="P11" i="25"/>
  <c r="V42" i="55"/>
  <c r="G48" i="42"/>
  <c r="I48" i="42" s="1"/>
  <c r="D48" i="42"/>
  <c r="D38" i="9"/>
  <c r="O13" i="12"/>
  <c r="D60" i="16"/>
  <c r="P39" i="43"/>
  <c r="H43" i="19"/>
  <c r="G43" i="19" s="1"/>
  <c r="G35" i="19"/>
  <c r="X41" i="15"/>
  <c r="W43" i="36"/>
  <c r="J60" i="32"/>
  <c r="I56" i="35"/>
  <c r="H43" i="15"/>
  <c r="G43" i="15" s="1"/>
  <c r="C57" i="21"/>
  <c r="K14" i="12" s="1"/>
  <c r="AB41" i="19"/>
  <c r="AA41" i="19" s="1"/>
  <c r="C104" i="5"/>
  <c r="D104" i="5" s="1"/>
  <c r="E50" i="54"/>
  <c r="H50" i="54"/>
  <c r="J50" i="54" s="1"/>
  <c r="AD26" i="9"/>
  <c r="AD27" i="9" s="1"/>
  <c r="E16" i="52"/>
  <c r="B39" i="9"/>
  <c r="D39" i="9" s="1"/>
  <c r="E11" i="12"/>
  <c r="D54" i="14"/>
  <c r="K24" i="10"/>
  <c r="AB27" i="55"/>
  <c r="X37" i="55"/>
  <c r="AB37" i="55" s="1"/>
  <c r="AB36" i="55"/>
  <c r="AB40" i="55"/>
  <c r="AB30" i="55"/>
  <c r="N20" i="56"/>
  <c r="AB26" i="55"/>
  <c r="AB31" i="55"/>
  <c r="AB34" i="55"/>
  <c r="U42" i="55"/>
  <c r="AB29" i="55"/>
  <c r="AB28" i="55"/>
  <c r="AA42" i="55"/>
  <c r="C105" i="5"/>
  <c r="D105" i="5" s="1"/>
  <c r="T77" i="5"/>
  <c r="C102" i="5"/>
  <c r="D102" i="5" s="1"/>
  <c r="AB38" i="55"/>
  <c r="AB25" i="55"/>
  <c r="X32" i="55"/>
  <c r="AB32" i="55" s="1"/>
  <c r="D54" i="54"/>
  <c r="S35" i="23"/>
  <c r="T43" i="23"/>
  <c r="S43" i="23" s="1"/>
  <c r="K35" i="23"/>
  <c r="L43" i="23"/>
  <c r="K43" i="23" s="1"/>
  <c r="O15" i="12"/>
  <c r="D62" i="16"/>
  <c r="J53" i="32"/>
  <c r="G57" i="32"/>
  <c r="J57" i="32" s="1"/>
  <c r="D53" i="10"/>
  <c r="C10" i="12"/>
  <c r="C55" i="14"/>
  <c r="D52" i="14"/>
  <c r="E9" i="12"/>
  <c r="P22" i="15"/>
  <c r="C59" i="15"/>
  <c r="C56" i="10"/>
  <c r="D22" i="10"/>
  <c r="C5" i="25"/>
  <c r="G59" i="29"/>
  <c r="J55" i="29"/>
  <c r="C16" i="14"/>
  <c r="H22" i="19"/>
  <c r="C6" i="25"/>
  <c r="I53" i="35"/>
  <c r="H57" i="35"/>
  <c r="C9" i="12"/>
  <c r="C55" i="10"/>
  <c r="D52" i="10"/>
  <c r="X39" i="42"/>
  <c r="W39" i="42"/>
  <c r="V40" i="42"/>
  <c r="L40" i="42" s="1"/>
  <c r="C52" i="42"/>
  <c r="D54" i="10"/>
  <c r="C11" i="12"/>
  <c r="P22" i="23"/>
  <c r="C59" i="23"/>
  <c r="C56" i="15"/>
  <c r="D22" i="15"/>
  <c r="C22" i="15" s="1"/>
  <c r="E49" i="54"/>
  <c r="H49" i="54"/>
  <c r="J49" i="54" s="1"/>
  <c r="N19" i="50"/>
  <c r="C45" i="50" s="1"/>
  <c r="O35" i="23"/>
  <c r="P43" i="23"/>
  <c r="O43" i="23" s="1"/>
  <c r="C16" i="15"/>
  <c r="C52" i="35"/>
  <c r="W39" i="35"/>
  <c r="V40" i="35"/>
  <c r="L40" i="35" s="1"/>
  <c r="D26" i="29"/>
  <c r="C22" i="29"/>
  <c r="C65" i="29"/>
  <c r="I52" i="46"/>
  <c r="AB43" i="14"/>
  <c r="AA43" i="14" s="1"/>
  <c r="AA41" i="14"/>
  <c r="I45" i="46"/>
  <c r="C41" i="14"/>
  <c r="D43" i="14"/>
  <c r="C43" i="14" s="1"/>
  <c r="D52" i="21"/>
  <c r="K9" i="12"/>
  <c r="F14" i="27"/>
  <c r="H43" i="21"/>
  <c r="G43" i="21" s="1"/>
  <c r="L26" i="16"/>
  <c r="K26" i="16" s="1"/>
  <c r="K22" i="16"/>
  <c r="G64" i="16"/>
  <c r="H65" i="16" s="1"/>
  <c r="K16" i="19"/>
  <c r="D43" i="10"/>
  <c r="C43" i="10" s="1"/>
  <c r="C35" i="10"/>
  <c r="I56" i="42"/>
  <c r="B68" i="16"/>
  <c r="N18" i="12"/>
  <c r="N22" i="12" s="1"/>
  <c r="N24" i="12" s="1"/>
  <c r="G76" i="16"/>
  <c r="H43" i="14"/>
  <c r="G43" i="14" s="1"/>
  <c r="M9" i="12"/>
  <c r="D52" i="23"/>
  <c r="C55" i="23"/>
  <c r="K43" i="14"/>
  <c r="S8" i="24"/>
  <c r="G66" i="16"/>
  <c r="C58" i="15"/>
  <c r="G6" i="25"/>
  <c r="I17" i="25"/>
  <c r="E7" i="25"/>
  <c r="L22" i="21"/>
  <c r="H22" i="23"/>
  <c r="K7" i="25"/>
  <c r="C60" i="14"/>
  <c r="T43" i="10"/>
  <c r="S43" i="10" s="1"/>
  <c r="S35" i="10"/>
  <c r="Q15" i="12"/>
  <c r="D62" i="29"/>
  <c r="O35" i="14"/>
  <c r="P43" i="14"/>
  <c r="O43" i="14" s="1"/>
  <c r="X43" i="15"/>
  <c r="W43" i="15" s="1"/>
  <c r="W41" i="15"/>
  <c r="G46" i="50"/>
  <c r="I46" i="50" s="1"/>
  <c r="D46" i="50"/>
  <c r="I52" i="50"/>
  <c r="G45" i="42"/>
  <c r="D45" i="42"/>
  <c r="C49" i="42"/>
  <c r="H22" i="15"/>
  <c r="E6" i="25"/>
  <c r="D64" i="46"/>
  <c r="D68" i="46" s="1"/>
  <c r="B68" i="46"/>
  <c r="D63" i="29"/>
  <c r="Q16" i="12"/>
  <c r="D57" i="19"/>
  <c r="I14" i="12"/>
  <c r="D63" i="32"/>
  <c r="C64" i="32"/>
  <c r="C43" i="32"/>
  <c r="D45" i="32"/>
  <c r="C45" i="32" s="1"/>
  <c r="X43" i="14"/>
  <c r="W43" i="14" s="1"/>
  <c r="C45" i="35"/>
  <c r="Q20" i="35"/>
  <c r="I20" i="35" s="1"/>
  <c r="L16" i="25"/>
  <c r="F20" i="25"/>
  <c r="O20" i="25" s="1"/>
  <c r="O16" i="25"/>
  <c r="Y39" i="42"/>
  <c r="C55" i="42"/>
  <c r="D55" i="42" s="1"/>
  <c r="G48" i="49"/>
  <c r="I48" i="49" s="1"/>
  <c r="D48" i="49"/>
  <c r="I45" i="49"/>
  <c r="C59" i="10"/>
  <c r="P22" i="10"/>
  <c r="I8" i="25"/>
  <c r="I28" i="24"/>
  <c r="G28" i="24" s="1"/>
  <c r="H28" i="24"/>
  <c r="F28" i="24" s="1"/>
  <c r="X43" i="21"/>
  <c r="W43" i="21" s="1"/>
  <c r="F46" i="10"/>
  <c r="G41" i="10"/>
  <c r="D54" i="23"/>
  <c r="M11" i="12"/>
  <c r="I55" i="50"/>
  <c r="G46" i="46"/>
  <c r="I46" i="46" s="1"/>
  <c r="D46" i="46"/>
  <c r="C60" i="19"/>
  <c r="L22" i="19"/>
  <c r="K22" i="19" s="1"/>
  <c r="O35" i="15"/>
  <c r="P43" i="15"/>
  <c r="O43" i="15" s="1"/>
  <c r="C35" i="15"/>
  <c r="D43" i="15"/>
  <c r="C43" i="15" s="1"/>
  <c r="B63" i="14"/>
  <c r="X43" i="23"/>
  <c r="W43" i="23" s="1"/>
  <c r="G16" i="21"/>
  <c r="H24" i="21"/>
  <c r="G24" i="21" s="1"/>
  <c r="G23" i="33"/>
  <c r="I21" i="33"/>
  <c r="C52" i="50"/>
  <c r="Q20" i="46"/>
  <c r="I20" i="46" s="1"/>
  <c r="C52" i="46"/>
  <c r="X39" i="46"/>
  <c r="W39" i="46"/>
  <c r="V40" i="46"/>
  <c r="L40" i="46" s="1"/>
  <c r="C56" i="16"/>
  <c r="D52" i="19"/>
  <c r="I9" i="12"/>
  <c r="C56" i="49"/>
  <c r="Y39" i="49"/>
  <c r="W39" i="49"/>
  <c r="G16" i="30"/>
  <c r="G80" i="32"/>
  <c r="E13" i="34"/>
  <c r="E17" i="34" s="1"/>
  <c r="K16" i="23"/>
  <c r="L24" i="23"/>
  <c r="K24" i="23" s="1"/>
  <c r="AB26" i="54"/>
  <c r="C55" i="50"/>
  <c r="D55" i="50" s="1"/>
  <c r="AC39" i="50"/>
  <c r="H43" i="23"/>
  <c r="G43" i="23" s="1"/>
  <c r="G41" i="23"/>
  <c r="J64" i="29"/>
  <c r="C49" i="46"/>
  <c r="E48" i="54"/>
  <c r="H55" i="54"/>
  <c r="J55" i="54" s="1"/>
  <c r="G7" i="25"/>
  <c r="C58" i="21"/>
  <c r="I15" i="25"/>
  <c r="T41" i="14"/>
  <c r="C57" i="23"/>
  <c r="D22" i="14"/>
  <c r="C22" i="14" s="1"/>
  <c r="C56" i="14"/>
  <c r="C60" i="15"/>
  <c r="L22" i="15"/>
  <c r="T35" i="21"/>
  <c r="C54" i="21"/>
  <c r="AA41" i="23"/>
  <c r="AB43" i="23"/>
  <c r="AA43" i="23" s="1"/>
  <c r="D53" i="32"/>
  <c r="C57" i="32"/>
  <c r="C59" i="29"/>
  <c r="Q8" i="12"/>
  <c r="D55" i="29"/>
  <c r="X43" i="10"/>
  <c r="W43" i="10" s="1"/>
  <c r="W35" i="10"/>
  <c r="D53" i="21"/>
  <c r="K10" i="12"/>
  <c r="H57" i="42"/>
  <c r="K35" i="15"/>
  <c r="D64" i="29"/>
  <c r="Q17" i="12"/>
  <c r="C60" i="10"/>
  <c r="K8" i="25"/>
  <c r="F13" i="34"/>
  <c r="F17" i="34" s="1"/>
  <c r="J79" i="32"/>
  <c r="D13" i="34" s="1"/>
  <c r="D17" i="34" s="1"/>
  <c r="H80" i="32"/>
  <c r="K35" i="19"/>
  <c r="L43" i="19"/>
  <c r="K43" i="19" s="1"/>
  <c r="H10" i="27"/>
  <c r="I55" i="46"/>
  <c r="I54" i="42"/>
  <c r="I57" i="42" s="1"/>
  <c r="P22" i="19"/>
  <c r="C59" i="19"/>
  <c r="C56" i="23"/>
  <c r="D22" i="23"/>
  <c r="D52" i="15"/>
  <c r="C55" i="15"/>
  <c r="G9" i="12"/>
  <c r="T47" i="16"/>
  <c r="S47" i="16" s="1"/>
  <c r="S37" i="16"/>
  <c r="S43" i="29"/>
  <c r="T47" i="29"/>
  <c r="S47" i="29" s="1"/>
  <c r="X24" i="14"/>
  <c r="W24" i="14" s="1"/>
  <c r="W16" i="14"/>
  <c r="M15" i="12"/>
  <c r="D58" i="23"/>
  <c r="AC37" i="54"/>
  <c r="X37" i="54"/>
  <c r="AB37" i="54" s="1"/>
  <c r="G46" i="42"/>
  <c r="I46" i="42" s="1"/>
  <c r="D46" i="42"/>
  <c r="B63" i="15"/>
  <c r="P18" i="12"/>
  <c r="D54" i="15"/>
  <c r="G11" i="12"/>
  <c r="AA49" i="36"/>
  <c r="AC49" i="36" s="1"/>
  <c r="AD49" i="36" s="1"/>
  <c r="J59" i="32"/>
  <c r="L41" i="15"/>
  <c r="K41" i="15" s="1"/>
  <c r="D22" i="12"/>
  <c r="D24" i="12" s="1"/>
  <c r="B68" i="29"/>
  <c r="I54" i="46"/>
  <c r="D53" i="23"/>
  <c r="M10" i="12"/>
  <c r="H31" i="24"/>
  <c r="F31" i="24" s="1"/>
  <c r="I31" i="24"/>
  <c r="G31" i="24" s="1"/>
  <c r="D43" i="19"/>
  <c r="C43" i="19" s="1"/>
  <c r="D53" i="19"/>
  <c r="I10" i="12"/>
  <c r="O43" i="19"/>
  <c r="AD41" i="54"/>
  <c r="D57" i="54"/>
  <c r="E57" i="54" s="1"/>
  <c r="D57" i="10"/>
  <c r="C14" i="12"/>
  <c r="I56" i="50"/>
  <c r="H29" i="24"/>
  <c r="F29" i="24" s="1"/>
  <c r="I29" i="24"/>
  <c r="G29" i="24" s="1"/>
  <c r="D64" i="16"/>
  <c r="O17" i="12"/>
  <c r="V41" i="54"/>
  <c r="D55" i="54" s="1"/>
  <c r="E55" i="54" s="1"/>
  <c r="I15" i="12"/>
  <c r="D58" i="19"/>
  <c r="I16" i="25"/>
  <c r="E5" i="25"/>
  <c r="C57" i="14"/>
  <c r="C56" i="19"/>
  <c r="D22" i="19"/>
  <c r="J60" i="29"/>
  <c r="H65" i="29"/>
  <c r="Q9" i="12"/>
  <c r="D56" i="29"/>
  <c r="O10" i="12"/>
  <c r="D57" i="16"/>
  <c r="H13" i="44"/>
  <c r="C55" i="46"/>
  <c r="D55" i="46" s="1"/>
  <c r="Y39" i="46"/>
  <c r="H13" i="37"/>
  <c r="I14" i="25"/>
  <c r="P41" i="21"/>
  <c r="C56" i="21"/>
  <c r="D22" i="21"/>
  <c r="Q13" i="12"/>
  <c r="D60" i="29"/>
  <c r="AB47" i="16"/>
  <c r="AA47" i="16" s="1"/>
  <c r="C18" i="25"/>
  <c r="AF41" i="10"/>
  <c r="D58" i="16"/>
  <c r="O11" i="12"/>
  <c r="C57" i="15"/>
  <c r="G57" i="35"/>
  <c r="X44" i="16"/>
  <c r="X43" i="16"/>
  <c r="X47" i="16" s="1"/>
  <c r="W47" i="16" s="1"/>
  <c r="G16" i="25"/>
  <c r="D45" i="46"/>
  <c r="O14" i="12"/>
  <c r="D61" i="16"/>
  <c r="E15" i="12"/>
  <c r="D58" i="14"/>
  <c r="D66" i="49"/>
  <c r="D68" i="49" s="1"/>
  <c r="B68" i="49"/>
  <c r="B76" i="49" s="1"/>
  <c r="D76" i="49" s="1"/>
  <c r="O43" i="29"/>
  <c r="P47" i="29"/>
  <c r="O47" i="29" s="1"/>
  <c r="F22" i="12"/>
  <c r="F24" i="12" s="1"/>
  <c r="Q13" i="25"/>
  <c r="P13" i="25" s="1"/>
  <c r="H63" i="32"/>
  <c r="O16" i="29"/>
  <c r="P26" i="29"/>
  <c r="O26" i="29" s="1"/>
  <c r="G35" i="10"/>
  <c r="H43" i="10"/>
  <c r="G43" i="10" s="1"/>
  <c r="M12" i="25"/>
  <c r="S16" i="14"/>
  <c r="T24" i="14"/>
  <c r="S24" i="14" s="1"/>
  <c r="H54" i="54"/>
  <c r="I52" i="35"/>
  <c r="S41" i="15"/>
  <c r="T43" i="15"/>
  <c r="S43" i="15" s="1"/>
  <c r="I54" i="54"/>
  <c r="P24" i="21"/>
  <c r="O24" i="21" s="1"/>
  <c r="D47" i="35"/>
  <c r="G47" i="35"/>
  <c r="I47" i="35" s="1"/>
  <c r="H47" i="54"/>
  <c r="E47" i="54"/>
  <c r="D51" i="54"/>
  <c r="C101" i="5"/>
  <c r="D101" i="5" s="1"/>
  <c r="Q20" i="42"/>
  <c r="I20" i="42" s="1"/>
  <c r="S7" i="24"/>
  <c r="AB43" i="21"/>
  <c r="AA43" i="21" s="1"/>
  <c r="AA41" i="21"/>
  <c r="I7" i="25"/>
  <c r="L22" i="14"/>
  <c r="C59" i="14"/>
  <c r="C59" i="21"/>
  <c r="D57" i="21"/>
  <c r="AB43" i="19"/>
  <c r="AA43" i="19" s="1"/>
  <c r="AB41" i="10"/>
  <c r="C17" i="25"/>
  <c r="K17" i="12"/>
  <c r="D60" i="21"/>
  <c r="C54" i="19"/>
  <c r="C55" i="19" s="1"/>
  <c r="T35" i="19"/>
  <c r="W37" i="50" l="1"/>
  <c r="U39" i="50"/>
  <c r="G53" i="50"/>
  <c r="G57" i="50" s="1"/>
  <c r="AA37" i="50"/>
  <c r="AB37" i="50"/>
  <c r="H53" i="50"/>
  <c r="J80" i="32"/>
  <c r="E20" i="27"/>
  <c r="E21" i="27" s="1"/>
  <c r="E15" i="27"/>
  <c r="J56" i="54"/>
  <c r="N16" i="25"/>
  <c r="P39" i="45"/>
  <c r="D15" i="27"/>
  <c r="D20" i="27"/>
  <c r="D21" i="27" s="1"/>
  <c r="I22" i="33"/>
  <c r="H23" i="33"/>
  <c r="I15" i="34" s="1"/>
  <c r="I13" i="44"/>
  <c r="I18" i="44" s="1"/>
  <c r="I19" i="44" s="1"/>
  <c r="L20" i="25"/>
  <c r="D63" i="16"/>
  <c r="E12" i="12"/>
  <c r="AD27" i="8"/>
  <c r="D30" i="52"/>
  <c r="B40" i="8"/>
  <c r="D40" i="8" s="1"/>
  <c r="I57" i="35"/>
  <c r="D39" i="8"/>
  <c r="L43" i="15"/>
  <c r="K43" i="15" s="1"/>
  <c r="G49" i="49"/>
  <c r="I49" i="49" s="1"/>
  <c r="D24" i="15"/>
  <c r="C24" i="15" s="1"/>
  <c r="G64" i="32"/>
  <c r="B40" i="9"/>
  <c r="D40" i="9" s="1"/>
  <c r="D16" i="52"/>
  <c r="X42" i="55"/>
  <c r="AB42" i="55" s="1"/>
  <c r="D55" i="19"/>
  <c r="H64" i="32"/>
  <c r="J63" i="32"/>
  <c r="N7" i="25"/>
  <c r="M7" i="25" s="1"/>
  <c r="Q7" i="25"/>
  <c r="P7" i="25" s="1"/>
  <c r="K20" i="25"/>
  <c r="E16" i="12"/>
  <c r="D59" i="14"/>
  <c r="D24" i="19"/>
  <c r="C24" i="19" s="1"/>
  <c r="C22" i="19"/>
  <c r="D55" i="10"/>
  <c r="D56" i="19"/>
  <c r="I13" i="12"/>
  <c r="C61" i="19"/>
  <c r="D61" i="19" s="1"/>
  <c r="H59" i="42"/>
  <c r="I13" i="37"/>
  <c r="I18" i="37" s="1"/>
  <c r="I19" i="37" s="1"/>
  <c r="H15" i="34"/>
  <c r="K22" i="21"/>
  <c r="L24" i="21"/>
  <c r="K24" i="21" s="1"/>
  <c r="D55" i="23"/>
  <c r="G49" i="46"/>
  <c r="C12" i="12"/>
  <c r="J59" i="29"/>
  <c r="G9" i="27" s="1"/>
  <c r="H9" i="27"/>
  <c r="H14" i="27" s="1"/>
  <c r="D55" i="14"/>
  <c r="AA41" i="10"/>
  <c r="AB43" i="10"/>
  <c r="AA43" i="10" s="1"/>
  <c r="I20" i="25"/>
  <c r="H51" i="54"/>
  <c r="J51" i="54" s="1"/>
  <c r="J47" i="54"/>
  <c r="H13" i="34"/>
  <c r="N18" i="25"/>
  <c r="M18" i="25" s="1"/>
  <c r="Q18" i="25"/>
  <c r="P18" i="25" s="1"/>
  <c r="O41" i="21"/>
  <c r="P43" i="21"/>
  <c r="O43" i="21" s="1"/>
  <c r="E14" i="12"/>
  <c r="D57" i="14"/>
  <c r="G12" i="12"/>
  <c r="Q8" i="25"/>
  <c r="P8" i="25" s="1"/>
  <c r="N8" i="25"/>
  <c r="M8" i="25" s="1"/>
  <c r="D49" i="46"/>
  <c r="B76" i="46"/>
  <c r="D76" i="46" s="1"/>
  <c r="E12" i="44"/>
  <c r="D52" i="42"/>
  <c r="C57" i="42"/>
  <c r="D57" i="42" s="1"/>
  <c r="I13" i="34"/>
  <c r="H59" i="35"/>
  <c r="C20" i="25"/>
  <c r="D59" i="54"/>
  <c r="E59" i="54" s="1"/>
  <c r="E54" i="54"/>
  <c r="D57" i="15"/>
  <c r="G14" i="12"/>
  <c r="N14" i="25"/>
  <c r="M14" i="25" s="1"/>
  <c r="Q14" i="25"/>
  <c r="P14" i="25" s="1"/>
  <c r="Q5" i="25"/>
  <c r="E20" i="25"/>
  <c r="N5" i="25"/>
  <c r="M5" i="25" s="1"/>
  <c r="D55" i="15"/>
  <c r="D60" i="10"/>
  <c r="C17" i="12"/>
  <c r="D57" i="23"/>
  <c r="M14" i="12"/>
  <c r="D56" i="49"/>
  <c r="C57" i="49"/>
  <c r="C57" i="46"/>
  <c r="D57" i="46" s="1"/>
  <c r="D52" i="46"/>
  <c r="Q17" i="25"/>
  <c r="P17" i="25" s="1"/>
  <c r="N17" i="25"/>
  <c r="M17" i="25" s="1"/>
  <c r="M12" i="12"/>
  <c r="F15" i="27"/>
  <c r="F20" i="27"/>
  <c r="F21" i="27" s="1"/>
  <c r="D52" i="35"/>
  <c r="C57" i="35"/>
  <c r="D57" i="35" s="1"/>
  <c r="D24" i="10"/>
  <c r="C24" i="10" s="1"/>
  <c r="C22" i="10"/>
  <c r="AC41" i="54"/>
  <c r="AC42" i="54" s="1"/>
  <c r="D59" i="21"/>
  <c r="K16" i="12"/>
  <c r="K22" i="15"/>
  <c r="L24" i="15"/>
  <c r="K24" i="15" s="1"/>
  <c r="D52" i="50"/>
  <c r="J54" i="54"/>
  <c r="J59" i="54" s="1"/>
  <c r="I59" i="54"/>
  <c r="I61" i="54" s="1"/>
  <c r="D60" i="15"/>
  <c r="G17" i="12"/>
  <c r="H24" i="23"/>
  <c r="G24" i="23" s="1"/>
  <c r="G22" i="23"/>
  <c r="C61" i="21"/>
  <c r="D61" i="21" s="1"/>
  <c r="K13" i="12"/>
  <c r="D56" i="21"/>
  <c r="D56" i="14"/>
  <c r="E13" i="12"/>
  <c r="C61" i="14"/>
  <c r="D61" i="14" s="1"/>
  <c r="G66" i="29"/>
  <c r="T43" i="14"/>
  <c r="S43" i="14" s="1"/>
  <c r="S41" i="14"/>
  <c r="B64" i="32"/>
  <c r="D64" i="32" s="1"/>
  <c r="P24" i="10"/>
  <c r="O24" i="10" s="1"/>
  <c r="O22" i="10"/>
  <c r="G20" i="25"/>
  <c r="Q6" i="25"/>
  <c r="P6" i="25" s="1"/>
  <c r="N6" i="25"/>
  <c r="M6" i="25" s="1"/>
  <c r="L24" i="19"/>
  <c r="K24" i="19" s="1"/>
  <c r="G13" i="12"/>
  <c r="D56" i="15"/>
  <c r="C61" i="15"/>
  <c r="D61" i="15" s="1"/>
  <c r="D56" i="10"/>
  <c r="C61" i="10"/>
  <c r="D61" i="10" s="1"/>
  <c r="C13" i="12"/>
  <c r="I26" i="44"/>
  <c r="I27" i="44"/>
  <c r="I16" i="12"/>
  <c r="D59" i="19"/>
  <c r="C22" i="21"/>
  <c r="D24" i="21"/>
  <c r="C24" i="21" s="1"/>
  <c r="D45" i="35"/>
  <c r="G45" i="35"/>
  <c r="C49" i="35"/>
  <c r="D45" i="50"/>
  <c r="G45" i="50"/>
  <c r="C49" i="50"/>
  <c r="D57" i="32"/>
  <c r="C66" i="32"/>
  <c r="D66" i="32" s="1"/>
  <c r="T43" i="19"/>
  <c r="S43" i="19" s="1"/>
  <c r="S35" i="19"/>
  <c r="H59" i="54"/>
  <c r="Q16" i="25"/>
  <c r="P16" i="25" s="1"/>
  <c r="D24" i="23"/>
  <c r="C24" i="23" s="1"/>
  <c r="C22" i="23"/>
  <c r="K11" i="12"/>
  <c r="K12" i="12" s="1"/>
  <c r="D54" i="21"/>
  <c r="Q15" i="25"/>
  <c r="P15" i="25" s="1"/>
  <c r="N15" i="25"/>
  <c r="M15" i="25" s="1"/>
  <c r="C16" i="12"/>
  <c r="D59" i="10"/>
  <c r="H24" i="15"/>
  <c r="G24" i="15" s="1"/>
  <c r="G22" i="15"/>
  <c r="D58" i="15"/>
  <c r="G15" i="12"/>
  <c r="I57" i="46"/>
  <c r="M16" i="12"/>
  <c r="D59" i="23"/>
  <c r="H24" i="19"/>
  <c r="G24" i="19" s="1"/>
  <c r="G22" i="19"/>
  <c r="G16" i="12"/>
  <c r="D59" i="15"/>
  <c r="D56" i="16"/>
  <c r="O9" i="12"/>
  <c r="C59" i="16"/>
  <c r="E51" i="54"/>
  <c r="O22" i="19"/>
  <c r="P24" i="19"/>
  <c r="O24" i="19" s="1"/>
  <c r="Q12" i="12"/>
  <c r="C68" i="29"/>
  <c r="D68" i="29" s="1"/>
  <c r="D59" i="29"/>
  <c r="X41" i="54"/>
  <c r="AB41" i="54" s="1"/>
  <c r="I45" i="42"/>
  <c r="G49" i="42"/>
  <c r="C65" i="16"/>
  <c r="L24" i="14"/>
  <c r="K24" i="14" s="1"/>
  <c r="K22" i="14"/>
  <c r="AF43" i="10"/>
  <c r="AE43" i="10" s="1"/>
  <c r="AE41" i="10"/>
  <c r="D54" i="19"/>
  <c r="I11" i="12"/>
  <c r="I12" i="12" s="1"/>
  <c r="L24" i="25"/>
  <c r="H66" i="29"/>
  <c r="J66" i="29" s="1"/>
  <c r="I10" i="27"/>
  <c r="I14" i="27" s="1"/>
  <c r="J65" i="29"/>
  <c r="G10" i="27" s="1"/>
  <c r="J10" i="27" s="1"/>
  <c r="D56" i="23"/>
  <c r="M13" i="12"/>
  <c r="C61" i="23"/>
  <c r="D61" i="23" s="1"/>
  <c r="T43" i="21"/>
  <c r="S43" i="21" s="1"/>
  <c r="S35" i="21"/>
  <c r="D58" i="21"/>
  <c r="K15" i="12"/>
  <c r="I17" i="12"/>
  <c r="D60" i="19"/>
  <c r="M16" i="25"/>
  <c r="D49" i="42"/>
  <c r="C60" i="42"/>
  <c r="D60" i="42" s="1"/>
  <c r="E17" i="12"/>
  <c r="D60" i="14"/>
  <c r="C55" i="21"/>
  <c r="C66" i="29"/>
  <c r="D65" i="29"/>
  <c r="Q18" i="12"/>
  <c r="P24" i="23"/>
  <c r="O24" i="23" s="1"/>
  <c r="O22" i="23"/>
  <c r="D24" i="14"/>
  <c r="C24" i="14" s="1"/>
  <c r="P24" i="15"/>
  <c r="O24" i="15" s="1"/>
  <c r="O22" i="15"/>
  <c r="G67" i="16"/>
  <c r="H66" i="16" s="1"/>
  <c r="H57" i="50" l="1"/>
  <c r="H59" i="50" s="1"/>
  <c r="I53" i="50"/>
  <c r="I57" i="50" s="1"/>
  <c r="C53" i="50"/>
  <c r="AB39" i="50"/>
  <c r="AB40" i="50" s="1"/>
  <c r="AA39" i="50"/>
  <c r="C18" i="12"/>
  <c r="C22" i="12" s="1"/>
  <c r="C24" i="12" s="1"/>
  <c r="C26" i="12" s="1"/>
  <c r="G15" i="34"/>
  <c r="J15" i="34" s="1"/>
  <c r="G13" i="44"/>
  <c r="J13" i="44" s="1"/>
  <c r="G59" i="49"/>
  <c r="I59" i="49" s="1"/>
  <c r="I18" i="34"/>
  <c r="I19" i="34" s="1"/>
  <c r="I27" i="34" s="1"/>
  <c r="G13" i="34"/>
  <c r="J13" i="34" s="1"/>
  <c r="M18" i="12"/>
  <c r="M22" i="12" s="1"/>
  <c r="M24" i="12" s="1"/>
  <c r="M26" i="12" s="1"/>
  <c r="B41" i="8"/>
  <c r="D41" i="8" s="1"/>
  <c r="I23" i="33"/>
  <c r="J64" i="32"/>
  <c r="C63" i="15"/>
  <c r="D63" i="15" s="1"/>
  <c r="C63" i="23"/>
  <c r="D63" i="23" s="1"/>
  <c r="C63" i="19"/>
  <c r="D63" i="19" s="1"/>
  <c r="B41" i="9"/>
  <c r="D41" i="9" s="1"/>
  <c r="I45" i="35"/>
  <c r="G49" i="35"/>
  <c r="I27" i="37"/>
  <c r="I26" i="37"/>
  <c r="I49" i="42"/>
  <c r="H12" i="37"/>
  <c r="G59" i="42"/>
  <c r="I59" i="42" s="1"/>
  <c r="P5" i="25"/>
  <c r="Q23" i="25"/>
  <c r="C60" i="46"/>
  <c r="D60" i="46" s="1"/>
  <c r="D49" i="50"/>
  <c r="E18" i="12"/>
  <c r="E22" i="12" s="1"/>
  <c r="E24" i="12" s="1"/>
  <c r="E26" i="12" s="1"/>
  <c r="I15" i="27"/>
  <c r="I21" i="27" s="1"/>
  <c r="I20" i="27"/>
  <c r="D12" i="44"/>
  <c r="D17" i="44" s="1"/>
  <c r="E17" i="44"/>
  <c r="D57" i="49"/>
  <c r="C60" i="49"/>
  <c r="D60" i="49" s="1"/>
  <c r="I49" i="46"/>
  <c r="H12" i="44"/>
  <c r="G59" i="46"/>
  <c r="I59" i="46" s="1"/>
  <c r="D62" i="54"/>
  <c r="E62" i="54" s="1"/>
  <c r="C68" i="16"/>
  <c r="D68" i="16" s="1"/>
  <c r="D59" i="16"/>
  <c r="O12" i="12"/>
  <c r="G13" i="37"/>
  <c r="J13" i="37" s="1"/>
  <c r="I45" i="50"/>
  <c r="G49" i="50"/>
  <c r="G18" i="12"/>
  <c r="G22" i="12" s="1"/>
  <c r="G24" i="12" s="1"/>
  <c r="G26" i="12" s="1"/>
  <c r="I18" i="12"/>
  <c r="I22" i="12" s="1"/>
  <c r="I24" i="12" s="1"/>
  <c r="I26" i="12" s="1"/>
  <c r="J9" i="27"/>
  <c r="G14" i="27"/>
  <c r="C66" i="16"/>
  <c r="D66" i="16" s="1"/>
  <c r="O18" i="12"/>
  <c r="D65" i="16"/>
  <c r="C63" i="14"/>
  <c r="D63" i="14" s="1"/>
  <c r="D55" i="21"/>
  <c r="C63" i="21"/>
  <c r="D63" i="21" s="1"/>
  <c r="H61" i="54"/>
  <c r="J61" i="54" s="1"/>
  <c r="D49" i="35"/>
  <c r="C60" i="35"/>
  <c r="D60" i="35" s="1"/>
  <c r="K18" i="12"/>
  <c r="K22" i="12" s="1"/>
  <c r="K24" i="12" s="1"/>
  <c r="K26" i="12" s="1"/>
  <c r="H15" i="27"/>
  <c r="H21" i="27" s="1"/>
  <c r="H20" i="27"/>
  <c r="C63" i="10"/>
  <c r="D63" i="10" s="1"/>
  <c r="N20" i="25"/>
  <c r="Q20" i="25"/>
  <c r="B66" i="29"/>
  <c r="D66" i="29" s="1"/>
  <c r="D53" i="50" l="1"/>
  <c r="C57" i="50"/>
  <c r="Q24" i="25"/>
  <c r="R24" i="25" s="1"/>
  <c r="I49" i="50"/>
  <c r="G59" i="50"/>
  <c r="I59" i="50" s="1"/>
  <c r="G12" i="44"/>
  <c r="H18" i="44"/>
  <c r="H19" i="44" s="1"/>
  <c r="P20" i="25"/>
  <c r="Q21" i="25" s="1"/>
  <c r="N21" i="25"/>
  <c r="M20" i="25"/>
  <c r="G20" i="27"/>
  <c r="G15" i="27"/>
  <c r="G21" i="27" s="1"/>
  <c r="G23" i="27" s="1"/>
  <c r="O22" i="12"/>
  <c r="O24" i="12" s="1"/>
  <c r="G12" i="37"/>
  <c r="H18" i="37"/>
  <c r="H19" i="37" s="1"/>
  <c r="I49" i="35"/>
  <c r="H12" i="34"/>
  <c r="G59" i="35"/>
  <c r="I59" i="35" s="1"/>
  <c r="D57" i="50" l="1"/>
  <c r="C60" i="50"/>
  <c r="D60" i="50" s="1"/>
  <c r="J12" i="44"/>
  <c r="G18" i="44"/>
  <c r="G19" i="44" s="1"/>
  <c r="H18" i="34"/>
  <c r="H19" i="34" s="1"/>
  <c r="H27" i="34" s="1"/>
  <c r="G12" i="34"/>
  <c r="H27" i="37"/>
  <c r="H26" i="37"/>
  <c r="G18" i="37"/>
  <c r="G19" i="37" s="1"/>
  <c r="J12" i="37"/>
  <c r="H26" i="44"/>
  <c r="H27" i="44"/>
  <c r="G27" i="44" l="1"/>
  <c r="G29" i="44" s="1"/>
  <c r="G26" i="44"/>
  <c r="G26" i="37"/>
  <c r="G27" i="37"/>
  <c r="G29" i="37" s="1"/>
  <c r="J12" i="34"/>
  <c r="G18" i="34"/>
  <c r="G19" i="34" s="1"/>
  <c r="G27" i="34" s="1"/>
  <c r="G29" i="3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ODFW Employee</author>
  </authors>
  <commentList>
    <comment ref="O145" authorId="0" shapeId="0" xr:uid="{00000000-0006-0000-0100-000001000000}">
      <text>
        <r>
          <rPr>
            <b/>
            <sz val="8"/>
            <color indexed="81"/>
            <rFont val="Tahoma"/>
            <family val="2"/>
          </rPr>
          <t>ODFW Employee:</t>
        </r>
        <r>
          <rPr>
            <sz val="8"/>
            <color indexed="81"/>
            <rFont val="Tahoma"/>
            <family val="2"/>
          </rPr>
          <t xml:space="preserve">
Sampling was zone 4-5</t>
        </r>
      </text>
    </comment>
    <comment ref="N150" authorId="0" shapeId="0" xr:uid="{00000000-0006-0000-0100-000002000000}">
      <text>
        <r>
          <rPr>
            <b/>
            <sz val="8"/>
            <color indexed="81"/>
            <rFont val="Tahoma"/>
            <family val="2"/>
          </rPr>
          <t>ODFW Employee:</t>
        </r>
        <r>
          <rPr>
            <sz val="8"/>
            <color indexed="81"/>
            <rFont val="Tahoma"/>
            <family val="2"/>
          </rPr>
          <t xml:space="preserve">
issue with sampling versus landings pooling - need to put both landings and samples as 4-5 combined</t>
        </r>
      </text>
    </comment>
    <comment ref="O150" authorId="0" shapeId="0" xr:uid="{00000000-0006-0000-0100-000003000000}">
      <text>
        <r>
          <rPr>
            <b/>
            <sz val="8"/>
            <color indexed="81"/>
            <rFont val="Tahoma"/>
            <family val="2"/>
          </rPr>
          <t>ODFW Employee:</t>
        </r>
        <r>
          <rPr>
            <sz val="8"/>
            <color indexed="81"/>
            <rFont val="Tahoma"/>
            <family val="2"/>
          </rPr>
          <t xml:space="preserve">
issue with sampling versus landings pooling - need to put both landings and samples as 4-5 combined</t>
        </r>
      </text>
    </comment>
    <comment ref="S150" authorId="0" shapeId="0" xr:uid="{00000000-0006-0000-0100-000004000000}">
      <text>
        <r>
          <rPr>
            <b/>
            <sz val="8"/>
            <color indexed="81"/>
            <rFont val="Tahoma"/>
            <family val="2"/>
          </rPr>
          <t>ODFW Employee:</t>
        </r>
        <r>
          <rPr>
            <sz val="8"/>
            <color indexed="81"/>
            <rFont val="Tahoma"/>
            <family val="2"/>
          </rPr>
          <t xml:space="preserve">
issue with sampling versus landings pooling - need to put both landings and samples as 4-5 combined</t>
        </r>
      </text>
    </comment>
    <comment ref="T150" authorId="0" shapeId="0" xr:uid="{00000000-0006-0000-0100-000005000000}">
      <text>
        <r>
          <rPr>
            <b/>
            <sz val="8"/>
            <color indexed="81"/>
            <rFont val="Tahoma"/>
            <family val="2"/>
          </rPr>
          <t>ODFW Employee:</t>
        </r>
        <r>
          <rPr>
            <sz val="8"/>
            <color indexed="81"/>
            <rFont val="Tahoma"/>
            <family val="2"/>
          </rPr>
          <t xml:space="preserve">
issue with sampling versus landings pooling - need to put both landings and samples as 4-5 combined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Jeff Whisler</author>
  </authors>
  <commentList>
    <comment ref="J4" authorId="0" shapeId="0" xr:uid="{00000000-0006-0000-0800-000001000000}">
      <text>
        <r>
          <rPr>
            <b/>
            <sz val="9"/>
            <color indexed="81"/>
            <rFont val="Tahoma"/>
            <family val="2"/>
          </rPr>
          <t>Jeff Whisler:</t>
        </r>
        <r>
          <rPr>
            <sz val="9"/>
            <color indexed="81"/>
            <rFont val="Tahoma"/>
            <family val="2"/>
          </rPr>
          <t xml:space="preserve">
emailed Hulett on 10/23 re issues w/sample summary.  As of 11/1 - no response.</t>
        </r>
      </text>
    </comment>
    <comment ref="F31" authorId="0" shapeId="0" xr:uid="{00000000-0006-0000-0800-000002000000}">
      <text>
        <r>
          <rPr>
            <b/>
            <sz val="9"/>
            <color indexed="81"/>
            <rFont val="Tahoma"/>
            <family val="2"/>
          </rPr>
          <t>Jeff Whisler:</t>
        </r>
        <r>
          <rPr>
            <sz val="9"/>
            <color indexed="81"/>
            <rFont val="Tahoma"/>
            <family val="2"/>
          </rPr>
          <t xml:space="preserve">
using biosample since WA didn't collect data on mark sampled fish</t>
        </r>
      </text>
    </comment>
    <comment ref="K31" authorId="0" shapeId="0" xr:uid="{00000000-0006-0000-0800-000003000000}">
      <text>
        <r>
          <rPr>
            <b/>
            <sz val="9"/>
            <color indexed="81"/>
            <rFont val="Tahoma"/>
            <family val="2"/>
          </rPr>
          <t>Jeff Whisler:</t>
        </r>
        <r>
          <rPr>
            <sz val="9"/>
            <color indexed="81"/>
            <rFont val="Tahoma"/>
            <family val="2"/>
          </rPr>
          <t xml:space="preserve">
using biosample since WA didn't collect data on mark sampled fish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Jeff Whisler</author>
  </authors>
  <commentList>
    <comment ref="C4" authorId="0" shapeId="0" xr:uid="{00000000-0006-0000-0900-000001000000}">
      <text>
        <r>
          <rPr>
            <b/>
            <sz val="9"/>
            <color indexed="81"/>
            <rFont val="Tahoma"/>
            <family val="2"/>
          </rPr>
          <t>Jeff Whisler:</t>
        </r>
        <r>
          <rPr>
            <sz val="9"/>
            <color indexed="81"/>
            <rFont val="Tahoma"/>
            <family val="2"/>
          </rPr>
          <t xml:space="preserve">
from prelim/final landings 12/20/17</t>
        </r>
      </text>
    </comment>
    <comment ref="D4" authorId="0" shapeId="0" xr:uid="{00000000-0006-0000-0900-000002000000}">
      <text>
        <r>
          <rPr>
            <b/>
            <sz val="9"/>
            <color indexed="81"/>
            <rFont val="Tahoma"/>
            <family val="2"/>
          </rPr>
          <t>Jeff Whisler:</t>
        </r>
        <r>
          <rPr>
            <sz val="9"/>
            <color indexed="81"/>
            <rFont val="Tahoma"/>
            <family val="2"/>
          </rPr>
          <t xml:space="preserve">
from prelim/final landings 12/20/17</t>
        </r>
      </text>
    </comment>
    <comment ref="E4" authorId="0" shapeId="0" xr:uid="{00000000-0006-0000-0900-000003000000}">
      <text>
        <r>
          <rPr>
            <b/>
            <sz val="9"/>
            <color indexed="81"/>
            <rFont val="Tahoma"/>
            <family val="2"/>
          </rPr>
          <t>Jeff Whisler:</t>
        </r>
        <r>
          <rPr>
            <sz val="9"/>
            <color indexed="81"/>
            <rFont val="Tahoma"/>
            <family val="2"/>
          </rPr>
          <t xml:space="preserve">
from prelim/final landings 12/20/17</t>
        </r>
      </text>
    </comment>
    <comment ref="F4" authorId="0" shapeId="0" xr:uid="{00000000-0006-0000-0900-000004000000}">
      <text>
        <r>
          <rPr>
            <b/>
            <sz val="9"/>
            <color indexed="81"/>
            <rFont val="Tahoma"/>
            <family val="2"/>
          </rPr>
          <t>Jeff Whisler:</t>
        </r>
        <r>
          <rPr>
            <sz val="9"/>
            <color indexed="81"/>
            <rFont val="Tahoma"/>
            <family val="2"/>
          </rPr>
          <t xml:space="preserve">
from prelim/final landings 12/12/17</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Jeff Whisler</author>
  </authors>
  <commentList>
    <comment ref="F32" authorId="0" shapeId="0" xr:uid="{00000000-0006-0000-0C00-000001000000}">
      <text>
        <r>
          <rPr>
            <b/>
            <sz val="9"/>
            <color indexed="81"/>
            <rFont val="Tahoma"/>
            <family val="2"/>
          </rPr>
          <t>Jeff Whisler:</t>
        </r>
        <r>
          <rPr>
            <sz val="9"/>
            <color indexed="81"/>
            <rFont val="Tahoma"/>
            <family val="2"/>
          </rPr>
          <t xml:space="preserve">
used biosample since unmarked data not collected from all marksampled fish</t>
        </r>
      </text>
    </comment>
    <comment ref="G32" authorId="0" shapeId="0" xr:uid="{00000000-0006-0000-0C00-000002000000}">
      <text>
        <r>
          <rPr>
            <b/>
            <sz val="9"/>
            <color indexed="81"/>
            <rFont val="Tahoma"/>
            <family val="2"/>
          </rPr>
          <t>Jeff Whisler:</t>
        </r>
        <r>
          <rPr>
            <sz val="9"/>
            <color indexed="81"/>
            <rFont val="Tahoma"/>
            <family val="2"/>
          </rPr>
          <t xml:space="preserve">
used biosample since unmarked data not collected from all marksampled fish</t>
        </r>
      </text>
    </comment>
    <comment ref="D37" authorId="0" shapeId="0" xr:uid="{00000000-0006-0000-0C00-000003000000}">
      <text>
        <r>
          <rPr>
            <b/>
            <sz val="9"/>
            <color indexed="81"/>
            <rFont val="Tahoma"/>
            <family val="2"/>
          </rPr>
          <t>Jeff Whisler:</t>
        </r>
        <r>
          <rPr>
            <sz val="9"/>
            <color indexed="81"/>
            <rFont val="Tahoma"/>
            <family val="2"/>
          </rPr>
          <t xml:space="preserve">
used biosamples since one mark sample did not include mark data</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Jeff Whisler</author>
  </authors>
  <commentList>
    <comment ref="C13" authorId="0" shapeId="0" xr:uid="{00000000-0006-0000-0E00-000001000000}">
      <text>
        <r>
          <rPr>
            <b/>
            <sz val="9"/>
            <color indexed="81"/>
            <rFont val="Tahoma"/>
            <family val="2"/>
          </rPr>
          <t>Jeff Whisler:</t>
        </r>
        <r>
          <rPr>
            <sz val="9"/>
            <color indexed="81"/>
            <rFont val="Tahoma"/>
            <family val="2"/>
          </rPr>
          <t xml:space="preserve">
one sample omitted because fin mark data not collected</t>
        </r>
      </text>
    </comment>
    <comment ref="D13" authorId="0" shapeId="0" xr:uid="{00000000-0006-0000-0E00-000002000000}">
      <text>
        <r>
          <rPr>
            <b/>
            <sz val="9"/>
            <color indexed="81"/>
            <rFont val="Tahoma"/>
            <family val="2"/>
          </rPr>
          <t>Jeff Whisler:</t>
        </r>
        <r>
          <rPr>
            <sz val="9"/>
            <color indexed="81"/>
            <rFont val="Tahoma"/>
            <family val="2"/>
          </rPr>
          <t xml:space="preserve">
one sample omitted because fin mark data not collected</t>
        </r>
      </text>
    </comment>
    <comment ref="E13" authorId="0" shapeId="0" xr:uid="{00000000-0006-0000-0E00-000003000000}">
      <text>
        <r>
          <rPr>
            <b/>
            <sz val="9"/>
            <color indexed="81"/>
            <rFont val="Tahoma"/>
            <family val="2"/>
          </rPr>
          <t>Jeff Whisler:</t>
        </r>
        <r>
          <rPr>
            <sz val="9"/>
            <color indexed="81"/>
            <rFont val="Tahoma"/>
            <family val="2"/>
          </rPr>
          <t xml:space="preserve">
one sample omitted because fin mark data not collected</t>
        </r>
      </text>
    </comment>
    <comment ref="E14" authorId="0" shapeId="0" xr:uid="{00000000-0006-0000-0E00-000004000000}">
      <text>
        <r>
          <rPr>
            <b/>
            <sz val="9"/>
            <color indexed="81"/>
            <rFont val="Tahoma"/>
            <family val="2"/>
          </rPr>
          <t>Jeff Whisler:</t>
        </r>
        <r>
          <rPr>
            <sz val="9"/>
            <color indexed="81"/>
            <rFont val="Tahoma"/>
            <family val="2"/>
          </rPr>
          <t xml:space="preserve">
one sample omitted because fin mark data not collected</t>
        </r>
      </text>
    </comment>
    <comment ref="F29" authorId="0" shapeId="0" xr:uid="{00000000-0006-0000-0E00-000005000000}">
      <text>
        <r>
          <rPr>
            <b/>
            <sz val="9"/>
            <color indexed="81"/>
            <rFont val="Tahoma"/>
            <family val="2"/>
          </rPr>
          <t>Jeff Whisler:</t>
        </r>
        <r>
          <rPr>
            <sz val="9"/>
            <color indexed="81"/>
            <rFont val="Tahoma"/>
            <family val="2"/>
          </rPr>
          <t xml:space="preserve">
used biosample since unmarked data not collected from all marksampled fish</t>
        </r>
      </text>
    </comment>
    <comment ref="G29" authorId="0" shapeId="0" xr:uid="{00000000-0006-0000-0E00-000006000000}">
      <text>
        <r>
          <rPr>
            <b/>
            <sz val="9"/>
            <color indexed="81"/>
            <rFont val="Tahoma"/>
            <family val="2"/>
          </rPr>
          <t>Jeff Whisler:</t>
        </r>
        <r>
          <rPr>
            <sz val="9"/>
            <color indexed="81"/>
            <rFont val="Tahoma"/>
            <family val="2"/>
          </rPr>
          <t xml:space="preserve">
used biosample since unmarked data not collected from all marksampled fish</t>
        </r>
      </text>
    </comment>
    <comment ref="G31" authorId="0" shapeId="0" xr:uid="{00000000-0006-0000-0E00-000007000000}">
      <text>
        <r>
          <rPr>
            <b/>
            <sz val="9"/>
            <color indexed="81"/>
            <rFont val="Tahoma"/>
            <family val="2"/>
          </rPr>
          <t>Jeff Whisler:</t>
        </r>
        <r>
          <rPr>
            <sz val="9"/>
            <color indexed="81"/>
            <rFont val="Tahoma"/>
            <family val="2"/>
          </rPr>
          <t xml:space="preserve">
one sample omitted because fin mark data not collected</t>
        </r>
      </text>
    </comment>
    <comment ref="G32" authorId="0" shapeId="0" xr:uid="{00000000-0006-0000-0E00-000008000000}">
      <text>
        <r>
          <rPr>
            <b/>
            <sz val="9"/>
            <color indexed="81"/>
            <rFont val="Tahoma"/>
            <family val="2"/>
          </rPr>
          <t>Jeff Whisler:</t>
        </r>
        <r>
          <rPr>
            <sz val="9"/>
            <color indexed="81"/>
            <rFont val="Tahoma"/>
            <family val="2"/>
          </rPr>
          <t xml:space="preserve">
used biosample since unmarked data not collected from all marksampled fish</t>
        </r>
      </text>
    </comment>
    <comment ref="G33" authorId="0" shapeId="0" xr:uid="{00000000-0006-0000-0E00-000009000000}">
      <text>
        <r>
          <rPr>
            <b/>
            <sz val="9"/>
            <color indexed="81"/>
            <rFont val="Tahoma"/>
            <family val="2"/>
          </rPr>
          <t>Jeff Whisler:</t>
        </r>
        <r>
          <rPr>
            <sz val="9"/>
            <color indexed="81"/>
            <rFont val="Tahoma"/>
            <family val="2"/>
          </rPr>
          <t xml:space="preserve">
one sample omitted because fin mark data not collected</t>
        </r>
      </text>
    </comment>
    <comment ref="C34" authorId="0" shapeId="0" xr:uid="{00000000-0006-0000-0E00-00000A000000}">
      <text>
        <r>
          <rPr>
            <b/>
            <sz val="9"/>
            <color indexed="81"/>
            <rFont val="Tahoma"/>
            <family val="2"/>
          </rPr>
          <t>Jeff Whisler:</t>
        </r>
        <r>
          <rPr>
            <sz val="9"/>
            <color indexed="81"/>
            <rFont val="Tahoma"/>
            <family val="2"/>
          </rPr>
          <t xml:space="preserve">
one sample omitted because fin mark data not collected</t>
        </r>
      </text>
    </comment>
    <comment ref="D35" authorId="0" shapeId="0" xr:uid="{00000000-0006-0000-0E00-00000B000000}">
      <text>
        <r>
          <rPr>
            <b/>
            <sz val="9"/>
            <color indexed="81"/>
            <rFont val="Tahoma"/>
            <family val="2"/>
          </rPr>
          <t>Jeff Whisler:</t>
        </r>
        <r>
          <rPr>
            <sz val="9"/>
            <color indexed="81"/>
            <rFont val="Tahoma"/>
            <family val="2"/>
          </rPr>
          <t xml:space="preserve">
one sample omitted because fin mark data not collected</t>
        </r>
      </text>
    </comment>
    <comment ref="F36" authorId="0" shapeId="0" xr:uid="{00000000-0006-0000-0E00-00000C000000}">
      <text>
        <r>
          <rPr>
            <b/>
            <sz val="9"/>
            <color indexed="81"/>
            <rFont val="Tahoma"/>
            <family val="2"/>
          </rPr>
          <t>Jeff Whisler:</t>
        </r>
        <r>
          <rPr>
            <sz val="9"/>
            <color indexed="81"/>
            <rFont val="Tahoma"/>
            <family val="2"/>
          </rPr>
          <t xml:space="preserve">
used biosample since unmarked data not collected from all marksampled fish</t>
        </r>
      </text>
    </comment>
    <comment ref="G36" authorId="0" shapeId="0" xr:uid="{00000000-0006-0000-0E00-00000D000000}">
      <text>
        <r>
          <rPr>
            <b/>
            <sz val="9"/>
            <color indexed="81"/>
            <rFont val="Tahoma"/>
            <family val="2"/>
          </rPr>
          <t>Jeff Whisler:</t>
        </r>
        <r>
          <rPr>
            <sz val="9"/>
            <color indexed="81"/>
            <rFont val="Tahoma"/>
            <family val="2"/>
          </rPr>
          <t xml:space="preserve">
used biosample since unmarked data not collected from all marksampled fish</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Jeff Whisler</author>
  </authors>
  <commentList>
    <comment ref="U32" authorId="0" shapeId="0" xr:uid="{00000000-0006-0000-1000-000001000000}">
      <text>
        <r>
          <rPr>
            <b/>
            <sz val="9"/>
            <color indexed="81"/>
            <rFont val="Tahoma"/>
            <family val="2"/>
          </rPr>
          <t>Jeff Whisler:</t>
        </r>
        <r>
          <rPr>
            <sz val="9"/>
            <color indexed="81"/>
            <rFont val="Tahoma"/>
            <family val="2"/>
          </rPr>
          <t xml:space="preserve">
used Zone 2 unmarked % since Zone 1 sample rate was very low</t>
        </r>
      </text>
    </comment>
    <comment ref="W32" authorId="0" shapeId="0" xr:uid="{00000000-0006-0000-1000-000002000000}">
      <text>
        <r>
          <rPr>
            <b/>
            <sz val="9"/>
            <color indexed="81"/>
            <rFont val="Tahoma"/>
            <family val="2"/>
          </rPr>
          <t>Jeff Whisler:</t>
        </r>
        <r>
          <rPr>
            <sz val="9"/>
            <color indexed="81"/>
            <rFont val="Tahoma"/>
            <family val="2"/>
          </rPr>
          <t xml:space="preserve">
used Zone 2 unmarked % since no Zone 3 fish were sampled</t>
        </r>
      </text>
    </comment>
    <comment ref="U33" authorId="0" shapeId="0" xr:uid="{00000000-0006-0000-1000-000003000000}">
      <text>
        <r>
          <rPr>
            <b/>
            <sz val="9"/>
            <color indexed="81"/>
            <rFont val="Tahoma"/>
            <family val="2"/>
          </rPr>
          <t>Jeff Whisler:</t>
        </r>
        <r>
          <rPr>
            <sz val="9"/>
            <color indexed="81"/>
            <rFont val="Tahoma"/>
            <family val="2"/>
          </rPr>
          <t xml:space="preserve">
used Zone 2 unmarked % since no Zone 1 fish were sampled</t>
        </r>
      </text>
    </comment>
    <comment ref="W33" authorId="0" shapeId="0" xr:uid="{00000000-0006-0000-1000-000004000000}">
      <text>
        <r>
          <rPr>
            <b/>
            <sz val="9"/>
            <color indexed="81"/>
            <rFont val="Tahoma"/>
            <family val="2"/>
          </rPr>
          <t>Jeff Whisler:</t>
        </r>
        <r>
          <rPr>
            <sz val="9"/>
            <color indexed="81"/>
            <rFont val="Tahoma"/>
            <family val="2"/>
          </rPr>
          <t xml:space="preserve">
used Zone 2 unmarked % since no Zone 3 fish were sampled</t>
        </r>
      </text>
    </comment>
    <comment ref="Y33" authorId="0" shapeId="0" xr:uid="{00000000-0006-0000-1000-000005000000}">
      <text>
        <r>
          <rPr>
            <b/>
            <sz val="9"/>
            <color indexed="81"/>
            <rFont val="Tahoma"/>
            <family val="2"/>
          </rPr>
          <t>Jeff Whisler:</t>
        </r>
        <r>
          <rPr>
            <sz val="9"/>
            <color indexed="81"/>
            <rFont val="Tahoma"/>
            <family val="2"/>
          </rPr>
          <t xml:space="preserve">
pooled sample data for Z4 and Z5 since Z4 sample rate was very low.  % unmarked = 15/61</t>
        </r>
      </text>
    </comment>
    <comment ref="Z33" authorId="0" shapeId="0" xr:uid="{00000000-0006-0000-1000-000006000000}">
      <text>
        <r>
          <rPr>
            <b/>
            <sz val="9"/>
            <color indexed="81"/>
            <rFont val="Tahoma"/>
            <family val="2"/>
          </rPr>
          <t>Jeff Whisler:</t>
        </r>
        <r>
          <rPr>
            <sz val="9"/>
            <color indexed="81"/>
            <rFont val="Tahoma"/>
            <family val="2"/>
          </rPr>
          <t xml:space="preserve">
pooled sample data for Z4 and Z5 since Z4 sample rate was very low.  % unmarked = 15/61</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Jeff Whisler</author>
  </authors>
  <commentList>
    <comment ref="D35" authorId="0" shapeId="0" xr:uid="{00000000-0006-0000-1100-000001000000}">
      <text>
        <r>
          <rPr>
            <b/>
            <sz val="9"/>
            <color indexed="81"/>
            <rFont val="Tahoma"/>
            <family val="2"/>
          </rPr>
          <t>Jeff Whisler:</t>
        </r>
        <r>
          <rPr>
            <sz val="9"/>
            <color indexed="81"/>
            <rFont val="Tahoma"/>
            <family val="2"/>
          </rPr>
          <t xml:space="preserve">
used biosamples since two MKS did not tally unmarked yet unmarked fish were biosampled</t>
        </r>
      </text>
    </comment>
    <comment ref="E35" authorId="0" shapeId="0" xr:uid="{00000000-0006-0000-1100-000002000000}">
      <text>
        <r>
          <rPr>
            <b/>
            <sz val="9"/>
            <color indexed="81"/>
            <rFont val="Tahoma"/>
            <family val="2"/>
          </rPr>
          <t>Jeff Whisler:</t>
        </r>
        <r>
          <rPr>
            <sz val="9"/>
            <color indexed="81"/>
            <rFont val="Tahoma"/>
            <family val="2"/>
          </rPr>
          <t xml:space="preserve">
used biosamples since two MKS did not tally unmarked yet unmarked fish were biosampled</t>
        </r>
      </text>
    </comment>
    <comment ref="F36" authorId="0" shapeId="0" xr:uid="{00000000-0006-0000-1100-000003000000}">
      <text>
        <r>
          <rPr>
            <b/>
            <sz val="9"/>
            <color indexed="81"/>
            <rFont val="Tahoma"/>
            <family val="2"/>
          </rPr>
          <t>Jeff Whisler:</t>
        </r>
        <r>
          <rPr>
            <sz val="9"/>
            <color indexed="81"/>
            <rFont val="Tahoma"/>
            <family val="2"/>
          </rPr>
          <t xml:space="preserve">
used biosamples since one MKS did not tally unmarked yet unmarked fish were biosampled</t>
        </r>
      </text>
    </comment>
    <comment ref="G36" authorId="0" shapeId="0" xr:uid="{00000000-0006-0000-1100-000004000000}">
      <text>
        <r>
          <rPr>
            <b/>
            <sz val="9"/>
            <color indexed="81"/>
            <rFont val="Tahoma"/>
            <family val="2"/>
          </rPr>
          <t>Jeff Whisler:</t>
        </r>
        <r>
          <rPr>
            <sz val="9"/>
            <color indexed="81"/>
            <rFont val="Tahoma"/>
            <family val="2"/>
          </rPr>
          <t xml:space="preserve">
used bios to be consistent with Z4 (since using the aggregate % to calculate unmarks)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kernc</author>
    <author>melchek</author>
  </authors>
  <commentList>
    <comment ref="C8" authorId="0" shapeId="0" xr:uid="{00000000-0006-0000-1300-000001000000}">
      <text>
        <r>
          <rPr>
            <b/>
            <sz val="8"/>
            <color indexed="81"/>
            <rFont val="Tahoma"/>
            <family val="2"/>
          </rPr>
          <t>kernc:
BioSamples only</t>
        </r>
      </text>
    </comment>
    <comment ref="B9" authorId="0" shapeId="0" xr:uid="{00000000-0006-0000-1300-000002000000}">
      <text>
        <r>
          <rPr>
            <b/>
            <sz val="8"/>
            <color indexed="81"/>
            <rFont val="Tahoma"/>
            <family val="2"/>
          </rPr>
          <t>kernc:
BioSamples only</t>
        </r>
      </text>
    </comment>
    <comment ref="C9" authorId="0" shapeId="0" xr:uid="{00000000-0006-0000-1300-000003000000}">
      <text>
        <r>
          <rPr>
            <b/>
            <sz val="8"/>
            <color indexed="81"/>
            <rFont val="Tahoma"/>
            <family val="2"/>
          </rPr>
          <t>kernc:
BioSamples only</t>
        </r>
      </text>
    </comment>
    <comment ref="D9" authorId="0" shapeId="0" xr:uid="{00000000-0006-0000-1300-000004000000}">
      <text>
        <r>
          <rPr>
            <b/>
            <sz val="8"/>
            <color indexed="81"/>
            <rFont val="Tahoma"/>
            <family val="2"/>
          </rPr>
          <t>kernc:
BioSamples only</t>
        </r>
      </text>
    </comment>
    <comment ref="K13" authorId="1" shapeId="0" xr:uid="{00000000-0006-0000-1300-000005000000}">
      <text>
        <r>
          <rPr>
            <b/>
            <sz val="10"/>
            <color indexed="81"/>
            <rFont val="Tahoma"/>
            <family val="2"/>
          </rPr>
          <t>melchek:</t>
        </r>
        <r>
          <rPr>
            <sz val="10"/>
            <color indexed="81"/>
            <rFont val="Tahoma"/>
            <family val="2"/>
          </rPr>
          <t xml:space="preserve">
no samples used average</t>
        </r>
      </text>
    </comment>
    <comment ref="J14" authorId="0" shapeId="0" xr:uid="{00000000-0006-0000-1300-000006000000}">
      <text>
        <r>
          <rPr>
            <b/>
            <sz val="8"/>
            <color indexed="81"/>
            <rFont val="Tahoma"/>
            <family val="2"/>
          </rPr>
          <t>kernc:</t>
        </r>
        <r>
          <rPr>
            <sz val="8"/>
            <color indexed="81"/>
            <rFont val="Tahoma"/>
            <family val="2"/>
          </rPr>
          <t xml:space="preserve">
no samples used average</t>
        </r>
      </text>
    </comment>
    <comment ref="K15" authorId="1" shapeId="0" xr:uid="{00000000-0006-0000-1300-000007000000}">
      <text>
        <r>
          <rPr>
            <b/>
            <sz val="10"/>
            <color indexed="81"/>
            <rFont val="Tahoma"/>
            <family val="2"/>
          </rPr>
          <t>melchek:</t>
        </r>
        <r>
          <rPr>
            <sz val="10"/>
            <color indexed="81"/>
            <rFont val="Tahoma"/>
            <family val="2"/>
          </rPr>
          <t xml:space="preserve">
no samples used average</t>
        </r>
      </text>
    </comment>
    <comment ref="O26" authorId="0" shapeId="0" xr:uid="{00000000-0006-0000-1300-000008000000}">
      <text>
        <r>
          <rPr>
            <b/>
            <sz val="8"/>
            <color indexed="81"/>
            <rFont val="Tahoma"/>
            <family val="2"/>
          </rPr>
          <t>kernc:</t>
        </r>
        <r>
          <rPr>
            <sz val="8"/>
            <color indexed="81"/>
            <rFont val="Tahoma"/>
            <family val="2"/>
          </rPr>
          <t xml:space="preserve">
Pooled sampling since no Z5 samples</t>
        </r>
      </text>
    </comment>
    <comment ref="F32" authorId="1" shapeId="0" xr:uid="{00000000-0006-0000-1300-000009000000}">
      <text>
        <r>
          <rPr>
            <b/>
            <sz val="10"/>
            <color indexed="81"/>
            <rFont val="Tahoma"/>
            <family val="2"/>
          </rPr>
          <t>bio samp'd only</t>
        </r>
      </text>
    </comment>
    <comment ref="K32" authorId="0" shapeId="0" xr:uid="{00000000-0006-0000-1300-00000A000000}">
      <text>
        <r>
          <rPr>
            <b/>
            <sz val="8"/>
            <color indexed="81"/>
            <rFont val="Tahoma"/>
            <family val="2"/>
          </rPr>
          <t>kernc:</t>
        </r>
        <r>
          <rPr>
            <sz val="8"/>
            <color indexed="81"/>
            <rFont val="Tahoma"/>
            <family val="2"/>
          </rPr>
          <t xml:space="preserve">
bio samp only</t>
        </r>
      </text>
    </comment>
    <comment ref="C34" authorId="1" shapeId="0" xr:uid="{00000000-0006-0000-1300-00000B000000}">
      <text>
        <r>
          <rPr>
            <b/>
            <sz val="10"/>
            <color indexed="81"/>
            <rFont val="Tahoma"/>
            <family val="2"/>
          </rPr>
          <t>bio samp'd only</t>
        </r>
      </text>
    </comment>
    <comment ref="D34" authorId="1" shapeId="0" xr:uid="{00000000-0006-0000-1300-00000C000000}">
      <text>
        <r>
          <rPr>
            <b/>
            <sz val="10"/>
            <color indexed="81"/>
            <rFont val="Tahoma"/>
            <family val="2"/>
          </rPr>
          <t>bio samp'd only</t>
        </r>
      </text>
    </comment>
    <comment ref="E34" authorId="1" shapeId="0" xr:uid="{00000000-0006-0000-1300-00000D000000}">
      <text>
        <r>
          <rPr>
            <b/>
            <sz val="10"/>
            <color indexed="81"/>
            <rFont val="Tahoma"/>
            <family val="2"/>
          </rPr>
          <t>bio samp'd only</t>
        </r>
      </text>
    </comment>
    <comment ref="H34" authorId="1" shapeId="0" xr:uid="{00000000-0006-0000-1300-00000E000000}">
      <text>
        <r>
          <rPr>
            <b/>
            <sz val="10"/>
            <color indexed="81"/>
            <rFont val="Tahoma"/>
            <family val="2"/>
          </rPr>
          <t>bio samp'd only</t>
        </r>
      </text>
    </comment>
    <comment ref="I34" authorId="1" shapeId="0" xr:uid="{00000000-0006-0000-1300-00000F000000}">
      <text>
        <r>
          <rPr>
            <b/>
            <sz val="10"/>
            <color indexed="81"/>
            <rFont val="Tahoma"/>
            <family val="2"/>
          </rPr>
          <t>bio samp'd only</t>
        </r>
      </text>
    </comment>
    <comment ref="J34" authorId="1" shapeId="0" xr:uid="{00000000-0006-0000-1300-000010000000}">
      <text>
        <r>
          <rPr>
            <b/>
            <sz val="10"/>
            <color indexed="81"/>
            <rFont val="Tahoma"/>
            <family val="2"/>
          </rPr>
          <t>bio samp'd only</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ODFW Employee</author>
  </authors>
  <commentList>
    <comment ref="AB24" authorId="0" shapeId="0" xr:uid="{00000000-0006-0000-1400-000001000000}">
      <text>
        <r>
          <rPr>
            <b/>
            <sz val="8"/>
            <color indexed="81"/>
            <rFont val="Tahoma"/>
            <family val="2"/>
          </rPr>
          <t>ODFW Employee:</t>
        </r>
        <r>
          <rPr>
            <sz val="8"/>
            <color indexed="81"/>
            <rFont val="Tahoma"/>
            <family val="2"/>
          </rPr>
          <t xml:space="preserve">
4-5 unm if use 1-3 mark rate....CL asked to see what it looked like.</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Chris Kern</author>
  </authors>
  <commentList>
    <comment ref="G10" authorId="0" shapeId="0" xr:uid="{00000000-0006-0000-1600-000001000000}">
      <text>
        <r>
          <rPr>
            <b/>
            <sz val="8"/>
            <color indexed="81"/>
            <rFont val="Tahoma"/>
            <family val="2"/>
          </rPr>
          <t>Chris Kern:</t>
        </r>
        <r>
          <rPr>
            <sz val="8"/>
            <color indexed="81"/>
            <rFont val="Tahoma"/>
            <family val="2"/>
          </rPr>
          <t xml:space="preserve">
for all but B10 FRAM, in-river numbers are umarked fish.  Convert to unmarked ER and apply to wild forecasts = dead wild fish number </t>
        </r>
      </text>
    </comment>
    <comment ref="B14" authorId="0" shapeId="0" xr:uid="{00000000-0006-0000-1600-000002000000}">
      <text>
        <r>
          <rPr>
            <b/>
            <sz val="8"/>
            <color indexed="81"/>
            <rFont val="Tahoma"/>
            <family val="2"/>
          </rPr>
          <t>Chris Kern:</t>
        </r>
        <r>
          <rPr>
            <sz val="8"/>
            <color indexed="81"/>
            <rFont val="Tahoma"/>
            <family val="2"/>
          </rPr>
          <t xml:space="preserve">
FROM FRAM MODEL</t>
        </r>
      </text>
    </comment>
    <comment ref="G14" authorId="0" shapeId="0" xr:uid="{00000000-0006-0000-1600-000003000000}">
      <text>
        <r>
          <rPr>
            <b/>
            <sz val="8"/>
            <color indexed="81"/>
            <rFont val="Tahoma"/>
            <family val="2"/>
          </rPr>
          <t>Chris Kern:</t>
        </r>
        <r>
          <rPr>
            <sz val="8"/>
            <color indexed="81"/>
            <rFont val="Tahoma"/>
            <family val="2"/>
          </rPr>
          <t xml:space="preserve">
from FRAM dead wild fish actuals
as of 9/22, I'm using inseason numbers adjusted by FRAM preseason M/U/Wild splits</t>
        </r>
      </text>
    </comment>
    <comment ref="H14" authorId="0" shapeId="0" xr:uid="{00000000-0006-0000-1600-000004000000}">
      <text>
        <r>
          <rPr>
            <b/>
            <sz val="8"/>
            <color indexed="81"/>
            <rFont val="Tahoma"/>
            <family val="2"/>
          </rPr>
          <t>Chris Kern:</t>
        </r>
        <r>
          <rPr>
            <sz val="8"/>
            <color indexed="81"/>
            <rFont val="Tahoma"/>
            <family val="2"/>
          </rPr>
          <t xml:space="preserve">
from FRAM</t>
        </r>
      </text>
    </comment>
    <comment ref="I14" authorId="0" shapeId="0" xr:uid="{00000000-0006-0000-1600-000005000000}">
      <text>
        <r>
          <rPr>
            <b/>
            <sz val="8"/>
            <color indexed="81"/>
            <rFont val="Tahoma"/>
            <family val="2"/>
          </rPr>
          <t>Chris Kern:</t>
        </r>
        <r>
          <rPr>
            <sz val="8"/>
            <color indexed="81"/>
            <rFont val="Tahoma"/>
            <family val="2"/>
          </rPr>
          <t xml:space="preserve">
from FRAM</t>
        </r>
      </text>
    </comment>
    <comment ref="H23" authorId="0" shapeId="0" xr:uid="{00000000-0006-0000-1600-000006000000}">
      <text>
        <r>
          <rPr>
            <b/>
            <sz val="8"/>
            <color indexed="81"/>
            <rFont val="Tahoma"/>
            <family val="2"/>
          </rPr>
          <t>Chris Kern:</t>
        </r>
        <r>
          <rPr>
            <sz val="8"/>
            <color indexed="81"/>
            <rFont val="Tahoma"/>
            <family val="2"/>
          </rPr>
          <t xml:space="preserve">
from FRAM dead wild fish actuals</t>
        </r>
      </text>
    </comment>
    <comment ref="I23" authorId="0" shapeId="0" xr:uid="{00000000-0006-0000-1600-000007000000}">
      <text>
        <r>
          <rPr>
            <b/>
            <sz val="8"/>
            <color indexed="81"/>
            <rFont val="Tahoma"/>
            <family val="2"/>
          </rPr>
          <t>Chris Kern:</t>
        </r>
        <r>
          <rPr>
            <sz val="8"/>
            <color indexed="81"/>
            <rFont val="Tahoma"/>
            <family val="2"/>
          </rPr>
          <t xml:space="preserve">
from FRAM dead wild fish actuals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ODFW Employee</author>
  </authors>
  <commentList>
    <comment ref="F26" authorId="0" shapeId="0" xr:uid="{00000000-0006-0000-1800-000001000000}">
      <text>
        <r>
          <rPr>
            <b/>
            <sz val="8"/>
            <color indexed="81"/>
            <rFont val="Tahoma"/>
            <family val="2"/>
          </rPr>
          <t>ODFW Employee:</t>
        </r>
        <r>
          <rPr>
            <sz val="8"/>
            <color indexed="81"/>
            <rFont val="Tahoma"/>
            <family val="2"/>
          </rPr>
          <t xml:space="preserve">
Sampling was zone 4-5</t>
        </r>
      </text>
    </comment>
    <comment ref="E31" authorId="0" shapeId="0" xr:uid="{00000000-0006-0000-1800-000002000000}">
      <text>
        <r>
          <rPr>
            <b/>
            <sz val="8"/>
            <color indexed="81"/>
            <rFont val="Tahoma"/>
            <family val="2"/>
          </rPr>
          <t>ODFW Employee:</t>
        </r>
        <r>
          <rPr>
            <sz val="8"/>
            <color indexed="81"/>
            <rFont val="Tahoma"/>
            <family val="2"/>
          </rPr>
          <t xml:space="preserve">
issue with sampling versus landings pooling - need to put both landings and samples as 4-5 combined</t>
        </r>
      </text>
    </comment>
    <comment ref="F31" authorId="0" shapeId="0" xr:uid="{00000000-0006-0000-1800-000003000000}">
      <text>
        <r>
          <rPr>
            <b/>
            <sz val="8"/>
            <color indexed="81"/>
            <rFont val="Tahoma"/>
            <family val="2"/>
          </rPr>
          <t>ODFW Employee:</t>
        </r>
        <r>
          <rPr>
            <sz val="8"/>
            <color indexed="81"/>
            <rFont val="Tahoma"/>
            <family val="2"/>
          </rPr>
          <t xml:space="preserve">
issue with sampling versus landings pooling - need to put both landings and samples as 4-5 combined</t>
        </r>
      </text>
    </comment>
    <comment ref="J31" authorId="0" shapeId="0" xr:uid="{00000000-0006-0000-1800-000004000000}">
      <text>
        <r>
          <rPr>
            <b/>
            <sz val="8"/>
            <color indexed="81"/>
            <rFont val="Tahoma"/>
            <family val="2"/>
          </rPr>
          <t>ODFW Employee:</t>
        </r>
        <r>
          <rPr>
            <sz val="8"/>
            <color indexed="81"/>
            <rFont val="Tahoma"/>
            <family val="2"/>
          </rPr>
          <t xml:space="preserve">
issue with sampling versus landings pooling - need to put both landings and samples as 4-5 combined</t>
        </r>
      </text>
    </comment>
    <comment ref="K31" authorId="0" shapeId="0" xr:uid="{00000000-0006-0000-1800-000005000000}">
      <text>
        <r>
          <rPr>
            <b/>
            <sz val="8"/>
            <color indexed="81"/>
            <rFont val="Tahoma"/>
            <family val="2"/>
          </rPr>
          <t>ODFW Employee:</t>
        </r>
        <r>
          <rPr>
            <sz val="8"/>
            <color indexed="81"/>
            <rFont val="Tahoma"/>
            <family val="2"/>
          </rPr>
          <t xml:space="preserve">
issue with sampling versus landings pooling - need to put both landings and samples as 4-5 combined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 Whisler</author>
    <author>Jimmy Watts</author>
  </authors>
  <commentList>
    <comment ref="F4" authorId="0" shapeId="0" xr:uid="{F0FDF37C-5416-46BE-B6C5-D621F1408E9C}">
      <text>
        <r>
          <rPr>
            <b/>
            <sz val="9"/>
            <color indexed="81"/>
            <rFont val="Tahoma"/>
            <family val="2"/>
          </rPr>
          <t>Jeff Whisler:</t>
        </r>
        <r>
          <rPr>
            <sz val="9"/>
            <color indexed="81"/>
            <rFont val="Tahoma"/>
            <family val="2"/>
          </rPr>
          <t xml:space="preserve">
DR is scheduled to continue into week 48 in 2022 (Nov 24).  </t>
        </r>
      </text>
    </comment>
    <comment ref="A38" authorId="1" shapeId="0" xr:uid="{D6B05656-96F7-43B3-B674-EEC1EC4F4FD6}">
      <text>
        <r>
          <rPr>
            <b/>
            <sz val="9"/>
            <color indexed="81"/>
            <rFont val="Tahoma"/>
            <family val="2"/>
          </rPr>
          <t>Jimmy Watts:</t>
        </r>
        <r>
          <rPr>
            <sz val="9"/>
            <color indexed="81"/>
            <rFont val="Tahoma"/>
            <family val="2"/>
          </rPr>
          <t xml:space="preserve">
Z5-5 Period rescinded</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Chris Kern</author>
  </authors>
  <commentList>
    <comment ref="G10" authorId="0" shapeId="0" xr:uid="{00000000-0006-0000-1900-000001000000}">
      <text>
        <r>
          <rPr>
            <b/>
            <sz val="8"/>
            <color indexed="81"/>
            <rFont val="Tahoma"/>
            <family val="2"/>
          </rPr>
          <t>Chris Kern:</t>
        </r>
        <r>
          <rPr>
            <sz val="8"/>
            <color indexed="81"/>
            <rFont val="Tahoma"/>
            <family val="2"/>
          </rPr>
          <t xml:space="preserve">
for all but B10 FRAM, in-river numbers are umarked fish.  Convert to unmarked ER and apply to wild forecasts = dead wild fish number </t>
        </r>
      </text>
    </comment>
    <comment ref="B14" authorId="0" shapeId="0" xr:uid="{00000000-0006-0000-1900-000002000000}">
      <text>
        <r>
          <rPr>
            <b/>
            <sz val="8"/>
            <color indexed="81"/>
            <rFont val="Tahoma"/>
            <family val="2"/>
          </rPr>
          <t>Chris Kern:</t>
        </r>
        <r>
          <rPr>
            <sz val="8"/>
            <color indexed="81"/>
            <rFont val="Tahoma"/>
            <family val="2"/>
          </rPr>
          <t xml:space="preserve">
FROM FRAM MODEL</t>
        </r>
      </text>
    </comment>
    <comment ref="G14" authorId="0" shapeId="0" xr:uid="{00000000-0006-0000-1900-000003000000}">
      <text>
        <r>
          <rPr>
            <b/>
            <sz val="8"/>
            <color indexed="81"/>
            <rFont val="Tahoma"/>
            <family val="2"/>
          </rPr>
          <t>Chris Kern:</t>
        </r>
        <r>
          <rPr>
            <sz val="8"/>
            <color indexed="81"/>
            <rFont val="Tahoma"/>
            <family val="2"/>
          </rPr>
          <t xml:space="preserve">
from FRAM dead wild fish actuals
as of 9/22, I'm using inseason numbers adjusted by FRAM preseason M/U/Wild splits</t>
        </r>
      </text>
    </comment>
    <comment ref="H14" authorId="0" shapeId="0" xr:uid="{00000000-0006-0000-1900-000004000000}">
      <text>
        <r>
          <rPr>
            <b/>
            <sz val="8"/>
            <color indexed="81"/>
            <rFont val="Tahoma"/>
            <family val="2"/>
          </rPr>
          <t>Chris Kern:</t>
        </r>
        <r>
          <rPr>
            <sz val="8"/>
            <color indexed="81"/>
            <rFont val="Tahoma"/>
            <family val="2"/>
          </rPr>
          <t xml:space="preserve">
from FRAM</t>
        </r>
      </text>
    </comment>
    <comment ref="I14" authorId="0" shapeId="0" xr:uid="{00000000-0006-0000-1900-000005000000}">
      <text>
        <r>
          <rPr>
            <b/>
            <sz val="8"/>
            <color indexed="81"/>
            <rFont val="Tahoma"/>
            <family val="2"/>
          </rPr>
          <t>Chris Kern:</t>
        </r>
        <r>
          <rPr>
            <sz val="8"/>
            <color indexed="81"/>
            <rFont val="Tahoma"/>
            <family val="2"/>
          </rPr>
          <t xml:space="preserve">
from FRAM</t>
        </r>
      </text>
    </comment>
    <comment ref="H23" authorId="0" shapeId="0" xr:uid="{00000000-0006-0000-1900-000006000000}">
      <text>
        <r>
          <rPr>
            <b/>
            <sz val="8"/>
            <color indexed="81"/>
            <rFont val="Tahoma"/>
            <family val="2"/>
          </rPr>
          <t>Chris Kern:</t>
        </r>
        <r>
          <rPr>
            <sz val="8"/>
            <color indexed="81"/>
            <rFont val="Tahoma"/>
            <family val="2"/>
          </rPr>
          <t xml:space="preserve">
from FRAM dead wild fish actuals</t>
        </r>
      </text>
    </comment>
    <comment ref="I23" authorId="0" shapeId="0" xr:uid="{00000000-0006-0000-1900-000007000000}">
      <text>
        <r>
          <rPr>
            <b/>
            <sz val="8"/>
            <color indexed="81"/>
            <rFont val="Tahoma"/>
            <family val="2"/>
          </rPr>
          <t>Chris Kern:</t>
        </r>
        <r>
          <rPr>
            <sz val="8"/>
            <color indexed="81"/>
            <rFont val="Tahoma"/>
            <family val="2"/>
          </rPr>
          <t xml:space="preserve">
from FRAM dead wild fish actuals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Chris Kern</author>
  </authors>
  <commentList>
    <comment ref="F14" authorId="0" shapeId="0" xr:uid="{00000000-0006-0000-1B00-000001000000}">
      <text>
        <r>
          <rPr>
            <b/>
            <sz val="8"/>
            <color indexed="81"/>
            <rFont val="Tahoma"/>
            <family val="2"/>
          </rPr>
          <t>Chris Kern:</t>
        </r>
        <r>
          <rPr>
            <sz val="8"/>
            <color indexed="81"/>
            <rFont val="Tahoma"/>
            <family val="2"/>
          </rPr>
          <t xml:space="preserve">
includes 32 illegal kept unmarkeds</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Clackamas Office</author>
    <author>Mark Chilcote</author>
  </authors>
  <commentList>
    <comment ref="E4" authorId="0" shapeId="0" xr:uid="{00000000-0006-0000-1C00-000001000000}">
      <text>
        <r>
          <rPr>
            <b/>
            <sz val="8"/>
            <color indexed="81"/>
            <rFont val="Tahoma"/>
            <family val="2"/>
          </rPr>
          <t xml:space="preserve">Kostow:  </t>
        </r>
        <r>
          <rPr>
            <sz val="8"/>
            <color indexed="81"/>
            <rFont val="Tahoma"/>
            <family val="2"/>
          </rPr>
          <t>These are included in the dam counts.</t>
        </r>
        <r>
          <rPr>
            <sz val="8"/>
            <color indexed="81"/>
            <rFont val="Tahoma"/>
            <family val="2"/>
          </rPr>
          <t xml:space="preserve">
</t>
        </r>
      </text>
    </comment>
    <comment ref="C5" authorId="0" shapeId="0" xr:uid="{00000000-0006-0000-1C00-000002000000}">
      <text>
        <r>
          <rPr>
            <b/>
            <sz val="8"/>
            <color indexed="81"/>
            <rFont val="Tahoma"/>
            <family val="2"/>
          </rPr>
          <t>Kostow:</t>
        </r>
        <r>
          <rPr>
            <sz val="8"/>
            <color indexed="81"/>
            <rFont val="Tahoma"/>
            <family val="2"/>
          </rPr>
          <t xml:space="preserve">
from Robin E. based on CRITFC sampling when available</t>
        </r>
      </text>
    </comment>
    <comment ref="F5" authorId="0" shapeId="0" xr:uid="{00000000-0006-0000-1C00-000003000000}">
      <text>
        <r>
          <rPr>
            <b/>
            <sz val="8"/>
            <color indexed="81"/>
            <rFont val="Tahoma"/>
            <family val="2"/>
          </rPr>
          <t>Clackamas Office:</t>
        </r>
        <r>
          <rPr>
            <sz val="8"/>
            <color indexed="81"/>
            <rFont val="Tahoma"/>
            <family val="2"/>
          </rPr>
          <t xml:space="preserve">
Currently includes jacks</t>
        </r>
      </text>
    </comment>
    <comment ref="G5" authorId="0" shapeId="0" xr:uid="{00000000-0006-0000-1C00-000004000000}">
      <text>
        <r>
          <rPr>
            <b/>
            <sz val="8"/>
            <color indexed="81"/>
            <rFont val="Tahoma"/>
            <family val="2"/>
          </rPr>
          <t>Clackamas Office:</t>
        </r>
        <r>
          <rPr>
            <sz val="8"/>
            <color indexed="81"/>
            <rFont val="Tahoma"/>
            <family val="2"/>
          </rPr>
          <t xml:space="preserve">
Currently includes Jacks</t>
        </r>
      </text>
    </comment>
    <comment ref="H5" authorId="0" shapeId="0" xr:uid="{00000000-0006-0000-1C00-000005000000}">
      <text>
        <r>
          <rPr>
            <b/>
            <sz val="8"/>
            <color indexed="81"/>
            <rFont val="Tahoma"/>
            <family val="2"/>
          </rPr>
          <t xml:space="preserve">Kostow: </t>
        </r>
        <r>
          <rPr>
            <sz val="8"/>
            <color indexed="81"/>
            <rFont val="Tahoma"/>
            <family val="2"/>
          </rPr>
          <t xml:space="preserve"> Based on spawning gound counts when available</t>
        </r>
        <r>
          <rPr>
            <sz val="8"/>
            <color indexed="81"/>
            <rFont val="Tahoma"/>
            <family val="2"/>
          </rPr>
          <t xml:space="preserve">
</t>
        </r>
      </text>
    </comment>
    <comment ref="I5" authorId="0" shapeId="0" xr:uid="{00000000-0006-0000-1C00-000006000000}">
      <text>
        <r>
          <rPr>
            <b/>
            <sz val="8"/>
            <color indexed="81"/>
            <rFont val="Tahoma"/>
            <family val="2"/>
          </rPr>
          <t>Clackamas Office:</t>
        </r>
        <r>
          <rPr>
            <sz val="8"/>
            <color indexed="81"/>
            <rFont val="Tahoma"/>
            <family val="2"/>
          </rPr>
          <t xml:space="preserve">
Currently includes jacks</t>
        </r>
      </text>
    </comment>
    <comment ref="M5" authorId="0" shapeId="0" xr:uid="{00000000-0006-0000-1C00-000007000000}">
      <text>
        <r>
          <rPr>
            <b/>
            <sz val="8"/>
            <color indexed="81"/>
            <rFont val="Tahoma"/>
            <family val="2"/>
          </rPr>
          <t xml:space="preserve">Kostow:  </t>
        </r>
        <r>
          <rPr>
            <sz val="8"/>
            <color indexed="81"/>
            <rFont val="Tahoma"/>
            <family val="2"/>
          </rPr>
          <t xml:space="preserve">Based on spawning ground counts; corrected for hatchery fish in some cases (see Chilcote comments)
</t>
        </r>
        <r>
          <rPr>
            <sz val="8"/>
            <color indexed="81"/>
            <rFont val="Tahoma"/>
            <family val="2"/>
          </rPr>
          <t xml:space="preserve">
</t>
        </r>
      </text>
    </comment>
    <comment ref="B6" authorId="0" shapeId="0" xr:uid="{00000000-0006-0000-1C00-000008000000}">
      <text>
        <r>
          <rPr>
            <b/>
            <sz val="8"/>
            <color indexed="81"/>
            <rFont val="Tahoma"/>
            <family val="2"/>
          </rPr>
          <t>Clackamas Office:</t>
        </r>
        <r>
          <rPr>
            <sz val="8"/>
            <color indexed="81"/>
            <rFont val="Tahoma"/>
            <family val="2"/>
          </rPr>
          <t xml:space="preserve">
Includes jacks, see below</t>
        </r>
      </text>
    </comment>
    <comment ref="C6" authorId="0" shapeId="0" xr:uid="{00000000-0006-0000-1C00-000009000000}">
      <text>
        <r>
          <rPr>
            <b/>
            <sz val="8"/>
            <color indexed="81"/>
            <rFont val="Tahoma"/>
            <family val="2"/>
          </rPr>
          <t xml:space="preserve">Kostow: </t>
        </r>
        <r>
          <rPr>
            <sz val="8"/>
            <color indexed="81"/>
            <rFont val="Tahoma"/>
            <family val="2"/>
          </rPr>
          <t>% unmarked fish has been increasing due to increased releases of unmarked hatchery coho in upper basin reintroduction programs.  Blanks estimated using a regression of mark rates on run sizes.  
However, for 2004 nd 2005 we used an average from previous years.</t>
        </r>
        <r>
          <rPr>
            <sz val="8"/>
            <color indexed="81"/>
            <rFont val="Tahoma"/>
            <family val="2"/>
          </rPr>
          <t xml:space="preserve">
</t>
        </r>
      </text>
    </comment>
    <comment ref="H6" authorId="0" shapeId="0" xr:uid="{00000000-0006-0000-1C00-00000A000000}">
      <text>
        <r>
          <rPr>
            <b/>
            <sz val="8"/>
            <color indexed="81"/>
            <rFont val="Tahoma"/>
            <family val="2"/>
          </rPr>
          <t xml:space="preserve">Kostow: </t>
        </r>
        <r>
          <rPr>
            <sz val="8"/>
            <color indexed="81"/>
            <rFont val="Tahoma"/>
            <family val="2"/>
          </rPr>
          <t>When spawning ground count data are not available, the Lwr. Clackamas run estimated to be 35% of the dam count.</t>
        </r>
        <r>
          <rPr>
            <sz val="8"/>
            <color indexed="81"/>
            <rFont val="Tahoma"/>
            <family val="2"/>
          </rPr>
          <t xml:space="preserve">
</t>
        </r>
      </text>
    </comment>
    <comment ref="J6" authorId="0" shapeId="0" xr:uid="{00000000-0006-0000-1C00-00000B000000}">
      <text>
        <r>
          <rPr>
            <b/>
            <sz val="8"/>
            <color indexed="81"/>
            <rFont val="Tahoma"/>
            <family val="2"/>
          </rPr>
          <t xml:space="preserve">Kostow:  </t>
        </r>
        <r>
          <rPr>
            <sz val="8"/>
            <color indexed="81"/>
            <rFont val="Tahoma"/>
            <family val="2"/>
          </rPr>
          <t>Based on 5% of dam count.</t>
        </r>
        <r>
          <rPr>
            <sz val="8"/>
            <color indexed="81"/>
            <rFont val="Tahoma"/>
            <family val="2"/>
          </rPr>
          <t xml:space="preserve">
</t>
        </r>
      </text>
    </comment>
    <comment ref="M7" authorId="1" shapeId="0" xr:uid="{00000000-0006-0000-1C00-00000C000000}">
      <text>
        <r>
          <rPr>
            <b/>
            <sz val="8"/>
            <color indexed="81"/>
            <rFont val="Tahoma"/>
            <family val="2"/>
          </rPr>
          <t>Mark Chilcote:</t>
        </r>
        <r>
          <rPr>
            <sz val="8"/>
            <color indexed="81"/>
            <rFont val="Tahoma"/>
            <family val="2"/>
          </rPr>
          <t xml:space="preserve">
assumed 50% of count were hatchery fish</t>
        </r>
      </text>
    </comment>
    <comment ref="O8" authorId="1" shapeId="0" xr:uid="{00000000-0006-0000-1C00-00000D000000}">
      <text>
        <r>
          <rPr>
            <b/>
            <sz val="8"/>
            <color indexed="81"/>
            <rFont val="Tahoma"/>
            <family val="2"/>
          </rPr>
          <t>Mark Chilcote:</t>
        </r>
        <r>
          <rPr>
            <sz val="8"/>
            <color indexed="81"/>
            <rFont val="Tahoma"/>
            <family val="2"/>
          </rPr>
          <t xml:space="preserve">
assumed 50% were hatchery fish</t>
        </r>
      </text>
    </comment>
    <comment ref="L12" authorId="0" shapeId="0" xr:uid="{00000000-0006-0000-1C00-00000E000000}">
      <text>
        <r>
          <rPr>
            <b/>
            <sz val="8"/>
            <color indexed="81"/>
            <rFont val="Tahoma"/>
            <family val="2"/>
          </rPr>
          <t xml:space="preserve">Kostow:  </t>
        </r>
        <r>
          <rPr>
            <sz val="8"/>
            <color indexed="81"/>
            <rFont val="Tahoma"/>
            <family val="2"/>
          </rPr>
          <t>Corrected for hatchery fish based on marks.</t>
        </r>
        <r>
          <rPr>
            <sz val="8"/>
            <color indexed="81"/>
            <rFont val="Tahoma"/>
            <family val="2"/>
          </rPr>
          <t xml:space="preserve">
</t>
        </r>
      </text>
    </comment>
    <comment ref="M12" authorId="0" shapeId="0" xr:uid="{00000000-0006-0000-1C00-00000F000000}">
      <text>
        <r>
          <rPr>
            <b/>
            <sz val="8"/>
            <color indexed="81"/>
            <rFont val="Tahoma"/>
            <family val="2"/>
          </rPr>
          <t xml:space="preserve">Kostow: </t>
        </r>
        <r>
          <rPr>
            <sz val="8"/>
            <color indexed="81"/>
            <rFont val="Tahoma"/>
            <family val="2"/>
          </rPr>
          <t xml:space="preserve"> Corrected for hatchery fish based on marks.
</t>
        </r>
        <r>
          <rPr>
            <sz val="8"/>
            <color indexed="81"/>
            <rFont val="Tahoma"/>
            <family val="2"/>
          </rPr>
          <t xml:space="preserve">
</t>
        </r>
      </text>
    </comment>
    <comment ref="O12" authorId="0" shapeId="0" xr:uid="{00000000-0006-0000-1C00-000010000000}">
      <text>
        <r>
          <rPr>
            <b/>
            <sz val="8"/>
            <color indexed="81"/>
            <rFont val="Tahoma"/>
            <family val="2"/>
          </rPr>
          <t xml:space="preserve">Kostow:  </t>
        </r>
        <r>
          <rPr>
            <sz val="8"/>
            <color indexed="81"/>
            <rFont val="Tahoma"/>
            <family val="2"/>
          </rPr>
          <t>Corrected for hatchery fish based on marks.</t>
        </r>
        <r>
          <rPr>
            <b/>
            <sz val="8"/>
            <color indexed="81"/>
            <rFont val="Tahoma"/>
            <family val="2"/>
          </rPr>
          <t xml:space="preserve">
</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Chris Kern</author>
  </authors>
  <commentList>
    <comment ref="J11" authorId="0" shapeId="0" xr:uid="{00000000-0006-0000-2B00-000001000000}">
      <text>
        <r>
          <rPr>
            <b/>
            <sz val="8"/>
            <color indexed="81"/>
            <rFont val="Tahoma"/>
            <family val="2"/>
          </rPr>
          <t>Chris Kern:</t>
        </r>
        <r>
          <rPr>
            <sz val="8"/>
            <color indexed="81"/>
            <rFont val="Tahoma"/>
            <family val="2"/>
          </rPr>
          <t xml:space="preserve">
was 12  ?</t>
        </r>
      </text>
    </comment>
    <comment ref="O14" authorId="0" shapeId="0" xr:uid="{00000000-0006-0000-2B00-000002000000}">
      <text>
        <r>
          <rPr>
            <b/>
            <sz val="8"/>
            <color indexed="81"/>
            <rFont val="Tahoma"/>
            <family val="2"/>
          </rPr>
          <t>Chris Kern:</t>
        </r>
        <r>
          <rPr>
            <sz val="8"/>
            <color indexed="81"/>
            <rFont val="Tahoma"/>
            <family val="2"/>
          </rPr>
          <t xml:space="preserve">
was 15 ?</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Chris Kern</author>
  </authors>
  <commentList>
    <comment ref="E1" authorId="0" shapeId="0" xr:uid="{00000000-0006-0000-2C00-000001000000}">
      <text>
        <r>
          <rPr>
            <b/>
            <sz val="8"/>
            <color indexed="81"/>
            <rFont val="Tahoma"/>
            <family val="2"/>
          </rPr>
          <t>Chris Kern:</t>
        </r>
        <r>
          <rPr>
            <sz val="8"/>
            <color indexed="81"/>
            <rFont val="Tahoma"/>
            <family val="2"/>
          </rPr>
          <t xml:space="preserve">
Release mortalities</t>
        </r>
      </text>
    </comment>
    <comment ref="K1" authorId="0" shapeId="0" xr:uid="{00000000-0006-0000-2C00-000002000000}">
      <text>
        <r>
          <rPr>
            <b/>
            <sz val="8"/>
            <color indexed="81"/>
            <rFont val="Tahoma"/>
            <family val="2"/>
          </rPr>
          <t>Chris Kern:</t>
        </r>
        <r>
          <rPr>
            <sz val="8"/>
            <color indexed="81"/>
            <rFont val="Tahoma"/>
            <family val="2"/>
          </rPr>
          <t xml:space="preserve">
From FRAM updated in September 2007</t>
        </r>
      </text>
    </comment>
    <comment ref="E16" authorId="0" shapeId="0" xr:uid="{00000000-0006-0000-2C00-000003000000}">
      <text>
        <r>
          <rPr>
            <b/>
            <sz val="8"/>
            <color indexed="81"/>
            <rFont val="Tahoma"/>
            <family val="2"/>
          </rPr>
          <t>Chris Kern:</t>
        </r>
        <r>
          <rPr>
            <sz val="8"/>
            <color indexed="81"/>
            <rFont val="Tahoma"/>
            <family val="2"/>
          </rPr>
          <t xml:space="preserve">
These are based on mark rates.  FRAM outputs will be different, but are being used in the catch models to estimate unmarked impacts (total number of morts is similar though)</t>
        </r>
      </text>
    </comment>
    <comment ref="A19" authorId="0" shapeId="0" xr:uid="{00000000-0006-0000-2C00-000004000000}">
      <text>
        <r>
          <rPr>
            <b/>
            <sz val="8"/>
            <color indexed="81"/>
            <rFont val="Tahoma"/>
            <family val="2"/>
          </rPr>
          <t>Chris Kern:</t>
        </r>
        <r>
          <rPr>
            <sz val="8"/>
            <color indexed="81"/>
            <rFont val="Tahoma"/>
            <family val="2"/>
          </rPr>
          <t xml:space="preserve">
OPIT has all Aug = E, 75% Sep = E, 0% Oct = E</t>
        </r>
      </text>
    </comment>
    <comment ref="E20" authorId="0" shapeId="0" xr:uid="{00000000-0006-0000-2C00-000005000000}">
      <text>
        <r>
          <rPr>
            <b/>
            <sz val="8"/>
            <color indexed="81"/>
            <rFont val="Tahoma"/>
            <family val="2"/>
          </rPr>
          <t>Chris Kern:</t>
        </r>
        <r>
          <rPr>
            <sz val="8"/>
            <color indexed="81"/>
            <rFont val="Tahoma"/>
            <family val="2"/>
          </rPr>
          <t xml:space="preserve">
15 unmarked kept, 35 unmarked released at 10% mort)</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Chris Kern</author>
  </authors>
  <commentList>
    <comment ref="G11" authorId="0" shapeId="0" xr:uid="{00000000-0006-0000-2F00-000001000000}">
      <text>
        <r>
          <rPr>
            <b/>
            <sz val="8"/>
            <color indexed="81"/>
            <rFont val="Tahoma"/>
            <family val="2"/>
          </rPr>
          <t>Chris Kern:</t>
        </r>
        <r>
          <rPr>
            <sz val="8"/>
            <color indexed="81"/>
            <rFont val="Tahoma"/>
            <family val="2"/>
          </rPr>
          <t xml:space="preserve">
from FRAM</t>
        </r>
      </text>
    </comment>
    <comment ref="H11" authorId="0" shapeId="0" xr:uid="{00000000-0006-0000-2F00-000002000000}">
      <text>
        <r>
          <rPr>
            <b/>
            <sz val="8"/>
            <color indexed="81"/>
            <rFont val="Tahoma"/>
            <family val="2"/>
          </rPr>
          <t>Chris Kern:</t>
        </r>
        <r>
          <rPr>
            <sz val="8"/>
            <color indexed="81"/>
            <rFont val="Tahoma"/>
            <family val="2"/>
          </rPr>
          <t xml:space="preserve">
from FRAM</t>
        </r>
      </text>
    </comment>
    <comment ref="I11" authorId="0" shapeId="0" xr:uid="{00000000-0006-0000-2F00-000003000000}">
      <text>
        <r>
          <rPr>
            <b/>
            <sz val="8"/>
            <color indexed="81"/>
            <rFont val="Tahoma"/>
            <family val="2"/>
          </rPr>
          <t>Chris Kern:</t>
        </r>
        <r>
          <rPr>
            <sz val="8"/>
            <color indexed="81"/>
            <rFont val="Tahoma"/>
            <family val="2"/>
          </rPr>
          <t xml:space="preserve">
from FRAM</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Chris Kern</author>
  </authors>
  <commentList>
    <comment ref="A2" authorId="0" shapeId="0" xr:uid="{00000000-0006-0000-3000-000001000000}">
      <text>
        <r>
          <rPr>
            <b/>
            <sz val="8"/>
            <color indexed="81"/>
            <rFont val="Tahoma"/>
            <family val="2"/>
          </rPr>
          <t>Chris Kern:</t>
        </r>
        <r>
          <rPr>
            <sz val="8"/>
            <color indexed="81"/>
            <rFont val="Tahoma"/>
            <family val="2"/>
          </rPr>
          <t xml:space="preserve">
This catch is from creel.  Impacts are modeled from FRAM however.</t>
        </r>
      </text>
    </comment>
    <comment ref="A19" authorId="0" shapeId="0" xr:uid="{00000000-0006-0000-3000-000002000000}">
      <text>
        <r>
          <rPr>
            <b/>
            <sz val="8"/>
            <color indexed="81"/>
            <rFont val="Tahoma"/>
            <family val="2"/>
          </rPr>
          <t>Chris Kern:</t>
        </r>
        <r>
          <rPr>
            <sz val="8"/>
            <color indexed="81"/>
            <rFont val="Tahoma"/>
            <family val="2"/>
          </rPr>
          <t xml:space="preserve">
OPIT has all Aug = E, 75% Sep = E, 0% Oct = E</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Chris Kern</author>
  </authors>
  <commentList>
    <comment ref="G10" authorId="0" shapeId="0" xr:uid="{00000000-0006-0000-3300-000001000000}">
      <text>
        <r>
          <rPr>
            <b/>
            <sz val="8"/>
            <color indexed="81"/>
            <rFont val="Tahoma"/>
            <family val="2"/>
          </rPr>
          <t>Chris Kern:</t>
        </r>
        <r>
          <rPr>
            <sz val="8"/>
            <color indexed="81"/>
            <rFont val="Tahoma"/>
            <family val="2"/>
          </rPr>
          <t xml:space="preserve">
for all but B10 FRAM, in-river numbers are umarked fish.  Convert to unmarked ER and apply to wild forecasts = dead wild fish number </t>
        </r>
      </text>
    </comment>
    <comment ref="B14" authorId="0" shapeId="0" xr:uid="{00000000-0006-0000-3300-000002000000}">
      <text>
        <r>
          <rPr>
            <b/>
            <sz val="8"/>
            <color indexed="81"/>
            <rFont val="Tahoma"/>
            <family val="2"/>
          </rPr>
          <t>Chris Kern:</t>
        </r>
        <r>
          <rPr>
            <sz val="8"/>
            <color indexed="81"/>
            <rFont val="Tahoma"/>
            <family val="2"/>
          </rPr>
          <t xml:space="preserve">
FROM FRAM MODEL</t>
        </r>
      </text>
    </comment>
    <comment ref="G14" authorId="0" shapeId="0" xr:uid="{00000000-0006-0000-3300-000003000000}">
      <text>
        <r>
          <rPr>
            <b/>
            <sz val="8"/>
            <color indexed="81"/>
            <rFont val="Tahoma"/>
            <family val="2"/>
          </rPr>
          <t>Chris Kern:</t>
        </r>
        <r>
          <rPr>
            <sz val="8"/>
            <color indexed="81"/>
            <rFont val="Tahoma"/>
            <family val="2"/>
          </rPr>
          <t xml:space="preserve">
from FRAM dead wild fish actuals</t>
        </r>
      </text>
    </comment>
    <comment ref="H14" authorId="0" shapeId="0" xr:uid="{00000000-0006-0000-3300-000004000000}">
      <text>
        <r>
          <rPr>
            <b/>
            <sz val="8"/>
            <color indexed="81"/>
            <rFont val="Tahoma"/>
            <family val="2"/>
          </rPr>
          <t>Chris Kern:</t>
        </r>
        <r>
          <rPr>
            <sz val="8"/>
            <color indexed="81"/>
            <rFont val="Tahoma"/>
            <family val="2"/>
          </rPr>
          <t xml:space="preserve">
from FRAM</t>
        </r>
      </text>
    </comment>
    <comment ref="I14" authorId="0" shapeId="0" xr:uid="{00000000-0006-0000-3300-000005000000}">
      <text>
        <r>
          <rPr>
            <b/>
            <sz val="8"/>
            <color indexed="81"/>
            <rFont val="Tahoma"/>
            <family val="2"/>
          </rPr>
          <t>Chris Kern:</t>
        </r>
        <r>
          <rPr>
            <sz val="8"/>
            <color indexed="81"/>
            <rFont val="Tahoma"/>
            <family val="2"/>
          </rPr>
          <t xml:space="preserve">
from FRAM</t>
        </r>
      </text>
    </comment>
    <comment ref="H23" authorId="0" shapeId="0" xr:uid="{00000000-0006-0000-3300-000006000000}">
      <text>
        <r>
          <rPr>
            <b/>
            <sz val="8"/>
            <color indexed="81"/>
            <rFont val="Tahoma"/>
            <family val="2"/>
          </rPr>
          <t>Chris Kern:</t>
        </r>
        <r>
          <rPr>
            <sz val="8"/>
            <color indexed="81"/>
            <rFont val="Tahoma"/>
            <family val="2"/>
          </rPr>
          <t xml:space="preserve">
from FRAM dead wild fish actuals</t>
        </r>
      </text>
    </comment>
    <comment ref="I23" authorId="0" shapeId="0" xr:uid="{00000000-0006-0000-3300-000007000000}">
      <text>
        <r>
          <rPr>
            <b/>
            <sz val="8"/>
            <color indexed="81"/>
            <rFont val="Tahoma"/>
            <family val="2"/>
          </rPr>
          <t>Chris Kern:</t>
        </r>
        <r>
          <rPr>
            <sz val="8"/>
            <color indexed="81"/>
            <rFont val="Tahoma"/>
            <family val="2"/>
          </rPr>
          <t xml:space="preserve">
from FRAM dead wild fish actuals</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Chris Kern</author>
  </authors>
  <commentList>
    <comment ref="C39" authorId="0" shapeId="0" xr:uid="{00000000-0006-0000-3600-000001000000}">
      <text>
        <r>
          <rPr>
            <b/>
            <sz val="8"/>
            <color indexed="81"/>
            <rFont val="Tahoma"/>
            <family val="2"/>
          </rPr>
          <t>Chris Kern:</t>
        </r>
        <r>
          <rPr>
            <sz val="8"/>
            <color indexed="81"/>
            <rFont val="Tahoma"/>
            <family val="2"/>
          </rPr>
          <t xml:space="preserve">
only sampled 5 of 75 fish landed in this zone this week 08, used average instead</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Chris Kern</author>
  </authors>
  <commentList>
    <comment ref="G10" authorId="0" shapeId="0" xr:uid="{00000000-0006-0000-3800-000001000000}">
      <text>
        <r>
          <rPr>
            <b/>
            <sz val="8"/>
            <color indexed="81"/>
            <rFont val="Tahoma"/>
            <family val="2"/>
          </rPr>
          <t>Chris Kern:</t>
        </r>
        <r>
          <rPr>
            <sz val="8"/>
            <color indexed="81"/>
            <rFont val="Tahoma"/>
            <family val="2"/>
          </rPr>
          <t xml:space="preserve">
for all but B10 FRAM, in-river numbers are umarked fish.  Convert to unmarked ER and apply to wild forecasts = dead wild fish number </t>
        </r>
      </text>
    </comment>
    <comment ref="B14" authorId="0" shapeId="0" xr:uid="{00000000-0006-0000-3800-000002000000}">
      <text>
        <r>
          <rPr>
            <b/>
            <sz val="8"/>
            <color indexed="81"/>
            <rFont val="Tahoma"/>
            <family val="2"/>
          </rPr>
          <t>Chris Kern:</t>
        </r>
        <r>
          <rPr>
            <sz val="8"/>
            <color indexed="81"/>
            <rFont val="Tahoma"/>
            <family val="2"/>
          </rPr>
          <t xml:space="preserve">
FROM FRAM MODEL</t>
        </r>
      </text>
    </comment>
    <comment ref="G14" authorId="0" shapeId="0" xr:uid="{00000000-0006-0000-3800-000003000000}">
      <text>
        <r>
          <rPr>
            <b/>
            <sz val="8"/>
            <color indexed="81"/>
            <rFont val="Tahoma"/>
            <family val="2"/>
          </rPr>
          <t>Chris Kern:</t>
        </r>
        <r>
          <rPr>
            <sz val="8"/>
            <color indexed="81"/>
            <rFont val="Tahoma"/>
            <family val="2"/>
          </rPr>
          <t xml:space="preserve">
from FRAM dead wild fish actuals</t>
        </r>
      </text>
    </comment>
    <comment ref="H14" authorId="0" shapeId="0" xr:uid="{00000000-0006-0000-3800-000004000000}">
      <text>
        <r>
          <rPr>
            <b/>
            <sz val="8"/>
            <color indexed="81"/>
            <rFont val="Tahoma"/>
            <family val="2"/>
          </rPr>
          <t>Chris Kern:</t>
        </r>
        <r>
          <rPr>
            <sz val="8"/>
            <color indexed="81"/>
            <rFont val="Tahoma"/>
            <family val="2"/>
          </rPr>
          <t xml:space="preserve">
from FRAM</t>
        </r>
      </text>
    </comment>
    <comment ref="I14" authorId="0" shapeId="0" xr:uid="{00000000-0006-0000-3800-000005000000}">
      <text>
        <r>
          <rPr>
            <b/>
            <sz val="8"/>
            <color indexed="81"/>
            <rFont val="Tahoma"/>
            <family val="2"/>
          </rPr>
          <t>Chris Kern:</t>
        </r>
        <r>
          <rPr>
            <sz val="8"/>
            <color indexed="81"/>
            <rFont val="Tahoma"/>
            <family val="2"/>
          </rPr>
          <t xml:space="preserve">
from FRAM</t>
        </r>
      </text>
    </comment>
    <comment ref="H23" authorId="0" shapeId="0" xr:uid="{00000000-0006-0000-3800-000006000000}">
      <text>
        <r>
          <rPr>
            <b/>
            <sz val="8"/>
            <color indexed="81"/>
            <rFont val="Tahoma"/>
            <family val="2"/>
          </rPr>
          <t>Chris Kern:</t>
        </r>
        <r>
          <rPr>
            <sz val="8"/>
            <color indexed="81"/>
            <rFont val="Tahoma"/>
            <family val="2"/>
          </rPr>
          <t xml:space="preserve">
from FRAM dead wild fish actuals</t>
        </r>
      </text>
    </comment>
    <comment ref="I23" authorId="0" shapeId="0" xr:uid="{00000000-0006-0000-3800-000007000000}">
      <text>
        <r>
          <rPr>
            <b/>
            <sz val="8"/>
            <color indexed="81"/>
            <rFont val="Tahoma"/>
            <family val="2"/>
          </rPr>
          <t>Chris Kern:</t>
        </r>
        <r>
          <rPr>
            <sz val="8"/>
            <color indexed="81"/>
            <rFont val="Tahoma"/>
            <family val="2"/>
          </rPr>
          <t xml:space="preserve">
from FRAM dead wild fish actuals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Jeff Whisler</author>
    <author>tc={27655346-8F13-4110-8F96-CBBB02B21A89}</author>
  </authors>
  <commentList>
    <comment ref="F4" authorId="0" shapeId="0" xr:uid="{8733FDEC-5C93-4CC7-9E88-74D231221A0C}">
      <text>
        <r>
          <rPr>
            <b/>
            <sz val="9"/>
            <color indexed="81"/>
            <rFont val="Tahoma"/>
            <family val="2"/>
          </rPr>
          <t>Jeff Whisler:</t>
        </r>
        <r>
          <rPr>
            <sz val="9"/>
            <color indexed="81"/>
            <rFont val="Tahoma"/>
            <family val="2"/>
          </rPr>
          <t xml:space="preserve">
DR is scheduled to continue into week 48 in 2022 (Nov 24).  </t>
        </r>
      </text>
    </comment>
    <comment ref="F21" authorId="1" shapeId="0" xr:uid="{27655346-8F13-4110-8F96-CBBB02B21A89}">
      <text>
        <t>[Threaded comment]
Your version of Excel allows you to read this threaded comment; however, any edits to it will get removed if the file is opened in a newer version of Excel. Learn more: https://go.microsoft.com/fwlink/?linkid=870924
Comment:
    no catch reported for weeks 46-48</t>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ODFW Employee</author>
  </authors>
  <commentList>
    <comment ref="G14" authorId="0" shapeId="0" xr:uid="{00000000-0006-0000-3A00-000001000000}">
      <text>
        <r>
          <rPr>
            <b/>
            <sz val="8"/>
            <color indexed="81"/>
            <rFont val="Tahoma"/>
            <family val="2"/>
          </rPr>
          <t>ODFW Employee:</t>
        </r>
        <r>
          <rPr>
            <sz val="8"/>
            <color indexed="81"/>
            <rFont val="Tahoma"/>
            <family val="2"/>
          </rPr>
          <t xml:space="preserve">
09 only had 2 fish sampled
</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Chris Kern</author>
  </authors>
  <commentList>
    <comment ref="A2" authorId="0" shapeId="0" xr:uid="{00000000-0006-0000-3B00-000001000000}">
      <text>
        <r>
          <rPr>
            <b/>
            <sz val="8"/>
            <color indexed="81"/>
            <rFont val="Tahoma"/>
            <family val="2"/>
          </rPr>
          <t>Chris Kern:</t>
        </r>
        <r>
          <rPr>
            <sz val="8"/>
            <color indexed="81"/>
            <rFont val="Tahoma"/>
            <family val="2"/>
          </rPr>
          <t xml:space="preserve">
This catch is from creel.  Impacts are modeled from FRAM however.</t>
        </r>
      </text>
    </comment>
    <comment ref="A19" authorId="0" shapeId="0" xr:uid="{00000000-0006-0000-3B00-000002000000}">
      <text>
        <r>
          <rPr>
            <b/>
            <sz val="8"/>
            <color indexed="81"/>
            <rFont val="Tahoma"/>
            <family val="2"/>
          </rPr>
          <t>Chris Kern:</t>
        </r>
        <r>
          <rPr>
            <sz val="8"/>
            <color indexed="81"/>
            <rFont val="Tahoma"/>
            <family val="2"/>
          </rPr>
          <t xml:space="preserve">
OPIT has all Aug = E, 75% Sep = E, 0% Oct = 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Jeff Whisler</author>
  </authors>
  <commentList>
    <comment ref="F4" authorId="0" shapeId="0" xr:uid="{EDE96799-5A84-4C90-BA7B-D8E65825AA5F}">
      <text>
        <r>
          <rPr>
            <b/>
            <sz val="9"/>
            <color indexed="81"/>
            <rFont val="Tahoma"/>
            <family val="2"/>
          </rPr>
          <t>Jeff Whisler:</t>
        </r>
        <r>
          <rPr>
            <sz val="9"/>
            <color indexed="81"/>
            <rFont val="Tahoma"/>
            <family val="2"/>
          </rPr>
          <t xml:space="preserve">
DR is scheduled to continue into week 48 in 2021 (Nov 25).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Jeff Whisler</author>
    <author>tc={5D690484-5E86-4F33-90C1-65376E271C89}</author>
  </authors>
  <commentList>
    <comment ref="F4" authorId="0" shapeId="0" xr:uid="{C7966DF7-5DEF-4922-81B8-E8F49AB90AE0}">
      <text>
        <r>
          <rPr>
            <b/>
            <sz val="9"/>
            <color indexed="81"/>
            <rFont val="Tahoma"/>
            <family val="2"/>
          </rPr>
          <t>Jeff Whisler:</t>
        </r>
        <r>
          <rPr>
            <sz val="9"/>
            <color indexed="81"/>
            <rFont val="Tahoma"/>
            <family val="2"/>
          </rPr>
          <t xml:space="preserve">
DR is scheduled to continue into week 48 in 2021 (Nov 25).  </t>
        </r>
      </text>
    </comment>
    <comment ref="F21" authorId="1" shapeId="0" xr:uid="{5D690484-5E86-4F33-90C1-65376E271C89}">
      <text>
        <t>[Threaded comment]
Your version of Excel allows you to read this threaded comment; however, any edits to it will get removed if the file is opened in a newer version of Excel. Learn more: https://go.microsoft.com/fwlink/?linkid=870924
Comment:
    no catch reported for weeks 47 &amp; 48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Jeff Whisler</author>
  </authors>
  <commentList>
    <comment ref="F4" authorId="0" shapeId="0" xr:uid="{56C2AAAC-32E6-4E9B-9E4A-D88AE9EFC57C}">
      <text>
        <r>
          <rPr>
            <b/>
            <sz val="9"/>
            <color indexed="81"/>
            <rFont val="Tahoma"/>
            <family val="2"/>
          </rPr>
          <t>Jeff Whisler:</t>
        </r>
        <r>
          <rPr>
            <sz val="9"/>
            <color indexed="81"/>
            <rFont val="Tahoma"/>
            <family val="2"/>
          </rPr>
          <t xml:space="preserve">
DR is scheduled to continue into week 49 in 2020 (Dec 3).  No catch reported and no sampling occurred after week 47</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Jeff Whisler</author>
  </authors>
  <commentList>
    <comment ref="F4" authorId="0" shapeId="0" xr:uid="{00000000-0006-0000-0300-000001000000}">
      <text>
        <r>
          <rPr>
            <b/>
            <sz val="9"/>
            <color indexed="81"/>
            <rFont val="Tahoma"/>
            <family val="2"/>
          </rPr>
          <t>Jeff Whisler:</t>
        </r>
        <r>
          <rPr>
            <sz val="9"/>
            <color indexed="81"/>
            <rFont val="Tahoma"/>
            <family val="2"/>
          </rPr>
          <t xml:space="preserve">
DR is scheduled to continue into week 49 in 2020 (Dec 3).  No catch reported and no sampling occurred after week 47</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Jeff Whisler</author>
  </authors>
  <commentList>
    <comment ref="F4" authorId="0" shapeId="0" xr:uid="{00000000-0006-0000-0400-000001000000}">
      <text>
        <r>
          <rPr>
            <b/>
            <sz val="9"/>
            <color indexed="81"/>
            <rFont val="Tahoma"/>
            <family val="2"/>
          </rPr>
          <t>Jeff Whisler:</t>
        </r>
        <r>
          <rPr>
            <sz val="9"/>
            <color indexed="81"/>
            <rFont val="Tahoma"/>
            <family val="2"/>
          </rPr>
          <t xml:space="preserve">
DR is scheduled to continue through week 48 in 2019 (end of Nov)</t>
        </r>
      </text>
    </comment>
    <comment ref="J4" authorId="0" shapeId="0" xr:uid="{00000000-0006-0000-0400-000002000000}">
      <text>
        <r>
          <rPr>
            <b/>
            <sz val="9"/>
            <color indexed="81"/>
            <rFont val="Tahoma"/>
            <family val="2"/>
          </rPr>
          <t>Jeff Whisler:</t>
        </r>
        <r>
          <rPr>
            <sz val="9"/>
            <color indexed="81"/>
            <rFont val="Tahoma"/>
            <family val="2"/>
          </rPr>
          <t xml:space="preserve">
DR is scheduled to continue through week 48 in 2019 (end of Nov)</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Jeff Whisler</author>
  </authors>
  <commentList>
    <comment ref="F4" authorId="0" shapeId="0" xr:uid="{00000000-0006-0000-0500-000001000000}">
      <text>
        <r>
          <rPr>
            <b/>
            <sz val="9"/>
            <color indexed="81"/>
            <rFont val="Tahoma"/>
            <family val="2"/>
          </rPr>
          <t>Jeff Whisler:</t>
        </r>
        <r>
          <rPr>
            <sz val="9"/>
            <color indexed="81"/>
            <rFont val="Tahoma"/>
            <family val="2"/>
          </rPr>
          <t xml:space="preserve">
DR is scheduled to continue through week 48 in 2019 (end of Nov)</t>
        </r>
      </text>
    </comment>
  </commentList>
</comments>
</file>

<file path=xl/sharedStrings.xml><?xml version="1.0" encoding="utf-8"?>
<sst xmlns="http://schemas.openxmlformats.org/spreadsheetml/2006/main" count="4411" uniqueCount="345">
  <si>
    <t>Week 32</t>
  </si>
  <si>
    <t>total</t>
  </si>
  <si>
    <t>Week 33</t>
  </si>
  <si>
    <t>Week 34</t>
  </si>
  <si>
    <t>Week 35</t>
  </si>
  <si>
    <t>Week 39</t>
  </si>
  <si>
    <t>Week 40</t>
  </si>
  <si>
    <t>Week 41</t>
  </si>
  <si>
    <t>Week 42</t>
  </si>
  <si>
    <t>Week 43</t>
  </si>
  <si>
    <t>Week 44</t>
  </si>
  <si>
    <t>Week 45</t>
  </si>
  <si>
    <t>Week 38</t>
  </si>
  <si>
    <t>sample</t>
  </si>
  <si>
    <t>% unmarked</t>
  </si>
  <si>
    <t>2000 total unmarked</t>
  </si>
  <si>
    <t>2001 total unmarked</t>
  </si>
  <si>
    <t>2002 total unmarked</t>
  </si>
  <si>
    <t>2003 total unmarked</t>
  </si>
  <si>
    <t>2004 total unmarked</t>
  </si>
  <si>
    <t>week 34</t>
  </si>
  <si>
    <t>week 35</t>
  </si>
  <si>
    <t>week 36</t>
  </si>
  <si>
    <t>week 37</t>
  </si>
  <si>
    <t>week 38</t>
  </si>
  <si>
    <t>week 39</t>
  </si>
  <si>
    <t>week 40</t>
  </si>
  <si>
    <t>week 41</t>
  </si>
  <si>
    <t>week 42</t>
  </si>
  <si>
    <t>week 43</t>
  </si>
  <si>
    <t>week 44</t>
  </si>
  <si>
    <t>Youngs Bay</t>
  </si>
  <si>
    <t>Blind Slough</t>
  </si>
  <si>
    <t>Tounge Pt</t>
  </si>
  <si>
    <t>week 33</t>
  </si>
  <si>
    <t>week 32</t>
  </si>
  <si>
    <t>CATCH</t>
  </si>
  <si>
    <t>catch</t>
  </si>
  <si>
    <t>%</t>
  </si>
  <si>
    <t>Mainstem Fall Gill Net catch and samples</t>
  </si>
  <si>
    <t>sampled</t>
  </si>
  <si>
    <t>Sampling Summary</t>
  </si>
  <si>
    <t>totals</t>
  </si>
  <si>
    <t>total catch</t>
  </si>
  <si>
    <t>Total</t>
  </si>
  <si>
    <t>Tongue</t>
  </si>
  <si>
    <t>2000 Mainstem Gillnet Catch of Unmarked Coho</t>
  </si>
  <si>
    <t>August Fishery</t>
  </si>
  <si>
    <t>Late Fall Fishery</t>
  </si>
  <si>
    <t>2000 Mainstem Gillnet Sampling of Unmarked Coho</t>
  </si>
  <si>
    <t>% ununmarked</t>
  </si>
  <si>
    <t># unmarked</t>
  </si>
  <si>
    <t>2000 Catch by Zone</t>
  </si>
  <si>
    <t>Weekly Sampling</t>
  </si>
  <si>
    <t>Sampling expansion convention:</t>
  </si>
  <si>
    <t># Unmarked</t>
  </si>
  <si>
    <t>% Unmarked</t>
  </si>
  <si>
    <t>1. IF sample data for the zone in the specific week are available, use it</t>
  </si>
  <si>
    <t>3. IF no sample data for the zone are available for that week in that year, use the average for that week across all years</t>
  </si>
  <si>
    <t>4. IF no sample data for the zone are available for that week across all years use the average for that zone across all years</t>
  </si>
  <si>
    <t>MS Total</t>
  </si>
  <si>
    <t>SAF Total</t>
  </si>
  <si>
    <t>Tongue Pt</t>
  </si>
  <si>
    <t>Zone   1</t>
  </si>
  <si>
    <t>2000 Annual Average Sampling</t>
  </si>
  <si>
    <t>Steamboat</t>
  </si>
  <si>
    <t>Deep Cr</t>
  </si>
  <si>
    <t>Week 36</t>
  </si>
  <si>
    <t>Week 37</t>
  </si>
  <si>
    <t>Grand Total</t>
  </si>
  <si>
    <t>2001 Mainstem Gillnet Sampling of Unmarked Coho</t>
  </si>
  <si>
    <t>2001 Annual Average Sampling</t>
  </si>
  <si>
    <t>2001 Mainstem Gillnet Catch of Unmarked Coho</t>
  </si>
  <si>
    <t>2001 Catch by Zone</t>
  </si>
  <si>
    <t>0</t>
  </si>
  <si>
    <t>2. IF no sample data for the zone are available for that week in that year, use the average for that week across all years</t>
  </si>
  <si>
    <t>3. IF no sample data for the zone are available for that week across all years use the average for that zone across all years</t>
  </si>
  <si>
    <t>2005 Mainstem Gillnet Catch of Unmarked Coho</t>
  </si>
  <si>
    <t>2005 Catch by Zone</t>
  </si>
  <si>
    <t>2005 Mainstem Gillnet Sampling of Unmarked Coho</t>
  </si>
  <si>
    <t>2005 Annual Average Sampling</t>
  </si>
  <si>
    <t>2004 Mainstem Gillnet Sampling of Unmarked Coho</t>
  </si>
  <si>
    <t>2004 Annual Average Sampling</t>
  </si>
  <si>
    <t>2004 Catch by Zone</t>
  </si>
  <si>
    <t>2004 Mainstem Gillnet Catch of Unmarked Coho</t>
  </si>
  <si>
    <t>2003 Mainstem Gillnet Sampling of Unmarked Coho</t>
  </si>
  <si>
    <t>2003 Annual Average Sampling</t>
  </si>
  <si>
    <t>2003 Catch by Zone</t>
  </si>
  <si>
    <t>2003 Mainstem Gillnet Catch of Unmarked Coho</t>
  </si>
  <si>
    <t>2002 Mainstem Gillnet Sampling of Unmarked Coho</t>
  </si>
  <si>
    <t>2002 Annual Average Sampling</t>
  </si>
  <si>
    <t>2002 Catch by Zone</t>
  </si>
  <si>
    <t>2002 Mainstem Gillnet Catch of Unmarked Coho</t>
  </si>
  <si>
    <t>Summary of Catch</t>
  </si>
  <si>
    <t>Unmarked</t>
  </si>
  <si>
    <t>Unmarked Coho Escapements in the Lower Columbia</t>
  </si>
  <si>
    <t>Willamette</t>
  </si>
  <si>
    <t>Clack</t>
  </si>
  <si>
    <t>Astoria</t>
  </si>
  <si>
    <t>Claskanie</t>
  </si>
  <si>
    <t>Scappoose</t>
  </si>
  <si>
    <t>Bonneville</t>
  </si>
  <si>
    <t>Dam Count</t>
  </si>
  <si>
    <t xml:space="preserve">% of </t>
  </si>
  <si>
    <t>run that is</t>
  </si>
  <si>
    <t>unmarked</t>
  </si>
  <si>
    <t>coho at</t>
  </si>
  <si>
    <t xml:space="preserve">Falls </t>
  </si>
  <si>
    <t>(unlisted)</t>
  </si>
  <si>
    <t>North Fork</t>
  </si>
  <si>
    <t>(Clack)</t>
  </si>
  <si>
    <t>Est. Listed</t>
  </si>
  <si>
    <t>(estimated)</t>
  </si>
  <si>
    <t>Lwr</t>
  </si>
  <si>
    <t>Marmot</t>
  </si>
  <si>
    <t>(Sandy)</t>
  </si>
  <si>
    <t xml:space="preserve"> Lwr</t>
  </si>
  <si>
    <t>Sandy</t>
  </si>
  <si>
    <t>Other Oregon Wild</t>
  </si>
  <si>
    <t>Oregon Basins (listed)</t>
  </si>
  <si>
    <t>Estimate of unmarked coho catch</t>
  </si>
  <si>
    <t>year</t>
  </si>
  <si>
    <t>Bouy 10</t>
  </si>
  <si>
    <t>Mainstem</t>
  </si>
  <si>
    <t>and OR</t>
  </si>
  <si>
    <t>OR wild</t>
  </si>
  <si>
    <t>(listed)</t>
  </si>
  <si>
    <t>Listed as</t>
  </si>
  <si>
    <t>a % of</t>
  </si>
  <si>
    <t>Mortality</t>
  </si>
  <si>
    <t xml:space="preserve">Mortality </t>
  </si>
  <si>
    <t>Catch</t>
  </si>
  <si>
    <t>in sports fisheries</t>
  </si>
  <si>
    <t xml:space="preserve">Statistical </t>
  </si>
  <si>
    <t>Week</t>
  </si>
  <si>
    <t>Zone 1</t>
  </si>
  <si>
    <t>Zone 2</t>
  </si>
  <si>
    <t>Zone 3</t>
  </si>
  <si>
    <t>Zone 4</t>
  </si>
  <si>
    <t>Zone 5</t>
  </si>
  <si>
    <t>Adults</t>
  </si>
  <si>
    <t>Jacks</t>
  </si>
  <si>
    <t>Washington adult escapement data not yet available</t>
  </si>
  <si>
    <t>2005 Washington SAF catch data not yet available;  2000-2005 Washington SAF sampling data not yet available</t>
  </si>
  <si>
    <t>Red data are preliminary pending final counts</t>
  </si>
  <si>
    <t>Escapement</t>
  </si>
  <si>
    <t>Sport</t>
  </si>
  <si>
    <t>Com Tot</t>
  </si>
  <si>
    <t>IN-river harv rate</t>
  </si>
  <si>
    <t xml:space="preserve">Bonneville Dam </t>
  </si>
  <si>
    <t>"Early"</t>
  </si>
  <si>
    <t>"Late"</t>
  </si>
  <si>
    <t>OPI  runs to the Columbia River mouth:  Total runs (marked + unmarked)</t>
  </si>
  <si>
    <t>2006 Mainstem Gillnet Catch of Unmarked Coho</t>
  </si>
  <si>
    <t>2006 Mainstem Gillnet Sampling of Unmarked Coho</t>
  </si>
  <si>
    <t>4.  For preliminary mainstem estimates, the total weekly sampling is used (across all zones)</t>
  </si>
  <si>
    <t>2006 Catch by Zone</t>
  </si>
  <si>
    <t>all early</t>
  </si>
  <si>
    <t>"earlies"</t>
  </si>
  <si>
    <t>"lates"</t>
  </si>
  <si>
    <t>Early</t>
  </si>
  <si>
    <t>Late</t>
  </si>
  <si>
    <t>Fishery</t>
  </si>
  <si>
    <t>Date</t>
  </si>
  <si>
    <t xml:space="preserve">Total </t>
  </si>
  <si>
    <t>"Earlies"</t>
  </si>
  <si>
    <t>"Lates"</t>
  </si>
  <si>
    <t>As of</t>
  </si>
  <si>
    <t>Buoy 10</t>
  </si>
  <si>
    <t>MS sport</t>
  </si>
  <si>
    <t xml:space="preserve">Mainstem </t>
  </si>
  <si>
    <t>2006 Annual Average Sampling</t>
  </si>
  <si>
    <t>Wk 40</t>
  </si>
  <si>
    <t>Col. R</t>
  </si>
  <si>
    <t>%early</t>
  </si>
  <si>
    <t>Wk 39</t>
  </si>
  <si>
    <t>Wk 41</t>
  </si>
  <si>
    <t>Marked</t>
  </si>
  <si>
    <t xml:space="preserve">Deep </t>
  </si>
  <si>
    <t>Estimated % early in 2006 (passed before Oct 1)</t>
  </si>
  <si>
    <t>Bonneville:</t>
  </si>
  <si>
    <t>Willamette:</t>
  </si>
  <si>
    <t>Deep Rr</t>
  </si>
  <si>
    <t>Unm</t>
  </si>
  <si>
    <t>Sum</t>
  </si>
  <si>
    <t xml:space="preserve">Avg </t>
  </si>
  <si>
    <t>earlys</t>
  </si>
  <si>
    <t>lates</t>
  </si>
  <si>
    <t>Big Cr</t>
  </si>
  <si>
    <t>"Other"</t>
  </si>
  <si>
    <t>UnmarkedE</t>
  </si>
  <si>
    <t>UmmarkedL</t>
  </si>
  <si>
    <t>Mark E</t>
  </si>
  <si>
    <t>Mark L</t>
  </si>
  <si>
    <t>Wash Trib</t>
  </si>
  <si>
    <t>+Unmarked Esc</t>
  </si>
  <si>
    <t>Mk</t>
  </si>
  <si>
    <t>Avg</t>
  </si>
  <si>
    <t>Preseason</t>
  </si>
  <si>
    <t>Ocean Abundances</t>
  </si>
  <si>
    <t>Inseason</t>
  </si>
  <si>
    <t xml:space="preserve">Ocean </t>
  </si>
  <si>
    <t>Impacts (ER)</t>
  </si>
  <si>
    <t>Deep R</t>
  </si>
  <si>
    <t>Wk 38</t>
  </si>
  <si>
    <t>Wk 42</t>
  </si>
  <si>
    <t>Wk 37</t>
  </si>
  <si>
    <t>SAFE Non local Rates</t>
  </si>
  <si>
    <t>Total Catch</t>
  </si>
  <si>
    <r>
      <t>Unmarked Fish for Impacts</t>
    </r>
    <r>
      <rPr>
        <b/>
        <vertAlign val="superscript"/>
        <sz val="10"/>
        <rFont val="Arial"/>
        <family val="2"/>
      </rPr>
      <t>1</t>
    </r>
  </si>
  <si>
    <t>1) based on SAFE non-local rates in 2007 BA</t>
  </si>
  <si>
    <r>
      <t>SAF</t>
    </r>
    <r>
      <rPr>
        <b/>
        <vertAlign val="superscript"/>
        <sz val="10"/>
        <rFont val="Arial"/>
        <family val="2"/>
      </rPr>
      <t>1</t>
    </r>
  </si>
  <si>
    <t>1) Includes SAFE non-local rates for unmarked fish from 2007 BA</t>
  </si>
  <si>
    <t>Catch/Mortal</t>
  </si>
  <si>
    <t>MS</t>
  </si>
  <si>
    <t xml:space="preserve">Unmarked </t>
  </si>
  <si>
    <t>August</t>
  </si>
  <si>
    <t>September</t>
  </si>
  <si>
    <t>October</t>
  </si>
  <si>
    <t>September Catch</t>
  </si>
  <si>
    <t>2 wks at 100% Early</t>
  </si>
  <si>
    <t>2 wks at 50% Early</t>
  </si>
  <si>
    <t>= 4 wks at 75% Early</t>
  </si>
  <si>
    <t>2007 Gillnet Catch of  Coho</t>
  </si>
  <si>
    <t>2007  Gillnet Sampling of  Coho</t>
  </si>
  <si>
    <t>Remaining</t>
  </si>
  <si>
    <t>2007 Annual Sampling Summary</t>
  </si>
  <si>
    <t>2007 Catch by Zone</t>
  </si>
  <si>
    <t xml:space="preserve">Early </t>
  </si>
  <si>
    <t>Mortalities</t>
  </si>
  <si>
    <t>(10/10, assumed 600 for Oct)</t>
  </si>
  <si>
    <t>Month</t>
  </si>
  <si>
    <t>Kept</t>
  </si>
  <si>
    <t>Unmarked Morts</t>
  </si>
  <si>
    <t>Unmarked Earlys</t>
  </si>
  <si>
    <t>Wild Earlys</t>
  </si>
  <si>
    <t>Unmarked Lates</t>
  </si>
  <si>
    <t>Wild Lates</t>
  </si>
  <si>
    <t>Wild Rel. Morts</t>
  </si>
  <si>
    <t>2008 Gillnet Catch of  Coho</t>
  </si>
  <si>
    <t>2008  Gillnet Sampling of  Coho</t>
  </si>
  <si>
    <t>Early Wild</t>
  </si>
  <si>
    <t>Late Wild</t>
  </si>
  <si>
    <t>(Wilds)</t>
  </si>
  <si>
    <t>Wild dead fish--&gt;</t>
  </si>
  <si>
    <t>Wild Impacts--&gt;</t>
  </si>
  <si>
    <t>Inseason Run sizes (R. Mouth)</t>
  </si>
  <si>
    <t>Inseason Run sizes (post B10)</t>
  </si>
  <si>
    <t>Marked Earlys</t>
  </si>
  <si>
    <t>Marked Lates</t>
  </si>
  <si>
    <t>Total Kept Catch</t>
  </si>
  <si>
    <t>Unmarked/Wild Impacts</t>
  </si>
  <si>
    <t>(Or + Wa Early)</t>
  </si>
  <si>
    <t>(Wa Late)</t>
  </si>
  <si>
    <t>Unmarked Impacts--&gt;</t>
  </si>
  <si>
    <t>Unmarked Dead Fish--&gt;</t>
  </si>
  <si>
    <t>Inseason Run sizes (OCEAN) updated 9-28-08</t>
  </si>
  <si>
    <t>2008 Annual Sampling Summary</t>
  </si>
  <si>
    <t>SAFE</t>
  </si>
  <si>
    <t>Deep River</t>
  </si>
  <si>
    <t>Blind Sl</t>
  </si>
  <si>
    <t>Sample Rate</t>
  </si>
  <si>
    <t>Unmarked Catch</t>
  </si>
  <si>
    <t>Total Catch by Zone</t>
  </si>
  <si>
    <t>% Unmarked from Sampling</t>
  </si>
  <si>
    <t>Number Sampled</t>
  </si>
  <si>
    <t>Number Unmarked in Sample</t>
  </si>
  <si>
    <t>Percent Unmarked</t>
  </si>
  <si>
    <t>Number Sampled by Zone</t>
  </si>
  <si>
    <t>Number Unmarked in Sample by Zone</t>
  </si>
  <si>
    <t>%early for Mainstem</t>
  </si>
  <si>
    <t>2008 Catch by Zone</t>
  </si>
  <si>
    <t>All</t>
  </si>
  <si>
    <t>Unm Rel. Morts</t>
  </si>
  <si>
    <t>B10 Wild dead fish--&gt;</t>
  </si>
  <si>
    <t>B10 Wild Impacts--&gt;</t>
  </si>
  <si>
    <t>MS Unmarked Dead Fish--&gt;</t>
  </si>
  <si>
    <t>MS Unmarked Impacts--&gt;</t>
  </si>
  <si>
    <t>Ocean Abundances, 9/21/09</t>
  </si>
  <si>
    <t>Ocean Abundances 3/1/2010</t>
  </si>
  <si>
    <t>na</t>
  </si>
  <si>
    <t>Z1-3 agg</t>
  </si>
  <si>
    <t>Z1-3 Agg</t>
  </si>
  <si>
    <t>Z4-5 Agg</t>
  </si>
  <si>
    <t>Z4-5 agg</t>
  </si>
  <si>
    <t>Z4-5 via 1-3</t>
  </si>
  <si>
    <t>Total act</t>
  </si>
  <si>
    <t>Total red'd</t>
  </si>
  <si>
    <t>Year</t>
  </si>
  <si>
    <t xml:space="preserve"> Sampled </t>
  </si>
  <si>
    <t xml:space="preserve"> Unmarked </t>
  </si>
  <si>
    <t xml:space="preserve"> Unmarked</t>
  </si>
  <si>
    <t xml:space="preserve"> Sampled</t>
  </si>
  <si>
    <t>Sum of Tongue Pt</t>
  </si>
  <si>
    <t>Data</t>
  </si>
  <si>
    <t>Sum of Youngs Bay</t>
  </si>
  <si>
    <t>Sum of Blind Sl</t>
  </si>
  <si>
    <t>Sum of 1</t>
  </si>
  <si>
    <t>Sum of 2</t>
  </si>
  <si>
    <t>Sum of 3</t>
  </si>
  <si>
    <t>Sum of 4</t>
  </si>
  <si>
    <t>Sum of 5</t>
  </si>
  <si>
    <t>Sum of Deep R</t>
  </si>
  <si>
    <t>Sampled Numbers</t>
  </si>
  <si>
    <t>Sum of 12</t>
  </si>
  <si>
    <t>Sum of 22</t>
  </si>
  <si>
    <t>Sum of 32</t>
  </si>
  <si>
    <t>Sum of 52</t>
  </si>
  <si>
    <t>Sum of 42</t>
  </si>
  <si>
    <t>Sum of Youngs Bay2</t>
  </si>
  <si>
    <t>Sum of Tongue Pt2</t>
  </si>
  <si>
    <t>Sum of Blind Sl2</t>
  </si>
  <si>
    <t>Sum of Deep R2</t>
  </si>
  <si>
    <t>z1-3 UMR</t>
  </si>
  <si>
    <t>4-5 UMR</t>
  </si>
  <si>
    <t>%unm</t>
  </si>
  <si>
    <t>1-3</t>
  </si>
  <si>
    <t>4-5</t>
  </si>
  <si>
    <t>% Unm</t>
  </si>
  <si>
    <t>%Unm</t>
  </si>
  <si>
    <t>10/08/13: I don't like how this works - prone to error if not careful.  Modify so that each week has a percentage early and percentage late then apply appropriate percentage to weekly unmarked catch in formulas. (these percentages are also used in table starting A69 so make sure that is working okay after modification)</t>
  </si>
  <si>
    <t>Tangle net</t>
  </si>
  <si>
    <t>8-inch</t>
  </si>
  <si>
    <t>Kept Unmarked Catch</t>
  </si>
  <si>
    <t>9-inch</t>
  </si>
  <si>
    <t>Select Areas</t>
  </si>
  <si>
    <t>1-3=tangle, 4-5=8-inch</t>
  </si>
  <si>
    <t>1-3=6-inch, 4-5=8-inch</t>
  </si>
  <si>
    <r>
      <t>Kept Unmarked Catch</t>
    </r>
    <r>
      <rPr>
        <sz val="10"/>
        <rFont val="Arial"/>
        <family val="2"/>
      </rPr>
      <t xml:space="preserve"> using aggregate unmarked %s</t>
    </r>
  </si>
  <si>
    <t>Landings Updated with fish tickets-1-23-14</t>
  </si>
  <si>
    <t>Select Area Fisheries</t>
  </si>
  <si>
    <r>
      <t xml:space="preserve">Landings - Prelim/FINAL </t>
    </r>
    <r>
      <rPr>
        <b/>
        <sz val="10"/>
        <color rgb="FF00B050"/>
        <rFont val="Arial"/>
        <family val="2"/>
      </rPr>
      <t>1-13-2015</t>
    </r>
  </si>
  <si>
    <t>1-3=tangle</t>
  </si>
  <si>
    <t>1-5=8-inch</t>
  </si>
  <si>
    <t>1-3=6-inch</t>
  </si>
  <si>
    <t>YB</t>
  </si>
  <si>
    <t>TP</t>
  </si>
  <si>
    <t>BS</t>
  </si>
  <si>
    <t>DR</t>
  </si>
  <si>
    <t>replacement values used when sample rates inadequate</t>
  </si>
  <si>
    <t>Landings - Final</t>
  </si>
  <si>
    <t>KS closed</t>
  </si>
  <si>
    <r>
      <t xml:space="preserve">Landings - </t>
    </r>
    <r>
      <rPr>
        <b/>
        <sz val="10"/>
        <color rgb="FFFF0000"/>
        <rFont val="Arial"/>
        <family val="2"/>
      </rPr>
      <t>inseason</t>
    </r>
  </si>
  <si>
    <r>
      <t>Landings -post</t>
    </r>
    <r>
      <rPr>
        <b/>
        <sz val="10"/>
        <color rgb="FFFF0000"/>
        <rFont val="Arial"/>
        <family val="2"/>
      </rPr>
      <t>season</t>
    </r>
  </si>
  <si>
    <t>Landings -inseason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</si>
</sst>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_);\(&quot;$&quot;#,##0\)"/>
    <numFmt numFmtId="44" formatCode="_(&quot;$&quot;* #,##0.00_);_(&quot;$&quot;* \(#,##0.00\);_(&quot;$&quot;* &quot;-&quot;??_);_(@_)"/>
    <numFmt numFmtId="43" formatCode="_(* #,##0.00_);_(* \(#,##0.00\);_(* &quot;-&quot;??_);_(@_)"/>
    <numFmt numFmtId="164" formatCode="0.0%"/>
    <numFmt numFmtId="165" formatCode="0.000"/>
    <numFmt numFmtId="166" formatCode="0.0"/>
    <numFmt numFmtId="167" formatCode="_(* #,##0_);_(* \(#,##0\);_(* &quot;-&quot;??_);_(@_)"/>
    <numFmt numFmtId="168" formatCode="_(* #,##0.0000_);_(* \(#,##0.0000\);_(* &quot;-&quot;??_);_(@_)"/>
    <numFmt numFmtId="169" formatCode="0.000%"/>
    <numFmt numFmtId="170" formatCode="mmmm\ d\,\ yyyy"/>
  </numFmts>
  <fonts count="51" x14ac:knownFonts="1">
    <font>
      <sz val="10"/>
      <name val="Arial"/>
    </font>
    <font>
      <sz val="11"/>
      <color theme="1"/>
      <name val="Calibri"/>
      <family val="2"/>
      <scheme val="minor"/>
    </font>
    <font>
      <sz val="10"/>
      <name val="Arial"/>
      <family val="2"/>
    </font>
    <font>
      <b/>
      <sz val="12"/>
      <name val="Arial"/>
      <family val="2"/>
    </font>
    <font>
      <sz val="8"/>
      <name val="Arial"/>
      <family val="2"/>
    </font>
    <font>
      <b/>
      <sz val="10"/>
      <name val="Arial"/>
      <family val="2"/>
    </font>
    <font>
      <sz val="10"/>
      <color indexed="10"/>
      <name val="Arial"/>
      <family val="2"/>
    </font>
    <font>
      <b/>
      <sz val="10"/>
      <color indexed="10"/>
      <name val="Arial"/>
      <family val="2"/>
    </font>
    <font>
      <sz val="10"/>
      <name val="Arial"/>
      <family val="2"/>
    </font>
    <font>
      <b/>
      <i/>
      <sz val="10"/>
      <name val="Arial"/>
      <family val="2"/>
    </font>
    <font>
      <b/>
      <i/>
      <sz val="10"/>
      <color indexed="10"/>
      <name val="Arial"/>
      <family val="2"/>
    </font>
    <font>
      <b/>
      <i/>
      <sz val="10"/>
      <color indexed="12"/>
      <name val="Arial"/>
      <family val="2"/>
    </font>
    <font>
      <sz val="10"/>
      <color indexed="12"/>
      <name val="Arial"/>
      <family val="2"/>
    </font>
    <font>
      <b/>
      <sz val="11"/>
      <name val="Arial"/>
      <family val="2"/>
    </font>
    <font>
      <b/>
      <sz val="11"/>
      <color indexed="10"/>
      <name val="Arial"/>
      <family val="2"/>
    </font>
    <font>
      <sz val="11"/>
      <name val="Arial"/>
      <family val="2"/>
    </font>
    <font>
      <sz val="10"/>
      <color indexed="12"/>
      <name val="Arial"/>
      <family val="2"/>
    </font>
    <font>
      <sz val="10"/>
      <color indexed="10"/>
      <name val="Arial"/>
      <family val="2"/>
    </font>
    <font>
      <b/>
      <sz val="8"/>
      <color indexed="81"/>
      <name val="Tahoma"/>
      <family val="2"/>
    </font>
    <font>
      <sz val="8"/>
      <color indexed="81"/>
      <name val="Tahoma"/>
      <family val="2"/>
    </font>
    <font>
      <b/>
      <sz val="10"/>
      <color indexed="12"/>
      <name val="Arial"/>
      <family val="2"/>
    </font>
    <font>
      <i/>
      <sz val="10"/>
      <color indexed="10"/>
      <name val="Arial"/>
      <family val="2"/>
    </font>
    <font>
      <sz val="11"/>
      <name val="Arial"/>
      <family val="2"/>
    </font>
    <font>
      <b/>
      <i/>
      <sz val="10"/>
      <color indexed="14"/>
      <name val="Arial"/>
      <family val="2"/>
    </font>
    <font>
      <sz val="10"/>
      <color indexed="9"/>
      <name val="Arial"/>
      <family val="2"/>
    </font>
    <font>
      <sz val="10"/>
      <name val="Arial"/>
      <family val="2"/>
    </font>
    <font>
      <i/>
      <sz val="10"/>
      <name val="Arial"/>
      <family val="2"/>
    </font>
    <font>
      <b/>
      <sz val="11"/>
      <color indexed="14"/>
      <name val="Arial"/>
      <family val="2"/>
    </font>
    <font>
      <b/>
      <sz val="10"/>
      <color indexed="14"/>
      <name val="Arial"/>
      <family val="2"/>
    </font>
    <font>
      <sz val="12"/>
      <color indexed="12"/>
      <name val="Times New Roman"/>
      <family val="1"/>
    </font>
    <font>
      <b/>
      <sz val="10"/>
      <color indexed="18"/>
      <name val="Arial"/>
      <family val="2"/>
    </font>
    <font>
      <b/>
      <sz val="10"/>
      <color indexed="20"/>
      <name val="Arial"/>
      <family val="2"/>
    </font>
    <font>
      <b/>
      <i/>
      <sz val="10"/>
      <color indexed="20"/>
      <name val="Arial"/>
      <family val="2"/>
    </font>
    <font>
      <b/>
      <i/>
      <sz val="10"/>
      <color indexed="18"/>
      <name val="Arial"/>
      <family val="2"/>
    </font>
    <font>
      <b/>
      <vertAlign val="superscript"/>
      <sz val="10"/>
      <name val="Arial"/>
      <family val="2"/>
    </font>
    <font>
      <sz val="8"/>
      <name val="Arial"/>
      <family val="2"/>
    </font>
    <font>
      <sz val="10"/>
      <color indexed="81"/>
      <name val="Tahoma"/>
      <family val="2"/>
    </font>
    <font>
      <b/>
      <sz val="10"/>
      <color indexed="81"/>
      <name val="Tahoma"/>
      <family val="2"/>
    </font>
    <font>
      <sz val="9"/>
      <color indexed="81"/>
      <name val="Tahoma"/>
      <family val="2"/>
    </font>
    <font>
      <b/>
      <sz val="9"/>
      <color indexed="81"/>
      <name val="Tahoma"/>
      <family val="2"/>
    </font>
    <font>
      <sz val="10"/>
      <color rgb="FFFF0000"/>
      <name val="Arial"/>
      <family val="2"/>
    </font>
    <font>
      <b/>
      <sz val="10"/>
      <color theme="9" tint="-0.249977111117893"/>
      <name val="Arial"/>
      <family val="2"/>
    </font>
    <font>
      <sz val="10"/>
      <color rgb="FF00B050"/>
      <name val="Arial"/>
      <family val="2"/>
    </font>
    <font>
      <b/>
      <sz val="10"/>
      <color rgb="FF00B050"/>
      <name val="Arial"/>
      <family val="2"/>
    </font>
    <font>
      <sz val="12"/>
      <name val="Arial"/>
      <family val="2"/>
    </font>
    <font>
      <b/>
      <sz val="18"/>
      <name val="Arial"/>
      <family val="2"/>
    </font>
    <font>
      <sz val="12"/>
      <name val="Times New Roman"/>
      <family val="1"/>
    </font>
    <font>
      <sz val="10"/>
      <color theme="1"/>
      <name val="Arial"/>
      <family val="2"/>
    </font>
    <font>
      <b/>
      <sz val="10"/>
      <color rgb="FFFF0000"/>
      <name val="Arial"/>
      <family val="2"/>
    </font>
    <font>
      <i/>
      <sz val="10"/>
      <color rgb="FF00B050"/>
      <name val="Arial"/>
      <family val="2"/>
    </font>
    <font>
      <sz val="9"/>
      <name val="Arial"/>
      <family val="2"/>
    </font>
  </fonts>
  <fills count="1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indexed="13"/>
        <bgColor indexed="64"/>
      </patternFill>
    </fill>
    <fill>
      <patternFill patternType="solid">
        <fgColor indexed="1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CC"/>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rgb="FF92D050"/>
        <bgColor indexed="64"/>
      </patternFill>
    </fill>
    <fill>
      <patternFill patternType="solid">
        <fgColor rgb="FF00CC00"/>
        <bgColor indexed="64"/>
      </patternFill>
    </fill>
    <fill>
      <patternFill patternType="solid">
        <fgColor rgb="FF00B050"/>
        <bgColor indexed="64"/>
      </patternFill>
    </fill>
    <fill>
      <patternFill patternType="solid">
        <fgColor theme="0" tint="-0.499984740745262"/>
        <bgColor indexed="64"/>
      </patternFill>
    </fill>
    <fill>
      <patternFill patternType="solid">
        <fgColor theme="1" tint="0.34998626667073579"/>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top/>
      <bottom/>
      <diagonal/>
    </border>
    <border>
      <left/>
      <right/>
      <top style="thin">
        <color indexed="8"/>
      </top>
      <bottom/>
      <diagonal/>
    </border>
    <border>
      <left/>
      <right/>
      <top style="thin">
        <color indexed="8"/>
      </top>
      <bottom style="thin">
        <color indexed="8"/>
      </bottom>
      <diagonal/>
    </border>
    <border>
      <left/>
      <right style="thin">
        <color indexed="8"/>
      </right>
      <top style="thin">
        <color indexed="8"/>
      </top>
      <bottom/>
      <diagonal/>
    </border>
    <border>
      <left/>
      <right style="thin">
        <color indexed="8"/>
      </right>
      <top/>
      <bottom/>
      <diagonal/>
    </border>
    <border>
      <left/>
      <right style="thin">
        <color indexed="8"/>
      </right>
      <top style="thin">
        <color indexed="8"/>
      </top>
      <bottom style="thin">
        <color indexed="8"/>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diagonal/>
    </border>
  </borders>
  <cellStyleXfs count="38">
    <xf numFmtId="0" fontId="0"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3" fontId="2" fillId="0" borderId="0" applyFill="0" applyBorder="0" applyAlignment="0" applyProtection="0"/>
    <xf numFmtId="44" fontId="2" fillId="0" borderId="0" applyFont="0" applyFill="0" applyBorder="0" applyAlignment="0" applyProtection="0"/>
    <xf numFmtId="5" fontId="2" fillId="0" borderId="0" applyFill="0" applyBorder="0" applyAlignment="0" applyProtection="0"/>
    <xf numFmtId="170" fontId="2" fillId="0" borderId="0" applyFill="0" applyBorder="0" applyAlignment="0" applyProtection="0"/>
    <xf numFmtId="2" fontId="2" fillId="0" borderId="0" applyFill="0" applyBorder="0" applyAlignment="0" applyProtection="0"/>
    <xf numFmtId="0" fontId="45" fillId="0" borderId="0" applyNumberFormat="0" applyFill="0" applyBorder="0" applyAlignment="0" applyProtection="0"/>
    <xf numFmtId="0" fontId="3" fillId="0" borderId="0" applyNumberFormat="0" applyFill="0" applyBorder="0" applyAlignment="0" applyProtection="0"/>
    <xf numFmtId="0" fontId="2" fillId="0" borderId="0"/>
    <xf numFmtId="0" fontId="2" fillId="0" borderId="43" applyNumberFormat="0" applyFill="0" applyAlignment="0" applyProtection="0"/>
    <xf numFmtId="0" fontId="2" fillId="0" borderId="0"/>
    <xf numFmtId="0" fontId="46" fillId="0" borderId="0"/>
    <xf numFmtId="43" fontId="46" fillId="0" borderId="0" applyFont="0" applyFill="0" applyBorder="0" applyAlignment="0" applyProtection="0"/>
    <xf numFmtId="9" fontId="46" fillId="0" borderId="0" applyFont="0" applyFill="0" applyBorder="0" applyAlignment="0" applyProtection="0"/>
    <xf numFmtId="0" fontId="47" fillId="0" borderId="0"/>
    <xf numFmtId="0" fontId="2" fillId="0" borderId="0"/>
    <xf numFmtId="0" fontId="2" fillId="0" borderId="0"/>
    <xf numFmtId="0" fontId="2" fillId="0" borderId="0"/>
    <xf numFmtId="0" fontId="2" fillId="0" borderId="0"/>
    <xf numFmtId="0" fontId="1" fillId="0" borderId="0"/>
    <xf numFmtId="43" fontId="1"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44" fillId="0" borderId="0"/>
    <xf numFmtId="0" fontId="1" fillId="0" borderId="0"/>
    <xf numFmtId="43" fontId="1" fillId="0" borderId="0" applyFont="0" applyFill="0" applyBorder="0" applyAlignment="0" applyProtection="0"/>
  </cellStyleXfs>
  <cellXfs count="955">
    <xf numFmtId="0" fontId="0" fillId="0" borderId="0" xfId="0"/>
    <xf numFmtId="0" fontId="3" fillId="0" borderId="0" xfId="0" applyFont="1"/>
    <xf numFmtId="0" fontId="5" fillId="0" borderId="0" xfId="0" applyFont="1"/>
    <xf numFmtId="10" fontId="0" fillId="0" borderId="0" xfId="2" applyNumberFormat="1" applyFont="1"/>
    <xf numFmtId="10" fontId="0" fillId="0" borderId="0" xfId="0" applyNumberFormat="1"/>
    <xf numFmtId="1" fontId="0" fillId="0" borderId="0" xfId="0" applyNumberFormat="1"/>
    <xf numFmtId="164" fontId="0" fillId="0" borderId="0" xfId="2" applyNumberFormat="1" applyFont="1"/>
    <xf numFmtId="10" fontId="6" fillId="0" borderId="0" xfId="0" applyNumberFormat="1" applyFont="1"/>
    <xf numFmtId="1" fontId="5" fillId="0" borderId="0" xfId="0" applyNumberFormat="1" applyFont="1"/>
    <xf numFmtId="0" fontId="6" fillId="0" borderId="0" xfId="0" applyFont="1"/>
    <xf numFmtId="10" fontId="6" fillId="0" borderId="0" xfId="2" applyNumberFormat="1" applyFont="1"/>
    <xf numFmtId="0" fontId="2" fillId="0" borderId="0" xfId="0" applyFont="1"/>
    <xf numFmtId="1" fontId="2" fillId="0" borderId="0" xfId="0" applyNumberFormat="1" applyFont="1"/>
    <xf numFmtId="167" fontId="0" fillId="0" borderId="0" xfId="1" applyNumberFormat="1" applyFont="1"/>
    <xf numFmtId="167" fontId="0" fillId="0" borderId="0" xfId="0" applyNumberFormat="1"/>
    <xf numFmtId="164" fontId="0" fillId="0" borderId="0" xfId="0" applyNumberFormat="1"/>
    <xf numFmtId="1" fontId="6" fillId="0" borderId="0" xfId="0" applyNumberFormat="1" applyFont="1"/>
    <xf numFmtId="164" fontId="6" fillId="0" borderId="0" xfId="2" applyNumberFormat="1" applyFont="1"/>
    <xf numFmtId="164" fontId="2" fillId="0" borderId="0" xfId="2" applyNumberFormat="1" applyFont="1"/>
    <xf numFmtId="9" fontId="0" fillId="0" borderId="0" xfId="2" applyFont="1"/>
    <xf numFmtId="1" fontId="2" fillId="0" borderId="0" xfId="2" applyNumberFormat="1" applyFont="1"/>
    <xf numFmtId="164" fontId="5" fillId="0" borderId="0" xfId="0" applyNumberFormat="1" applyFont="1"/>
    <xf numFmtId="164" fontId="5" fillId="0" borderId="0" xfId="2" applyNumberFormat="1" applyFont="1"/>
    <xf numFmtId="0" fontId="5" fillId="0" borderId="0" xfId="0" applyFont="1" applyAlignment="1">
      <alignment horizontal="right"/>
    </xf>
    <xf numFmtId="167" fontId="5" fillId="0" borderId="0" xfId="1" applyNumberFormat="1" applyFont="1"/>
    <xf numFmtId="10" fontId="7" fillId="0" borderId="0" xfId="0" applyNumberFormat="1" applyFont="1"/>
    <xf numFmtId="10" fontId="5" fillId="0" borderId="0" xfId="0" applyNumberFormat="1" applyFont="1"/>
    <xf numFmtId="0" fontId="8" fillId="0" borderId="0" xfId="0" applyFont="1"/>
    <xf numFmtId="164" fontId="8" fillId="0" borderId="0" xfId="2" applyNumberFormat="1" applyFont="1"/>
    <xf numFmtId="167" fontId="8" fillId="0" borderId="0" xfId="1" applyNumberFormat="1" applyFont="1"/>
    <xf numFmtId="3" fontId="0" fillId="0" borderId="0" xfId="2" applyNumberFormat="1" applyFont="1"/>
    <xf numFmtId="0" fontId="0" fillId="0" borderId="0" xfId="0" applyAlignment="1">
      <alignment horizontal="right"/>
    </xf>
    <xf numFmtId="0" fontId="0" fillId="0" borderId="0" xfId="0" applyFill="1"/>
    <xf numFmtId="0" fontId="8" fillId="0" borderId="0" xfId="0" applyFont="1" applyFill="1"/>
    <xf numFmtId="0" fontId="5" fillId="0" borderId="0" xfId="0" applyFont="1" applyFill="1"/>
    <xf numFmtId="10" fontId="0" fillId="0" borderId="0" xfId="2" applyNumberFormat="1" applyFont="1" applyFill="1"/>
    <xf numFmtId="0" fontId="9" fillId="0" borderId="0" xfId="0" applyFont="1"/>
    <xf numFmtId="0" fontId="10" fillId="0" borderId="0" xfId="0" applyFont="1"/>
    <xf numFmtId="0" fontId="11" fillId="0" borderId="0" xfId="0" applyFont="1"/>
    <xf numFmtId="10" fontId="12" fillId="0" borderId="0" xfId="0" applyNumberFormat="1" applyFont="1"/>
    <xf numFmtId="167" fontId="5" fillId="0" borderId="0" xfId="0" applyNumberFormat="1" applyFont="1"/>
    <xf numFmtId="0" fontId="5" fillId="0" borderId="1" xfId="0" applyFont="1" applyBorder="1"/>
    <xf numFmtId="0" fontId="0" fillId="0" borderId="1" xfId="0" applyBorder="1"/>
    <xf numFmtId="10" fontId="0" fillId="0" borderId="1" xfId="2" applyNumberFormat="1" applyFont="1" applyBorder="1"/>
    <xf numFmtId="0" fontId="0" fillId="0" borderId="0" xfId="0" applyBorder="1"/>
    <xf numFmtId="10" fontId="0" fillId="0" borderId="0" xfId="2" applyNumberFormat="1" applyFont="1" applyBorder="1"/>
    <xf numFmtId="0" fontId="5" fillId="0" borderId="0" xfId="0" applyFont="1" applyBorder="1"/>
    <xf numFmtId="0" fontId="2" fillId="0" borderId="1" xfId="0" applyFont="1" applyBorder="1"/>
    <xf numFmtId="49" fontId="0" fillId="0" borderId="0" xfId="0" applyNumberFormat="1" applyAlignment="1">
      <alignment horizontal="right"/>
    </xf>
    <xf numFmtId="10" fontId="0" fillId="0" borderId="1" xfId="0" applyNumberFormat="1" applyBorder="1"/>
    <xf numFmtId="1" fontId="0" fillId="0" borderId="1" xfId="0" applyNumberFormat="1" applyBorder="1"/>
    <xf numFmtId="10" fontId="6" fillId="0" borderId="1" xfId="0" applyNumberFormat="1" applyFont="1" applyBorder="1"/>
    <xf numFmtId="167" fontId="8" fillId="0" borderId="1" xfId="1" applyNumberFormat="1" applyFont="1" applyBorder="1"/>
    <xf numFmtId="167" fontId="0" fillId="0" borderId="1" xfId="1" applyNumberFormat="1" applyFont="1" applyBorder="1"/>
    <xf numFmtId="164" fontId="0" fillId="0" borderId="1" xfId="2" applyNumberFormat="1" applyFont="1" applyBorder="1"/>
    <xf numFmtId="10" fontId="5" fillId="0" borderId="0" xfId="2" applyNumberFormat="1" applyFont="1"/>
    <xf numFmtId="167" fontId="7" fillId="0" borderId="0" xfId="1" applyNumberFormat="1" applyFont="1"/>
    <xf numFmtId="0" fontId="13" fillId="0" borderId="0" xfId="0" applyFont="1"/>
    <xf numFmtId="10" fontId="13" fillId="0" borderId="0" xfId="2" applyNumberFormat="1" applyFont="1"/>
    <xf numFmtId="1" fontId="13" fillId="0" borderId="0" xfId="0" applyNumberFormat="1" applyFont="1"/>
    <xf numFmtId="0" fontId="15" fillId="0" borderId="0" xfId="0" applyFont="1"/>
    <xf numFmtId="167" fontId="15" fillId="0" borderId="0" xfId="1" applyNumberFormat="1" applyFont="1"/>
    <xf numFmtId="164" fontId="15" fillId="0" borderId="0" xfId="2" applyNumberFormat="1" applyFont="1"/>
    <xf numFmtId="167" fontId="13" fillId="0" borderId="0" xfId="1" applyNumberFormat="1" applyFont="1"/>
    <xf numFmtId="167" fontId="2" fillId="0" borderId="0" xfId="1" applyNumberFormat="1" applyFont="1"/>
    <xf numFmtId="1" fontId="8" fillId="0" borderId="0" xfId="0" applyNumberFormat="1" applyFont="1"/>
    <xf numFmtId="1" fontId="8" fillId="0" borderId="1" xfId="0" applyNumberFormat="1" applyFont="1" applyBorder="1"/>
    <xf numFmtId="10" fontId="5" fillId="0" borderId="0" xfId="2" applyNumberFormat="1" applyFont="1" applyBorder="1"/>
    <xf numFmtId="10" fontId="6" fillId="0" borderId="1" xfId="2" applyNumberFormat="1" applyFont="1" applyBorder="1"/>
    <xf numFmtId="1" fontId="0" fillId="0" borderId="0" xfId="0" applyNumberFormat="1" applyBorder="1"/>
    <xf numFmtId="167" fontId="5" fillId="0" borderId="0" xfId="1" applyNumberFormat="1" applyFont="1" applyBorder="1"/>
    <xf numFmtId="0" fontId="0" fillId="0" borderId="1" xfId="0" applyFill="1" applyBorder="1"/>
    <xf numFmtId="0" fontId="17" fillId="0" borderId="0" xfId="0" applyFont="1"/>
    <xf numFmtId="0" fontId="0" fillId="0" borderId="0" xfId="0" applyFill="1" applyBorder="1"/>
    <xf numFmtId="0" fontId="12" fillId="0" borderId="0" xfId="0" applyFont="1"/>
    <xf numFmtId="10" fontId="0" fillId="0" borderId="0" xfId="2" applyNumberFormat="1" applyFont="1" applyFill="1" applyBorder="1"/>
    <xf numFmtId="10" fontId="17" fillId="0" borderId="0" xfId="0" applyNumberFormat="1" applyFont="1"/>
    <xf numFmtId="10" fontId="16" fillId="0" borderId="1" xfId="0" applyNumberFormat="1" applyFont="1" applyBorder="1"/>
    <xf numFmtId="10" fontId="16" fillId="0" borderId="0" xfId="0" applyNumberFormat="1" applyFont="1"/>
    <xf numFmtId="167" fontId="13" fillId="0" borderId="2" xfId="1" applyNumberFormat="1" applyFont="1" applyBorder="1"/>
    <xf numFmtId="0" fontId="13" fillId="0" borderId="2" xfId="0" applyFont="1" applyBorder="1"/>
    <xf numFmtId="10" fontId="13" fillId="0" borderId="2" xfId="2" applyNumberFormat="1" applyFont="1" applyBorder="1"/>
    <xf numFmtId="1" fontId="13" fillId="0" borderId="2" xfId="0" applyNumberFormat="1" applyFont="1" applyBorder="1"/>
    <xf numFmtId="167" fontId="15" fillId="0" borderId="2" xfId="1" applyNumberFormat="1" applyFont="1" applyBorder="1"/>
    <xf numFmtId="1" fontId="13" fillId="0" borderId="2" xfId="1" applyNumberFormat="1" applyFont="1" applyBorder="1"/>
    <xf numFmtId="166" fontId="13" fillId="0" borderId="2" xfId="1" applyNumberFormat="1" applyFont="1" applyBorder="1"/>
    <xf numFmtId="167" fontId="13" fillId="0" borderId="2" xfId="0" applyNumberFormat="1" applyFont="1" applyBorder="1"/>
    <xf numFmtId="3" fontId="13" fillId="0" borderId="2" xfId="2" applyNumberFormat="1" applyFont="1" applyBorder="1"/>
    <xf numFmtId="164" fontId="13" fillId="0" borderId="2" xfId="2" applyNumberFormat="1" applyFont="1" applyBorder="1"/>
    <xf numFmtId="0" fontId="13" fillId="0" borderId="1" xfId="0" applyFont="1" applyBorder="1"/>
    <xf numFmtId="10" fontId="13" fillId="0" borderId="1" xfId="2" applyNumberFormat="1" applyFont="1" applyBorder="1"/>
    <xf numFmtId="1" fontId="13" fillId="0" borderId="1" xfId="0" applyNumberFormat="1" applyFont="1" applyBorder="1"/>
    <xf numFmtId="0" fontId="15" fillId="0" borderId="1" xfId="0" applyFont="1" applyBorder="1"/>
    <xf numFmtId="167" fontId="15" fillId="0" borderId="1" xfId="1" applyNumberFormat="1" applyFont="1" applyBorder="1"/>
    <xf numFmtId="164" fontId="15" fillId="0" borderId="1" xfId="2" applyNumberFormat="1" applyFont="1" applyBorder="1"/>
    <xf numFmtId="10" fontId="12" fillId="0" borderId="1" xfId="0" applyNumberFormat="1" applyFont="1" applyBorder="1"/>
    <xf numFmtId="167" fontId="5" fillId="0" borderId="1" xfId="1" applyNumberFormat="1" applyFont="1" applyBorder="1"/>
    <xf numFmtId="10" fontId="5" fillId="0" borderId="1" xfId="2" applyNumberFormat="1" applyFont="1" applyBorder="1"/>
    <xf numFmtId="167" fontId="2" fillId="0" borderId="1" xfId="1" applyNumberFormat="1" applyFont="1" applyBorder="1"/>
    <xf numFmtId="0" fontId="5" fillId="0" borderId="2" xfId="0" applyFont="1" applyBorder="1"/>
    <xf numFmtId="167" fontId="5" fillId="0" borderId="2" xfId="0" applyNumberFormat="1" applyFont="1" applyBorder="1"/>
    <xf numFmtId="10" fontId="5" fillId="0" borderId="2" xfId="2" applyNumberFormat="1" applyFont="1" applyBorder="1"/>
    <xf numFmtId="1" fontId="5" fillId="0" borderId="0" xfId="0" applyNumberFormat="1" applyFont="1" applyBorder="1"/>
    <xf numFmtId="10" fontId="14" fillId="0" borderId="2" xfId="0" applyNumberFormat="1" applyFont="1" applyBorder="1"/>
    <xf numFmtId="0" fontId="15" fillId="0" borderId="2" xfId="0" applyFont="1" applyBorder="1"/>
    <xf numFmtId="164" fontId="15" fillId="0" borderId="2" xfId="2" applyNumberFormat="1" applyFont="1" applyBorder="1"/>
    <xf numFmtId="167" fontId="5" fillId="0" borderId="2" xfId="1" applyNumberFormat="1" applyFont="1" applyBorder="1"/>
    <xf numFmtId="167" fontId="5" fillId="0" borderId="1" xfId="0" applyNumberFormat="1" applyFont="1" applyBorder="1"/>
    <xf numFmtId="167" fontId="13" fillId="0" borderId="1" xfId="1" applyNumberFormat="1" applyFont="1" applyBorder="1"/>
    <xf numFmtId="1" fontId="13" fillId="0" borderId="1" xfId="1" applyNumberFormat="1" applyFont="1" applyBorder="1"/>
    <xf numFmtId="10" fontId="8" fillId="0" borderId="0" xfId="2" applyNumberFormat="1" applyFont="1" applyBorder="1"/>
    <xf numFmtId="0" fontId="2" fillId="0" borderId="0" xfId="0" applyFont="1" applyFill="1" applyBorder="1"/>
    <xf numFmtId="10" fontId="2" fillId="0" borderId="0" xfId="2" applyNumberFormat="1" applyFont="1"/>
    <xf numFmtId="0" fontId="13" fillId="0" borderId="0" xfId="0" applyFont="1" applyBorder="1"/>
    <xf numFmtId="10" fontId="13" fillId="0" borderId="0" xfId="2" applyNumberFormat="1" applyFont="1" applyBorder="1"/>
    <xf numFmtId="1" fontId="13" fillId="0" borderId="0" xfId="0" applyNumberFormat="1" applyFont="1" applyBorder="1"/>
    <xf numFmtId="0" fontId="15" fillId="0" borderId="0" xfId="0" applyFont="1" applyBorder="1"/>
    <xf numFmtId="167" fontId="15" fillId="0" borderId="0" xfId="1" applyNumberFormat="1" applyFont="1" applyBorder="1"/>
    <xf numFmtId="164" fontId="15" fillId="0" borderId="0" xfId="2" applyNumberFormat="1" applyFont="1" applyBorder="1"/>
    <xf numFmtId="10" fontId="2" fillId="0" borderId="0" xfId="0" applyNumberFormat="1" applyFont="1"/>
    <xf numFmtId="1" fontId="13" fillId="0" borderId="0" xfId="1" applyNumberFormat="1" applyFont="1"/>
    <xf numFmtId="10" fontId="0" fillId="0" borderId="0" xfId="0" applyNumberFormat="1" applyBorder="1"/>
    <xf numFmtId="10" fontId="16" fillId="0" borderId="0" xfId="0" applyNumberFormat="1" applyFont="1" applyBorder="1"/>
    <xf numFmtId="167" fontId="8" fillId="0" borderId="0" xfId="1" applyNumberFormat="1" applyFont="1" applyBorder="1"/>
    <xf numFmtId="167" fontId="0" fillId="0" borderId="0" xfId="1" applyNumberFormat="1" applyFont="1" applyBorder="1"/>
    <xf numFmtId="164" fontId="0" fillId="0" borderId="0" xfId="2" applyNumberFormat="1" applyFont="1" applyBorder="1"/>
    <xf numFmtId="10" fontId="6" fillId="0" borderId="0" xfId="0" applyNumberFormat="1" applyFont="1" applyBorder="1"/>
    <xf numFmtId="1" fontId="15" fillId="0" borderId="1" xfId="1" applyNumberFormat="1" applyFont="1" applyBorder="1"/>
    <xf numFmtId="0" fontId="0" fillId="0" borderId="3" xfId="0" applyBorder="1"/>
    <xf numFmtId="167" fontId="0" fillId="0" borderId="3" xfId="1" applyNumberFormat="1" applyFont="1" applyBorder="1"/>
    <xf numFmtId="0" fontId="0" fillId="0" borderId="4" xfId="0" applyBorder="1"/>
    <xf numFmtId="167" fontId="0" fillId="0" borderId="4" xfId="1" applyNumberFormat="1" applyFont="1" applyBorder="1"/>
    <xf numFmtId="0" fontId="0" fillId="0" borderId="0" xfId="0" applyBorder="1" applyAlignment="1">
      <alignment horizontal="center"/>
    </xf>
    <xf numFmtId="0" fontId="0" fillId="0" borderId="4" xfId="0" applyFill="1" applyBorder="1"/>
    <xf numFmtId="0" fontId="0" fillId="0" borderId="5" xfId="0" applyBorder="1"/>
    <xf numFmtId="0" fontId="5" fillId="0" borderId="4" xfId="0" applyFont="1" applyBorder="1"/>
    <xf numFmtId="167" fontId="0" fillId="0" borderId="6" xfId="1" applyNumberFormat="1" applyFont="1" applyBorder="1"/>
    <xf numFmtId="167" fontId="0" fillId="0" borderId="5" xfId="1" applyNumberFormat="1" applyFont="1" applyBorder="1"/>
    <xf numFmtId="0" fontId="3" fillId="0" borderId="4" xfId="0" applyFont="1" applyBorder="1"/>
    <xf numFmtId="167" fontId="3" fillId="0" borderId="3" xfId="1" applyNumberFormat="1" applyFont="1" applyBorder="1"/>
    <xf numFmtId="167" fontId="3" fillId="0" borderId="4" xfId="1" applyNumberFormat="1" applyFont="1" applyBorder="1"/>
    <xf numFmtId="167" fontId="3" fillId="0" borderId="0" xfId="1" applyNumberFormat="1" applyFont="1"/>
    <xf numFmtId="0" fontId="3" fillId="0" borderId="5" xfId="0" applyFont="1" applyBorder="1"/>
    <xf numFmtId="167" fontId="3" fillId="0" borderId="6" xfId="1" applyNumberFormat="1" applyFont="1" applyBorder="1"/>
    <xf numFmtId="167" fontId="3" fillId="0" borderId="5" xfId="1" applyNumberFormat="1" applyFont="1" applyBorder="1"/>
    <xf numFmtId="0" fontId="3" fillId="0" borderId="7" xfId="0" applyFont="1" applyBorder="1"/>
    <xf numFmtId="167" fontId="3" fillId="0" borderId="8" xfId="1" applyNumberFormat="1" applyFont="1" applyBorder="1"/>
    <xf numFmtId="167" fontId="3" fillId="0" borderId="7" xfId="1" applyNumberFormat="1" applyFont="1" applyBorder="1"/>
    <xf numFmtId="167" fontId="3" fillId="0" borderId="0" xfId="1" applyNumberFormat="1" applyFont="1" applyBorder="1"/>
    <xf numFmtId="167" fontId="3" fillId="0" borderId="2" xfId="1" applyNumberFormat="1" applyFont="1" applyBorder="1"/>
    <xf numFmtId="1" fontId="0" fillId="0" borderId="3" xfId="1" applyNumberFormat="1" applyFont="1" applyBorder="1"/>
    <xf numFmtId="0" fontId="5" fillId="0" borderId="0" xfId="0" applyFont="1" applyAlignment="1">
      <alignment horizontal="center"/>
    </xf>
    <xf numFmtId="9" fontId="0" fillId="0" borderId="0" xfId="2" applyFont="1" applyAlignment="1">
      <alignment horizontal="center"/>
    </xf>
    <xf numFmtId="0" fontId="0" fillId="0" borderId="0" xfId="0" applyAlignment="1">
      <alignment horizontal="center"/>
    </xf>
    <xf numFmtId="1" fontId="0" fillId="0" borderId="0" xfId="0" applyNumberFormat="1" applyAlignment="1">
      <alignment horizontal="center"/>
    </xf>
    <xf numFmtId="167" fontId="0" fillId="0" borderId="0" xfId="0" applyNumberFormat="1" applyBorder="1"/>
    <xf numFmtId="1" fontId="0" fillId="0" borderId="0" xfId="1" applyNumberFormat="1" applyFont="1" applyBorder="1"/>
    <xf numFmtId="0" fontId="0" fillId="0" borderId="0" xfId="1" applyNumberFormat="1" applyFont="1" applyBorder="1"/>
    <xf numFmtId="9" fontId="12" fillId="0" borderId="0" xfId="2" applyFont="1" applyFill="1" applyAlignment="1">
      <alignment horizontal="center"/>
    </xf>
    <xf numFmtId="0" fontId="20" fillId="0" borderId="0" xfId="0" applyFont="1" applyAlignment="1">
      <alignment horizontal="center"/>
    </xf>
    <xf numFmtId="1" fontId="16" fillId="0" borderId="0" xfId="0" applyNumberFormat="1" applyFont="1" applyFill="1" applyAlignment="1">
      <alignment horizontal="center"/>
    </xf>
    <xf numFmtId="9" fontId="0" fillId="0" borderId="0" xfId="0" applyNumberFormat="1"/>
    <xf numFmtId="167" fontId="16" fillId="0" borderId="0" xfId="1" applyNumberFormat="1" applyFont="1" applyBorder="1"/>
    <xf numFmtId="9" fontId="5" fillId="0" borderId="0" xfId="2" applyFont="1" applyAlignment="1">
      <alignment horizontal="center"/>
    </xf>
    <xf numFmtId="0" fontId="5" fillId="0" borderId="0" xfId="0" applyFont="1" applyBorder="1" applyAlignment="1">
      <alignment horizontal="center"/>
    </xf>
    <xf numFmtId="0" fontId="5" fillId="0" borderId="0" xfId="0" applyFont="1" applyFill="1" applyBorder="1" applyAlignment="1">
      <alignment horizontal="center"/>
    </xf>
    <xf numFmtId="9" fontId="20" fillId="0" borderId="0" xfId="2" applyFont="1" applyAlignment="1">
      <alignment horizontal="center"/>
    </xf>
    <xf numFmtId="0" fontId="20" fillId="0" borderId="0" xfId="0" applyFont="1" applyFill="1" applyBorder="1" applyAlignment="1">
      <alignment horizontal="center"/>
    </xf>
    <xf numFmtId="167" fontId="0" fillId="0" borderId="0" xfId="0" applyNumberFormat="1" applyFill="1" applyBorder="1"/>
    <xf numFmtId="9" fontId="12" fillId="0" borderId="0" xfId="2" applyFont="1" applyAlignment="1">
      <alignment horizontal="center"/>
    </xf>
    <xf numFmtId="0" fontId="6" fillId="0" borderId="0" xfId="0" applyFont="1" applyFill="1" applyBorder="1"/>
    <xf numFmtId="0" fontId="2" fillId="0" borderId="0" xfId="0" applyFont="1" applyAlignment="1">
      <alignment horizontal="center"/>
    </xf>
    <xf numFmtId="1" fontId="8" fillId="0" borderId="0" xfId="0" applyNumberFormat="1" applyFont="1" applyFill="1" applyAlignment="1">
      <alignment horizontal="center"/>
    </xf>
    <xf numFmtId="9" fontId="5" fillId="0" borderId="0" xfId="0" applyNumberFormat="1" applyFont="1" applyAlignment="1">
      <alignment horizontal="center"/>
    </xf>
    <xf numFmtId="0" fontId="5" fillId="0" borderId="1" xfId="0" applyFont="1" applyBorder="1" applyAlignment="1">
      <alignment horizontal="center"/>
    </xf>
    <xf numFmtId="0" fontId="5" fillId="0" borderId="1" xfId="0" applyFont="1" applyFill="1" applyBorder="1" applyAlignment="1">
      <alignment horizontal="center"/>
    </xf>
    <xf numFmtId="3" fontId="0" fillId="0" borderId="0" xfId="0" applyNumberFormat="1"/>
    <xf numFmtId="9" fontId="2" fillId="0" borderId="0" xfId="2" applyFont="1" applyFill="1" applyAlignment="1">
      <alignment horizontal="center"/>
    </xf>
    <xf numFmtId="0" fontId="10" fillId="0" borderId="0" xfId="0" applyFont="1" applyBorder="1"/>
    <xf numFmtId="3" fontId="8" fillId="0" borderId="0" xfId="0" applyNumberFormat="1" applyFont="1" applyAlignment="1">
      <alignment vertical="top" wrapText="1"/>
    </xf>
    <xf numFmtId="0" fontId="8" fillId="0" borderId="0" xfId="0" applyFont="1" applyAlignment="1">
      <alignment vertical="top" wrapText="1"/>
    </xf>
    <xf numFmtId="0" fontId="21" fillId="0" borderId="0" xfId="0" applyFont="1"/>
    <xf numFmtId="0" fontId="5" fillId="2" borderId="0" xfId="0" applyFont="1" applyFill="1"/>
    <xf numFmtId="3" fontId="0" fillId="2" borderId="0" xfId="1" applyNumberFormat="1" applyFont="1" applyFill="1"/>
    <xf numFmtId="0" fontId="5" fillId="3" borderId="0" xfId="0" applyFont="1" applyFill="1"/>
    <xf numFmtId="3" fontId="0" fillId="3" borderId="0" xfId="1" applyNumberFormat="1" applyFont="1" applyFill="1"/>
    <xf numFmtId="0" fontId="5" fillId="4" borderId="0" xfId="0" applyFont="1" applyFill="1"/>
    <xf numFmtId="3" fontId="0" fillId="4" borderId="0" xfId="1" applyNumberFormat="1" applyFont="1" applyFill="1"/>
    <xf numFmtId="3" fontId="8" fillId="0" borderId="0" xfId="0" applyNumberFormat="1" applyFont="1"/>
    <xf numFmtId="0" fontId="8" fillId="0" borderId="0" xfId="0" applyFont="1" applyAlignment="1">
      <alignment horizontal="right"/>
    </xf>
    <xf numFmtId="3" fontId="8" fillId="0" borderId="0" xfId="0" applyNumberFormat="1" applyFont="1" applyAlignment="1">
      <alignment horizontal="right"/>
    </xf>
    <xf numFmtId="0" fontId="0" fillId="0" borderId="0" xfId="2" applyNumberFormat="1" applyFont="1"/>
    <xf numFmtId="1" fontId="0" fillId="0" borderId="0" xfId="2" applyNumberFormat="1" applyFont="1"/>
    <xf numFmtId="167" fontId="8" fillId="0" borderId="0" xfId="1" applyNumberFormat="1" applyFont="1" applyBorder="1" applyAlignment="1">
      <alignment vertical="top" wrapText="1"/>
    </xf>
    <xf numFmtId="0" fontId="8" fillId="0" borderId="0" xfId="0" applyFont="1" applyBorder="1" applyAlignment="1">
      <alignment vertical="top" wrapText="1"/>
    </xf>
    <xf numFmtId="0" fontId="0" fillId="0" borderId="2" xfId="0" applyBorder="1"/>
    <xf numFmtId="10" fontId="0" fillId="0" borderId="2" xfId="2" applyNumberFormat="1" applyFont="1" applyBorder="1"/>
    <xf numFmtId="0" fontId="3" fillId="0" borderId="0" xfId="0" applyFont="1" applyBorder="1"/>
    <xf numFmtId="10" fontId="3" fillId="0" borderId="0" xfId="2" applyNumberFormat="1" applyFont="1" applyBorder="1"/>
    <xf numFmtId="10" fontId="3" fillId="0" borderId="0" xfId="2" applyNumberFormat="1" applyFont="1"/>
    <xf numFmtId="167" fontId="22" fillId="0" borderId="0" xfId="1" applyNumberFormat="1" applyFont="1"/>
    <xf numFmtId="0" fontId="23" fillId="0" borderId="0" xfId="0" applyFont="1"/>
    <xf numFmtId="0" fontId="5" fillId="0" borderId="1" xfId="0" applyFont="1" applyFill="1" applyBorder="1"/>
    <xf numFmtId="10" fontId="5" fillId="0" borderId="1" xfId="0" applyNumberFormat="1" applyFont="1" applyBorder="1"/>
    <xf numFmtId="10" fontId="24" fillId="0" borderId="0" xfId="2" applyNumberFormat="1" applyFont="1"/>
    <xf numFmtId="0" fontId="25" fillId="0" borderId="0" xfId="0" applyFont="1"/>
    <xf numFmtId="0" fontId="5" fillId="0" borderId="9" xfId="0" applyFont="1" applyBorder="1"/>
    <xf numFmtId="0" fontId="25" fillId="0" borderId="0" xfId="0" applyFont="1" applyBorder="1"/>
    <xf numFmtId="0" fontId="5" fillId="0" borderId="0" xfId="0" applyFont="1" applyFill="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167" fontId="5" fillId="0" borderId="0" xfId="0" applyNumberFormat="1" applyFont="1" applyBorder="1"/>
    <xf numFmtId="37" fontId="25" fillId="0" borderId="0" xfId="0" applyNumberFormat="1" applyFont="1" applyBorder="1"/>
    <xf numFmtId="167" fontId="5" fillId="0" borderId="13" xfId="0" applyNumberFormat="1" applyFont="1" applyBorder="1"/>
    <xf numFmtId="10" fontId="8" fillId="0" borderId="1" xfId="2" applyNumberFormat="1" applyFont="1" applyBorder="1"/>
    <xf numFmtId="3" fontId="5" fillId="0" borderId="0" xfId="0" applyNumberFormat="1" applyFont="1"/>
    <xf numFmtId="167" fontId="26" fillId="0" borderId="0" xfId="1" applyNumberFormat="1" applyFont="1"/>
    <xf numFmtId="1" fontId="5" fillId="0" borderId="2" xfId="0" applyNumberFormat="1" applyFont="1" applyBorder="1"/>
    <xf numFmtId="10" fontId="8" fillId="0" borderId="0" xfId="2" applyNumberFormat="1" applyFont="1"/>
    <xf numFmtId="0" fontId="8" fillId="0" borderId="1" xfId="0" applyFont="1" applyBorder="1"/>
    <xf numFmtId="0" fontId="0" fillId="0" borderId="0" xfId="0" applyFont="1" applyFill="1" applyBorder="1"/>
    <xf numFmtId="10" fontId="8" fillId="0" borderId="2" xfId="2" applyNumberFormat="1" applyFont="1" applyBorder="1"/>
    <xf numFmtId="9" fontId="8" fillId="0" borderId="0" xfId="2" applyFont="1"/>
    <xf numFmtId="10" fontId="27" fillId="0" borderId="2" xfId="2" applyNumberFormat="1" applyFont="1" applyBorder="1"/>
    <xf numFmtId="167" fontId="27" fillId="0" borderId="2" xfId="1" applyNumberFormat="1" applyFont="1" applyBorder="1"/>
    <xf numFmtId="0" fontId="28" fillId="0" borderId="2" xfId="0" applyFont="1" applyBorder="1"/>
    <xf numFmtId="164" fontId="0" fillId="0" borderId="0" xfId="0" applyNumberFormat="1" applyBorder="1"/>
    <xf numFmtId="10" fontId="2" fillId="0" borderId="1" xfId="2" applyNumberFormat="1" applyFont="1" applyBorder="1"/>
    <xf numFmtId="0" fontId="7" fillId="0" borderId="0" xfId="0" applyFont="1"/>
    <xf numFmtId="3" fontId="17" fillId="0" borderId="0" xfId="0" applyNumberFormat="1" applyFont="1"/>
    <xf numFmtId="0" fontId="17" fillId="0" borderId="0" xfId="0" applyFont="1" applyBorder="1"/>
    <xf numFmtId="1" fontId="17" fillId="0" borderId="0" xfId="0" applyNumberFormat="1" applyFont="1"/>
    <xf numFmtId="3" fontId="29" fillId="0" borderId="0" xfId="0" applyNumberFormat="1" applyFont="1" applyAlignment="1">
      <alignment vertical="top" wrapText="1"/>
    </xf>
    <xf numFmtId="167" fontId="12" fillId="0" borderId="0" xfId="0" applyNumberFormat="1" applyFont="1"/>
    <xf numFmtId="9" fontId="29" fillId="0" borderId="0" xfId="2" applyFont="1" applyAlignment="1">
      <alignment vertical="top" wrapText="1"/>
    </xf>
    <xf numFmtId="9" fontId="29" fillId="0" borderId="0" xfId="2" applyFont="1" applyBorder="1" applyAlignment="1">
      <alignment vertical="top" wrapText="1"/>
    </xf>
    <xf numFmtId="9" fontId="16" fillId="0" borderId="0" xfId="2" applyFont="1" applyAlignment="1">
      <alignment horizontal="center"/>
    </xf>
    <xf numFmtId="1" fontId="3" fillId="0" borderId="0" xfId="0" applyNumberFormat="1" applyFont="1" applyBorder="1"/>
    <xf numFmtId="1" fontId="5" fillId="0" borderId="1" xfId="0" applyNumberFormat="1" applyFont="1" applyBorder="1"/>
    <xf numFmtId="3" fontId="8" fillId="0" borderId="0" xfId="0" applyNumberFormat="1" applyFont="1" applyFill="1" applyAlignment="1">
      <alignment horizontal="right"/>
    </xf>
    <xf numFmtId="3" fontId="8" fillId="0" borderId="0" xfId="0" applyNumberFormat="1" applyFont="1" applyFill="1"/>
    <xf numFmtId="0" fontId="22" fillId="0" borderId="0" xfId="0" applyFont="1"/>
    <xf numFmtId="167" fontId="22" fillId="0" borderId="0" xfId="0" applyNumberFormat="1" applyFont="1" applyBorder="1"/>
    <xf numFmtId="0" fontId="5" fillId="0" borderId="0" xfId="0" quotePrefix="1" applyFont="1" applyBorder="1"/>
    <xf numFmtId="169" fontId="8" fillId="0" borderId="0" xfId="2" applyNumberFormat="1" applyFont="1" applyFill="1" applyAlignment="1">
      <alignment horizontal="right"/>
    </xf>
    <xf numFmtId="169" fontId="8" fillId="0" borderId="0" xfId="0" applyNumberFormat="1" applyFont="1" applyAlignment="1">
      <alignment horizontal="right"/>
    </xf>
    <xf numFmtId="0" fontId="33" fillId="0" borderId="12" xfId="0" applyFont="1" applyBorder="1"/>
    <xf numFmtId="167" fontId="30" fillId="0" borderId="0" xfId="1" applyNumberFormat="1" applyFont="1" applyBorder="1"/>
    <xf numFmtId="0" fontId="30" fillId="0" borderId="13" xfId="0" applyFont="1" applyBorder="1"/>
    <xf numFmtId="0" fontId="30" fillId="0" borderId="12" xfId="0" applyFont="1" applyBorder="1"/>
    <xf numFmtId="37" fontId="30" fillId="0" borderId="13" xfId="1" applyNumberFormat="1" applyFont="1" applyBorder="1"/>
    <xf numFmtId="0" fontId="30" fillId="0" borderId="14" xfId="0" applyFont="1" applyBorder="1"/>
    <xf numFmtId="167" fontId="30" fillId="0" borderId="15" xfId="1" applyNumberFormat="1" applyFont="1" applyBorder="1"/>
    <xf numFmtId="167" fontId="30" fillId="0" borderId="16" xfId="1" applyNumberFormat="1" applyFont="1" applyBorder="1"/>
    <xf numFmtId="0" fontId="32" fillId="0" borderId="12" xfId="0" applyFont="1" applyBorder="1"/>
    <xf numFmtId="167" fontId="31" fillId="0" borderId="0" xfId="1" applyNumberFormat="1" applyFont="1" applyBorder="1"/>
    <xf numFmtId="0" fontId="31" fillId="0" borderId="13" xfId="0" applyFont="1" applyBorder="1"/>
    <xf numFmtId="0" fontId="31" fillId="0" borderId="12" xfId="0" applyFont="1" applyBorder="1"/>
    <xf numFmtId="37" fontId="31" fillId="0" borderId="13" xfId="1" applyNumberFormat="1" applyFont="1" applyBorder="1"/>
    <xf numFmtId="0" fontId="31" fillId="0" borderId="14" xfId="0" applyFont="1" applyBorder="1"/>
    <xf numFmtId="167" fontId="31" fillId="0" borderId="15" xfId="1" applyNumberFormat="1" applyFont="1" applyBorder="1"/>
    <xf numFmtId="0" fontId="5" fillId="0" borderId="13" xfId="0" applyFont="1" applyFill="1" applyBorder="1"/>
    <xf numFmtId="167" fontId="5" fillId="0" borderId="13" xfId="1" applyNumberFormat="1" applyFont="1" applyBorder="1"/>
    <xf numFmtId="167" fontId="5" fillId="0" borderId="12" xfId="0" applyNumberFormat="1" applyFont="1" applyBorder="1"/>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0" xfId="0" applyFont="1" applyBorder="1" applyAlignment="1">
      <alignment horizontal="center" vertical="center"/>
    </xf>
    <xf numFmtId="164" fontId="5" fillId="0" borderId="9" xfId="2" applyNumberFormat="1" applyFont="1" applyBorder="1"/>
    <xf numFmtId="164" fontId="5" fillId="0" borderId="11" xfId="2" applyNumberFormat="1" applyFont="1" applyBorder="1"/>
    <xf numFmtId="0" fontId="0" fillId="0" borderId="3" xfId="0" applyBorder="1" applyAlignment="1">
      <alignment horizontal="center"/>
    </xf>
    <xf numFmtId="0" fontId="0" fillId="0" borderId="4" xfId="0" applyBorder="1" applyAlignment="1">
      <alignment horizontal="center"/>
    </xf>
    <xf numFmtId="0" fontId="5" fillId="0" borderId="8" xfId="0" applyFont="1" applyBorder="1" applyAlignment="1">
      <alignment horizontal="center"/>
    </xf>
    <xf numFmtId="0" fontId="0" fillId="0" borderId="6" xfId="0" applyBorder="1"/>
    <xf numFmtId="0" fontId="5" fillId="0" borderId="0" xfId="1" applyNumberFormat="1" applyFont="1" applyBorder="1"/>
    <xf numFmtId="0" fontId="0" fillId="0" borderId="17" xfId="0" applyBorder="1"/>
    <xf numFmtId="0" fontId="0" fillId="0" borderId="18" xfId="0" applyBorder="1"/>
    <xf numFmtId="164" fontId="0" fillId="0" borderId="3" xfId="0" applyNumberFormat="1" applyBorder="1"/>
    <xf numFmtId="164" fontId="0" fillId="0" borderId="3" xfId="0" applyNumberFormat="1" applyFill="1" applyBorder="1"/>
    <xf numFmtId="0" fontId="0" fillId="0" borderId="19" xfId="0" applyBorder="1" applyAlignment="1">
      <alignment horizontal="center"/>
    </xf>
    <xf numFmtId="0" fontId="0" fillId="0" borderId="20" xfId="0" applyBorder="1" applyAlignment="1">
      <alignment horizontal="center"/>
    </xf>
    <xf numFmtId="1" fontId="0" fillId="0" borderId="0" xfId="0" applyNumberFormat="1" applyBorder="1" applyAlignment="1">
      <alignment horizontal="center"/>
    </xf>
    <xf numFmtId="1" fontId="8" fillId="0" borderId="0" xfId="0" applyNumberFormat="1" applyFont="1" applyBorder="1" applyAlignment="1">
      <alignment horizontal="center"/>
    </xf>
    <xf numFmtId="1" fontId="8" fillId="0" borderId="4" xfId="0" applyNumberFormat="1" applyFont="1" applyBorder="1" applyAlignment="1">
      <alignment horizontal="center"/>
    </xf>
    <xf numFmtId="1" fontId="8" fillId="0" borderId="20" xfId="0" applyNumberFormat="1" applyFont="1" applyBorder="1" applyAlignment="1">
      <alignment horizontal="center"/>
    </xf>
    <xf numFmtId="0" fontId="0" fillId="0" borderId="6" xfId="0" applyBorder="1" applyAlignment="1">
      <alignment horizontal="center"/>
    </xf>
    <xf numFmtId="1" fontId="8" fillId="0" borderId="1" xfId="0" applyNumberFormat="1" applyFont="1" applyBorder="1" applyAlignment="1">
      <alignment horizontal="center"/>
    </xf>
    <xf numFmtId="1" fontId="8" fillId="0" borderId="5" xfId="0" applyNumberFormat="1" applyFont="1" applyBorder="1" applyAlignment="1">
      <alignment horizontal="center"/>
    </xf>
    <xf numFmtId="1" fontId="8" fillId="0" borderId="21" xfId="0" applyNumberFormat="1" applyFont="1" applyBorder="1" applyAlignment="1">
      <alignment horizontal="center"/>
    </xf>
    <xf numFmtId="0" fontId="5" fillId="0" borderId="22" xfId="0" applyFont="1" applyBorder="1" applyAlignment="1">
      <alignment horizontal="center"/>
    </xf>
    <xf numFmtId="3" fontId="5" fillId="0" borderId="23" xfId="0" applyNumberFormat="1" applyFont="1" applyBorder="1" applyAlignment="1">
      <alignment horizontal="center"/>
    </xf>
    <xf numFmtId="3" fontId="5" fillId="0" borderId="24" xfId="0" applyNumberFormat="1" applyFont="1" applyBorder="1" applyAlignment="1">
      <alignment horizontal="center"/>
    </xf>
    <xf numFmtId="3" fontId="5" fillId="0" borderId="25" xfId="0" applyNumberFormat="1" applyFont="1" applyBorder="1" applyAlignment="1">
      <alignment horizontal="center"/>
    </xf>
    <xf numFmtId="0" fontId="8" fillId="0" borderId="0" xfId="1" applyNumberFormat="1" applyFont="1" applyBorder="1" applyAlignment="1">
      <alignment horizontal="center"/>
    </xf>
    <xf numFmtId="0" fontId="8" fillId="0" borderId="4" xfId="1" applyNumberFormat="1" applyFont="1" applyBorder="1" applyAlignment="1">
      <alignment horizontal="center"/>
    </xf>
    <xf numFmtId="0" fontId="8" fillId="0" borderId="20" xfId="1" applyNumberFormat="1" applyFont="1" applyBorder="1" applyAlignment="1">
      <alignment horizontal="center"/>
    </xf>
    <xf numFmtId="0" fontId="8" fillId="0" borderId="1" xfId="1" applyNumberFormat="1" applyFont="1" applyBorder="1" applyAlignment="1">
      <alignment horizontal="center"/>
    </xf>
    <xf numFmtId="0" fontId="8" fillId="0" borderId="5" xfId="1" applyNumberFormat="1" applyFont="1" applyBorder="1" applyAlignment="1">
      <alignment horizontal="center"/>
    </xf>
    <xf numFmtId="0" fontId="8" fillId="0" borderId="21" xfId="1" applyNumberFormat="1" applyFont="1" applyBorder="1" applyAlignment="1">
      <alignment horizontal="center"/>
    </xf>
    <xf numFmtId="0" fontId="20" fillId="0" borderId="6" xfId="0" applyFont="1" applyBorder="1" applyAlignment="1">
      <alignment horizontal="center"/>
    </xf>
    <xf numFmtId="3" fontId="20" fillId="0" borderId="7" xfId="0" applyNumberFormat="1" applyFont="1" applyBorder="1" applyAlignment="1">
      <alignment horizontal="center"/>
    </xf>
    <xf numFmtId="3" fontId="20" fillId="0" borderId="26" xfId="0" applyNumberFormat="1" applyFont="1" applyBorder="1" applyAlignment="1">
      <alignment horizontal="center"/>
    </xf>
    <xf numFmtId="1" fontId="5" fillId="0" borderId="2" xfId="0" applyNumberFormat="1" applyFont="1" applyBorder="1" applyAlignment="1">
      <alignment horizontal="center"/>
    </xf>
    <xf numFmtId="1" fontId="20" fillId="0" borderId="1" xfId="0" applyNumberFormat="1" applyFont="1" applyBorder="1" applyAlignment="1">
      <alignment horizontal="center"/>
    </xf>
    <xf numFmtId="14" fontId="5" fillId="0" borderId="13" xfId="0" applyNumberFormat="1" applyFont="1" applyBorder="1"/>
    <xf numFmtId="0" fontId="5" fillId="0" borderId="12" xfId="1" applyNumberFormat="1" applyFont="1" applyBorder="1"/>
    <xf numFmtId="0" fontId="5" fillId="0" borderId="13" xfId="1" applyNumberFormat="1" applyFont="1" applyBorder="1"/>
    <xf numFmtId="0" fontId="5" fillId="0" borderId="0" xfId="0" applyNumberFormat="1" applyFont="1" applyBorder="1"/>
    <xf numFmtId="0" fontId="5" fillId="0" borderId="13" xfId="0" applyNumberFormat="1" applyFont="1" applyBorder="1"/>
    <xf numFmtId="1" fontId="5" fillId="0" borderId="12" xfId="1" applyNumberFormat="1" applyFont="1" applyBorder="1"/>
    <xf numFmtId="1" fontId="5" fillId="0" borderId="0" xfId="1" applyNumberFormat="1" applyFont="1" applyBorder="1"/>
    <xf numFmtId="164" fontId="5" fillId="5" borderId="15" xfId="2" applyNumberFormat="1" applyFont="1" applyFill="1" applyBorder="1"/>
    <xf numFmtId="164" fontId="5" fillId="5" borderId="16" xfId="2" applyNumberFormat="1" applyFont="1" applyFill="1" applyBorder="1"/>
    <xf numFmtId="164" fontId="5" fillId="5" borderId="14" xfId="2" applyNumberFormat="1" applyFont="1" applyFill="1" applyBorder="1"/>
    <xf numFmtId="0" fontId="5" fillId="0" borderId="12" xfId="0" applyFont="1" applyBorder="1" applyAlignment="1">
      <alignment horizontal="left" vertical="center"/>
    </xf>
    <xf numFmtId="0" fontId="5" fillId="0" borderId="0" xfId="0" applyFont="1" applyBorder="1" applyAlignment="1">
      <alignment horizontal="left" vertical="center"/>
    </xf>
    <xf numFmtId="0" fontId="5" fillId="0" borderId="14" xfId="0" applyFont="1" applyBorder="1" applyAlignment="1">
      <alignment horizontal="left" vertical="center"/>
    </xf>
    <xf numFmtId="0" fontId="5" fillId="0" borderId="12" xfId="0" applyFont="1" applyFill="1" applyBorder="1" applyAlignment="1">
      <alignment horizontal="left" vertical="center"/>
    </xf>
    <xf numFmtId="10" fontId="20" fillId="2" borderId="27" xfId="2" applyNumberFormat="1" applyFont="1" applyFill="1" applyBorder="1"/>
    <xf numFmtId="10" fontId="5" fillId="5" borderId="15" xfId="2" applyNumberFormat="1" applyFont="1" applyFill="1" applyBorder="1"/>
    <xf numFmtId="10" fontId="5" fillId="5" borderId="16" xfId="2" applyNumberFormat="1" applyFont="1" applyFill="1" applyBorder="1"/>
    <xf numFmtId="0" fontId="5" fillId="2" borderId="16" xfId="0" applyFont="1" applyFill="1" applyBorder="1"/>
    <xf numFmtId="0" fontId="5" fillId="2" borderId="15" xfId="0" applyFont="1" applyFill="1" applyBorder="1" applyAlignment="1">
      <alignment horizontal="left" vertical="center"/>
    </xf>
    <xf numFmtId="1" fontId="0" fillId="0" borderId="3" xfId="0" applyNumberFormat="1" applyBorder="1" applyAlignment="1">
      <alignment horizontal="center"/>
    </xf>
    <xf numFmtId="1" fontId="0" fillId="0" borderId="4" xfId="0" applyNumberFormat="1" applyBorder="1" applyAlignment="1">
      <alignment horizontal="center"/>
    </xf>
    <xf numFmtId="1" fontId="0" fillId="0" borderId="6" xfId="0" applyNumberFormat="1" applyBorder="1" applyAlignment="1">
      <alignment horizontal="center"/>
    </xf>
    <xf numFmtId="1" fontId="0" fillId="0" borderId="1" xfId="0" applyNumberFormat="1" applyBorder="1" applyAlignment="1">
      <alignment horizontal="center"/>
    </xf>
    <xf numFmtId="1" fontId="0" fillId="0" borderId="5" xfId="0" applyNumberFormat="1" applyBorder="1" applyAlignment="1">
      <alignment horizontal="center"/>
    </xf>
    <xf numFmtId="0" fontId="0" fillId="0" borderId="8" xfId="0" applyBorder="1"/>
    <xf numFmtId="0" fontId="0" fillId="0" borderId="7" xfId="0" applyBorder="1"/>
    <xf numFmtId="164" fontId="0" fillId="0" borderId="17" xfId="0" applyNumberFormat="1" applyBorder="1"/>
    <xf numFmtId="164" fontId="0" fillId="0" borderId="6" xfId="0" applyNumberFormat="1" applyBorder="1"/>
    <xf numFmtId="0" fontId="5" fillId="0" borderId="19" xfId="0" applyFont="1" applyBorder="1" applyAlignment="1">
      <alignment horizontal="center"/>
    </xf>
    <xf numFmtId="0" fontId="5" fillId="0" borderId="17" xfId="0" applyFont="1" applyBorder="1" applyAlignment="1">
      <alignment horizontal="center"/>
    </xf>
    <xf numFmtId="0" fontId="5" fillId="0" borderId="28" xfId="0" applyFont="1" applyBorder="1" applyAlignment="1">
      <alignment horizontal="center"/>
    </xf>
    <xf numFmtId="0" fontId="5" fillId="0" borderId="18" xfId="0" applyFont="1" applyBorder="1" applyAlignment="1">
      <alignment horizontal="center"/>
    </xf>
    <xf numFmtId="0" fontId="5" fillId="0" borderId="21" xfId="0" applyFont="1" applyBorder="1" applyAlignment="1">
      <alignment horizontal="center"/>
    </xf>
    <xf numFmtId="0" fontId="5" fillId="0" borderId="6" xfId="0" applyFont="1" applyBorder="1" applyAlignment="1">
      <alignment horizontal="center"/>
    </xf>
    <xf numFmtId="0" fontId="5" fillId="0" borderId="5" xfId="0" applyFont="1" applyBorder="1" applyAlignment="1">
      <alignment horizontal="center"/>
    </xf>
    <xf numFmtId="0" fontId="5" fillId="0" borderId="20" xfId="0" applyFont="1" applyBorder="1" applyAlignment="1">
      <alignment horizontal="center"/>
    </xf>
    <xf numFmtId="1" fontId="0" fillId="0" borderId="2" xfId="0" applyNumberFormat="1" applyBorder="1" applyAlignment="1">
      <alignment horizontal="center"/>
    </xf>
    <xf numFmtId="1" fontId="0" fillId="0" borderId="8" xfId="0" applyNumberFormat="1" applyBorder="1" applyAlignment="1">
      <alignment horizontal="center"/>
    </xf>
    <xf numFmtId="1" fontId="0" fillId="0" borderId="7" xfId="0" applyNumberFormat="1" applyBorder="1" applyAlignment="1">
      <alignment horizontal="center"/>
    </xf>
    <xf numFmtId="1" fontId="8" fillId="0" borderId="21" xfId="1" applyNumberFormat="1" applyFont="1" applyBorder="1" applyAlignment="1">
      <alignment horizontal="center"/>
    </xf>
    <xf numFmtId="0" fontId="0" fillId="0" borderId="0" xfId="0" quotePrefix="1" applyFill="1" applyBorder="1"/>
    <xf numFmtId="1" fontId="5" fillId="0" borderId="12" xfId="0" applyNumberFormat="1" applyFont="1" applyBorder="1"/>
    <xf numFmtId="1" fontId="5" fillId="0" borderId="13" xfId="0" applyNumberFormat="1" applyFont="1" applyBorder="1"/>
    <xf numFmtId="169" fontId="20" fillId="2" borderId="27" xfId="2" applyNumberFormat="1" applyFont="1" applyFill="1" applyBorder="1"/>
    <xf numFmtId="1" fontId="5" fillId="0" borderId="13" xfId="1" applyNumberFormat="1" applyFont="1" applyBorder="1"/>
    <xf numFmtId="0" fontId="10" fillId="0" borderId="3" xfId="0" applyFont="1" applyFill="1" applyBorder="1" applyAlignment="1">
      <alignment horizontal="left"/>
    </xf>
    <xf numFmtId="2" fontId="0" fillId="0" borderId="0" xfId="0" applyNumberFormat="1"/>
    <xf numFmtId="0" fontId="0" fillId="6" borderId="20" xfId="0" applyFill="1" applyBorder="1" applyAlignment="1">
      <alignment horizontal="center"/>
    </xf>
    <xf numFmtId="0" fontId="0" fillId="6" borderId="3" xfId="0" applyFill="1" applyBorder="1" applyAlignment="1">
      <alignment horizontal="center"/>
    </xf>
    <xf numFmtId="1" fontId="0" fillId="0" borderId="3" xfId="0" applyNumberFormat="1" applyBorder="1"/>
    <xf numFmtId="1" fontId="0" fillId="0" borderId="6" xfId="0" applyNumberFormat="1" applyBorder="1"/>
    <xf numFmtId="1" fontId="0" fillId="0" borderId="4" xfId="0" applyNumberFormat="1" applyBorder="1"/>
    <xf numFmtId="0" fontId="0" fillId="0" borderId="3" xfId="0" applyFill="1" applyBorder="1" applyAlignment="1">
      <alignment horizontal="center"/>
    </xf>
    <xf numFmtId="0" fontId="0" fillId="0" borderId="20" xfId="0" applyFill="1" applyBorder="1" applyAlignment="1">
      <alignment horizontal="center"/>
    </xf>
    <xf numFmtId="1" fontId="8" fillId="0" borderId="20" xfId="1" applyNumberFormat="1" applyFont="1" applyBorder="1" applyAlignment="1">
      <alignment horizontal="center"/>
    </xf>
    <xf numFmtId="3" fontId="5" fillId="0" borderId="13" xfId="1" applyNumberFormat="1" applyFont="1" applyBorder="1"/>
    <xf numFmtId="0" fontId="5" fillId="0" borderId="8" xfId="0" applyFont="1" applyFill="1" applyBorder="1" applyAlignment="1">
      <alignment horizontal="center"/>
    </xf>
    <xf numFmtId="0" fontId="5" fillId="0" borderId="19" xfId="0" applyFont="1" applyFill="1" applyBorder="1" applyAlignment="1">
      <alignment horizontal="center"/>
    </xf>
    <xf numFmtId="0" fontId="5" fillId="0" borderId="17" xfId="0" applyFont="1" applyFill="1" applyBorder="1" applyAlignment="1">
      <alignment horizontal="center"/>
    </xf>
    <xf numFmtId="0" fontId="5" fillId="0" borderId="28" xfId="0" applyFont="1" applyFill="1" applyBorder="1" applyAlignment="1">
      <alignment horizontal="center"/>
    </xf>
    <xf numFmtId="0" fontId="5" fillId="0" borderId="18" xfId="0" applyFont="1" applyFill="1" applyBorder="1" applyAlignment="1">
      <alignment horizontal="center"/>
    </xf>
    <xf numFmtId="0" fontId="5" fillId="0" borderId="21"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5" fillId="0" borderId="20" xfId="0" applyFont="1" applyFill="1" applyBorder="1" applyAlignment="1">
      <alignment horizontal="center"/>
    </xf>
    <xf numFmtId="1" fontId="0" fillId="0" borderId="3" xfId="0" applyNumberFormat="1" applyFill="1" applyBorder="1" applyAlignment="1">
      <alignment horizontal="center"/>
    </xf>
    <xf numFmtId="1" fontId="0" fillId="0" borderId="0" xfId="0" applyNumberFormat="1" applyFill="1" applyBorder="1" applyAlignment="1">
      <alignment horizontal="center"/>
    </xf>
    <xf numFmtId="1" fontId="0" fillId="0" borderId="4" xfId="0" applyNumberFormat="1" applyFill="1" applyBorder="1" applyAlignment="1">
      <alignment horizontal="center"/>
    </xf>
    <xf numFmtId="166" fontId="0" fillId="0" borderId="3" xfId="0" applyNumberFormat="1" applyFill="1" applyBorder="1" applyAlignment="1">
      <alignment horizontal="center"/>
    </xf>
    <xf numFmtId="1" fontId="0" fillId="0" borderId="5" xfId="0" applyNumberFormat="1" applyFill="1" applyBorder="1" applyAlignment="1">
      <alignment horizontal="center"/>
    </xf>
    <xf numFmtId="1" fontId="0" fillId="0" borderId="8" xfId="0" applyNumberFormat="1" applyFill="1" applyBorder="1" applyAlignment="1">
      <alignment horizontal="center"/>
    </xf>
    <xf numFmtId="1" fontId="0" fillId="0" borderId="2" xfId="0" applyNumberFormat="1" applyFill="1" applyBorder="1" applyAlignment="1">
      <alignment horizontal="center"/>
    </xf>
    <xf numFmtId="1" fontId="0" fillId="0" borderId="7" xfId="0" applyNumberFormat="1" applyFill="1" applyBorder="1" applyAlignment="1">
      <alignment horizontal="center"/>
    </xf>
    <xf numFmtId="166" fontId="0" fillId="0" borderId="7" xfId="0" applyNumberFormat="1" applyFill="1" applyBorder="1" applyAlignment="1">
      <alignment horizontal="center"/>
    </xf>
    <xf numFmtId="0" fontId="5" fillId="0" borderId="8" xfId="0" applyFont="1" applyFill="1" applyBorder="1" applyAlignment="1"/>
    <xf numFmtId="0" fontId="5" fillId="0" borderId="2" xfId="0" applyFont="1" applyFill="1" applyBorder="1" applyAlignment="1"/>
    <xf numFmtId="0" fontId="5" fillId="0" borderId="7" xfId="0" applyFont="1" applyFill="1" applyBorder="1" applyAlignment="1"/>
    <xf numFmtId="166" fontId="0" fillId="0" borderId="4" xfId="0" applyNumberFormat="1" applyFill="1" applyBorder="1" applyAlignment="1">
      <alignment horizontal="center"/>
    </xf>
    <xf numFmtId="1" fontId="0" fillId="0" borderId="6" xfId="0" applyNumberFormat="1" applyFill="1" applyBorder="1" applyAlignment="1">
      <alignment horizontal="center"/>
    </xf>
    <xf numFmtId="1" fontId="0" fillId="0" borderId="1" xfId="0" applyNumberFormat="1" applyFill="1" applyBorder="1" applyAlignment="1">
      <alignment horizontal="center"/>
    </xf>
    <xf numFmtId="166" fontId="0" fillId="0" borderId="5" xfId="0" applyNumberFormat="1" applyFill="1" applyBorder="1" applyAlignment="1">
      <alignment horizontal="center"/>
    </xf>
    <xf numFmtId="0" fontId="0" fillId="0" borderId="8" xfId="0" applyFill="1" applyBorder="1"/>
    <xf numFmtId="164" fontId="0" fillId="0" borderId="17" xfId="0" applyNumberFormat="1" applyFill="1" applyBorder="1"/>
    <xf numFmtId="164" fontId="0" fillId="0" borderId="6" xfId="0" applyNumberFormat="1" applyFill="1" applyBorder="1"/>
    <xf numFmtId="167" fontId="30" fillId="0" borderId="0" xfId="1" applyNumberFormat="1" applyFont="1" applyBorder="1" applyAlignment="1">
      <alignment horizontal="left"/>
    </xf>
    <xf numFmtId="167" fontId="5" fillId="0" borderId="12" xfId="1" applyNumberFormat="1" applyFont="1" applyBorder="1"/>
    <xf numFmtId="167" fontId="20" fillId="0" borderId="12" xfId="1" applyNumberFormat="1" applyFont="1" applyFill="1" applyBorder="1"/>
    <xf numFmtId="167" fontId="20" fillId="0" borderId="0" xfId="1" applyNumberFormat="1" applyFont="1" applyBorder="1"/>
    <xf numFmtId="167" fontId="20" fillId="0" borderId="13" xfId="1" applyNumberFormat="1" applyFont="1" applyBorder="1"/>
    <xf numFmtId="0" fontId="20" fillId="0" borderId="12" xfId="0" applyFont="1" applyBorder="1"/>
    <xf numFmtId="14" fontId="20" fillId="0" borderId="13" xfId="0" applyNumberFormat="1" applyFont="1" applyBorder="1"/>
    <xf numFmtId="1" fontId="20" fillId="0" borderId="12" xfId="1" applyNumberFormat="1" applyFont="1" applyBorder="1"/>
    <xf numFmtId="1" fontId="20" fillId="0" borderId="0" xfId="1" applyNumberFormat="1" applyFont="1" applyBorder="1"/>
    <xf numFmtId="167" fontId="20" fillId="0" borderId="13" xfId="0" applyNumberFormat="1" applyFont="1" applyBorder="1"/>
    <xf numFmtId="168" fontId="7" fillId="0" borderId="0" xfId="1" applyNumberFormat="1" applyFont="1"/>
    <xf numFmtId="168" fontId="5" fillId="0" borderId="0" xfId="1" applyNumberFormat="1" applyFont="1"/>
    <xf numFmtId="0" fontId="0" fillId="0" borderId="28" xfId="0" applyBorder="1"/>
    <xf numFmtId="10" fontId="2" fillId="0" borderId="0" xfId="2" applyNumberFormat="1" applyFont="1" applyBorder="1"/>
    <xf numFmtId="0" fontId="8" fillId="0" borderId="2" xfId="0" applyFont="1" applyBorder="1"/>
    <xf numFmtId="0" fontId="8" fillId="0" borderId="7" xfId="0" applyFont="1" applyBorder="1"/>
    <xf numFmtId="10" fontId="0" fillId="0" borderId="17" xfId="2" applyNumberFormat="1" applyFont="1" applyBorder="1"/>
    <xf numFmtId="10" fontId="0" fillId="0" borderId="28" xfId="2" applyNumberFormat="1" applyFont="1" applyBorder="1"/>
    <xf numFmtId="10" fontId="0" fillId="0" borderId="18" xfId="2" applyNumberFormat="1" applyFont="1" applyBorder="1"/>
    <xf numFmtId="10" fontId="0" fillId="0" borderId="3" xfId="2" applyNumberFormat="1" applyFont="1" applyBorder="1"/>
    <xf numFmtId="10" fontId="0" fillId="0" borderId="4" xfId="2" applyNumberFormat="1" applyFont="1" applyBorder="1"/>
    <xf numFmtId="10" fontId="2" fillId="0" borderId="3" xfId="2" applyNumberFormat="1" applyFont="1" applyBorder="1"/>
    <xf numFmtId="10" fontId="2" fillId="0" borderId="4" xfId="2" applyNumberFormat="1" applyFont="1" applyBorder="1"/>
    <xf numFmtId="10" fontId="2" fillId="0" borderId="6" xfId="2" applyNumberFormat="1" applyFont="1" applyBorder="1"/>
    <xf numFmtId="10" fontId="2" fillId="0" borderId="5" xfId="2" applyNumberFormat="1" applyFont="1" applyBorder="1"/>
    <xf numFmtId="10" fontId="0" fillId="0" borderId="8" xfId="2" applyNumberFormat="1" applyFont="1" applyBorder="1"/>
    <xf numFmtId="10" fontId="0" fillId="0" borderId="7" xfId="2" applyNumberFormat="1" applyFont="1" applyBorder="1"/>
    <xf numFmtId="10" fontId="0" fillId="0" borderId="4" xfId="2" applyNumberFormat="1" applyFont="1" applyFill="1" applyBorder="1"/>
    <xf numFmtId="0" fontId="0" fillId="0" borderId="0" xfId="0" applyBorder="1" applyAlignment="1"/>
    <xf numFmtId="0" fontId="8" fillId="0" borderId="18" xfId="0" applyFont="1" applyBorder="1" applyAlignment="1">
      <alignment horizontal="center"/>
    </xf>
    <xf numFmtId="0" fontId="5" fillId="0" borderId="6" xfId="0" applyFont="1" applyBorder="1"/>
    <xf numFmtId="0" fontId="5" fillId="0" borderId="5" xfId="0" applyFont="1" applyBorder="1"/>
    <xf numFmtId="0" fontId="5" fillId="0" borderId="8" xfId="0" applyFont="1" applyBorder="1"/>
    <xf numFmtId="0" fontId="5" fillId="0" borderId="3" xfId="0" applyFont="1" applyBorder="1"/>
    <xf numFmtId="0" fontId="5" fillId="0" borderId="28" xfId="0" applyFont="1" applyBorder="1"/>
    <xf numFmtId="0" fontId="8" fillId="0" borderId="17" xfId="0" applyFont="1" applyBorder="1"/>
    <xf numFmtId="0" fontId="8" fillId="0" borderId="28" xfId="0" applyFont="1" applyBorder="1"/>
    <xf numFmtId="0" fontId="8" fillId="0" borderId="3" xfId="0" applyFont="1" applyBorder="1"/>
    <xf numFmtId="0" fontId="8" fillId="0" borderId="0" xfId="0" applyFont="1" applyBorder="1"/>
    <xf numFmtId="0" fontId="8" fillId="0" borderId="6" xfId="0" applyFont="1" applyBorder="1"/>
    <xf numFmtId="164" fontId="8" fillId="0" borderId="17" xfId="2" applyNumberFormat="1" applyFont="1" applyBorder="1"/>
    <xf numFmtId="164" fontId="8" fillId="0" borderId="28" xfId="2" applyNumberFormat="1" applyFont="1" applyBorder="1"/>
    <xf numFmtId="164" fontId="8" fillId="0" borderId="3" xfId="2" applyNumberFormat="1" applyFont="1" applyBorder="1"/>
    <xf numFmtId="164" fontId="8" fillId="0" borderId="0" xfId="2" applyNumberFormat="1" applyFont="1" applyBorder="1"/>
    <xf numFmtId="164" fontId="8" fillId="0" borderId="6" xfId="2" applyNumberFormat="1" applyFont="1" applyBorder="1"/>
    <xf numFmtId="164" fontId="8" fillId="0" borderId="1" xfId="2" applyNumberFormat="1" applyFont="1" applyBorder="1"/>
    <xf numFmtId="0" fontId="5" fillId="0" borderId="18" xfId="0" applyFont="1" applyBorder="1"/>
    <xf numFmtId="0" fontId="8" fillId="0" borderId="18" xfId="0" applyFont="1" applyBorder="1"/>
    <xf numFmtId="0" fontId="8" fillId="0" borderId="4" xfId="0" applyFont="1" applyBorder="1"/>
    <xf numFmtId="0" fontId="8" fillId="0" borderId="5" xfId="0" applyFont="1" applyBorder="1"/>
    <xf numFmtId="1" fontId="8" fillId="0" borderId="17" xfId="0" applyNumberFormat="1" applyFont="1" applyBorder="1"/>
    <xf numFmtId="1" fontId="8" fillId="0" borderId="28" xfId="0" applyNumberFormat="1" applyFont="1" applyBorder="1"/>
    <xf numFmtId="1" fontId="8" fillId="0" borderId="18" xfId="0" applyNumberFormat="1" applyFont="1" applyBorder="1"/>
    <xf numFmtId="1" fontId="8" fillId="0" borderId="3" xfId="0" applyNumberFormat="1" applyFont="1" applyBorder="1"/>
    <xf numFmtId="1" fontId="8" fillId="0" borderId="0" xfId="0" applyNumberFormat="1" applyFont="1" applyBorder="1"/>
    <xf numFmtId="1" fontId="8" fillId="0" borderId="4" xfId="0" applyNumberFormat="1" applyFont="1" applyBorder="1"/>
    <xf numFmtId="164" fontId="8" fillId="0" borderId="8" xfId="2" applyNumberFormat="1" applyFont="1" applyBorder="1"/>
    <xf numFmtId="10" fontId="8" fillId="0" borderId="8" xfId="2" applyNumberFormat="1" applyFont="1" applyBorder="1"/>
    <xf numFmtId="10" fontId="5" fillId="0" borderId="7" xfId="2" applyNumberFormat="1" applyFont="1" applyBorder="1"/>
    <xf numFmtId="10" fontId="8" fillId="0" borderId="28" xfId="2" applyNumberFormat="1" applyFont="1" applyBorder="1"/>
    <xf numFmtId="10" fontId="8" fillId="0" borderId="18" xfId="2" applyNumberFormat="1" applyFont="1" applyBorder="1"/>
    <xf numFmtId="1" fontId="8" fillId="0" borderId="3" xfId="1" applyNumberFormat="1" applyFont="1" applyBorder="1"/>
    <xf numFmtId="1" fontId="8" fillId="0" borderId="0" xfId="1" applyNumberFormat="1" applyFont="1" applyBorder="1"/>
    <xf numFmtId="10" fontId="8" fillId="0" borderId="3" xfId="0" applyNumberFormat="1" applyFont="1" applyBorder="1"/>
    <xf numFmtId="10" fontId="8" fillId="0" borderId="0" xfId="0" applyNumberFormat="1" applyFont="1" applyBorder="1"/>
    <xf numFmtId="167" fontId="8" fillId="0" borderId="0" xfId="0" applyNumberFormat="1" applyFont="1"/>
    <xf numFmtId="10" fontId="8" fillId="0" borderId="0" xfId="0" applyNumberFormat="1" applyFont="1"/>
    <xf numFmtId="10" fontId="8" fillId="0" borderId="1" xfId="0" applyNumberFormat="1" applyFont="1" applyBorder="1"/>
    <xf numFmtId="0" fontId="8" fillId="0" borderId="0" xfId="0" applyFont="1" applyFill="1" applyBorder="1"/>
    <xf numFmtId="10" fontId="8" fillId="0" borderId="6" xfId="0" applyNumberFormat="1" applyFont="1" applyBorder="1"/>
    <xf numFmtId="10" fontId="5" fillId="0" borderId="0" xfId="0" applyNumberFormat="1" applyFont="1" applyBorder="1"/>
    <xf numFmtId="164" fontId="5" fillId="0" borderId="0" xfId="2" applyNumberFormat="1" applyFont="1" applyBorder="1"/>
    <xf numFmtId="10" fontId="8" fillId="0" borderId="4" xfId="2" applyNumberFormat="1" applyFont="1" applyBorder="1"/>
    <xf numFmtId="167" fontId="8" fillId="0" borderId="3" xfId="1" applyNumberFormat="1" applyFont="1" applyBorder="1"/>
    <xf numFmtId="167" fontId="8" fillId="0" borderId="2" xfId="1" applyNumberFormat="1" applyFont="1" applyBorder="1"/>
    <xf numFmtId="0" fontId="8" fillId="0" borderId="3" xfId="0" applyFont="1" applyBorder="1" applyAlignment="1">
      <alignment horizontal="center"/>
    </xf>
    <xf numFmtId="0" fontId="8" fillId="0" borderId="4" xfId="0" applyFont="1" applyBorder="1" applyAlignment="1">
      <alignment horizontal="center"/>
    </xf>
    <xf numFmtId="164" fontId="8" fillId="0" borderId="3" xfId="0" applyNumberFormat="1" applyFont="1" applyBorder="1"/>
    <xf numFmtId="0" fontId="8" fillId="0" borderId="6" xfId="0" applyFont="1" applyBorder="1" applyAlignment="1">
      <alignment horizontal="center"/>
    </xf>
    <xf numFmtId="164" fontId="8" fillId="0" borderId="3" xfId="0" applyNumberFormat="1" applyFont="1" applyFill="1" applyBorder="1"/>
    <xf numFmtId="10" fontId="5" fillId="0" borderId="6" xfId="0" applyNumberFormat="1" applyFont="1" applyBorder="1"/>
    <xf numFmtId="164" fontId="5" fillId="0" borderId="6" xfId="2" applyNumberFormat="1" applyFont="1" applyBorder="1"/>
    <xf numFmtId="164" fontId="5" fillId="0" borderId="1" xfId="2" applyNumberFormat="1" applyFont="1" applyBorder="1"/>
    <xf numFmtId="0" fontId="5" fillId="0" borderId="3" xfId="0" applyFont="1" applyBorder="1" applyAlignment="1">
      <alignment horizontal="center"/>
    </xf>
    <xf numFmtId="0" fontId="5" fillId="0" borderId="4" xfId="0" applyFont="1" applyBorder="1" applyAlignment="1">
      <alignment horizontal="center"/>
    </xf>
    <xf numFmtId="1" fontId="5" fillId="0" borderId="1" xfId="0" applyNumberFormat="1" applyFont="1" applyBorder="1" applyAlignment="1">
      <alignment horizontal="center"/>
    </xf>
    <xf numFmtId="164" fontId="8" fillId="0" borderId="2" xfId="2" applyNumberFormat="1" applyFont="1" applyBorder="1"/>
    <xf numFmtId="167" fontId="8" fillId="0" borderId="8" xfId="1" applyNumberFormat="1" applyFont="1" applyBorder="1"/>
    <xf numFmtId="10" fontId="8" fillId="0" borderId="7" xfId="2" applyNumberFormat="1" applyFont="1" applyBorder="1"/>
    <xf numFmtId="167" fontId="8" fillId="0" borderId="6" xfId="1" applyNumberFormat="1" applyFont="1" applyBorder="1"/>
    <xf numFmtId="10" fontId="8" fillId="0" borderId="5" xfId="2" applyNumberFormat="1" applyFont="1" applyBorder="1"/>
    <xf numFmtId="1" fontId="8" fillId="0" borderId="6" xfId="1" applyNumberFormat="1" applyFont="1" applyBorder="1"/>
    <xf numFmtId="1" fontId="8" fillId="0" borderId="1" xfId="1" applyNumberFormat="1" applyFont="1" applyBorder="1"/>
    <xf numFmtId="3" fontId="5" fillId="0" borderId="0" xfId="0" applyNumberFormat="1" applyFont="1" applyBorder="1" applyAlignment="1">
      <alignment horizontal="center"/>
    </xf>
    <xf numFmtId="3" fontId="5" fillId="0" borderId="20" xfId="0" applyNumberFormat="1" applyFont="1" applyBorder="1" applyAlignment="1">
      <alignment horizontal="center"/>
    </xf>
    <xf numFmtId="0" fontId="5" fillId="0" borderId="17" xfId="0" applyFont="1" applyFill="1" applyBorder="1"/>
    <xf numFmtId="0" fontId="8" fillId="0" borderId="3" xfId="0" applyFont="1" applyFill="1" applyBorder="1"/>
    <xf numFmtId="10" fontId="5" fillId="0" borderId="5" xfId="2" applyNumberFormat="1" applyFont="1" applyBorder="1"/>
    <xf numFmtId="0" fontId="8" fillId="0" borderId="28" xfId="0" applyFont="1" applyBorder="1" applyAlignment="1">
      <alignment horizontal="center"/>
    </xf>
    <xf numFmtId="0" fontId="8" fillId="0" borderId="26" xfId="0" applyFont="1" applyBorder="1" applyAlignment="1">
      <alignment horizontal="center"/>
    </xf>
    <xf numFmtId="3" fontId="8" fillId="0" borderId="18" xfId="0" applyNumberFormat="1" applyFont="1" applyBorder="1" applyAlignment="1">
      <alignment horizontal="center"/>
    </xf>
    <xf numFmtId="3" fontId="5" fillId="0" borderId="7" xfId="0" applyNumberFormat="1" applyFont="1" applyBorder="1" applyAlignment="1">
      <alignment horizontal="center"/>
    </xf>
    <xf numFmtId="3" fontId="5" fillId="0" borderId="26" xfId="0" applyNumberFormat="1" applyFont="1" applyBorder="1" applyAlignment="1">
      <alignment horizontal="center"/>
    </xf>
    <xf numFmtId="0" fontId="3" fillId="0" borderId="6" xfId="0" applyFont="1" applyBorder="1" applyAlignment="1">
      <alignment horizontal="center"/>
    </xf>
    <xf numFmtId="1" fontId="3" fillId="0" borderId="1" xfId="0" applyNumberFormat="1" applyFont="1" applyBorder="1" applyAlignment="1">
      <alignment horizontal="center"/>
    </xf>
    <xf numFmtId="3" fontId="3" fillId="0" borderId="7" xfId="0" applyNumberFormat="1" applyFont="1" applyBorder="1" applyAlignment="1">
      <alignment horizontal="center"/>
    </xf>
    <xf numFmtId="3" fontId="3" fillId="0" borderId="26" xfId="0" applyNumberFormat="1" applyFont="1" applyBorder="1" applyAlignment="1">
      <alignment horizontal="center"/>
    </xf>
    <xf numFmtId="167" fontId="8" fillId="0" borderId="20" xfId="0" applyNumberFormat="1" applyFont="1" applyFill="1" applyBorder="1" applyAlignment="1">
      <alignment horizontal="center"/>
    </xf>
    <xf numFmtId="167" fontId="8" fillId="0" borderId="0" xfId="1" applyNumberFormat="1" applyFont="1" applyBorder="1" applyAlignment="1">
      <alignment horizontal="center"/>
    </xf>
    <xf numFmtId="167" fontId="8" fillId="0" borderId="4" xfId="1" applyNumberFormat="1" applyFont="1" applyBorder="1" applyAlignment="1">
      <alignment horizontal="center"/>
    </xf>
    <xf numFmtId="0" fontId="9" fillId="0" borderId="8" xfId="0" applyFont="1" applyBorder="1" applyAlignment="1">
      <alignment horizontal="center"/>
    </xf>
    <xf numFmtId="3" fontId="9" fillId="0" borderId="2" xfId="0" applyNumberFormat="1" applyFont="1" applyBorder="1" applyAlignment="1">
      <alignment horizontal="center"/>
    </xf>
    <xf numFmtId="3" fontId="9" fillId="0" borderId="7" xfId="0" applyNumberFormat="1" applyFont="1" applyBorder="1" applyAlignment="1">
      <alignment horizontal="center"/>
    </xf>
    <xf numFmtId="1" fontId="9" fillId="0" borderId="2" xfId="0" applyNumberFormat="1" applyFont="1" applyBorder="1" applyAlignment="1">
      <alignment horizontal="center"/>
    </xf>
    <xf numFmtId="1" fontId="9" fillId="0" borderId="7" xfId="0" applyNumberFormat="1" applyFont="1" applyBorder="1" applyAlignment="1">
      <alignment horizontal="center"/>
    </xf>
    <xf numFmtId="164" fontId="17" fillId="0" borderId="0" xfId="2" applyNumberFormat="1" applyFont="1" applyBorder="1"/>
    <xf numFmtId="164" fontId="17" fillId="6" borderId="28" xfId="2" applyNumberFormat="1" applyFont="1" applyFill="1" applyBorder="1"/>
    <xf numFmtId="164" fontId="17" fillId="6" borderId="0" xfId="2" applyNumberFormat="1" applyFont="1" applyFill="1" applyBorder="1"/>
    <xf numFmtId="164" fontId="17" fillId="6" borderId="4" xfId="2" applyNumberFormat="1" applyFont="1" applyFill="1" applyBorder="1"/>
    <xf numFmtId="1" fontId="5" fillId="0" borderId="8" xfId="0" applyNumberFormat="1" applyFont="1" applyBorder="1"/>
    <xf numFmtId="1" fontId="5" fillId="0" borderId="7" xfId="0" applyNumberFormat="1" applyFont="1" applyBorder="1"/>
    <xf numFmtId="1" fontId="0" fillId="0" borderId="5" xfId="0" applyNumberFormat="1" applyBorder="1"/>
    <xf numFmtId="10" fontId="17" fillId="6" borderId="0" xfId="0" applyNumberFormat="1" applyFont="1" applyFill="1" applyBorder="1"/>
    <xf numFmtId="10" fontId="17" fillId="6" borderId="0" xfId="2" applyNumberFormat="1" applyFont="1" applyFill="1" applyBorder="1"/>
    <xf numFmtId="0" fontId="0" fillId="6" borderId="0" xfId="0" applyFill="1" applyBorder="1"/>
    <xf numFmtId="1" fontId="8" fillId="0" borderId="0" xfId="0" applyNumberFormat="1" applyFont="1" applyFill="1" applyBorder="1"/>
    <xf numFmtId="0" fontId="8" fillId="0" borderId="4" xfId="0" applyFont="1" applyFill="1" applyBorder="1"/>
    <xf numFmtId="0" fontId="2" fillId="0" borderId="0" xfId="0" applyFont="1" applyBorder="1"/>
    <xf numFmtId="9" fontId="2" fillId="0" borderId="0" xfId="2"/>
    <xf numFmtId="10" fontId="2" fillId="0" borderId="0" xfId="2" applyNumberFormat="1"/>
    <xf numFmtId="164" fontId="2" fillId="0" borderId="0" xfId="2" applyNumberFormat="1"/>
    <xf numFmtId="37" fontId="2" fillId="0" borderId="0" xfId="0" applyNumberFormat="1" applyFont="1" applyBorder="1"/>
    <xf numFmtId="10" fontId="2" fillId="0" borderId="17" xfId="2" applyNumberFormat="1" applyBorder="1"/>
    <xf numFmtId="10" fontId="2" fillId="0" borderId="28" xfId="2" applyNumberFormat="1" applyBorder="1"/>
    <xf numFmtId="10" fontId="2" fillId="0" borderId="18" xfId="2" applyNumberFormat="1" applyBorder="1"/>
    <xf numFmtId="10" fontId="2" fillId="0" borderId="3" xfId="2" applyNumberFormat="1" applyBorder="1"/>
    <xf numFmtId="10" fontId="2" fillId="0" borderId="0" xfId="2" applyNumberFormat="1" applyBorder="1"/>
    <xf numFmtId="10" fontId="2" fillId="0" borderId="4" xfId="2" applyNumberFormat="1" applyBorder="1"/>
    <xf numFmtId="10" fontId="2" fillId="0" borderId="8" xfId="2" applyNumberFormat="1" applyBorder="1"/>
    <xf numFmtId="10" fontId="2" fillId="0" borderId="2" xfId="2" applyNumberFormat="1" applyBorder="1"/>
    <xf numFmtId="10" fontId="2" fillId="0" borderId="7" xfId="2" applyNumberFormat="1" applyBorder="1"/>
    <xf numFmtId="10" fontId="2" fillId="0" borderId="4" xfId="2" applyNumberFormat="1" applyFont="1" applyFill="1" applyBorder="1"/>
    <xf numFmtId="10" fontId="2" fillId="0" borderId="0" xfId="2" applyNumberFormat="1" applyFont="1" applyFill="1" applyBorder="1"/>
    <xf numFmtId="10" fontId="8" fillId="0" borderId="0" xfId="2" applyNumberFormat="1" applyFont="1" applyFill="1" applyBorder="1"/>
    <xf numFmtId="10" fontId="8" fillId="0" borderId="4" xfId="2" applyNumberFormat="1" applyFont="1" applyFill="1" applyBorder="1"/>
    <xf numFmtId="10" fontId="8" fillId="0" borderId="1" xfId="2" applyNumberFormat="1" applyFont="1" applyFill="1" applyBorder="1"/>
    <xf numFmtId="10" fontId="8" fillId="0" borderId="5" xfId="2" applyNumberFormat="1" applyFont="1" applyFill="1" applyBorder="1"/>
    <xf numFmtId="0" fontId="8" fillId="5" borderId="28" xfId="0" applyFont="1" applyFill="1" applyBorder="1"/>
    <xf numFmtId="0" fontId="8" fillId="5" borderId="3" xfId="0" applyFont="1" applyFill="1" applyBorder="1"/>
    <xf numFmtId="0" fontId="8" fillId="5" borderId="0" xfId="0" applyFont="1" applyFill="1" applyBorder="1"/>
    <xf numFmtId="167" fontId="8" fillId="5" borderId="3" xfId="1" applyNumberFormat="1" applyFont="1" applyFill="1" applyBorder="1"/>
    <xf numFmtId="167" fontId="8" fillId="5" borderId="0" xfId="1" applyNumberFormat="1" applyFont="1" applyFill="1" applyBorder="1"/>
    <xf numFmtId="10" fontId="8" fillId="0" borderId="17" xfId="2" applyNumberFormat="1" applyFont="1" applyBorder="1"/>
    <xf numFmtId="10" fontId="8" fillId="5" borderId="28" xfId="2" applyNumberFormat="1" applyFont="1" applyFill="1" applyBorder="1"/>
    <xf numFmtId="10" fontId="8" fillId="5" borderId="3" xfId="2" applyNumberFormat="1" applyFont="1" applyFill="1" applyBorder="1"/>
    <xf numFmtId="10" fontId="8" fillId="5" borderId="0" xfId="2" applyNumberFormat="1" applyFont="1" applyFill="1" applyBorder="1"/>
    <xf numFmtId="10" fontId="8" fillId="0" borderId="3" xfId="2" applyNumberFormat="1" applyFont="1" applyBorder="1"/>
    <xf numFmtId="0" fontId="0" fillId="7" borderId="0" xfId="0" applyFill="1" applyBorder="1"/>
    <xf numFmtId="0" fontId="5" fillId="0" borderId="6" xfId="0" applyFont="1" applyFill="1" applyBorder="1"/>
    <xf numFmtId="0" fontId="5" fillId="0" borderId="5" xfId="0" applyFont="1" applyFill="1" applyBorder="1"/>
    <xf numFmtId="0" fontId="5" fillId="0" borderId="3" xfId="0" applyFont="1" applyFill="1" applyBorder="1"/>
    <xf numFmtId="0" fontId="5" fillId="0" borderId="4" xfId="0" applyFont="1" applyFill="1" applyBorder="1"/>
    <xf numFmtId="10" fontId="8" fillId="0" borderId="3" xfId="0" applyNumberFormat="1" applyFont="1" applyFill="1" applyBorder="1"/>
    <xf numFmtId="10" fontId="8" fillId="0" borderId="0" xfId="0" applyNumberFormat="1" applyFont="1" applyFill="1" applyBorder="1"/>
    <xf numFmtId="164" fontId="8" fillId="0" borderId="17" xfId="2" applyNumberFormat="1" applyFont="1" applyFill="1" applyBorder="1"/>
    <xf numFmtId="164" fontId="8" fillId="0" borderId="28" xfId="2" applyNumberFormat="1" applyFont="1" applyFill="1" applyBorder="1"/>
    <xf numFmtId="1" fontId="8" fillId="0" borderId="17" xfId="0" applyNumberFormat="1" applyFont="1" applyFill="1" applyBorder="1"/>
    <xf numFmtId="1" fontId="8" fillId="0" borderId="28" xfId="0" applyNumberFormat="1" applyFont="1" applyFill="1" applyBorder="1"/>
    <xf numFmtId="1" fontId="8" fillId="0" borderId="18" xfId="0" applyNumberFormat="1" applyFont="1" applyFill="1" applyBorder="1"/>
    <xf numFmtId="164" fontId="8" fillId="0" borderId="3" xfId="2" applyNumberFormat="1" applyFont="1" applyFill="1" applyBorder="1"/>
    <xf numFmtId="164" fontId="8" fillId="0" borderId="0" xfId="2" applyNumberFormat="1" applyFont="1" applyFill="1" applyBorder="1"/>
    <xf numFmtId="1" fontId="8" fillId="0" borderId="3" xfId="0" applyNumberFormat="1" applyFont="1" applyFill="1" applyBorder="1"/>
    <xf numFmtId="0" fontId="8" fillId="0" borderId="4" xfId="0" applyFont="1" applyFill="1" applyBorder="1" applyAlignment="1">
      <alignment horizontal="center"/>
    </xf>
    <xf numFmtId="0" fontId="8" fillId="0" borderId="18" xfId="0" applyFont="1" applyFill="1" applyBorder="1" applyAlignment="1">
      <alignment horizontal="center"/>
    </xf>
    <xf numFmtId="1" fontId="8" fillId="0" borderId="4" xfId="0" applyNumberFormat="1" applyFont="1" applyFill="1" applyBorder="1"/>
    <xf numFmtId="0" fontId="8" fillId="0" borderId="6" xfId="0" applyFont="1" applyFill="1" applyBorder="1"/>
    <xf numFmtId="0" fontId="8" fillId="0" borderId="1" xfId="0" applyFont="1" applyFill="1" applyBorder="1"/>
    <xf numFmtId="0" fontId="8" fillId="0" borderId="5" xfId="0" applyFont="1" applyFill="1" applyBorder="1"/>
    <xf numFmtId="10" fontId="8" fillId="0" borderId="6" xfId="0" applyNumberFormat="1" applyFont="1" applyFill="1" applyBorder="1"/>
    <xf numFmtId="10" fontId="8" fillId="0" borderId="1" xfId="0" applyNumberFormat="1" applyFont="1" applyFill="1" applyBorder="1"/>
    <xf numFmtId="164" fontId="8" fillId="0" borderId="6" xfId="2" applyNumberFormat="1" applyFont="1" applyFill="1" applyBorder="1"/>
    <xf numFmtId="164" fontId="8" fillId="0" borderId="1" xfId="2" applyNumberFormat="1" applyFont="1" applyFill="1" applyBorder="1"/>
    <xf numFmtId="10" fontId="5" fillId="0" borderId="6" xfId="0" applyNumberFormat="1" applyFont="1" applyFill="1" applyBorder="1"/>
    <xf numFmtId="1" fontId="5" fillId="0" borderId="8" xfId="0" applyNumberFormat="1" applyFont="1" applyFill="1" applyBorder="1"/>
    <xf numFmtId="1" fontId="5" fillId="0" borderId="2" xfId="0" applyNumberFormat="1" applyFont="1" applyFill="1" applyBorder="1"/>
    <xf numFmtId="1" fontId="5" fillId="0" borderId="7" xfId="0" applyNumberFormat="1" applyFont="1" applyFill="1" applyBorder="1"/>
    <xf numFmtId="1" fontId="5" fillId="0" borderId="0" xfId="0" applyNumberFormat="1" applyFont="1" applyFill="1" applyBorder="1"/>
    <xf numFmtId="10" fontId="5" fillId="0" borderId="0" xfId="0" applyNumberFormat="1" applyFont="1" applyFill="1" applyBorder="1"/>
    <xf numFmtId="164" fontId="5" fillId="0" borderId="0" xfId="2" applyNumberFormat="1" applyFont="1" applyFill="1" applyBorder="1"/>
    <xf numFmtId="0" fontId="8" fillId="0" borderId="17" xfId="0" applyFont="1" applyFill="1" applyBorder="1"/>
    <xf numFmtId="0" fontId="8" fillId="0" borderId="18" xfId="0" applyFont="1" applyFill="1" applyBorder="1"/>
    <xf numFmtId="1" fontId="0" fillId="0" borderId="4" xfId="0" applyNumberFormat="1" applyFill="1" applyBorder="1"/>
    <xf numFmtId="167" fontId="8" fillId="0" borderId="3" xfId="1" applyNumberFormat="1" applyFont="1" applyFill="1" applyBorder="1"/>
    <xf numFmtId="167" fontId="8" fillId="0" borderId="0" xfId="1" applyNumberFormat="1" applyFont="1" applyFill="1" applyBorder="1"/>
    <xf numFmtId="1" fontId="8" fillId="0" borderId="3" xfId="1" applyNumberFormat="1" applyFont="1" applyFill="1" applyBorder="1"/>
    <xf numFmtId="1" fontId="8" fillId="0" borderId="0" xfId="1" applyNumberFormat="1" applyFont="1" applyFill="1" applyBorder="1"/>
    <xf numFmtId="1" fontId="0" fillId="0" borderId="0" xfId="0" applyNumberFormat="1" applyFill="1"/>
    <xf numFmtId="167" fontId="8" fillId="0" borderId="6" xfId="1" applyNumberFormat="1" applyFont="1" applyFill="1" applyBorder="1"/>
    <xf numFmtId="167" fontId="8" fillId="0" borderId="1" xfId="1" applyNumberFormat="1" applyFont="1" applyFill="1" applyBorder="1"/>
    <xf numFmtId="1" fontId="8" fillId="0" borderId="6" xfId="1" applyNumberFormat="1" applyFont="1" applyFill="1" applyBorder="1"/>
    <xf numFmtId="1" fontId="8" fillId="0" borderId="1" xfId="1" applyNumberFormat="1" applyFont="1" applyFill="1" applyBorder="1"/>
    <xf numFmtId="1" fontId="0" fillId="0" borderId="5" xfId="0" applyNumberFormat="1" applyFill="1" applyBorder="1"/>
    <xf numFmtId="167" fontId="5" fillId="0" borderId="0" xfId="1" applyNumberFormat="1" applyFont="1" applyFill="1"/>
    <xf numFmtId="167" fontId="8" fillId="0" borderId="8" xfId="1" applyNumberFormat="1" applyFont="1" applyFill="1" applyBorder="1"/>
    <xf numFmtId="167" fontId="8" fillId="0" borderId="2" xfId="1" applyNumberFormat="1" applyFont="1" applyFill="1" applyBorder="1"/>
    <xf numFmtId="0" fontId="8" fillId="0" borderId="7" xfId="0" applyFont="1" applyFill="1" applyBorder="1"/>
    <xf numFmtId="10" fontId="8" fillId="0" borderId="8" xfId="2" applyNumberFormat="1" applyFont="1" applyFill="1" applyBorder="1"/>
    <xf numFmtId="164" fontId="8" fillId="0" borderId="8" xfId="2" applyNumberFormat="1" applyFont="1" applyFill="1" applyBorder="1"/>
    <xf numFmtId="167" fontId="8" fillId="0" borderId="0" xfId="1" applyNumberFormat="1" applyFont="1" applyFill="1"/>
    <xf numFmtId="10" fontId="8" fillId="0" borderId="0" xfId="2" applyNumberFormat="1" applyFont="1" applyFill="1"/>
    <xf numFmtId="164" fontId="8" fillId="0" borderId="0" xfId="2" applyNumberFormat="1" applyFont="1" applyFill="1"/>
    <xf numFmtId="0" fontId="5" fillId="0" borderId="28" xfId="0" applyFont="1" applyFill="1" applyBorder="1"/>
    <xf numFmtId="0" fontId="5" fillId="0" borderId="18" xfId="0" applyFont="1" applyFill="1" applyBorder="1"/>
    <xf numFmtId="0" fontId="8" fillId="0" borderId="3" xfId="0" applyFont="1" applyFill="1" applyBorder="1" applyAlignment="1">
      <alignment horizontal="center"/>
    </xf>
    <xf numFmtId="0" fontId="5" fillId="0" borderId="3" xfId="0" applyFont="1" applyFill="1" applyBorder="1" applyAlignment="1">
      <alignment horizontal="center"/>
    </xf>
    <xf numFmtId="1" fontId="8" fillId="0" borderId="0" xfId="0" applyNumberFormat="1" applyFont="1" applyFill="1" applyBorder="1" applyAlignment="1">
      <alignment horizontal="center"/>
    </xf>
    <xf numFmtId="1" fontId="8" fillId="0" borderId="4" xfId="0" applyNumberFormat="1" applyFont="1" applyFill="1" applyBorder="1" applyAlignment="1">
      <alignment horizontal="center"/>
    </xf>
    <xf numFmtId="1" fontId="8" fillId="0" borderId="20" xfId="0" applyNumberFormat="1" applyFont="1" applyFill="1" applyBorder="1" applyAlignment="1">
      <alignment horizontal="center"/>
    </xf>
    <xf numFmtId="1" fontId="8" fillId="0" borderId="1" xfId="0" applyNumberFormat="1" applyFont="1" applyFill="1" applyBorder="1" applyAlignment="1">
      <alignment horizontal="center"/>
    </xf>
    <xf numFmtId="1" fontId="8" fillId="0" borderId="5" xfId="0" applyNumberFormat="1" applyFont="1" applyFill="1" applyBorder="1" applyAlignment="1">
      <alignment horizontal="center"/>
    </xf>
    <xf numFmtId="1" fontId="8" fillId="0" borderId="21" xfId="0" applyNumberFormat="1" applyFont="1" applyFill="1" applyBorder="1" applyAlignment="1">
      <alignment horizontal="center"/>
    </xf>
    <xf numFmtId="0" fontId="5" fillId="0" borderId="8" xfId="0" applyFont="1" applyFill="1" applyBorder="1"/>
    <xf numFmtId="167" fontId="5" fillId="0" borderId="2" xfId="1" applyNumberFormat="1" applyFont="1" applyFill="1" applyBorder="1"/>
    <xf numFmtId="10" fontId="5" fillId="0" borderId="7" xfId="2" applyNumberFormat="1" applyFont="1" applyFill="1" applyBorder="1"/>
    <xf numFmtId="0" fontId="5" fillId="0" borderId="22" xfId="0" applyFont="1" applyFill="1" applyBorder="1" applyAlignment="1">
      <alignment horizontal="center"/>
    </xf>
    <xf numFmtId="3" fontId="5" fillId="0" borderId="23" xfId="0" applyNumberFormat="1" applyFont="1" applyFill="1" applyBorder="1" applyAlignment="1">
      <alignment horizontal="center"/>
    </xf>
    <xf numFmtId="3" fontId="5" fillId="0" borderId="24" xfId="0" applyNumberFormat="1" applyFont="1" applyFill="1" applyBorder="1" applyAlignment="1">
      <alignment horizontal="center"/>
    </xf>
    <xf numFmtId="3" fontId="5" fillId="0" borderId="25" xfId="0" applyNumberFormat="1" applyFont="1" applyFill="1" applyBorder="1" applyAlignment="1">
      <alignment horizontal="center"/>
    </xf>
    <xf numFmtId="10" fontId="5" fillId="0" borderId="0" xfId="2" applyNumberFormat="1" applyFont="1" applyFill="1" applyBorder="1"/>
    <xf numFmtId="3" fontId="5" fillId="0" borderId="0" xfId="0" applyNumberFormat="1" applyFont="1" applyFill="1" applyBorder="1" applyAlignment="1">
      <alignment horizontal="center"/>
    </xf>
    <xf numFmtId="3" fontId="5" fillId="0" borderId="20" xfId="0" applyNumberFormat="1" applyFont="1" applyFill="1" applyBorder="1" applyAlignment="1">
      <alignment horizontal="center"/>
    </xf>
    <xf numFmtId="0" fontId="8" fillId="0" borderId="28" xfId="0" applyFont="1" applyFill="1" applyBorder="1" applyAlignment="1">
      <alignment horizontal="center"/>
    </xf>
    <xf numFmtId="0" fontId="8" fillId="0" borderId="26" xfId="0" applyFont="1" applyFill="1" applyBorder="1" applyAlignment="1">
      <alignment horizontal="center"/>
    </xf>
    <xf numFmtId="1" fontId="8" fillId="0" borderId="0" xfId="0" applyNumberFormat="1" applyFont="1" applyFill="1"/>
    <xf numFmtId="1" fontId="8" fillId="0" borderId="20" xfId="1" applyNumberFormat="1" applyFont="1" applyFill="1" applyBorder="1" applyAlignment="1">
      <alignment horizontal="center"/>
    </xf>
    <xf numFmtId="167" fontId="5" fillId="0" borderId="1" xfId="1" applyNumberFormat="1" applyFont="1" applyFill="1" applyBorder="1"/>
    <xf numFmtId="10" fontId="5" fillId="0" borderId="5" xfId="2" applyNumberFormat="1" applyFont="1" applyFill="1" applyBorder="1"/>
    <xf numFmtId="167" fontId="26" fillId="0" borderId="0" xfId="1" applyNumberFormat="1" applyFont="1" applyFill="1"/>
    <xf numFmtId="0" fontId="8" fillId="0" borderId="6" xfId="0" applyFont="1" applyFill="1" applyBorder="1" applyAlignment="1">
      <alignment horizontal="center"/>
    </xf>
    <xf numFmtId="3" fontId="8" fillId="0" borderId="18" xfId="0" applyNumberFormat="1" applyFont="1" applyFill="1" applyBorder="1" applyAlignment="1">
      <alignment horizontal="center"/>
    </xf>
    <xf numFmtId="0" fontId="3" fillId="0" borderId="6" xfId="0" applyFont="1" applyFill="1" applyBorder="1" applyAlignment="1">
      <alignment horizontal="center"/>
    </xf>
    <xf numFmtId="3" fontId="3" fillId="0" borderId="7" xfId="0" applyNumberFormat="1" applyFont="1" applyFill="1" applyBorder="1" applyAlignment="1">
      <alignment horizontal="center"/>
    </xf>
    <xf numFmtId="3" fontId="3" fillId="0" borderId="26" xfId="0" applyNumberFormat="1" applyFont="1" applyFill="1" applyBorder="1" applyAlignment="1">
      <alignment horizontal="center"/>
    </xf>
    <xf numFmtId="167" fontId="5" fillId="0" borderId="2" xfId="0" applyNumberFormat="1" applyFont="1" applyFill="1" applyBorder="1"/>
    <xf numFmtId="10" fontId="8" fillId="0" borderId="0" xfId="0" applyNumberFormat="1" applyFont="1" applyFill="1"/>
    <xf numFmtId="0" fontId="5" fillId="0" borderId="4" xfId="0" applyFont="1" applyFill="1" applyBorder="1" applyAlignment="1">
      <alignment horizontal="center"/>
    </xf>
    <xf numFmtId="0" fontId="9" fillId="0" borderId="8" xfId="0" applyFont="1" applyFill="1" applyBorder="1" applyAlignment="1">
      <alignment horizontal="center"/>
    </xf>
    <xf numFmtId="3" fontId="9" fillId="0" borderId="2" xfId="0" applyNumberFormat="1" applyFont="1" applyFill="1" applyBorder="1" applyAlignment="1">
      <alignment horizontal="center"/>
    </xf>
    <xf numFmtId="3" fontId="9" fillId="0" borderId="7" xfId="0" applyNumberFormat="1" applyFont="1" applyFill="1" applyBorder="1" applyAlignment="1">
      <alignment horizontal="center"/>
    </xf>
    <xf numFmtId="167" fontId="8" fillId="0" borderId="0" xfId="1" applyNumberFormat="1" applyFont="1" applyFill="1" applyBorder="1" applyAlignment="1">
      <alignment horizontal="center"/>
    </xf>
    <xf numFmtId="167" fontId="8" fillId="0" borderId="4" xfId="1" applyNumberFormat="1" applyFont="1" applyFill="1" applyBorder="1" applyAlignment="1">
      <alignment horizontal="center"/>
    </xf>
    <xf numFmtId="0" fontId="8" fillId="6" borderId="28" xfId="0" applyFont="1" applyFill="1" applyBorder="1"/>
    <xf numFmtId="0" fontId="8" fillId="6" borderId="0" xfId="0" applyFont="1" applyFill="1" applyBorder="1"/>
    <xf numFmtId="10" fontId="2" fillId="6" borderId="0" xfId="2" applyNumberFormat="1" applyFill="1" applyBorder="1"/>
    <xf numFmtId="10" fontId="7" fillId="6" borderId="0" xfId="0" applyNumberFormat="1" applyFont="1" applyFill="1" applyBorder="1"/>
    <xf numFmtId="1" fontId="7" fillId="6" borderId="0" xfId="0" applyNumberFormat="1" applyFont="1" applyFill="1" applyBorder="1"/>
    <xf numFmtId="10" fontId="7" fillId="6" borderId="0" xfId="2" applyNumberFormat="1" applyFont="1" applyFill="1" applyBorder="1"/>
    <xf numFmtId="0" fontId="8" fillId="0" borderId="28" xfId="0" applyFont="1" applyFill="1" applyBorder="1"/>
    <xf numFmtId="165" fontId="0" fillId="0" borderId="0" xfId="0" applyNumberFormat="1" applyFill="1" applyBorder="1"/>
    <xf numFmtId="167" fontId="8" fillId="0" borderId="20" xfId="1" applyNumberFormat="1" applyFont="1" applyFill="1" applyBorder="1" applyAlignment="1">
      <alignment horizontal="center"/>
    </xf>
    <xf numFmtId="167" fontId="9" fillId="0" borderId="2" xfId="1" applyNumberFormat="1" applyFont="1" applyFill="1" applyBorder="1" applyAlignment="1">
      <alignment horizontal="center"/>
    </xf>
    <xf numFmtId="167" fontId="9" fillId="0" borderId="7" xfId="1" applyNumberFormat="1" applyFont="1" applyFill="1" applyBorder="1" applyAlignment="1">
      <alignment horizontal="center"/>
    </xf>
    <xf numFmtId="167" fontId="5" fillId="0" borderId="1" xfId="1" applyNumberFormat="1" applyFont="1" applyFill="1" applyBorder="1" applyAlignment="1">
      <alignment horizontal="center"/>
    </xf>
    <xf numFmtId="167" fontId="5" fillId="0" borderId="7" xfId="1" applyNumberFormat="1" applyFont="1" applyFill="1" applyBorder="1" applyAlignment="1">
      <alignment horizontal="center"/>
    </xf>
    <xf numFmtId="167" fontId="5" fillId="0" borderId="26" xfId="1" applyNumberFormat="1" applyFont="1" applyFill="1" applyBorder="1" applyAlignment="1">
      <alignment horizontal="center"/>
    </xf>
    <xf numFmtId="164" fontId="7" fillId="6" borderId="0" xfId="2" applyNumberFormat="1" applyFont="1" applyFill="1" applyBorder="1"/>
    <xf numFmtId="10" fontId="7" fillId="6" borderId="3" xfId="0" applyNumberFormat="1" applyFont="1" applyFill="1" applyBorder="1"/>
    <xf numFmtId="10" fontId="2" fillId="0" borderId="0" xfId="2" applyNumberFormat="1" applyFill="1" applyBorder="1"/>
    <xf numFmtId="1" fontId="0" fillId="0" borderId="0" xfId="0" applyNumberFormat="1" applyFill="1" applyBorder="1"/>
    <xf numFmtId="10" fontId="6" fillId="6" borderId="4" xfId="2" applyNumberFormat="1" applyFont="1" applyFill="1" applyBorder="1"/>
    <xf numFmtId="10" fontId="40" fillId="8" borderId="4" xfId="2" applyNumberFormat="1" applyFont="1" applyFill="1" applyBorder="1"/>
    <xf numFmtId="10" fontId="40" fillId="8" borderId="3" xfId="2" applyNumberFormat="1" applyFont="1" applyFill="1" applyBorder="1"/>
    <xf numFmtId="0" fontId="0" fillId="0" borderId="29" xfId="0" applyBorder="1"/>
    <xf numFmtId="0" fontId="0" fillId="0" borderId="30" xfId="0" applyBorder="1"/>
    <xf numFmtId="0" fontId="0" fillId="0" borderId="31" xfId="0" applyBorder="1"/>
    <xf numFmtId="0" fontId="0" fillId="0" borderId="29" xfId="0" pivotButton="1" applyBorder="1"/>
    <xf numFmtId="0" fontId="0" fillId="0" borderId="32" xfId="0" applyBorder="1"/>
    <xf numFmtId="0" fontId="0" fillId="0" borderId="33" xfId="0" applyBorder="1"/>
    <xf numFmtId="0" fontId="0" fillId="0" borderId="34" xfId="0" applyBorder="1"/>
    <xf numFmtId="0" fontId="0" fillId="0" borderId="29" xfId="0" applyNumberFormat="1" applyBorder="1"/>
    <xf numFmtId="0" fontId="0" fillId="0" borderId="34" xfId="0" applyNumberFormat="1" applyBorder="1"/>
    <xf numFmtId="0" fontId="0" fillId="0" borderId="33" xfId="0" applyNumberFormat="1" applyBorder="1"/>
    <xf numFmtId="0" fontId="0" fillId="0" borderId="0" xfId="0" applyNumberFormat="1"/>
    <xf numFmtId="0" fontId="0" fillId="0" borderId="32" xfId="0" applyNumberFormat="1" applyBorder="1"/>
    <xf numFmtId="0" fontId="0" fillId="0" borderId="35" xfId="0" applyNumberFormat="1" applyBorder="1"/>
    <xf numFmtId="0" fontId="0" fillId="0" borderId="36" xfId="0" applyBorder="1"/>
    <xf numFmtId="0" fontId="0" fillId="0" borderId="36" xfId="0" applyNumberFormat="1" applyBorder="1"/>
    <xf numFmtId="0" fontId="0" fillId="0" borderId="37" xfId="0" applyNumberFormat="1" applyBorder="1"/>
    <xf numFmtId="0" fontId="0" fillId="0" borderId="38" xfId="0" applyNumberFormat="1" applyBorder="1"/>
    <xf numFmtId="10" fontId="2" fillId="8" borderId="0" xfId="2" applyNumberFormat="1" applyFill="1" applyBorder="1"/>
    <xf numFmtId="10" fontId="2" fillId="8" borderId="4" xfId="2" applyNumberFormat="1" applyFill="1" applyBorder="1"/>
    <xf numFmtId="0" fontId="0" fillId="0" borderId="3" xfId="0" applyFill="1" applyBorder="1"/>
    <xf numFmtId="10" fontId="2" fillId="8" borderId="0" xfId="2" applyNumberFormat="1" applyFont="1" applyFill="1" applyBorder="1"/>
    <xf numFmtId="10" fontId="2" fillId="8" borderId="3" xfId="2" applyNumberFormat="1" applyFill="1" applyBorder="1"/>
    <xf numFmtId="10" fontId="2" fillId="8" borderId="3" xfId="2" applyNumberFormat="1" applyFont="1" applyFill="1" applyBorder="1"/>
    <xf numFmtId="10" fontId="2" fillId="0" borderId="28" xfId="2" applyNumberFormat="1" applyFill="1" applyBorder="1"/>
    <xf numFmtId="10" fontId="2" fillId="0" borderId="18" xfId="2" applyNumberFormat="1" applyFill="1" applyBorder="1"/>
    <xf numFmtId="10" fontId="2" fillId="0" borderId="4" xfId="2" applyNumberFormat="1" applyFill="1" applyBorder="1"/>
    <xf numFmtId="0" fontId="0" fillId="8" borderId="0" xfId="0" applyFill="1" applyBorder="1"/>
    <xf numFmtId="0" fontId="0" fillId="8" borderId="4" xfId="0" applyFill="1" applyBorder="1"/>
    <xf numFmtId="0" fontId="0" fillId="8" borderId="3" xfId="0" applyFill="1" applyBorder="1"/>
    <xf numFmtId="0" fontId="8" fillId="0" borderId="0" xfId="0" quotePrefix="1" applyFont="1" applyFill="1"/>
    <xf numFmtId="165" fontId="0" fillId="0" borderId="0" xfId="0" applyNumberFormat="1" applyFill="1"/>
    <xf numFmtId="0" fontId="8" fillId="0" borderId="0" xfId="0" quotePrefix="1" applyFont="1"/>
    <xf numFmtId="165" fontId="0" fillId="0" borderId="0" xfId="0" applyNumberFormat="1"/>
    <xf numFmtId="0" fontId="5" fillId="0" borderId="0" xfId="0" quotePrefix="1" applyFont="1"/>
    <xf numFmtId="165" fontId="5" fillId="0" borderId="0" xfId="0" applyNumberFormat="1" applyFont="1"/>
    <xf numFmtId="165" fontId="7" fillId="0" borderId="0" xfId="0" applyNumberFormat="1" applyFont="1"/>
    <xf numFmtId="0" fontId="5" fillId="0" borderId="17" xfId="0" applyFont="1" applyFill="1" applyBorder="1" applyAlignment="1"/>
    <xf numFmtId="0" fontId="5" fillId="0" borderId="28" xfId="0" applyFont="1" applyFill="1" applyBorder="1" applyAlignment="1"/>
    <xf numFmtId="0" fontId="5" fillId="0" borderId="18" xfId="0" applyFont="1" applyFill="1" applyBorder="1" applyAlignment="1"/>
    <xf numFmtId="0" fontId="8" fillId="9" borderId="28" xfId="0" applyFont="1" applyFill="1" applyBorder="1"/>
    <xf numFmtId="0" fontId="8" fillId="9" borderId="0" xfId="0" applyFont="1" applyFill="1" applyBorder="1"/>
    <xf numFmtId="167" fontId="8" fillId="9" borderId="0" xfId="1" applyNumberFormat="1" applyFont="1" applyFill="1" applyBorder="1"/>
    <xf numFmtId="167" fontId="8" fillId="9" borderId="1" xfId="1" applyNumberFormat="1" applyFont="1" applyFill="1" applyBorder="1"/>
    <xf numFmtId="0" fontId="0" fillId="9" borderId="0" xfId="0" applyFill="1"/>
    <xf numFmtId="1" fontId="8" fillId="9" borderId="0" xfId="0" applyNumberFormat="1" applyFont="1" applyFill="1" applyBorder="1"/>
    <xf numFmtId="1" fontId="8" fillId="9" borderId="0" xfId="1" applyNumberFormat="1" applyFont="1" applyFill="1" applyBorder="1"/>
    <xf numFmtId="1" fontId="8" fillId="9" borderId="1" xfId="1" applyNumberFormat="1" applyFont="1" applyFill="1" applyBorder="1"/>
    <xf numFmtId="0" fontId="8" fillId="10" borderId="3" xfId="0" applyFont="1" applyFill="1" applyBorder="1"/>
    <xf numFmtId="0" fontId="8" fillId="10" borderId="0" xfId="0" applyFont="1" applyFill="1" applyBorder="1"/>
    <xf numFmtId="0" fontId="8" fillId="10" borderId="4" xfId="0" applyFont="1" applyFill="1" applyBorder="1"/>
    <xf numFmtId="0" fontId="0" fillId="10" borderId="0" xfId="0" applyFill="1"/>
    <xf numFmtId="0" fontId="0" fillId="10" borderId="4" xfId="0" applyFill="1" applyBorder="1"/>
    <xf numFmtId="0" fontId="0" fillId="10" borderId="0" xfId="0" applyFill="1" applyBorder="1"/>
    <xf numFmtId="0" fontId="8" fillId="11" borderId="0" xfId="0" applyFont="1" applyFill="1" applyBorder="1"/>
    <xf numFmtId="0" fontId="8" fillId="11" borderId="4" xfId="0" applyFont="1" applyFill="1" applyBorder="1"/>
    <xf numFmtId="0" fontId="8" fillId="11" borderId="17" xfId="0" applyFont="1" applyFill="1" applyBorder="1"/>
    <xf numFmtId="0" fontId="8" fillId="11" borderId="28" xfId="0" applyFont="1" applyFill="1" applyBorder="1"/>
    <xf numFmtId="0" fontId="8" fillId="11" borderId="3" xfId="0" applyFont="1" applyFill="1" applyBorder="1"/>
    <xf numFmtId="0" fontId="0" fillId="11" borderId="0" xfId="0" applyFill="1"/>
    <xf numFmtId="167" fontId="8" fillId="10" borderId="0" xfId="1" applyNumberFormat="1" applyFont="1" applyFill="1" applyBorder="1"/>
    <xf numFmtId="164" fontId="5" fillId="0" borderId="8" xfId="2" applyNumberFormat="1" applyFont="1" applyFill="1" applyBorder="1"/>
    <xf numFmtId="164" fontId="5" fillId="0" borderId="2" xfId="2" applyNumberFormat="1" applyFont="1" applyFill="1" applyBorder="1"/>
    <xf numFmtId="164" fontId="5" fillId="0" borderId="7" xfId="2" applyNumberFormat="1" applyFont="1" applyFill="1" applyBorder="1"/>
    <xf numFmtId="0" fontId="0" fillId="9" borderId="0" xfId="0" applyFill="1" applyBorder="1"/>
    <xf numFmtId="0" fontId="0" fillId="9" borderId="4" xfId="0" applyFill="1" applyBorder="1"/>
    <xf numFmtId="0" fontId="0" fillId="9" borderId="28" xfId="0" applyFill="1" applyBorder="1"/>
    <xf numFmtId="0" fontId="0" fillId="9" borderId="18" xfId="0" applyFill="1" applyBorder="1"/>
    <xf numFmtId="0" fontId="8" fillId="0" borderId="8" xfId="0" applyFont="1" applyFill="1" applyBorder="1" applyAlignment="1">
      <alignment horizontal="center"/>
    </xf>
    <xf numFmtId="1" fontId="8" fillId="0" borderId="3" xfId="1" applyNumberFormat="1" applyFont="1" applyFill="1" applyBorder="1" applyAlignment="1">
      <alignment horizontal="center"/>
    </xf>
    <xf numFmtId="164" fontId="8" fillId="8" borderId="12" xfId="0" applyNumberFormat="1" applyFont="1" applyFill="1" applyBorder="1"/>
    <xf numFmtId="0" fontId="8" fillId="12" borderId="13" xfId="0" applyFont="1" applyFill="1" applyBorder="1"/>
    <xf numFmtId="164" fontId="8" fillId="8" borderId="14" xfId="0" applyNumberFormat="1" applyFont="1" applyFill="1" applyBorder="1"/>
    <xf numFmtId="0" fontId="8" fillId="12" borderId="16" xfId="0" applyFont="1" applyFill="1" applyBorder="1"/>
    <xf numFmtId="1" fontId="8" fillId="0" borderId="3" xfId="0" applyNumberFormat="1" applyFont="1" applyFill="1" applyBorder="1" applyAlignment="1">
      <alignment horizontal="center"/>
    </xf>
    <xf numFmtId="164" fontId="8" fillId="12" borderId="12" xfId="0" applyNumberFormat="1" applyFont="1" applyFill="1" applyBorder="1"/>
    <xf numFmtId="164" fontId="8" fillId="12" borderId="14" xfId="0" applyNumberFormat="1" applyFont="1" applyFill="1" applyBorder="1"/>
    <xf numFmtId="0" fontId="8" fillId="0" borderId="4" xfId="0" applyNumberFormat="1" applyFont="1" applyFill="1" applyBorder="1"/>
    <xf numFmtId="1" fontId="8" fillId="0" borderId="39" xfId="0" applyNumberFormat="1" applyFont="1" applyFill="1" applyBorder="1" applyAlignment="1">
      <alignment horizontal="center"/>
    </xf>
    <xf numFmtId="3" fontId="5" fillId="0" borderId="2" xfId="0" applyNumberFormat="1" applyFont="1" applyFill="1" applyBorder="1" applyAlignment="1">
      <alignment horizontal="center"/>
    </xf>
    <xf numFmtId="3" fontId="5" fillId="0" borderId="7" xfId="0" applyNumberFormat="1" applyFont="1" applyFill="1" applyBorder="1" applyAlignment="1">
      <alignment horizontal="center"/>
    </xf>
    <xf numFmtId="3" fontId="5" fillId="0" borderId="26" xfId="0" applyNumberFormat="1" applyFont="1" applyFill="1" applyBorder="1" applyAlignment="1">
      <alignment horizontal="center"/>
    </xf>
    <xf numFmtId="1" fontId="8" fillId="10" borderId="0" xfId="0" applyNumberFormat="1" applyFont="1" applyFill="1" applyBorder="1"/>
    <xf numFmtId="0" fontId="0" fillId="10" borderId="3" xfId="0" applyFill="1" applyBorder="1"/>
    <xf numFmtId="0" fontId="0" fillId="9" borderId="6" xfId="0" applyFill="1" applyBorder="1"/>
    <xf numFmtId="0" fontId="0" fillId="9" borderId="1" xfId="0" applyFill="1" applyBorder="1"/>
    <xf numFmtId="0" fontId="0" fillId="9" borderId="5" xfId="0" applyFill="1" applyBorder="1"/>
    <xf numFmtId="0" fontId="8" fillId="11" borderId="5" xfId="0" applyFont="1" applyFill="1" applyBorder="1"/>
    <xf numFmtId="0" fontId="8" fillId="11" borderId="6" xfId="0" applyFont="1" applyFill="1" applyBorder="1"/>
    <xf numFmtId="0" fontId="8" fillId="11" borderId="1" xfId="0" applyFont="1" applyFill="1" applyBorder="1"/>
    <xf numFmtId="167" fontId="8" fillId="11" borderId="6" xfId="1" applyNumberFormat="1" applyFont="1" applyFill="1" applyBorder="1"/>
    <xf numFmtId="167" fontId="8" fillId="11" borderId="1" xfId="1" applyNumberFormat="1" applyFont="1" applyFill="1" applyBorder="1"/>
    <xf numFmtId="10" fontId="2" fillId="9" borderId="0" xfId="2" applyNumberFormat="1" applyFill="1" applyBorder="1"/>
    <xf numFmtId="0" fontId="8" fillId="9" borderId="3" xfId="0" applyFont="1" applyFill="1" applyBorder="1"/>
    <xf numFmtId="1" fontId="0" fillId="13" borderId="0" xfId="0" applyNumberFormat="1" applyFill="1"/>
    <xf numFmtId="1" fontId="8" fillId="13" borderId="0" xfId="0" applyNumberFormat="1" applyFont="1" applyFill="1" applyBorder="1"/>
    <xf numFmtId="0" fontId="8" fillId="10" borderId="28" xfId="0" applyFont="1" applyFill="1" applyBorder="1"/>
    <xf numFmtId="167" fontId="5" fillId="0" borderId="6" xfId="1" applyNumberFormat="1" applyFont="1" applyFill="1" applyBorder="1"/>
    <xf numFmtId="167" fontId="5" fillId="0" borderId="5" xfId="1" applyNumberFormat="1" applyFont="1" applyFill="1" applyBorder="1"/>
    <xf numFmtId="0" fontId="0" fillId="10" borderId="28" xfId="0" applyFill="1" applyBorder="1"/>
    <xf numFmtId="0" fontId="0" fillId="10" borderId="18" xfId="0" applyFill="1" applyBorder="1"/>
    <xf numFmtId="1" fontId="8" fillId="11" borderId="0" xfId="0" applyNumberFormat="1" applyFont="1" applyFill="1" applyBorder="1"/>
    <xf numFmtId="167" fontId="8" fillId="11" borderId="0" xfId="1" applyNumberFormat="1" applyFont="1" applyFill="1" applyBorder="1"/>
    <xf numFmtId="0" fontId="0" fillId="11" borderId="0" xfId="0" applyFill="1" applyBorder="1"/>
    <xf numFmtId="0" fontId="0" fillId="11" borderId="4" xfId="0" applyFill="1" applyBorder="1"/>
    <xf numFmtId="0" fontId="0" fillId="11" borderId="28" xfId="0" applyFill="1" applyBorder="1"/>
    <xf numFmtId="0" fontId="0" fillId="11" borderId="1" xfId="0" applyFill="1" applyBorder="1"/>
    <xf numFmtId="0" fontId="0" fillId="11" borderId="5" xfId="0" applyFill="1" applyBorder="1"/>
    <xf numFmtId="0" fontId="0" fillId="11" borderId="18" xfId="0" applyFill="1" applyBorder="1"/>
    <xf numFmtId="0" fontId="0" fillId="11" borderId="6" xfId="0" applyFill="1" applyBorder="1"/>
    <xf numFmtId="0" fontId="42" fillId="10" borderId="3" xfId="0" applyFont="1" applyFill="1" applyBorder="1"/>
    <xf numFmtId="0" fontId="42" fillId="10" borderId="0" xfId="0" applyFont="1" applyFill="1" applyBorder="1"/>
    <xf numFmtId="0" fontId="42" fillId="10" borderId="4" xfId="0" applyFont="1" applyFill="1" applyBorder="1"/>
    <xf numFmtId="0" fontId="2" fillId="11" borderId="0" xfId="0" applyFont="1" applyFill="1" applyBorder="1"/>
    <xf numFmtId="0" fontId="2" fillId="11" borderId="4" xfId="0" applyFont="1" applyFill="1" applyBorder="1"/>
    <xf numFmtId="0" fontId="0" fillId="11" borderId="3" xfId="0" applyFill="1" applyBorder="1"/>
    <xf numFmtId="3" fontId="2" fillId="11" borderId="0" xfId="0" applyNumberFormat="1" applyFont="1" applyFill="1" applyBorder="1"/>
    <xf numFmtId="3" fontId="2" fillId="11" borderId="1" xfId="0" applyNumberFormat="1" applyFont="1" applyFill="1" applyBorder="1"/>
    <xf numFmtId="3" fontId="2" fillId="11" borderId="5" xfId="0" applyNumberFormat="1" applyFont="1" applyFill="1" applyBorder="1"/>
    <xf numFmtId="1" fontId="2" fillId="13" borderId="0" xfId="0" applyNumberFormat="1" applyFont="1" applyFill="1"/>
    <xf numFmtId="1" fontId="8" fillId="14" borderId="0" xfId="0" applyNumberFormat="1" applyFont="1" applyFill="1" applyBorder="1"/>
    <xf numFmtId="0" fontId="2" fillId="0" borderId="0" xfId="0" applyFont="1" applyFill="1" applyBorder="1" applyAlignment="1">
      <alignment horizontal="left"/>
    </xf>
    <xf numFmtId="3" fontId="43" fillId="10" borderId="3" xfId="0" applyNumberFormat="1" applyFont="1" applyFill="1" applyBorder="1"/>
    <xf numFmtId="0" fontId="43" fillId="10" borderId="0" xfId="0" applyFont="1" applyFill="1" applyBorder="1"/>
    <xf numFmtId="3" fontId="43" fillId="10" borderId="0" xfId="0" applyNumberFormat="1" applyFont="1" applyFill="1" applyBorder="1"/>
    <xf numFmtId="0" fontId="43" fillId="10" borderId="0" xfId="0" applyFont="1" applyFill="1"/>
    <xf numFmtId="167" fontId="43" fillId="10" borderId="0" xfId="1" applyNumberFormat="1" applyFont="1" applyFill="1" applyBorder="1"/>
    <xf numFmtId="1" fontId="43" fillId="10" borderId="0" xfId="0" applyNumberFormat="1" applyFont="1" applyFill="1" applyBorder="1"/>
    <xf numFmtId="0" fontId="2" fillId="11" borderId="1" xfId="0" applyFont="1" applyFill="1" applyBorder="1"/>
    <xf numFmtId="3" fontId="2" fillId="10" borderId="3" xfId="0" applyNumberFormat="1" applyFont="1" applyFill="1" applyBorder="1"/>
    <xf numFmtId="3" fontId="2" fillId="10" borderId="0" xfId="0" applyNumberFormat="1" applyFont="1" applyFill="1" applyBorder="1"/>
    <xf numFmtId="0" fontId="2" fillId="10" borderId="0" xfId="0" applyFont="1" applyFill="1" applyBorder="1"/>
    <xf numFmtId="0" fontId="2" fillId="10" borderId="4" xfId="0" applyFont="1" applyFill="1" applyBorder="1"/>
    <xf numFmtId="1" fontId="2" fillId="0" borderId="0" xfId="0" applyNumberFormat="1" applyFont="1" applyFill="1"/>
    <xf numFmtId="0" fontId="2" fillId="11" borderId="28" xfId="0" applyFont="1" applyFill="1" applyBorder="1"/>
    <xf numFmtId="1" fontId="2" fillId="11" borderId="0" xfId="0" applyNumberFormat="1" applyFont="1" applyFill="1" applyBorder="1"/>
    <xf numFmtId="167" fontId="2" fillId="11" borderId="1" xfId="1" applyNumberFormat="1" applyFont="1" applyFill="1" applyBorder="1"/>
    <xf numFmtId="0" fontId="2" fillId="10" borderId="0" xfId="0" applyFont="1" applyFill="1"/>
    <xf numFmtId="167" fontId="2" fillId="10" borderId="0" xfId="1" applyNumberFormat="1" applyFont="1" applyFill="1" applyBorder="1"/>
    <xf numFmtId="167" fontId="2" fillId="11" borderId="0" xfId="1" applyNumberFormat="1" applyFont="1" applyFill="1" applyBorder="1"/>
    <xf numFmtId="0" fontId="2" fillId="10" borderId="6" xfId="0" applyFont="1" applyFill="1" applyBorder="1"/>
    <xf numFmtId="0" fontId="0" fillId="10" borderId="6" xfId="0" applyFill="1" applyBorder="1"/>
    <xf numFmtId="1" fontId="8" fillId="15" borderId="0" xfId="0" applyNumberFormat="1" applyFont="1" applyFill="1" applyBorder="1"/>
    <xf numFmtId="0" fontId="2" fillId="11" borderId="6" xfId="0" applyFont="1" applyFill="1" applyBorder="1"/>
    <xf numFmtId="0" fontId="2" fillId="11" borderId="0" xfId="0" applyFont="1" applyFill="1"/>
    <xf numFmtId="1" fontId="0" fillId="15" borderId="0" xfId="0" applyNumberFormat="1" applyFill="1"/>
    <xf numFmtId="1" fontId="0" fillId="15" borderId="4" xfId="0" applyNumberFormat="1" applyFill="1" applyBorder="1"/>
    <xf numFmtId="0" fontId="2" fillId="11" borderId="0" xfId="0" applyFont="1" applyFill="1" applyBorder="1" applyAlignment="1">
      <alignment horizontal="center"/>
    </xf>
    <xf numFmtId="167" fontId="5" fillId="0" borderId="6" xfId="1" applyNumberFormat="1" applyFont="1" applyFill="1" applyBorder="1" applyAlignment="1">
      <alignment horizontal="center"/>
    </xf>
    <xf numFmtId="167" fontId="5" fillId="0" borderId="5" xfId="1" applyNumberFormat="1" applyFont="1" applyFill="1"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1" borderId="18" xfId="0" applyFill="1" applyBorder="1" applyAlignment="1">
      <alignment horizontal="center"/>
    </xf>
    <xf numFmtId="0" fontId="0" fillId="11" borderId="4" xfId="0" applyFill="1" applyBorder="1" applyAlignment="1">
      <alignment horizontal="center"/>
    </xf>
    <xf numFmtId="0" fontId="0" fillId="10" borderId="0" xfId="0" applyFill="1" applyBorder="1" applyAlignment="1">
      <alignment horizontal="center"/>
    </xf>
    <xf numFmtId="0" fontId="0" fillId="11" borderId="0" xfId="0" applyFill="1" applyBorder="1" applyAlignment="1">
      <alignment horizontal="center"/>
    </xf>
    <xf numFmtId="0" fontId="0" fillId="10" borderId="4" xfId="0" applyFill="1" applyBorder="1" applyAlignment="1">
      <alignment horizontal="center"/>
    </xf>
    <xf numFmtId="0" fontId="0" fillId="16" borderId="0" xfId="0" applyFill="1" applyAlignment="1">
      <alignment horizontal="center"/>
    </xf>
    <xf numFmtId="0" fontId="0" fillId="16" borderId="4" xfId="0" applyFill="1" applyBorder="1" applyAlignment="1">
      <alignment horizontal="center"/>
    </xf>
    <xf numFmtId="0" fontId="0" fillId="10" borderId="3" xfId="0" applyFill="1" applyBorder="1" applyAlignment="1">
      <alignment horizontal="center"/>
    </xf>
    <xf numFmtId="0" fontId="0" fillId="11" borderId="6" xfId="0" applyFill="1" applyBorder="1" applyAlignment="1">
      <alignment horizontal="center"/>
    </xf>
    <xf numFmtId="0" fontId="0" fillId="11" borderId="1" xfId="0" applyFill="1" applyBorder="1" applyAlignment="1">
      <alignment horizontal="center"/>
    </xf>
    <xf numFmtId="0" fontId="0" fillId="11" borderId="5" xfId="0" applyFill="1" applyBorder="1" applyAlignment="1">
      <alignment horizontal="center"/>
    </xf>
    <xf numFmtId="0" fontId="0" fillId="11" borderId="28" xfId="0" applyFill="1" applyBorder="1" applyAlignment="1">
      <alignment horizontal="center"/>
    </xf>
    <xf numFmtId="0" fontId="0" fillId="11" borderId="3" xfId="0" applyFill="1"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7" xfId="0" applyBorder="1" applyAlignment="1">
      <alignment horizontal="center"/>
    </xf>
    <xf numFmtId="0" fontId="8" fillId="0" borderId="7" xfId="0" applyFont="1" applyBorder="1" applyAlignment="1">
      <alignment horizontal="center"/>
    </xf>
    <xf numFmtId="0" fontId="8" fillId="0" borderId="2" xfId="0" applyFont="1" applyBorder="1" applyAlignment="1">
      <alignment horizontal="center"/>
    </xf>
    <xf numFmtId="0" fontId="8" fillId="11" borderId="17" xfId="0" applyFont="1" applyFill="1" applyBorder="1" applyAlignment="1">
      <alignment horizontal="center"/>
    </xf>
    <xf numFmtId="0" fontId="8" fillId="11" borderId="28" xfId="0" applyFont="1" applyFill="1" applyBorder="1" applyAlignment="1">
      <alignment horizontal="center"/>
    </xf>
    <xf numFmtId="0" fontId="8" fillId="9" borderId="28" xfId="0" applyFont="1" applyFill="1" applyBorder="1" applyAlignment="1">
      <alignment horizontal="center"/>
    </xf>
    <xf numFmtId="0" fontId="2" fillId="11" borderId="28" xfId="0" applyFont="1" applyFill="1" applyBorder="1" applyAlignment="1">
      <alignment horizontal="center"/>
    </xf>
    <xf numFmtId="0" fontId="8" fillId="11" borderId="3" xfId="0" applyFont="1" applyFill="1" applyBorder="1" applyAlignment="1">
      <alignment horizontal="center"/>
    </xf>
    <xf numFmtId="0" fontId="8" fillId="11" borderId="0" xfId="0" applyFont="1" applyFill="1" applyBorder="1" applyAlignment="1">
      <alignment horizontal="center"/>
    </xf>
    <xf numFmtId="0" fontId="8" fillId="9" borderId="0" xfId="0" applyFont="1" applyFill="1" applyBorder="1" applyAlignment="1">
      <alignment horizontal="center"/>
    </xf>
    <xf numFmtId="0" fontId="0" fillId="9" borderId="0" xfId="0" applyFill="1" applyAlignment="1">
      <alignment horizontal="center"/>
    </xf>
    <xf numFmtId="0" fontId="2" fillId="11" borderId="0" xfId="0" applyFont="1" applyFill="1" applyAlignment="1">
      <alignment horizontal="center"/>
    </xf>
    <xf numFmtId="167" fontId="2" fillId="11" borderId="0" xfId="1" applyNumberFormat="1" applyFont="1" applyFill="1" applyBorder="1" applyAlignment="1">
      <alignment horizontal="center"/>
    </xf>
    <xf numFmtId="1" fontId="2" fillId="11" borderId="0" xfId="0" applyNumberFormat="1" applyFont="1" applyFill="1" applyBorder="1" applyAlignment="1">
      <alignment horizontal="center"/>
    </xf>
    <xf numFmtId="167" fontId="8" fillId="11" borderId="6" xfId="1" applyNumberFormat="1" applyFont="1" applyFill="1" applyBorder="1" applyAlignment="1">
      <alignment horizontal="center"/>
    </xf>
    <xf numFmtId="167" fontId="8" fillId="11" borderId="1" xfId="1" applyNumberFormat="1" applyFont="1" applyFill="1" applyBorder="1" applyAlignment="1">
      <alignment horizontal="center"/>
    </xf>
    <xf numFmtId="167" fontId="2" fillId="11" borderId="1" xfId="1" applyNumberFormat="1" applyFont="1" applyFill="1" applyBorder="1" applyAlignment="1">
      <alignment horizontal="center"/>
    </xf>
    <xf numFmtId="167" fontId="8" fillId="0" borderId="8" xfId="1" applyNumberFormat="1" applyFont="1" applyFill="1" applyBorder="1" applyAlignment="1">
      <alignment horizontal="center"/>
    </xf>
    <xf numFmtId="167" fontId="8" fillId="0" borderId="2" xfId="1" applyNumberFormat="1" applyFont="1" applyFill="1" applyBorder="1" applyAlignment="1">
      <alignment horizontal="center"/>
    </xf>
    <xf numFmtId="166" fontId="8" fillId="15" borderId="0" xfId="0" applyNumberFormat="1" applyFont="1" applyFill="1" applyBorder="1"/>
    <xf numFmtId="3" fontId="43" fillId="10" borderId="3" xfId="0" applyNumberFormat="1" applyFont="1" applyFill="1" applyBorder="1" applyAlignment="1">
      <alignment horizontal="center"/>
    </xf>
    <xf numFmtId="0" fontId="43" fillId="11" borderId="0" xfId="0" applyFont="1" applyFill="1" applyBorder="1" applyAlignment="1">
      <alignment horizontal="center"/>
    </xf>
    <xf numFmtId="0" fontId="43" fillId="11" borderId="4" xfId="0" applyFont="1" applyFill="1" applyBorder="1" applyAlignment="1">
      <alignment horizontal="center"/>
    </xf>
    <xf numFmtId="3" fontId="43" fillId="11" borderId="0" xfId="0" applyNumberFormat="1" applyFont="1" applyFill="1" applyBorder="1" applyAlignment="1">
      <alignment horizontal="center"/>
    </xf>
    <xf numFmtId="0" fontId="43" fillId="10" borderId="0" xfId="0" applyFont="1" applyFill="1" applyBorder="1" applyAlignment="1">
      <alignment horizontal="center"/>
    </xf>
    <xf numFmtId="3" fontId="43" fillId="10" borderId="0" xfId="0" applyNumberFormat="1" applyFont="1" applyFill="1" applyBorder="1" applyAlignment="1">
      <alignment horizontal="center"/>
    </xf>
    <xf numFmtId="3" fontId="43" fillId="16" borderId="3" xfId="0" applyNumberFormat="1" applyFont="1" applyFill="1" applyBorder="1" applyAlignment="1">
      <alignment horizontal="center"/>
    </xf>
    <xf numFmtId="3" fontId="43" fillId="16" borderId="0" xfId="0" applyNumberFormat="1" applyFont="1" applyFill="1" applyBorder="1" applyAlignment="1">
      <alignment horizontal="center"/>
    </xf>
    <xf numFmtId="0" fontId="43" fillId="11" borderId="6" xfId="0" applyFont="1" applyFill="1" applyBorder="1" applyAlignment="1">
      <alignment horizontal="center"/>
    </xf>
    <xf numFmtId="0" fontId="43" fillId="11" borderId="1" xfId="0" applyFont="1" applyFill="1" applyBorder="1" applyAlignment="1">
      <alignment horizontal="center"/>
    </xf>
    <xf numFmtId="3" fontId="43" fillId="11" borderId="1" xfId="0" applyNumberFormat="1" applyFont="1" applyFill="1" applyBorder="1" applyAlignment="1">
      <alignment horizontal="center"/>
    </xf>
    <xf numFmtId="3" fontId="43" fillId="11" borderId="5" xfId="0" applyNumberFormat="1" applyFont="1" applyFill="1" applyBorder="1" applyAlignment="1">
      <alignment horizontal="center"/>
    </xf>
    <xf numFmtId="0" fontId="49" fillId="10" borderId="0" xfId="0" applyFont="1" applyFill="1" applyAlignment="1">
      <alignment horizontal="center"/>
    </xf>
    <xf numFmtId="3" fontId="2" fillId="10" borderId="3" xfId="0" applyNumberFormat="1" applyFont="1" applyFill="1" applyBorder="1" applyAlignment="1">
      <alignment horizontal="center"/>
    </xf>
    <xf numFmtId="0" fontId="2" fillId="11" borderId="4" xfId="0" applyFont="1" applyFill="1" applyBorder="1" applyAlignment="1">
      <alignment horizontal="center"/>
    </xf>
    <xf numFmtId="3" fontId="2" fillId="11" borderId="0" xfId="0" applyNumberFormat="1" applyFont="1" applyFill="1" applyBorder="1" applyAlignment="1">
      <alignment horizontal="center"/>
    </xf>
    <xf numFmtId="0" fontId="2" fillId="10" borderId="0" xfId="0" applyFont="1" applyFill="1" applyBorder="1" applyAlignment="1">
      <alignment horizontal="center"/>
    </xf>
    <xf numFmtId="3" fontId="2" fillId="10" borderId="0" xfId="0" applyNumberFormat="1" applyFont="1" applyFill="1" applyBorder="1" applyAlignment="1">
      <alignment horizontal="center"/>
    </xf>
    <xf numFmtId="0" fontId="2" fillId="11" borderId="6" xfId="0" applyFont="1" applyFill="1" applyBorder="1" applyAlignment="1">
      <alignment horizontal="center"/>
    </xf>
    <xf numFmtId="0" fontId="2" fillId="11" borderId="1" xfId="0" applyFont="1" applyFill="1" applyBorder="1" applyAlignment="1">
      <alignment horizontal="center"/>
    </xf>
    <xf numFmtId="3" fontId="2" fillId="11" borderId="1" xfId="0" applyNumberFormat="1" applyFont="1" applyFill="1" applyBorder="1" applyAlignment="1">
      <alignment horizontal="center"/>
    </xf>
    <xf numFmtId="1" fontId="2" fillId="10" borderId="0" xfId="0" applyNumberFormat="1" applyFont="1" applyFill="1" applyBorder="1" applyAlignment="1">
      <alignment horizontal="center"/>
    </xf>
    <xf numFmtId="0" fontId="2" fillId="10" borderId="0" xfId="0" applyFont="1" applyFill="1" applyAlignment="1">
      <alignment horizontal="center"/>
    </xf>
    <xf numFmtId="164" fontId="8" fillId="0" borderId="7" xfId="2" applyNumberFormat="1" applyFont="1" applyFill="1" applyBorder="1"/>
    <xf numFmtId="0" fontId="2" fillId="10" borderId="3" xfId="0" applyFont="1" applyFill="1" applyBorder="1" applyAlignment="1">
      <alignment horizontal="center"/>
    </xf>
    <xf numFmtId="166" fontId="8" fillId="0" borderId="0" xfId="0" applyNumberFormat="1" applyFont="1" applyFill="1" applyBorder="1"/>
    <xf numFmtId="3" fontId="2" fillId="10" borderId="5" xfId="0" applyNumberFormat="1" applyFont="1" applyFill="1" applyBorder="1" applyAlignment="1">
      <alignment horizontal="center"/>
    </xf>
    <xf numFmtId="0" fontId="0" fillId="10" borderId="5" xfId="0" applyFill="1" applyBorder="1" applyAlignment="1">
      <alignment horizontal="center"/>
    </xf>
    <xf numFmtId="0" fontId="2" fillId="16" borderId="0" xfId="0" applyFont="1" applyFill="1" applyBorder="1" applyAlignment="1">
      <alignment horizontal="center"/>
    </xf>
    <xf numFmtId="0" fontId="0" fillId="16" borderId="0" xfId="0" applyFill="1" applyBorder="1" applyAlignment="1">
      <alignment horizontal="center"/>
    </xf>
    <xf numFmtId="0" fontId="8" fillId="10" borderId="0" xfId="0" applyFont="1" applyFill="1" applyBorder="1" applyAlignment="1">
      <alignment horizontal="center"/>
    </xf>
    <xf numFmtId="0" fontId="43" fillId="10" borderId="4" xfId="0" applyFont="1" applyFill="1" applyBorder="1" applyAlignment="1">
      <alignment horizontal="center"/>
    </xf>
    <xf numFmtId="0" fontId="43" fillId="10" borderId="0" xfId="0" applyFont="1" applyFill="1" applyAlignment="1">
      <alignment horizontal="center"/>
    </xf>
    <xf numFmtId="0" fontId="43" fillId="10" borderId="3" xfId="0" applyFont="1" applyFill="1" applyBorder="1" applyAlignment="1">
      <alignment horizontal="center"/>
    </xf>
    <xf numFmtId="0" fontId="2" fillId="11" borderId="18" xfId="0" applyFont="1" applyFill="1" applyBorder="1" applyAlignment="1">
      <alignment horizontal="center"/>
    </xf>
    <xf numFmtId="0" fontId="2" fillId="11" borderId="3" xfId="0" applyFont="1" applyFill="1" applyBorder="1" applyAlignment="1">
      <alignment horizontal="center"/>
    </xf>
    <xf numFmtId="0" fontId="2" fillId="11" borderId="5" xfId="0" applyFont="1" applyFill="1" applyBorder="1" applyAlignment="1">
      <alignment horizontal="center"/>
    </xf>
    <xf numFmtId="0" fontId="2" fillId="10" borderId="4" xfId="0" applyFont="1" applyFill="1" applyBorder="1" applyAlignment="1">
      <alignment horizontal="center"/>
    </xf>
    <xf numFmtId="0" fontId="2" fillId="10" borderId="0" xfId="1" applyNumberFormat="1" applyFont="1" applyFill="1" applyBorder="1" applyAlignment="1">
      <alignment horizontal="center"/>
    </xf>
    <xf numFmtId="0" fontId="2" fillId="10" borderId="0" xfId="0" applyNumberFormat="1" applyFont="1" applyFill="1" applyBorder="1" applyAlignment="1">
      <alignment horizontal="center"/>
    </xf>
    <xf numFmtId="0" fontId="2" fillId="16" borderId="0" xfId="0" applyFont="1" applyFill="1" applyAlignment="1">
      <alignment horizontal="center"/>
    </xf>
    <xf numFmtId="0" fontId="0" fillId="10" borderId="1" xfId="0" applyFill="1" applyBorder="1" applyAlignment="1">
      <alignment horizontal="center"/>
    </xf>
    <xf numFmtId="164" fontId="8" fillId="0" borderId="4" xfId="2" applyNumberFormat="1" applyFont="1" applyFill="1" applyBorder="1"/>
    <xf numFmtId="3" fontId="2" fillId="10" borderId="4" xfId="0" applyNumberFormat="1" applyFont="1" applyFill="1" applyBorder="1" applyAlignment="1">
      <alignment horizontal="center"/>
    </xf>
    <xf numFmtId="0" fontId="50" fillId="0" borderId="0" xfId="0" applyFont="1" applyAlignment="1">
      <alignment horizontal="center"/>
    </xf>
    <xf numFmtId="10" fontId="50" fillId="0" borderId="4" xfId="2" applyNumberFormat="1" applyFont="1" applyFill="1" applyBorder="1"/>
    <xf numFmtId="3" fontId="2" fillId="11" borderId="3" xfId="0" applyNumberFormat="1" applyFont="1" applyFill="1" applyBorder="1" applyAlignment="1">
      <alignment horizontal="center"/>
    </xf>
    <xf numFmtId="1" fontId="8" fillId="17" borderId="0" xfId="0" applyNumberFormat="1" applyFont="1" applyFill="1" applyBorder="1"/>
    <xf numFmtId="1" fontId="8" fillId="17" borderId="3" xfId="0" applyNumberFormat="1" applyFont="1" applyFill="1" applyBorder="1"/>
    <xf numFmtId="0" fontId="8" fillId="0" borderId="0" xfId="0" applyFont="1" applyBorder="1" applyAlignment="1">
      <alignment horizontal="center"/>
    </xf>
    <xf numFmtId="0" fontId="0" fillId="0" borderId="0" xfId="0" applyBorder="1" applyAlignment="1">
      <alignment horizontal="center"/>
    </xf>
    <xf numFmtId="0" fontId="0" fillId="0" borderId="17" xfId="0" applyBorder="1" applyAlignment="1">
      <alignment horizontal="center"/>
    </xf>
    <xf numFmtId="0" fontId="0" fillId="0" borderId="28" xfId="0" applyBorder="1" applyAlignment="1">
      <alignment horizontal="center"/>
    </xf>
    <xf numFmtId="0" fontId="0" fillId="0" borderId="18" xfId="0" applyBorder="1" applyAlignment="1">
      <alignment horizontal="center"/>
    </xf>
    <xf numFmtId="0" fontId="5" fillId="0" borderId="17" xfId="0" applyFont="1" applyFill="1" applyBorder="1" applyAlignment="1">
      <alignment horizontal="center"/>
    </xf>
    <xf numFmtId="0" fontId="5" fillId="0" borderId="28" xfId="0" applyFont="1" applyFill="1" applyBorder="1" applyAlignment="1">
      <alignment horizontal="center"/>
    </xf>
    <xf numFmtId="0" fontId="5" fillId="0" borderId="18" xfId="0" applyFont="1" applyFill="1" applyBorder="1" applyAlignment="1">
      <alignment horizontal="center"/>
    </xf>
    <xf numFmtId="0" fontId="8" fillId="12" borderId="10" xfId="0" applyFont="1" applyFill="1" applyBorder="1" applyAlignment="1">
      <alignment horizontal="center"/>
    </xf>
    <xf numFmtId="0" fontId="8" fillId="12" borderId="11" xfId="0" applyFont="1" applyFill="1" applyBorder="1" applyAlignment="1">
      <alignment horizontal="center"/>
    </xf>
    <xf numFmtId="0" fontId="8" fillId="0" borderId="28" xfId="0" applyFont="1" applyFill="1" applyBorder="1" applyAlignment="1">
      <alignment horizontal="left"/>
    </xf>
    <xf numFmtId="0" fontId="41" fillId="0" borderId="12" xfId="0" applyFont="1" applyFill="1" applyBorder="1" applyAlignment="1">
      <alignment vertical="center" wrapText="1"/>
    </xf>
    <xf numFmtId="0" fontId="41" fillId="0" borderId="0" xfId="0" applyFont="1" applyFill="1" applyBorder="1" applyAlignment="1">
      <alignment vertical="center" wrapText="1"/>
    </xf>
    <xf numFmtId="0" fontId="8" fillId="0" borderId="17" xfId="0" applyFont="1" applyFill="1" applyBorder="1" applyAlignment="1">
      <alignment horizontal="center"/>
    </xf>
    <xf numFmtId="0" fontId="8" fillId="0" borderId="18" xfId="0" applyFont="1" applyFill="1" applyBorder="1" applyAlignment="1">
      <alignment horizontal="center"/>
    </xf>
    <xf numFmtId="0" fontId="8" fillId="0" borderId="3" xfId="0" applyFont="1" applyFill="1" applyBorder="1" applyAlignment="1">
      <alignment horizontal="center"/>
    </xf>
    <xf numFmtId="0" fontId="8" fillId="0" borderId="4" xfId="0" applyFont="1" applyFill="1" applyBorder="1" applyAlignment="1">
      <alignment horizontal="center"/>
    </xf>
    <xf numFmtId="167" fontId="5" fillId="0" borderId="12" xfId="0" applyNumberFormat="1" applyFont="1" applyBorder="1" applyAlignment="1">
      <alignment horizontal="center"/>
    </xf>
    <xf numFmtId="167" fontId="5" fillId="0" borderId="0" xfId="0" applyNumberFormat="1" applyFont="1" applyBorder="1" applyAlignment="1">
      <alignment horizontal="center"/>
    </xf>
    <xf numFmtId="167" fontId="5" fillId="0" borderId="13" xfId="0" applyNumberFormat="1" applyFont="1" applyBorder="1" applyAlignment="1">
      <alignment horizontal="center"/>
    </xf>
    <xf numFmtId="0" fontId="5" fillId="2" borderId="14" xfId="0" applyFont="1" applyFill="1" applyBorder="1" applyAlignment="1">
      <alignment horizontal="center"/>
    </xf>
    <xf numFmtId="0" fontId="5" fillId="2" borderId="15" xfId="0" applyFont="1" applyFill="1" applyBorder="1" applyAlignment="1">
      <alignment horizontal="center"/>
    </xf>
    <xf numFmtId="0" fontId="5" fillId="2" borderId="16" xfId="0" applyFont="1" applyFill="1" applyBorder="1" applyAlignment="1">
      <alignment horizontal="center"/>
    </xf>
    <xf numFmtId="0" fontId="30" fillId="0" borderId="40" xfId="0" applyFont="1" applyBorder="1" applyAlignment="1">
      <alignment horizontal="center"/>
    </xf>
    <xf numFmtId="0" fontId="30" fillId="0" borderId="41" xfId="0" applyFont="1" applyBorder="1" applyAlignment="1">
      <alignment horizontal="center"/>
    </xf>
    <xf numFmtId="0" fontId="30" fillId="0" borderId="42" xfId="0" applyFont="1" applyBorder="1" applyAlignment="1">
      <alignment horizontal="center"/>
    </xf>
    <xf numFmtId="0" fontId="5" fillId="0" borderId="10" xfId="0" applyFont="1" applyBorder="1" applyAlignment="1">
      <alignment horizontal="center"/>
    </xf>
    <xf numFmtId="0" fontId="5" fillId="0" borderId="9" xfId="0" applyFont="1" applyBorder="1" applyAlignment="1">
      <alignment horizontal="center"/>
    </xf>
    <xf numFmtId="0" fontId="5" fillId="0" borderId="11" xfId="0" applyFont="1" applyBorder="1" applyAlignment="1">
      <alignment horizontal="center"/>
    </xf>
    <xf numFmtId="167" fontId="5" fillId="2" borderId="12" xfId="0" applyNumberFormat="1" applyFont="1" applyFill="1" applyBorder="1" applyAlignment="1">
      <alignment horizontal="center"/>
    </xf>
    <xf numFmtId="167" fontId="5" fillId="2" borderId="0" xfId="0" applyNumberFormat="1" applyFont="1" applyFill="1" applyBorder="1" applyAlignment="1">
      <alignment horizontal="center"/>
    </xf>
    <xf numFmtId="167" fontId="5" fillId="2" borderId="13" xfId="0" applyNumberFormat="1" applyFont="1" applyFill="1" applyBorder="1" applyAlignment="1">
      <alignment horizontal="center"/>
    </xf>
    <xf numFmtId="0" fontId="5" fillId="0" borderId="0" xfId="0" applyFont="1" applyAlignment="1">
      <alignment horizontal="center"/>
    </xf>
    <xf numFmtId="0" fontId="0" fillId="0" borderId="3" xfId="0" applyBorder="1" applyAlignment="1">
      <alignment horizontal="center"/>
    </xf>
    <xf numFmtId="0" fontId="0" fillId="0" borderId="4" xfId="0" applyBorder="1" applyAlignment="1">
      <alignment horizontal="center"/>
    </xf>
    <xf numFmtId="0" fontId="10" fillId="0" borderId="0" xfId="0" applyFont="1" applyBorder="1" applyAlignment="1">
      <alignment horizontal="center"/>
    </xf>
    <xf numFmtId="0" fontId="5" fillId="0" borderId="8" xfId="0" applyFont="1" applyBorder="1" applyAlignment="1">
      <alignment horizontal="center"/>
    </xf>
    <xf numFmtId="0" fontId="5" fillId="0" borderId="2" xfId="0" applyFont="1" applyBorder="1" applyAlignment="1">
      <alignment horizontal="center"/>
    </xf>
    <xf numFmtId="0" fontId="5" fillId="0" borderId="7" xfId="0" applyFont="1" applyBorder="1" applyAlignment="1">
      <alignment horizontal="center"/>
    </xf>
    <xf numFmtId="2" fontId="5" fillId="0" borderId="8" xfId="0" applyNumberFormat="1" applyFont="1" applyFill="1" applyBorder="1" applyAlignment="1">
      <alignment horizontal="center"/>
    </xf>
    <xf numFmtId="2" fontId="5" fillId="0" borderId="2" xfId="0" applyNumberFormat="1" applyFont="1" applyFill="1" applyBorder="1" applyAlignment="1">
      <alignment horizontal="center"/>
    </xf>
    <xf numFmtId="2" fontId="5" fillId="0" borderId="7" xfId="0" applyNumberFormat="1" applyFont="1" applyFill="1" applyBorder="1" applyAlignment="1">
      <alignment horizontal="center"/>
    </xf>
    <xf numFmtId="0" fontId="35" fillId="0" borderId="28" xfId="0" applyFont="1" applyBorder="1" applyAlignment="1">
      <alignment horizontal="left"/>
    </xf>
    <xf numFmtId="0" fontId="31" fillId="0" borderId="40" xfId="0" applyFont="1" applyBorder="1" applyAlignment="1">
      <alignment horizontal="center"/>
    </xf>
    <xf numFmtId="0" fontId="31" fillId="0" borderId="41" xfId="0" applyFont="1" applyBorder="1" applyAlignment="1">
      <alignment horizontal="center"/>
    </xf>
    <xf numFmtId="0" fontId="31" fillId="0" borderId="42" xfId="0" applyFont="1" applyBorder="1" applyAlignment="1">
      <alignment horizontal="center"/>
    </xf>
    <xf numFmtId="0" fontId="5" fillId="0" borderId="8" xfId="0" applyFont="1" applyFill="1" applyBorder="1" applyAlignment="1">
      <alignment horizontal="center"/>
    </xf>
    <xf numFmtId="0" fontId="5" fillId="0" borderId="2" xfId="0" applyFont="1" applyFill="1" applyBorder="1" applyAlignment="1">
      <alignment horizontal="center"/>
    </xf>
    <xf numFmtId="0" fontId="5" fillId="0" borderId="7" xfId="0" applyFont="1" applyFill="1" applyBorder="1" applyAlignment="1">
      <alignment horizontal="center"/>
    </xf>
    <xf numFmtId="0" fontId="5" fillId="0" borderId="17" xfId="0" applyFont="1" applyBorder="1" applyAlignment="1">
      <alignment horizontal="center"/>
    </xf>
    <xf numFmtId="0" fontId="5" fillId="0" borderId="28" xfId="0" applyFont="1" applyBorder="1" applyAlignment="1">
      <alignment horizontal="center"/>
    </xf>
    <xf numFmtId="0" fontId="5" fillId="0" borderId="18" xfId="0" applyFont="1" applyBorder="1" applyAlignment="1">
      <alignment horizontal="center"/>
    </xf>
    <xf numFmtId="0" fontId="8" fillId="0" borderId="28" xfId="0" applyFont="1" applyBorder="1" applyAlignment="1">
      <alignment horizontal="left"/>
    </xf>
    <xf numFmtId="0" fontId="8" fillId="0" borderId="3" xfId="0" applyFont="1" applyBorder="1" applyAlignment="1">
      <alignment horizontal="center"/>
    </xf>
    <xf numFmtId="0" fontId="8" fillId="0" borderId="4" xfId="0" applyFont="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center"/>
    </xf>
  </cellXfs>
  <cellStyles count="38">
    <cellStyle name="Comma" xfId="1" builtinId="3"/>
    <cellStyle name="Comma 2" xfId="18" xr:uid="{00000000-0005-0000-0000-000001000000}"/>
    <cellStyle name="Comma 2 2" xfId="26" xr:uid="{00000000-0005-0000-0000-000002000000}"/>
    <cellStyle name="Comma 2 2 2" xfId="32" xr:uid="{00000000-0005-0000-0000-000003000000}"/>
    <cellStyle name="Comma 2 2 3" xfId="34" xr:uid="{00000000-0005-0000-0000-000004000000}"/>
    <cellStyle name="Comma 2 2 4" xfId="37" xr:uid="{00000000-0005-0000-0000-000005000000}"/>
    <cellStyle name="Comma 3" xfId="27" xr:uid="{00000000-0005-0000-0000-000006000000}"/>
    <cellStyle name="Comma 4" xfId="29" xr:uid="{00000000-0005-0000-0000-000007000000}"/>
    <cellStyle name="Comma0" xfId="7" xr:uid="{00000000-0005-0000-0000-000008000000}"/>
    <cellStyle name="Currency 2" xfId="8" xr:uid="{00000000-0005-0000-0000-000009000000}"/>
    <cellStyle name="Currency0" xfId="9" xr:uid="{00000000-0005-0000-0000-00000A000000}"/>
    <cellStyle name="Date" xfId="10" xr:uid="{00000000-0005-0000-0000-00000B000000}"/>
    <cellStyle name="Fixed" xfId="11" xr:uid="{00000000-0005-0000-0000-00000C000000}"/>
    <cellStyle name="Heading 1 2" xfId="12" xr:uid="{00000000-0005-0000-0000-00000D000000}"/>
    <cellStyle name="Heading 2 2" xfId="13" xr:uid="{00000000-0005-0000-0000-00000E000000}"/>
    <cellStyle name="Normal" xfId="0" builtinId="0"/>
    <cellStyle name="Normal 11" xfId="35" xr:uid="{00000000-0005-0000-0000-000010000000}"/>
    <cellStyle name="Normal 2" xfId="4" xr:uid="{00000000-0005-0000-0000-000011000000}"/>
    <cellStyle name="Normal 2 2" xfId="5" xr:uid="{00000000-0005-0000-0000-000012000000}"/>
    <cellStyle name="Normal 2 2 2" xfId="6" xr:uid="{00000000-0005-0000-0000-000013000000}"/>
    <cellStyle name="Normal 2 2 2 2" xfId="22" xr:uid="{00000000-0005-0000-0000-000014000000}"/>
    <cellStyle name="Normal 2 3" xfId="14" xr:uid="{00000000-0005-0000-0000-000015000000}"/>
    <cellStyle name="Normal 3" xfId="16" xr:uid="{00000000-0005-0000-0000-000016000000}"/>
    <cellStyle name="Normal 3 2" xfId="21" xr:uid="{00000000-0005-0000-0000-000017000000}"/>
    <cellStyle name="Normal 3 3" xfId="23" xr:uid="{00000000-0005-0000-0000-000018000000}"/>
    <cellStyle name="Normal 3 4" xfId="25" xr:uid="{00000000-0005-0000-0000-000019000000}"/>
    <cellStyle name="Normal 3 4 2" xfId="31" xr:uid="{00000000-0005-0000-0000-00001A000000}"/>
    <cellStyle name="Normal 3 4 3" xfId="33" xr:uid="{00000000-0005-0000-0000-00001B000000}"/>
    <cellStyle name="Normal 3 4 4" xfId="36" xr:uid="{00000000-0005-0000-0000-00001C000000}"/>
    <cellStyle name="Normal 4" xfId="17" xr:uid="{00000000-0005-0000-0000-00001D000000}"/>
    <cellStyle name="Normal 5" xfId="24" xr:uid="{00000000-0005-0000-0000-00001E000000}"/>
    <cellStyle name="Normal 6" xfId="3" xr:uid="{00000000-0005-0000-0000-00001F000000}"/>
    <cellStyle name="Normal 8" xfId="20" xr:uid="{00000000-0005-0000-0000-000020000000}"/>
    <cellStyle name="Percent" xfId="2" builtinId="5"/>
    <cellStyle name="Percent 2" xfId="19" xr:uid="{00000000-0005-0000-0000-000022000000}"/>
    <cellStyle name="Percent 3" xfId="28" xr:uid="{00000000-0005-0000-0000-000023000000}"/>
    <cellStyle name="Percent 4" xfId="30" xr:uid="{00000000-0005-0000-0000-000024000000}"/>
    <cellStyle name="Total 2" xfId="15" xr:uid="{00000000-0005-0000-0000-000025000000}"/>
  </cellStyles>
  <dxfs count="200">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
      <border>
        <left style="thin">
          <color rgb="FFFF0000"/>
        </left>
        <right style="thin">
          <color rgb="FFFF0000"/>
        </right>
        <top style="thin">
          <color rgb="FFFF0000"/>
        </top>
        <bottom style="thin">
          <color rgb="FFFF0000"/>
        </bottom>
      </border>
    </dxf>
    <dxf>
      <font>
        <b/>
        <i val="0"/>
        <color theme="5" tint="-0.24994659260841701"/>
      </font>
      <fill>
        <patternFill patternType="none">
          <bgColor indexed="65"/>
        </patternFill>
      </fill>
    </dxf>
    <dxf>
      <font>
        <b/>
        <i/>
        <color rgb="FFFF0000"/>
      </font>
    </dxf>
    <dxf>
      <font>
        <b val="0"/>
        <i val="0"/>
        <color auto="1"/>
      </font>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3B0D-4C4D-8F85-C287FD187C42}"/>
            </c:ext>
          </c:extLst>
        </c:ser>
        <c:ser>
          <c:idx val="1"/>
          <c:order val="1"/>
          <c:tx>
            <c:strRef>
              <c:f>'2006 Sampling'!$AN$18</c:f>
              <c:strCache>
                <c:ptCount val="1"/>
              </c:strCache>
            </c:strRef>
          </c:tx>
          <c:spPr>
            <a:solidFill>
              <a:srgbClr val="FF00FF"/>
            </a:solidFill>
            <a:ln w="12700">
              <a:solidFill>
                <a:srgbClr val="FF00FF"/>
              </a:solidFill>
              <a:prstDash val="solid"/>
            </a:ln>
          </c:spPr>
          <c:invertIfNegative val="0"/>
          <c:cat>
            <c:numRef>
              <c:f>'2006 Sampling'!$AO$10:$BB$10</c:f>
              <c:numCache>
                <c:formatCode>General</c:formatCode>
                <c:ptCount val="14"/>
              </c:numCache>
            </c:numRef>
          </c:cat>
          <c:val>
            <c:numRef>
              <c:f>'2006 Sampling'!$AO$18:$BB$18</c:f>
              <c:numCache>
                <c:formatCode>General</c:formatCode>
                <c:ptCount val="14"/>
              </c:numCache>
            </c:numRef>
          </c:val>
          <c:extLst>
            <c:ext xmlns:c16="http://schemas.microsoft.com/office/drawing/2014/chart" uri="{C3380CC4-5D6E-409C-BE32-E72D297353CC}">
              <c16:uniqueId val="{00000001-3B0D-4C4D-8F85-C287FD187C42}"/>
            </c:ext>
          </c:extLst>
        </c:ser>
        <c:ser>
          <c:idx val="2"/>
          <c:order val="2"/>
          <c:tx>
            <c:strRef>
              <c:f>'2006 Sampling'!$AN$19</c:f>
              <c:strCache>
                <c:ptCount val="1"/>
              </c:strCache>
            </c:strRef>
          </c:tx>
          <c:spPr>
            <a:solidFill>
              <a:srgbClr val="008000"/>
            </a:solidFill>
            <a:ln w="12700">
              <a:solidFill>
                <a:srgbClr val="008000"/>
              </a:solidFill>
              <a:prstDash val="solid"/>
            </a:ln>
          </c:spPr>
          <c:invertIfNegative val="0"/>
          <c:cat>
            <c:numRef>
              <c:f>'2006 Sampling'!$AO$10:$BB$10</c:f>
              <c:numCache>
                <c:formatCode>General</c:formatCode>
                <c:ptCount val="14"/>
              </c:numCache>
            </c:numRef>
          </c:cat>
          <c:val>
            <c:numRef>
              <c:f>'2006 Sampling'!$AO$19:$BB$19</c:f>
              <c:numCache>
                <c:formatCode>General</c:formatCode>
                <c:ptCount val="14"/>
              </c:numCache>
            </c:numRef>
          </c:val>
          <c:extLst>
            <c:ext xmlns:c16="http://schemas.microsoft.com/office/drawing/2014/chart" uri="{C3380CC4-5D6E-409C-BE32-E72D297353CC}">
              <c16:uniqueId val="{00000002-3B0D-4C4D-8F85-C287FD187C42}"/>
            </c:ext>
          </c:extLst>
        </c:ser>
        <c:ser>
          <c:idx val="3"/>
          <c:order val="3"/>
          <c:tx>
            <c:strRef>
              <c:f>'2006 Sampling'!$AN$20</c:f>
              <c:strCache>
                <c:ptCount val="1"/>
              </c:strCache>
            </c:strRef>
          </c:tx>
          <c:spPr>
            <a:solidFill>
              <a:srgbClr val="000080"/>
            </a:solidFill>
            <a:ln w="12700">
              <a:solidFill>
                <a:srgbClr val="000080"/>
              </a:solidFill>
              <a:prstDash val="solid"/>
            </a:ln>
          </c:spPr>
          <c:invertIfNegative val="0"/>
          <c:cat>
            <c:numRef>
              <c:f>'2006 Sampling'!$AO$10:$BB$10</c:f>
              <c:numCache>
                <c:formatCode>General</c:formatCode>
                <c:ptCount val="14"/>
              </c:numCache>
            </c:numRef>
          </c:cat>
          <c:val>
            <c:numRef>
              <c:f>'2006 Sampling'!$AO$20:$BB$20</c:f>
              <c:numCache>
                <c:formatCode>General</c:formatCode>
                <c:ptCount val="14"/>
              </c:numCache>
            </c:numRef>
          </c:val>
          <c:extLst>
            <c:ext xmlns:c16="http://schemas.microsoft.com/office/drawing/2014/chart" uri="{C3380CC4-5D6E-409C-BE32-E72D297353CC}">
              <c16:uniqueId val="{00000003-3B0D-4C4D-8F85-C287FD187C42}"/>
            </c:ext>
          </c:extLst>
        </c:ser>
        <c:ser>
          <c:idx val="4"/>
          <c:order val="4"/>
          <c:tx>
            <c:strRef>
              <c:f>'2006 Sampling'!$AN$21</c:f>
              <c:strCache>
                <c:ptCount val="1"/>
              </c:strCache>
            </c:strRef>
          </c:tx>
          <c:spPr>
            <a:solidFill>
              <a:srgbClr val="FF0000"/>
            </a:solidFill>
            <a:ln w="12700">
              <a:solidFill>
                <a:srgbClr val="FF0000"/>
              </a:solidFill>
              <a:prstDash val="solid"/>
            </a:ln>
          </c:spPr>
          <c:invertIfNegative val="0"/>
          <c:cat>
            <c:numRef>
              <c:f>'2006 Sampling'!$AO$10:$BB$10</c:f>
              <c:numCache>
                <c:formatCode>General</c:formatCode>
                <c:ptCount val="14"/>
              </c:numCache>
            </c:numRef>
          </c:cat>
          <c:val>
            <c:numRef>
              <c:f>'2006 Sampling'!$AO$21:$BB$21</c:f>
              <c:numCache>
                <c:formatCode>General</c:formatCode>
                <c:ptCount val="14"/>
              </c:numCache>
            </c:numRef>
          </c:val>
          <c:extLst>
            <c:ext xmlns:c16="http://schemas.microsoft.com/office/drawing/2014/chart" uri="{C3380CC4-5D6E-409C-BE32-E72D297353CC}">
              <c16:uniqueId val="{00000004-3B0D-4C4D-8F85-C287FD187C42}"/>
            </c:ext>
          </c:extLst>
        </c:ser>
        <c:dLbls>
          <c:showLegendKey val="0"/>
          <c:showVal val="0"/>
          <c:showCatName val="0"/>
          <c:showSerName val="0"/>
          <c:showPercent val="0"/>
          <c:showBubbleSize val="0"/>
        </c:dLbls>
        <c:gapWidth val="150"/>
        <c:axId val="344733352"/>
        <c:axId val="344735312"/>
      </c:barChart>
      <c:catAx>
        <c:axId val="344733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344735312"/>
        <c:crosses val="autoZero"/>
        <c:auto val="1"/>
        <c:lblAlgn val="ctr"/>
        <c:lblOffset val="100"/>
        <c:tickLblSkip val="4"/>
        <c:tickMarkSkip val="1"/>
        <c:noMultiLvlLbl val="0"/>
      </c:catAx>
      <c:valAx>
        <c:axId val="34473531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34473335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 b="0" i="0" u="none" strike="noStrike" baseline="0">
              <a:solidFill>
                <a:srgbClr val="000000"/>
              </a:solidFill>
              <a:latin typeface="Arial"/>
              <a:ea typeface="Arial"/>
              <a:cs typeface="Arial"/>
            </a:defRPr>
          </a:pPr>
          <a:endParaRPr lang="en-US"/>
        </a:p>
      </c:txPr>
    </c:title>
    <c:autoTitleDeleted val="0"/>
    <c:plotArea>
      <c:layout/>
      <c:barChart>
        <c:barDir val="col"/>
        <c:grouping val="clustered"/>
        <c:varyColors val="0"/>
        <c:ser>
          <c:idx val="0"/>
          <c:order val="0"/>
          <c:tx>
            <c:strRef>
              <c:f>'2006 Sampling'!$BR$27</c:f>
              <c:strCache>
                <c:ptCount val="1"/>
              </c:strCache>
            </c:strRef>
          </c:tx>
          <c:spPr>
            <a:solidFill>
              <a:srgbClr val="0000FF"/>
            </a:solidFill>
            <a:ln w="12700">
              <a:solidFill>
                <a:srgbClr val="0000FF"/>
              </a:solidFill>
              <a:prstDash val="solid"/>
            </a:ln>
          </c:spPr>
          <c:invertIfNegative val="0"/>
          <c:cat>
            <c:numRef>
              <c:f>'2006 Sampling'!$BC$29:$BC$35</c:f>
              <c:numCache>
                <c:formatCode>General</c:formatCode>
                <c:ptCount val="7"/>
              </c:numCache>
            </c:numRef>
          </c:cat>
          <c:val>
            <c:numRef>
              <c:f>'2006 Sampling'!$BR$29:$BR$35</c:f>
              <c:numCache>
                <c:formatCode>General</c:formatCode>
                <c:ptCount val="7"/>
              </c:numCache>
            </c:numRef>
          </c:val>
          <c:extLst>
            <c:ext xmlns:c16="http://schemas.microsoft.com/office/drawing/2014/chart" uri="{C3380CC4-5D6E-409C-BE32-E72D297353CC}">
              <c16:uniqueId val="{00000000-2D64-4FDE-88CC-D66B9DDC893A}"/>
            </c:ext>
          </c:extLst>
        </c:ser>
        <c:dLbls>
          <c:showLegendKey val="0"/>
          <c:showVal val="0"/>
          <c:showCatName val="0"/>
          <c:showSerName val="0"/>
          <c:showPercent val="0"/>
          <c:showBubbleSize val="0"/>
        </c:dLbls>
        <c:gapWidth val="150"/>
        <c:axId val="494064808"/>
        <c:axId val="494063240"/>
      </c:barChart>
      <c:catAx>
        <c:axId val="494064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4063240"/>
        <c:crosses val="autoZero"/>
        <c:auto val="1"/>
        <c:lblAlgn val="ctr"/>
        <c:lblOffset val="100"/>
        <c:tickLblSkip val="1"/>
        <c:tickMarkSkip val="1"/>
        <c:noMultiLvlLbl val="0"/>
      </c:catAx>
      <c:valAx>
        <c:axId val="49406324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4064808"/>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66A0-44F5-A0DB-E8EF5C00279F}"/>
            </c:ext>
          </c:extLst>
        </c:ser>
        <c:ser>
          <c:idx val="1"/>
          <c:order val="1"/>
          <c:tx>
            <c:strRef>
              <c:f>'2006 Sampling'!$AN$18</c:f>
              <c:strCache>
                <c:ptCount val="1"/>
              </c:strCache>
            </c:strRef>
          </c:tx>
          <c:spPr>
            <a:solidFill>
              <a:srgbClr val="FF00FF"/>
            </a:solidFill>
            <a:ln w="12700">
              <a:solidFill>
                <a:srgbClr val="FF00FF"/>
              </a:solidFill>
              <a:prstDash val="solid"/>
            </a:ln>
          </c:spPr>
          <c:invertIfNegative val="0"/>
          <c:cat>
            <c:numRef>
              <c:f>'2006 Sampling'!$AO$10:$BB$10</c:f>
              <c:numCache>
                <c:formatCode>General</c:formatCode>
                <c:ptCount val="14"/>
              </c:numCache>
            </c:numRef>
          </c:cat>
          <c:val>
            <c:numRef>
              <c:f>'2006 Sampling'!$AO$18:$BB$18</c:f>
              <c:numCache>
                <c:formatCode>General</c:formatCode>
                <c:ptCount val="14"/>
              </c:numCache>
            </c:numRef>
          </c:val>
          <c:extLst>
            <c:ext xmlns:c16="http://schemas.microsoft.com/office/drawing/2014/chart" uri="{C3380CC4-5D6E-409C-BE32-E72D297353CC}">
              <c16:uniqueId val="{00000001-66A0-44F5-A0DB-E8EF5C00279F}"/>
            </c:ext>
          </c:extLst>
        </c:ser>
        <c:ser>
          <c:idx val="2"/>
          <c:order val="2"/>
          <c:tx>
            <c:strRef>
              <c:f>'2006 Sampling'!$AN$19</c:f>
              <c:strCache>
                <c:ptCount val="1"/>
              </c:strCache>
            </c:strRef>
          </c:tx>
          <c:spPr>
            <a:solidFill>
              <a:srgbClr val="008000"/>
            </a:solidFill>
            <a:ln w="12700">
              <a:solidFill>
                <a:srgbClr val="008000"/>
              </a:solidFill>
              <a:prstDash val="solid"/>
            </a:ln>
          </c:spPr>
          <c:invertIfNegative val="0"/>
          <c:cat>
            <c:numRef>
              <c:f>'2006 Sampling'!$AO$10:$BB$10</c:f>
              <c:numCache>
                <c:formatCode>General</c:formatCode>
                <c:ptCount val="14"/>
              </c:numCache>
            </c:numRef>
          </c:cat>
          <c:val>
            <c:numRef>
              <c:f>'2006 Sampling'!$AO$19:$BB$19</c:f>
              <c:numCache>
                <c:formatCode>General</c:formatCode>
                <c:ptCount val="14"/>
              </c:numCache>
            </c:numRef>
          </c:val>
          <c:extLst>
            <c:ext xmlns:c16="http://schemas.microsoft.com/office/drawing/2014/chart" uri="{C3380CC4-5D6E-409C-BE32-E72D297353CC}">
              <c16:uniqueId val="{00000002-66A0-44F5-A0DB-E8EF5C00279F}"/>
            </c:ext>
          </c:extLst>
        </c:ser>
        <c:ser>
          <c:idx val="3"/>
          <c:order val="3"/>
          <c:tx>
            <c:strRef>
              <c:f>'2006 Sampling'!$AN$20</c:f>
              <c:strCache>
                <c:ptCount val="1"/>
              </c:strCache>
            </c:strRef>
          </c:tx>
          <c:spPr>
            <a:solidFill>
              <a:srgbClr val="000080"/>
            </a:solidFill>
            <a:ln w="12700">
              <a:solidFill>
                <a:srgbClr val="000080"/>
              </a:solidFill>
              <a:prstDash val="solid"/>
            </a:ln>
          </c:spPr>
          <c:invertIfNegative val="0"/>
          <c:cat>
            <c:numRef>
              <c:f>'2006 Sampling'!$AO$10:$BB$10</c:f>
              <c:numCache>
                <c:formatCode>General</c:formatCode>
                <c:ptCount val="14"/>
              </c:numCache>
            </c:numRef>
          </c:cat>
          <c:val>
            <c:numRef>
              <c:f>'2006 Sampling'!$AO$20:$BB$20</c:f>
              <c:numCache>
                <c:formatCode>General</c:formatCode>
                <c:ptCount val="14"/>
              </c:numCache>
            </c:numRef>
          </c:val>
          <c:extLst>
            <c:ext xmlns:c16="http://schemas.microsoft.com/office/drawing/2014/chart" uri="{C3380CC4-5D6E-409C-BE32-E72D297353CC}">
              <c16:uniqueId val="{00000003-66A0-44F5-A0DB-E8EF5C00279F}"/>
            </c:ext>
          </c:extLst>
        </c:ser>
        <c:ser>
          <c:idx val="4"/>
          <c:order val="4"/>
          <c:tx>
            <c:strRef>
              <c:f>'2006 Sampling'!$AN$21</c:f>
              <c:strCache>
                <c:ptCount val="1"/>
              </c:strCache>
            </c:strRef>
          </c:tx>
          <c:spPr>
            <a:solidFill>
              <a:srgbClr val="FF0000"/>
            </a:solidFill>
            <a:ln w="12700">
              <a:solidFill>
                <a:srgbClr val="FF0000"/>
              </a:solidFill>
              <a:prstDash val="solid"/>
            </a:ln>
          </c:spPr>
          <c:invertIfNegative val="0"/>
          <c:cat>
            <c:numRef>
              <c:f>'2006 Sampling'!$AO$10:$BB$10</c:f>
              <c:numCache>
                <c:formatCode>General</c:formatCode>
                <c:ptCount val="14"/>
              </c:numCache>
            </c:numRef>
          </c:cat>
          <c:val>
            <c:numRef>
              <c:f>'2006 Sampling'!$AO$21:$BB$21</c:f>
              <c:numCache>
                <c:formatCode>General</c:formatCode>
                <c:ptCount val="14"/>
              </c:numCache>
            </c:numRef>
          </c:val>
          <c:extLst>
            <c:ext xmlns:c16="http://schemas.microsoft.com/office/drawing/2014/chart" uri="{C3380CC4-5D6E-409C-BE32-E72D297353CC}">
              <c16:uniqueId val="{00000004-66A0-44F5-A0DB-E8EF5C00279F}"/>
            </c:ext>
          </c:extLst>
        </c:ser>
        <c:dLbls>
          <c:showLegendKey val="0"/>
          <c:showVal val="0"/>
          <c:showCatName val="0"/>
          <c:showSerName val="0"/>
          <c:showPercent val="0"/>
          <c:showBubbleSize val="0"/>
        </c:dLbls>
        <c:gapWidth val="150"/>
        <c:axId val="506016840"/>
        <c:axId val="506018408"/>
      </c:barChart>
      <c:catAx>
        <c:axId val="506016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506018408"/>
        <c:crosses val="autoZero"/>
        <c:auto val="1"/>
        <c:lblAlgn val="ctr"/>
        <c:lblOffset val="100"/>
        <c:tickLblSkip val="4"/>
        <c:tickMarkSkip val="1"/>
        <c:noMultiLvlLbl val="0"/>
      </c:catAx>
      <c:valAx>
        <c:axId val="506018408"/>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06016840"/>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E86A-488E-9813-56BEA5992136}"/>
            </c:ext>
          </c:extLst>
        </c:ser>
        <c:ser>
          <c:idx val="1"/>
          <c:order val="1"/>
          <c:tx>
            <c:strRef>
              <c:f>'2006 Sampling'!$AN$18</c:f>
              <c:strCache>
                <c:ptCount val="1"/>
              </c:strCache>
            </c:strRef>
          </c:tx>
          <c:spPr>
            <a:solidFill>
              <a:srgbClr val="FF00FF"/>
            </a:solidFill>
            <a:ln w="12700">
              <a:solidFill>
                <a:srgbClr val="FF00FF"/>
              </a:solidFill>
              <a:prstDash val="solid"/>
            </a:ln>
          </c:spPr>
          <c:invertIfNegative val="0"/>
          <c:val>
            <c:numRef>
              <c:f>'2006 Sampling'!$AO$18:$BB$18</c:f>
              <c:numCache>
                <c:formatCode>General</c:formatCode>
                <c:ptCount val="14"/>
              </c:numCache>
            </c:numRef>
          </c:val>
          <c:extLst>
            <c:ext xmlns:c16="http://schemas.microsoft.com/office/drawing/2014/chart" uri="{C3380CC4-5D6E-409C-BE32-E72D297353CC}">
              <c16:uniqueId val="{00000001-E86A-488E-9813-56BEA5992136}"/>
            </c:ext>
          </c:extLst>
        </c:ser>
        <c:ser>
          <c:idx val="2"/>
          <c:order val="2"/>
          <c:tx>
            <c:strRef>
              <c:f>'2006 Sampling'!$AN$19</c:f>
              <c:strCache>
                <c:ptCount val="1"/>
              </c:strCache>
            </c:strRef>
          </c:tx>
          <c:spPr>
            <a:solidFill>
              <a:srgbClr val="008000"/>
            </a:solidFill>
            <a:ln w="12700">
              <a:solidFill>
                <a:srgbClr val="008000"/>
              </a:solidFill>
              <a:prstDash val="solid"/>
            </a:ln>
          </c:spPr>
          <c:invertIfNegative val="0"/>
          <c:val>
            <c:numRef>
              <c:f>'2006 Sampling'!$AO$19:$BB$19</c:f>
              <c:numCache>
                <c:formatCode>General</c:formatCode>
                <c:ptCount val="14"/>
              </c:numCache>
            </c:numRef>
          </c:val>
          <c:extLst>
            <c:ext xmlns:c16="http://schemas.microsoft.com/office/drawing/2014/chart" uri="{C3380CC4-5D6E-409C-BE32-E72D297353CC}">
              <c16:uniqueId val="{00000002-E86A-488E-9813-56BEA5992136}"/>
            </c:ext>
          </c:extLst>
        </c:ser>
        <c:dLbls>
          <c:showLegendKey val="0"/>
          <c:showVal val="0"/>
          <c:showCatName val="0"/>
          <c:showSerName val="0"/>
          <c:showPercent val="0"/>
          <c:showBubbleSize val="0"/>
        </c:dLbls>
        <c:gapWidth val="150"/>
        <c:axId val="506016056"/>
        <c:axId val="506016448"/>
      </c:barChart>
      <c:catAx>
        <c:axId val="5060160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506016448"/>
        <c:crosses val="autoZero"/>
        <c:auto val="1"/>
        <c:lblAlgn val="ctr"/>
        <c:lblOffset val="100"/>
        <c:tickLblSkip val="2"/>
        <c:tickMarkSkip val="1"/>
        <c:noMultiLvlLbl val="0"/>
      </c:catAx>
      <c:valAx>
        <c:axId val="506016448"/>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06016056"/>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0-56C9-43E1-A9B5-25CA442D9E6D}"/>
            </c:ext>
          </c:extLst>
        </c:ser>
        <c:ser>
          <c:idx val="1"/>
          <c:order val="1"/>
          <c:tx>
            <c:strRef>
              <c:f>'2006 Sampling'!$BC$31</c:f>
              <c:strCache>
                <c:ptCount val="1"/>
              </c:strCache>
            </c:strRef>
          </c:tx>
          <c:spPr>
            <a:solidFill>
              <a:srgbClr val="FF00FF"/>
            </a:solidFill>
            <a:ln w="12700">
              <a:solidFill>
                <a:srgbClr val="FF00FF"/>
              </a:solidFill>
              <a:prstDash val="solid"/>
            </a:ln>
          </c:spPr>
          <c:invertIfNegative val="0"/>
          <c:val>
            <c:numRef>
              <c:f>'2006 Sampling'!$BD$31:$BQ$31</c:f>
              <c:numCache>
                <c:formatCode>General</c:formatCode>
                <c:ptCount val="14"/>
              </c:numCache>
            </c:numRef>
          </c:val>
          <c:extLst>
            <c:ext xmlns:c16="http://schemas.microsoft.com/office/drawing/2014/chart" uri="{C3380CC4-5D6E-409C-BE32-E72D297353CC}">
              <c16:uniqueId val="{00000001-56C9-43E1-A9B5-25CA442D9E6D}"/>
            </c:ext>
          </c:extLst>
        </c:ser>
        <c:ser>
          <c:idx val="2"/>
          <c:order val="2"/>
          <c:tx>
            <c:strRef>
              <c:f>'2006 Sampling'!$BC$32</c:f>
              <c:strCache>
                <c:ptCount val="1"/>
              </c:strCache>
            </c:strRef>
          </c:tx>
          <c:spPr>
            <a:solidFill>
              <a:srgbClr val="008000"/>
            </a:solidFill>
            <a:ln w="12700">
              <a:solidFill>
                <a:srgbClr val="008000"/>
              </a:solidFill>
              <a:prstDash val="solid"/>
            </a:ln>
          </c:spPr>
          <c:invertIfNegative val="0"/>
          <c:val>
            <c:numRef>
              <c:f>'2006 Sampling'!$BD$32:$BQ$32</c:f>
              <c:numCache>
                <c:formatCode>General</c:formatCode>
                <c:ptCount val="14"/>
              </c:numCache>
            </c:numRef>
          </c:val>
          <c:extLst>
            <c:ext xmlns:c16="http://schemas.microsoft.com/office/drawing/2014/chart" uri="{C3380CC4-5D6E-409C-BE32-E72D297353CC}">
              <c16:uniqueId val="{00000002-56C9-43E1-A9B5-25CA442D9E6D}"/>
            </c:ext>
          </c:extLst>
        </c:ser>
        <c:ser>
          <c:idx val="3"/>
          <c:order val="3"/>
          <c:tx>
            <c:strRef>
              <c:f>'2006 Sampling'!$BC$34</c:f>
              <c:strCache>
                <c:ptCount val="1"/>
              </c:strCache>
            </c:strRef>
          </c:tx>
          <c:spPr>
            <a:solidFill>
              <a:srgbClr val="000080"/>
            </a:solidFill>
            <a:ln w="12700">
              <a:solidFill>
                <a:srgbClr val="000080"/>
              </a:solidFill>
              <a:prstDash val="solid"/>
            </a:ln>
          </c:spPr>
          <c:invertIfNegative val="0"/>
          <c:val>
            <c:numRef>
              <c:f>'2006 Sampling'!$BD$34:$BQ$34</c:f>
              <c:numCache>
                <c:formatCode>General</c:formatCode>
                <c:ptCount val="14"/>
              </c:numCache>
            </c:numRef>
          </c:val>
          <c:extLst>
            <c:ext xmlns:c16="http://schemas.microsoft.com/office/drawing/2014/chart" uri="{C3380CC4-5D6E-409C-BE32-E72D297353CC}">
              <c16:uniqueId val="{00000003-56C9-43E1-A9B5-25CA442D9E6D}"/>
            </c:ext>
          </c:extLst>
        </c:ser>
        <c:ser>
          <c:idx val="4"/>
          <c:order val="4"/>
          <c:tx>
            <c:strRef>
              <c:f>'2006 Sampling'!$BC$35</c:f>
              <c:strCache>
                <c:ptCount val="1"/>
              </c:strCache>
            </c:strRef>
          </c:tx>
          <c:spPr>
            <a:solidFill>
              <a:srgbClr val="FF0000"/>
            </a:solidFill>
            <a:ln w="12700">
              <a:solidFill>
                <a:srgbClr val="FF0000"/>
              </a:solidFill>
              <a:prstDash val="solid"/>
            </a:ln>
          </c:spPr>
          <c:invertIfNegative val="0"/>
          <c:val>
            <c:numRef>
              <c:f>'2006 Sampling'!$BD$35:$BQ$35</c:f>
              <c:numCache>
                <c:formatCode>General</c:formatCode>
                <c:ptCount val="14"/>
              </c:numCache>
            </c:numRef>
          </c:val>
          <c:extLst>
            <c:ext xmlns:c16="http://schemas.microsoft.com/office/drawing/2014/chart" uri="{C3380CC4-5D6E-409C-BE32-E72D297353CC}">
              <c16:uniqueId val="{00000004-56C9-43E1-A9B5-25CA442D9E6D}"/>
            </c:ext>
          </c:extLst>
        </c:ser>
        <c:dLbls>
          <c:showLegendKey val="0"/>
          <c:showVal val="0"/>
          <c:showCatName val="0"/>
          <c:showSerName val="0"/>
          <c:showPercent val="0"/>
          <c:showBubbleSize val="0"/>
        </c:dLbls>
        <c:gapWidth val="75"/>
        <c:axId val="506017624"/>
        <c:axId val="499530704"/>
      </c:barChart>
      <c:catAx>
        <c:axId val="50601762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9530704"/>
        <c:crosses val="autoZero"/>
        <c:auto val="1"/>
        <c:lblAlgn val="ctr"/>
        <c:lblOffset val="100"/>
        <c:tickLblSkip val="2"/>
        <c:tickMarkSkip val="1"/>
        <c:noMultiLvlLbl val="0"/>
      </c:catAx>
      <c:valAx>
        <c:axId val="49953070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0601762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Sampling'!$BI$2</c:f>
              <c:strCache>
                <c:ptCount val="1"/>
              </c:strCache>
            </c:strRef>
          </c:tx>
          <c:spPr>
            <a:solidFill>
              <a:srgbClr val="0000FF"/>
            </a:solidFill>
            <a:ln w="12700">
              <a:solidFill>
                <a:srgbClr val="0000FF"/>
              </a:solidFill>
              <a:prstDash val="solid"/>
            </a:ln>
          </c:spPr>
          <c:invertIfNegative val="0"/>
          <c:cat>
            <c:numRef>
              <c:f>'2006 Sampling'!$BH$3:$BH$8</c:f>
              <c:numCache>
                <c:formatCode>General</c:formatCode>
                <c:ptCount val="6"/>
              </c:numCache>
            </c:numRef>
          </c:cat>
          <c:val>
            <c:numRef>
              <c:f>'2006 Sampling'!$BI$3:$BI$8</c:f>
              <c:numCache>
                <c:formatCode>General</c:formatCode>
                <c:ptCount val="6"/>
              </c:numCache>
            </c:numRef>
          </c:val>
          <c:extLst>
            <c:ext xmlns:c16="http://schemas.microsoft.com/office/drawing/2014/chart" uri="{C3380CC4-5D6E-409C-BE32-E72D297353CC}">
              <c16:uniqueId val="{00000000-2FC5-4DAF-BD2C-B99DEFE20F6F}"/>
            </c:ext>
          </c:extLst>
        </c:ser>
        <c:ser>
          <c:idx val="1"/>
          <c:order val="1"/>
          <c:tx>
            <c:strRef>
              <c:f>'2006 Sampling'!$BJ$2</c:f>
              <c:strCache>
                <c:ptCount val="1"/>
              </c:strCache>
            </c:strRef>
          </c:tx>
          <c:spPr>
            <a:solidFill>
              <a:srgbClr val="FF0000"/>
            </a:solidFill>
            <a:ln w="12700">
              <a:solidFill>
                <a:srgbClr val="FF0000"/>
              </a:solidFill>
              <a:prstDash val="solid"/>
            </a:ln>
          </c:spPr>
          <c:invertIfNegative val="0"/>
          <c:val>
            <c:numRef>
              <c:f>'2006 Sampling'!$BJ$3:$BJ$8</c:f>
              <c:numCache>
                <c:formatCode>General</c:formatCode>
                <c:ptCount val="6"/>
              </c:numCache>
            </c:numRef>
          </c:val>
          <c:extLst>
            <c:ext xmlns:c16="http://schemas.microsoft.com/office/drawing/2014/chart" uri="{C3380CC4-5D6E-409C-BE32-E72D297353CC}">
              <c16:uniqueId val="{00000001-2FC5-4DAF-BD2C-B99DEFE20F6F}"/>
            </c:ext>
          </c:extLst>
        </c:ser>
        <c:dLbls>
          <c:showLegendKey val="0"/>
          <c:showVal val="0"/>
          <c:showCatName val="0"/>
          <c:showSerName val="0"/>
          <c:showPercent val="0"/>
          <c:showBubbleSize val="0"/>
        </c:dLbls>
        <c:gapWidth val="150"/>
        <c:axId val="499537368"/>
        <c:axId val="499536976"/>
      </c:barChart>
      <c:catAx>
        <c:axId val="4995373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9536976"/>
        <c:crosses val="autoZero"/>
        <c:auto val="1"/>
        <c:lblAlgn val="ctr"/>
        <c:lblOffset val="100"/>
        <c:tickLblSkip val="1"/>
        <c:tickMarkSkip val="1"/>
        <c:noMultiLvlLbl val="0"/>
      </c:catAx>
      <c:valAx>
        <c:axId val="49953697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953736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 b="0" i="0" u="none" strike="noStrike" baseline="0">
              <a:solidFill>
                <a:srgbClr val="000000"/>
              </a:solidFill>
              <a:latin typeface="Arial"/>
              <a:ea typeface="Arial"/>
              <a:cs typeface="Arial"/>
            </a:defRPr>
          </a:pPr>
          <a:endParaRPr lang="en-US"/>
        </a:p>
      </c:txPr>
    </c:title>
    <c:autoTitleDeleted val="0"/>
    <c:plotArea>
      <c:layout/>
      <c:barChart>
        <c:barDir val="col"/>
        <c:grouping val="clustered"/>
        <c:varyColors val="0"/>
        <c:ser>
          <c:idx val="0"/>
          <c:order val="0"/>
          <c:tx>
            <c:strRef>
              <c:f>'2006 Sampling'!$BR$27</c:f>
              <c:strCache>
                <c:ptCount val="1"/>
              </c:strCache>
            </c:strRef>
          </c:tx>
          <c:spPr>
            <a:solidFill>
              <a:srgbClr val="0000FF"/>
            </a:solidFill>
            <a:ln w="12700">
              <a:solidFill>
                <a:srgbClr val="0000FF"/>
              </a:solidFill>
              <a:prstDash val="solid"/>
            </a:ln>
          </c:spPr>
          <c:invertIfNegative val="0"/>
          <c:cat>
            <c:numRef>
              <c:f>'2006 Sampling'!$BC$29:$BC$35</c:f>
              <c:numCache>
                <c:formatCode>General</c:formatCode>
                <c:ptCount val="7"/>
              </c:numCache>
            </c:numRef>
          </c:cat>
          <c:val>
            <c:numRef>
              <c:f>'2006 Sampling'!$BR$29:$BR$35</c:f>
              <c:numCache>
                <c:formatCode>General</c:formatCode>
                <c:ptCount val="7"/>
              </c:numCache>
            </c:numRef>
          </c:val>
          <c:extLst>
            <c:ext xmlns:c16="http://schemas.microsoft.com/office/drawing/2014/chart" uri="{C3380CC4-5D6E-409C-BE32-E72D297353CC}">
              <c16:uniqueId val="{00000000-86C8-4757-A7FE-033F4C299BDB}"/>
            </c:ext>
          </c:extLst>
        </c:ser>
        <c:dLbls>
          <c:showLegendKey val="0"/>
          <c:showVal val="0"/>
          <c:showCatName val="0"/>
          <c:showSerName val="0"/>
          <c:showPercent val="0"/>
          <c:showBubbleSize val="0"/>
        </c:dLbls>
        <c:gapWidth val="150"/>
        <c:axId val="499532664"/>
        <c:axId val="499527568"/>
      </c:barChart>
      <c:catAx>
        <c:axId val="4995326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9527568"/>
        <c:crosses val="autoZero"/>
        <c:auto val="1"/>
        <c:lblAlgn val="ctr"/>
        <c:lblOffset val="100"/>
        <c:tickLblSkip val="1"/>
        <c:tickMarkSkip val="1"/>
        <c:noMultiLvlLbl val="0"/>
      </c:catAx>
      <c:valAx>
        <c:axId val="49952756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9532664"/>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76C2-4F25-9F84-0702C98EABD6}"/>
            </c:ext>
          </c:extLst>
        </c:ser>
        <c:ser>
          <c:idx val="1"/>
          <c:order val="1"/>
          <c:tx>
            <c:strRef>
              <c:f>'2006 Sampling'!$AN$18</c:f>
              <c:strCache>
                <c:ptCount val="1"/>
              </c:strCache>
            </c:strRef>
          </c:tx>
          <c:spPr>
            <a:solidFill>
              <a:srgbClr val="FF00FF"/>
            </a:solidFill>
            <a:ln w="12700">
              <a:solidFill>
                <a:srgbClr val="FF00FF"/>
              </a:solidFill>
              <a:prstDash val="solid"/>
            </a:ln>
          </c:spPr>
          <c:invertIfNegative val="0"/>
          <c:cat>
            <c:numRef>
              <c:f>'2006 Sampling'!$AO$10:$BB$10</c:f>
              <c:numCache>
                <c:formatCode>General</c:formatCode>
                <c:ptCount val="14"/>
              </c:numCache>
            </c:numRef>
          </c:cat>
          <c:val>
            <c:numRef>
              <c:f>'2006 Sampling'!$AO$18:$BB$18</c:f>
              <c:numCache>
                <c:formatCode>General</c:formatCode>
                <c:ptCount val="14"/>
              </c:numCache>
            </c:numRef>
          </c:val>
          <c:extLst>
            <c:ext xmlns:c16="http://schemas.microsoft.com/office/drawing/2014/chart" uri="{C3380CC4-5D6E-409C-BE32-E72D297353CC}">
              <c16:uniqueId val="{00000001-76C2-4F25-9F84-0702C98EABD6}"/>
            </c:ext>
          </c:extLst>
        </c:ser>
        <c:ser>
          <c:idx val="2"/>
          <c:order val="2"/>
          <c:tx>
            <c:strRef>
              <c:f>'2006 Sampling'!$AN$19</c:f>
              <c:strCache>
                <c:ptCount val="1"/>
              </c:strCache>
            </c:strRef>
          </c:tx>
          <c:spPr>
            <a:solidFill>
              <a:srgbClr val="008000"/>
            </a:solidFill>
            <a:ln w="12700">
              <a:solidFill>
                <a:srgbClr val="008000"/>
              </a:solidFill>
              <a:prstDash val="solid"/>
            </a:ln>
          </c:spPr>
          <c:invertIfNegative val="0"/>
          <c:cat>
            <c:numRef>
              <c:f>'2006 Sampling'!$AO$10:$BB$10</c:f>
              <c:numCache>
                <c:formatCode>General</c:formatCode>
                <c:ptCount val="14"/>
              </c:numCache>
            </c:numRef>
          </c:cat>
          <c:val>
            <c:numRef>
              <c:f>'2006 Sampling'!$AO$19:$BB$19</c:f>
              <c:numCache>
                <c:formatCode>General</c:formatCode>
                <c:ptCount val="14"/>
              </c:numCache>
            </c:numRef>
          </c:val>
          <c:extLst>
            <c:ext xmlns:c16="http://schemas.microsoft.com/office/drawing/2014/chart" uri="{C3380CC4-5D6E-409C-BE32-E72D297353CC}">
              <c16:uniqueId val="{00000002-76C2-4F25-9F84-0702C98EABD6}"/>
            </c:ext>
          </c:extLst>
        </c:ser>
        <c:ser>
          <c:idx val="3"/>
          <c:order val="3"/>
          <c:tx>
            <c:strRef>
              <c:f>'2006 Sampling'!$AN$20</c:f>
              <c:strCache>
                <c:ptCount val="1"/>
              </c:strCache>
            </c:strRef>
          </c:tx>
          <c:spPr>
            <a:solidFill>
              <a:srgbClr val="000080"/>
            </a:solidFill>
            <a:ln w="12700">
              <a:solidFill>
                <a:srgbClr val="000080"/>
              </a:solidFill>
              <a:prstDash val="solid"/>
            </a:ln>
          </c:spPr>
          <c:invertIfNegative val="0"/>
          <c:cat>
            <c:numRef>
              <c:f>'2006 Sampling'!$AO$10:$BB$10</c:f>
              <c:numCache>
                <c:formatCode>General</c:formatCode>
                <c:ptCount val="14"/>
              </c:numCache>
            </c:numRef>
          </c:cat>
          <c:val>
            <c:numRef>
              <c:f>'2006 Sampling'!$AO$20:$BB$20</c:f>
              <c:numCache>
                <c:formatCode>General</c:formatCode>
                <c:ptCount val="14"/>
              </c:numCache>
            </c:numRef>
          </c:val>
          <c:extLst>
            <c:ext xmlns:c16="http://schemas.microsoft.com/office/drawing/2014/chart" uri="{C3380CC4-5D6E-409C-BE32-E72D297353CC}">
              <c16:uniqueId val="{00000003-76C2-4F25-9F84-0702C98EABD6}"/>
            </c:ext>
          </c:extLst>
        </c:ser>
        <c:ser>
          <c:idx val="4"/>
          <c:order val="4"/>
          <c:tx>
            <c:strRef>
              <c:f>'2006 Sampling'!$AN$21</c:f>
              <c:strCache>
                <c:ptCount val="1"/>
              </c:strCache>
            </c:strRef>
          </c:tx>
          <c:spPr>
            <a:solidFill>
              <a:srgbClr val="FF0000"/>
            </a:solidFill>
            <a:ln w="12700">
              <a:solidFill>
                <a:srgbClr val="FF0000"/>
              </a:solidFill>
              <a:prstDash val="solid"/>
            </a:ln>
          </c:spPr>
          <c:invertIfNegative val="0"/>
          <c:cat>
            <c:numRef>
              <c:f>'2006 Sampling'!$AO$10:$BB$10</c:f>
              <c:numCache>
                <c:formatCode>General</c:formatCode>
                <c:ptCount val="14"/>
              </c:numCache>
            </c:numRef>
          </c:cat>
          <c:val>
            <c:numRef>
              <c:f>'2006 Sampling'!$AO$21:$BB$21</c:f>
              <c:numCache>
                <c:formatCode>General</c:formatCode>
                <c:ptCount val="14"/>
              </c:numCache>
            </c:numRef>
          </c:val>
          <c:extLst>
            <c:ext xmlns:c16="http://schemas.microsoft.com/office/drawing/2014/chart" uri="{C3380CC4-5D6E-409C-BE32-E72D297353CC}">
              <c16:uniqueId val="{00000004-76C2-4F25-9F84-0702C98EABD6}"/>
            </c:ext>
          </c:extLst>
        </c:ser>
        <c:dLbls>
          <c:showLegendKey val="0"/>
          <c:showVal val="0"/>
          <c:showCatName val="0"/>
          <c:showSerName val="0"/>
          <c:showPercent val="0"/>
          <c:showBubbleSize val="0"/>
        </c:dLbls>
        <c:gapWidth val="150"/>
        <c:axId val="499533056"/>
        <c:axId val="499531096"/>
      </c:barChart>
      <c:catAx>
        <c:axId val="4995330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9531096"/>
        <c:crosses val="autoZero"/>
        <c:auto val="1"/>
        <c:lblAlgn val="ctr"/>
        <c:lblOffset val="100"/>
        <c:tickLblSkip val="4"/>
        <c:tickMarkSkip val="1"/>
        <c:noMultiLvlLbl val="0"/>
      </c:catAx>
      <c:valAx>
        <c:axId val="49953109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9533056"/>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7E1D-4303-B841-290A241C7D7A}"/>
            </c:ext>
          </c:extLst>
        </c:ser>
        <c:ser>
          <c:idx val="1"/>
          <c:order val="1"/>
          <c:tx>
            <c:strRef>
              <c:f>'2006 Sampling'!$AN$18</c:f>
              <c:strCache>
                <c:ptCount val="1"/>
              </c:strCache>
            </c:strRef>
          </c:tx>
          <c:spPr>
            <a:solidFill>
              <a:srgbClr val="FF00FF"/>
            </a:solidFill>
            <a:ln w="12700">
              <a:solidFill>
                <a:srgbClr val="FF00FF"/>
              </a:solidFill>
              <a:prstDash val="solid"/>
            </a:ln>
          </c:spPr>
          <c:invertIfNegative val="0"/>
          <c:val>
            <c:numRef>
              <c:f>'2006 Sampling'!$AO$18:$BB$18</c:f>
              <c:numCache>
                <c:formatCode>General</c:formatCode>
                <c:ptCount val="14"/>
              </c:numCache>
            </c:numRef>
          </c:val>
          <c:extLst>
            <c:ext xmlns:c16="http://schemas.microsoft.com/office/drawing/2014/chart" uri="{C3380CC4-5D6E-409C-BE32-E72D297353CC}">
              <c16:uniqueId val="{00000001-7E1D-4303-B841-290A241C7D7A}"/>
            </c:ext>
          </c:extLst>
        </c:ser>
        <c:ser>
          <c:idx val="2"/>
          <c:order val="2"/>
          <c:tx>
            <c:strRef>
              <c:f>'2006 Sampling'!$AN$19</c:f>
              <c:strCache>
                <c:ptCount val="1"/>
              </c:strCache>
            </c:strRef>
          </c:tx>
          <c:spPr>
            <a:solidFill>
              <a:srgbClr val="008000"/>
            </a:solidFill>
            <a:ln w="12700">
              <a:solidFill>
                <a:srgbClr val="008000"/>
              </a:solidFill>
              <a:prstDash val="solid"/>
            </a:ln>
          </c:spPr>
          <c:invertIfNegative val="0"/>
          <c:val>
            <c:numRef>
              <c:f>'2006 Sampling'!$AO$19:$BB$19</c:f>
              <c:numCache>
                <c:formatCode>General</c:formatCode>
                <c:ptCount val="14"/>
              </c:numCache>
            </c:numRef>
          </c:val>
          <c:extLst>
            <c:ext xmlns:c16="http://schemas.microsoft.com/office/drawing/2014/chart" uri="{C3380CC4-5D6E-409C-BE32-E72D297353CC}">
              <c16:uniqueId val="{00000002-7E1D-4303-B841-290A241C7D7A}"/>
            </c:ext>
          </c:extLst>
        </c:ser>
        <c:dLbls>
          <c:showLegendKey val="0"/>
          <c:showVal val="0"/>
          <c:showCatName val="0"/>
          <c:showSerName val="0"/>
          <c:showPercent val="0"/>
          <c:showBubbleSize val="0"/>
        </c:dLbls>
        <c:gapWidth val="150"/>
        <c:axId val="499535800"/>
        <c:axId val="499535016"/>
      </c:barChart>
      <c:catAx>
        <c:axId val="499535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9535016"/>
        <c:crosses val="autoZero"/>
        <c:auto val="1"/>
        <c:lblAlgn val="ctr"/>
        <c:lblOffset val="100"/>
        <c:tickLblSkip val="2"/>
        <c:tickMarkSkip val="1"/>
        <c:noMultiLvlLbl val="0"/>
      </c:catAx>
      <c:valAx>
        <c:axId val="49953501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9535800"/>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0"/>
          <c:tx>
            <c:strRef>
              <c:f>'2006 Sampling'!$AN$20</c:f>
              <c:strCache>
                <c:ptCount val="1"/>
              </c:strCache>
            </c:strRef>
          </c:tx>
          <c:spPr>
            <a:solidFill>
              <a:srgbClr val="000080"/>
            </a:solidFill>
            <a:ln w="12700">
              <a:solidFill>
                <a:srgbClr val="000080"/>
              </a:solidFill>
              <a:prstDash val="solid"/>
            </a:ln>
          </c:spPr>
          <c:invertIfNegative val="0"/>
          <c:cat>
            <c:numRef>
              <c:f>'2006 Sampling'!$AO$10:$BB$10</c:f>
              <c:numCache>
                <c:formatCode>General</c:formatCode>
                <c:ptCount val="14"/>
              </c:numCache>
            </c:numRef>
          </c:cat>
          <c:val>
            <c:numRef>
              <c:f>'2006 Sampling'!$AO$20:$BB$20</c:f>
              <c:numCache>
                <c:formatCode>General</c:formatCode>
                <c:ptCount val="14"/>
              </c:numCache>
            </c:numRef>
          </c:val>
          <c:extLst>
            <c:ext xmlns:c16="http://schemas.microsoft.com/office/drawing/2014/chart" uri="{C3380CC4-5D6E-409C-BE32-E72D297353CC}">
              <c16:uniqueId val="{00000000-412B-4004-8A88-ECF5374A3022}"/>
            </c:ext>
          </c:extLst>
        </c:ser>
        <c:ser>
          <c:idx val="4"/>
          <c:order val="1"/>
          <c:tx>
            <c:strRef>
              <c:f>'2006 Sampling'!$AN$21</c:f>
              <c:strCache>
                <c:ptCount val="1"/>
              </c:strCache>
            </c:strRef>
          </c:tx>
          <c:spPr>
            <a:solidFill>
              <a:srgbClr val="FF0000"/>
            </a:solidFill>
            <a:ln w="12700">
              <a:solidFill>
                <a:srgbClr val="FF0000"/>
              </a:solidFill>
              <a:prstDash val="solid"/>
            </a:ln>
          </c:spPr>
          <c:invertIfNegative val="0"/>
          <c:cat>
            <c:numRef>
              <c:f>'2006 Sampling'!$AO$10:$BB$10</c:f>
              <c:numCache>
                <c:formatCode>General</c:formatCode>
                <c:ptCount val="14"/>
              </c:numCache>
            </c:numRef>
          </c:cat>
          <c:val>
            <c:numRef>
              <c:f>'2006 Sampling'!$AO$21:$BB$21</c:f>
              <c:numCache>
                <c:formatCode>General</c:formatCode>
                <c:ptCount val="14"/>
              </c:numCache>
            </c:numRef>
          </c:val>
          <c:extLst>
            <c:ext xmlns:c16="http://schemas.microsoft.com/office/drawing/2014/chart" uri="{C3380CC4-5D6E-409C-BE32-E72D297353CC}">
              <c16:uniqueId val="{00000001-412B-4004-8A88-ECF5374A3022}"/>
            </c:ext>
          </c:extLst>
        </c:ser>
        <c:dLbls>
          <c:showLegendKey val="0"/>
          <c:showVal val="0"/>
          <c:showCatName val="0"/>
          <c:showSerName val="0"/>
          <c:showPercent val="0"/>
          <c:showBubbleSize val="0"/>
        </c:dLbls>
        <c:gapWidth val="150"/>
        <c:axId val="499525608"/>
        <c:axId val="499526000"/>
      </c:barChart>
      <c:catAx>
        <c:axId val="4995256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9526000"/>
        <c:crosses val="autoZero"/>
        <c:auto val="1"/>
        <c:lblAlgn val="ctr"/>
        <c:lblOffset val="100"/>
        <c:tickLblSkip val="2"/>
        <c:tickMarkSkip val="1"/>
        <c:noMultiLvlLbl val="0"/>
      </c:catAx>
      <c:valAx>
        <c:axId val="49952600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952560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0-5A4C-4E90-9F8C-9E542DB19ECC}"/>
            </c:ext>
          </c:extLst>
        </c:ser>
        <c:ser>
          <c:idx val="1"/>
          <c:order val="1"/>
          <c:tx>
            <c:strRef>
              <c:f>'2006 Sampling'!$BC$31</c:f>
              <c:strCache>
                <c:ptCount val="1"/>
              </c:strCache>
            </c:strRef>
          </c:tx>
          <c:spPr>
            <a:solidFill>
              <a:srgbClr val="FF00FF"/>
            </a:solidFill>
            <a:ln w="12700">
              <a:solidFill>
                <a:srgbClr val="FF00FF"/>
              </a:solidFill>
              <a:prstDash val="solid"/>
            </a:ln>
          </c:spPr>
          <c:invertIfNegative val="0"/>
          <c:val>
            <c:numRef>
              <c:f>'2006 Sampling'!$BD$31:$BQ$31</c:f>
              <c:numCache>
                <c:formatCode>General</c:formatCode>
                <c:ptCount val="14"/>
              </c:numCache>
            </c:numRef>
          </c:val>
          <c:extLst>
            <c:ext xmlns:c16="http://schemas.microsoft.com/office/drawing/2014/chart" uri="{C3380CC4-5D6E-409C-BE32-E72D297353CC}">
              <c16:uniqueId val="{00000001-5A4C-4E90-9F8C-9E542DB19ECC}"/>
            </c:ext>
          </c:extLst>
        </c:ser>
        <c:ser>
          <c:idx val="2"/>
          <c:order val="2"/>
          <c:tx>
            <c:strRef>
              <c:f>'2006 Sampling'!$BC$32</c:f>
              <c:strCache>
                <c:ptCount val="1"/>
              </c:strCache>
            </c:strRef>
          </c:tx>
          <c:spPr>
            <a:solidFill>
              <a:srgbClr val="008000"/>
            </a:solidFill>
            <a:ln w="12700">
              <a:solidFill>
                <a:srgbClr val="008000"/>
              </a:solidFill>
              <a:prstDash val="solid"/>
            </a:ln>
          </c:spPr>
          <c:invertIfNegative val="0"/>
          <c:val>
            <c:numRef>
              <c:f>'2006 Sampling'!$BD$32:$BQ$32</c:f>
              <c:numCache>
                <c:formatCode>General</c:formatCode>
                <c:ptCount val="14"/>
              </c:numCache>
            </c:numRef>
          </c:val>
          <c:extLst>
            <c:ext xmlns:c16="http://schemas.microsoft.com/office/drawing/2014/chart" uri="{C3380CC4-5D6E-409C-BE32-E72D297353CC}">
              <c16:uniqueId val="{00000002-5A4C-4E90-9F8C-9E542DB19ECC}"/>
            </c:ext>
          </c:extLst>
        </c:ser>
        <c:ser>
          <c:idx val="3"/>
          <c:order val="3"/>
          <c:tx>
            <c:strRef>
              <c:f>'2006 Sampling'!$BC$34</c:f>
              <c:strCache>
                <c:ptCount val="1"/>
              </c:strCache>
            </c:strRef>
          </c:tx>
          <c:spPr>
            <a:solidFill>
              <a:srgbClr val="000080"/>
            </a:solidFill>
            <a:ln w="12700">
              <a:solidFill>
                <a:srgbClr val="000080"/>
              </a:solidFill>
              <a:prstDash val="solid"/>
            </a:ln>
          </c:spPr>
          <c:invertIfNegative val="0"/>
          <c:val>
            <c:numRef>
              <c:f>'2006 Sampling'!$BD$34:$BQ$34</c:f>
              <c:numCache>
                <c:formatCode>General</c:formatCode>
                <c:ptCount val="14"/>
              </c:numCache>
            </c:numRef>
          </c:val>
          <c:extLst>
            <c:ext xmlns:c16="http://schemas.microsoft.com/office/drawing/2014/chart" uri="{C3380CC4-5D6E-409C-BE32-E72D297353CC}">
              <c16:uniqueId val="{00000003-5A4C-4E90-9F8C-9E542DB19ECC}"/>
            </c:ext>
          </c:extLst>
        </c:ser>
        <c:ser>
          <c:idx val="4"/>
          <c:order val="4"/>
          <c:tx>
            <c:strRef>
              <c:f>'2006 Sampling'!$BC$35</c:f>
              <c:strCache>
                <c:ptCount val="1"/>
              </c:strCache>
            </c:strRef>
          </c:tx>
          <c:spPr>
            <a:solidFill>
              <a:srgbClr val="FF0000"/>
            </a:solidFill>
            <a:ln w="12700">
              <a:solidFill>
                <a:srgbClr val="FF0000"/>
              </a:solidFill>
              <a:prstDash val="solid"/>
            </a:ln>
          </c:spPr>
          <c:invertIfNegative val="0"/>
          <c:val>
            <c:numRef>
              <c:f>'2006 Sampling'!$BD$35:$BQ$35</c:f>
              <c:numCache>
                <c:formatCode>General</c:formatCode>
                <c:ptCount val="14"/>
              </c:numCache>
            </c:numRef>
          </c:val>
          <c:extLst>
            <c:ext xmlns:c16="http://schemas.microsoft.com/office/drawing/2014/chart" uri="{C3380CC4-5D6E-409C-BE32-E72D297353CC}">
              <c16:uniqueId val="{00000004-5A4C-4E90-9F8C-9E542DB19ECC}"/>
            </c:ext>
          </c:extLst>
        </c:ser>
        <c:dLbls>
          <c:showLegendKey val="0"/>
          <c:showVal val="0"/>
          <c:showCatName val="0"/>
          <c:showSerName val="0"/>
          <c:showPercent val="0"/>
          <c:showBubbleSize val="0"/>
        </c:dLbls>
        <c:gapWidth val="75"/>
        <c:axId val="499526392"/>
        <c:axId val="499526784"/>
      </c:barChart>
      <c:catAx>
        <c:axId val="4995263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9526784"/>
        <c:crosses val="autoZero"/>
        <c:auto val="1"/>
        <c:lblAlgn val="ctr"/>
        <c:lblOffset val="100"/>
        <c:tickLblSkip val="2"/>
        <c:tickMarkSkip val="1"/>
        <c:noMultiLvlLbl val="0"/>
      </c:catAx>
      <c:valAx>
        <c:axId val="49952678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952639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0-58FF-42AD-AC33-E7B1D1853323}"/>
            </c:ext>
          </c:extLst>
        </c:ser>
        <c:ser>
          <c:idx val="1"/>
          <c:order val="1"/>
          <c:tx>
            <c:strRef>
              <c:f>'2006 Sampling'!$BC$31</c:f>
              <c:strCache>
                <c:ptCount val="1"/>
              </c:strCache>
            </c:strRef>
          </c:tx>
          <c:spPr>
            <a:solidFill>
              <a:srgbClr val="FF00FF"/>
            </a:solidFill>
            <a:ln w="12700">
              <a:solidFill>
                <a:srgbClr val="FF00FF"/>
              </a:solidFill>
              <a:prstDash val="solid"/>
            </a:ln>
          </c:spPr>
          <c:invertIfNegative val="0"/>
          <c:val>
            <c:numRef>
              <c:f>'2006 Sampling'!$BD$31:$BQ$31</c:f>
              <c:numCache>
                <c:formatCode>General</c:formatCode>
                <c:ptCount val="14"/>
              </c:numCache>
            </c:numRef>
          </c:val>
          <c:extLst>
            <c:ext xmlns:c16="http://schemas.microsoft.com/office/drawing/2014/chart" uri="{C3380CC4-5D6E-409C-BE32-E72D297353CC}">
              <c16:uniqueId val="{00000001-58FF-42AD-AC33-E7B1D1853323}"/>
            </c:ext>
          </c:extLst>
        </c:ser>
        <c:ser>
          <c:idx val="2"/>
          <c:order val="2"/>
          <c:tx>
            <c:strRef>
              <c:f>'2006 Sampling'!$BC$32</c:f>
              <c:strCache>
                <c:ptCount val="1"/>
              </c:strCache>
            </c:strRef>
          </c:tx>
          <c:spPr>
            <a:solidFill>
              <a:srgbClr val="008000"/>
            </a:solidFill>
            <a:ln w="12700">
              <a:solidFill>
                <a:srgbClr val="008000"/>
              </a:solidFill>
              <a:prstDash val="solid"/>
            </a:ln>
          </c:spPr>
          <c:invertIfNegative val="0"/>
          <c:val>
            <c:numRef>
              <c:f>'2006 Sampling'!$BD$32:$BQ$32</c:f>
              <c:numCache>
                <c:formatCode>General</c:formatCode>
                <c:ptCount val="14"/>
              </c:numCache>
            </c:numRef>
          </c:val>
          <c:extLst>
            <c:ext xmlns:c16="http://schemas.microsoft.com/office/drawing/2014/chart" uri="{C3380CC4-5D6E-409C-BE32-E72D297353CC}">
              <c16:uniqueId val="{00000002-58FF-42AD-AC33-E7B1D1853323}"/>
            </c:ext>
          </c:extLst>
        </c:ser>
        <c:dLbls>
          <c:showLegendKey val="0"/>
          <c:showVal val="0"/>
          <c:showCatName val="0"/>
          <c:showSerName val="0"/>
          <c:showPercent val="0"/>
          <c:showBubbleSize val="0"/>
        </c:dLbls>
        <c:gapWidth val="75"/>
        <c:axId val="499527176"/>
        <c:axId val="499528352"/>
      </c:barChart>
      <c:catAx>
        <c:axId val="49952717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9528352"/>
        <c:crosses val="autoZero"/>
        <c:auto val="1"/>
        <c:lblAlgn val="ctr"/>
        <c:lblOffset val="100"/>
        <c:tickLblSkip val="2"/>
        <c:tickMarkSkip val="1"/>
        <c:noMultiLvlLbl val="0"/>
      </c:catAx>
      <c:valAx>
        <c:axId val="49952835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9527176"/>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EE95-4733-B17F-3479C4FD778F}"/>
            </c:ext>
          </c:extLst>
        </c:ser>
        <c:ser>
          <c:idx val="1"/>
          <c:order val="1"/>
          <c:tx>
            <c:strRef>
              <c:f>'2006 Sampling'!$AN$18</c:f>
              <c:strCache>
                <c:ptCount val="1"/>
              </c:strCache>
            </c:strRef>
          </c:tx>
          <c:spPr>
            <a:solidFill>
              <a:srgbClr val="FF00FF"/>
            </a:solidFill>
            <a:ln w="12700">
              <a:solidFill>
                <a:srgbClr val="FF00FF"/>
              </a:solidFill>
              <a:prstDash val="solid"/>
            </a:ln>
          </c:spPr>
          <c:invertIfNegative val="0"/>
          <c:cat>
            <c:numRef>
              <c:f>'2006 Sampling'!$AO$10:$BB$10</c:f>
              <c:numCache>
                <c:formatCode>General</c:formatCode>
                <c:ptCount val="14"/>
              </c:numCache>
            </c:numRef>
          </c:cat>
          <c:val>
            <c:numRef>
              <c:f>'2006 Sampling'!$AO$18:$BB$18</c:f>
              <c:numCache>
                <c:formatCode>General</c:formatCode>
                <c:ptCount val="14"/>
              </c:numCache>
            </c:numRef>
          </c:val>
          <c:extLst>
            <c:ext xmlns:c16="http://schemas.microsoft.com/office/drawing/2014/chart" uri="{C3380CC4-5D6E-409C-BE32-E72D297353CC}">
              <c16:uniqueId val="{00000001-EE95-4733-B17F-3479C4FD778F}"/>
            </c:ext>
          </c:extLst>
        </c:ser>
        <c:ser>
          <c:idx val="2"/>
          <c:order val="2"/>
          <c:tx>
            <c:strRef>
              <c:f>'2006 Sampling'!$AN$19</c:f>
              <c:strCache>
                <c:ptCount val="1"/>
              </c:strCache>
            </c:strRef>
          </c:tx>
          <c:spPr>
            <a:solidFill>
              <a:srgbClr val="008000"/>
            </a:solidFill>
            <a:ln w="12700">
              <a:solidFill>
                <a:srgbClr val="008000"/>
              </a:solidFill>
              <a:prstDash val="solid"/>
            </a:ln>
          </c:spPr>
          <c:invertIfNegative val="0"/>
          <c:cat>
            <c:numRef>
              <c:f>'2006 Sampling'!$AO$10:$BB$10</c:f>
              <c:numCache>
                <c:formatCode>General</c:formatCode>
                <c:ptCount val="14"/>
              </c:numCache>
            </c:numRef>
          </c:cat>
          <c:val>
            <c:numRef>
              <c:f>'2006 Sampling'!$AO$19:$BB$19</c:f>
              <c:numCache>
                <c:formatCode>General</c:formatCode>
                <c:ptCount val="14"/>
              </c:numCache>
            </c:numRef>
          </c:val>
          <c:extLst>
            <c:ext xmlns:c16="http://schemas.microsoft.com/office/drawing/2014/chart" uri="{C3380CC4-5D6E-409C-BE32-E72D297353CC}">
              <c16:uniqueId val="{00000002-EE95-4733-B17F-3479C4FD778F}"/>
            </c:ext>
          </c:extLst>
        </c:ser>
        <c:ser>
          <c:idx val="3"/>
          <c:order val="3"/>
          <c:tx>
            <c:strRef>
              <c:f>'2006 Sampling'!$AN$20</c:f>
              <c:strCache>
                <c:ptCount val="1"/>
              </c:strCache>
            </c:strRef>
          </c:tx>
          <c:spPr>
            <a:solidFill>
              <a:srgbClr val="000080"/>
            </a:solidFill>
            <a:ln w="12700">
              <a:solidFill>
                <a:srgbClr val="000080"/>
              </a:solidFill>
              <a:prstDash val="solid"/>
            </a:ln>
          </c:spPr>
          <c:invertIfNegative val="0"/>
          <c:cat>
            <c:numRef>
              <c:f>'2006 Sampling'!$AO$10:$BB$10</c:f>
              <c:numCache>
                <c:formatCode>General</c:formatCode>
                <c:ptCount val="14"/>
              </c:numCache>
            </c:numRef>
          </c:cat>
          <c:val>
            <c:numRef>
              <c:f>'2006 Sampling'!$AO$20:$BB$20</c:f>
              <c:numCache>
                <c:formatCode>General</c:formatCode>
                <c:ptCount val="14"/>
              </c:numCache>
            </c:numRef>
          </c:val>
          <c:extLst>
            <c:ext xmlns:c16="http://schemas.microsoft.com/office/drawing/2014/chart" uri="{C3380CC4-5D6E-409C-BE32-E72D297353CC}">
              <c16:uniqueId val="{00000003-EE95-4733-B17F-3479C4FD778F}"/>
            </c:ext>
          </c:extLst>
        </c:ser>
        <c:ser>
          <c:idx val="4"/>
          <c:order val="4"/>
          <c:tx>
            <c:strRef>
              <c:f>'2006 Sampling'!$AN$21</c:f>
              <c:strCache>
                <c:ptCount val="1"/>
              </c:strCache>
            </c:strRef>
          </c:tx>
          <c:spPr>
            <a:solidFill>
              <a:srgbClr val="FF0000"/>
            </a:solidFill>
            <a:ln w="12700">
              <a:solidFill>
                <a:srgbClr val="FF0000"/>
              </a:solidFill>
              <a:prstDash val="solid"/>
            </a:ln>
          </c:spPr>
          <c:invertIfNegative val="0"/>
          <c:cat>
            <c:numRef>
              <c:f>'2006 Sampling'!$AO$10:$BB$10</c:f>
              <c:numCache>
                <c:formatCode>General</c:formatCode>
                <c:ptCount val="14"/>
              </c:numCache>
            </c:numRef>
          </c:cat>
          <c:val>
            <c:numRef>
              <c:f>'2006 Sampling'!$AO$21:$BB$21</c:f>
              <c:numCache>
                <c:formatCode>General</c:formatCode>
                <c:ptCount val="14"/>
              </c:numCache>
            </c:numRef>
          </c:val>
          <c:extLst>
            <c:ext xmlns:c16="http://schemas.microsoft.com/office/drawing/2014/chart" uri="{C3380CC4-5D6E-409C-BE32-E72D297353CC}">
              <c16:uniqueId val="{00000004-EE95-4733-B17F-3479C4FD778F}"/>
            </c:ext>
          </c:extLst>
        </c:ser>
        <c:dLbls>
          <c:showLegendKey val="0"/>
          <c:showVal val="0"/>
          <c:showCatName val="0"/>
          <c:showSerName val="0"/>
          <c:showPercent val="0"/>
          <c:showBubbleSize val="0"/>
        </c:dLbls>
        <c:gapWidth val="150"/>
        <c:axId val="344733352"/>
        <c:axId val="344735312"/>
      </c:barChart>
      <c:catAx>
        <c:axId val="344733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344735312"/>
        <c:crosses val="autoZero"/>
        <c:auto val="1"/>
        <c:lblAlgn val="ctr"/>
        <c:lblOffset val="100"/>
        <c:tickLblSkip val="4"/>
        <c:tickMarkSkip val="1"/>
        <c:noMultiLvlLbl val="0"/>
      </c:catAx>
      <c:valAx>
        <c:axId val="34473531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34473335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0"/>
          <c:tx>
            <c:strRef>
              <c:f>'2006 Sampling'!$BC$34</c:f>
              <c:strCache>
                <c:ptCount val="1"/>
              </c:strCache>
            </c:strRef>
          </c:tx>
          <c:spPr>
            <a:solidFill>
              <a:srgbClr val="000080"/>
            </a:solidFill>
            <a:ln w="12700">
              <a:solidFill>
                <a:srgbClr val="000080"/>
              </a:solidFill>
              <a:prstDash val="solid"/>
            </a:ln>
          </c:spPr>
          <c:invertIfNegative val="0"/>
          <c:cat>
            <c:numRef>
              <c:f>'2006 Sampling'!$BD$28:$BQ$28</c:f>
              <c:numCache>
                <c:formatCode>General</c:formatCode>
                <c:ptCount val="14"/>
              </c:numCache>
            </c:numRef>
          </c:cat>
          <c:val>
            <c:numRef>
              <c:f>'2006 Sampling'!$BD$34:$BQ$34</c:f>
              <c:numCache>
                <c:formatCode>General</c:formatCode>
                <c:ptCount val="14"/>
              </c:numCache>
            </c:numRef>
          </c:val>
          <c:extLst>
            <c:ext xmlns:c16="http://schemas.microsoft.com/office/drawing/2014/chart" uri="{C3380CC4-5D6E-409C-BE32-E72D297353CC}">
              <c16:uniqueId val="{00000000-63BE-488C-896C-2AEE4B8020E6}"/>
            </c:ext>
          </c:extLst>
        </c:ser>
        <c:ser>
          <c:idx val="4"/>
          <c:order val="1"/>
          <c:tx>
            <c:strRef>
              <c:f>'2006 Sampling'!$BC$35</c:f>
              <c:strCache>
                <c:ptCount val="1"/>
              </c:strCache>
            </c:strRef>
          </c:tx>
          <c:spPr>
            <a:solidFill>
              <a:srgbClr val="FF0000"/>
            </a:solidFill>
            <a:ln w="12700">
              <a:solidFill>
                <a:srgbClr val="FF0000"/>
              </a:solidFill>
              <a:prstDash val="solid"/>
            </a:ln>
          </c:spPr>
          <c:invertIfNegative val="0"/>
          <c:cat>
            <c:numRef>
              <c:f>'2006 Sampling'!$BD$28:$BQ$28</c:f>
              <c:numCache>
                <c:formatCode>General</c:formatCode>
                <c:ptCount val="14"/>
              </c:numCache>
            </c:numRef>
          </c:cat>
          <c:val>
            <c:numRef>
              <c:f>'2006 Sampling'!$BD$35:$BQ$35</c:f>
              <c:numCache>
                <c:formatCode>General</c:formatCode>
                <c:ptCount val="14"/>
              </c:numCache>
            </c:numRef>
          </c:val>
          <c:extLst>
            <c:ext xmlns:c16="http://schemas.microsoft.com/office/drawing/2014/chart" uri="{C3380CC4-5D6E-409C-BE32-E72D297353CC}">
              <c16:uniqueId val="{00000001-63BE-488C-896C-2AEE4B8020E6}"/>
            </c:ext>
          </c:extLst>
        </c:ser>
        <c:dLbls>
          <c:showLegendKey val="0"/>
          <c:showVal val="0"/>
          <c:showCatName val="0"/>
          <c:showSerName val="0"/>
          <c:showPercent val="0"/>
          <c:showBubbleSize val="0"/>
        </c:dLbls>
        <c:gapWidth val="75"/>
        <c:axId val="499536192"/>
        <c:axId val="499530312"/>
      </c:barChart>
      <c:catAx>
        <c:axId val="499536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9530312"/>
        <c:crosses val="autoZero"/>
        <c:auto val="1"/>
        <c:lblAlgn val="ctr"/>
        <c:lblOffset val="100"/>
        <c:tickLblSkip val="2"/>
        <c:tickMarkSkip val="1"/>
        <c:noMultiLvlLbl val="0"/>
      </c:catAx>
      <c:valAx>
        <c:axId val="49953031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953619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Sampling'!$BI$2</c:f>
              <c:strCache>
                <c:ptCount val="1"/>
              </c:strCache>
            </c:strRef>
          </c:tx>
          <c:spPr>
            <a:solidFill>
              <a:srgbClr val="0000FF"/>
            </a:solidFill>
            <a:ln w="12700">
              <a:solidFill>
                <a:srgbClr val="0000FF"/>
              </a:solidFill>
              <a:prstDash val="solid"/>
            </a:ln>
          </c:spPr>
          <c:invertIfNegative val="0"/>
          <c:cat>
            <c:numRef>
              <c:f>'2006 Sampling'!$BH$3:$BH$8</c:f>
              <c:numCache>
                <c:formatCode>General</c:formatCode>
                <c:ptCount val="6"/>
              </c:numCache>
            </c:numRef>
          </c:cat>
          <c:val>
            <c:numRef>
              <c:f>'2006 Sampling'!$BI$3:$BI$8</c:f>
              <c:numCache>
                <c:formatCode>General</c:formatCode>
                <c:ptCount val="6"/>
              </c:numCache>
            </c:numRef>
          </c:val>
          <c:extLst>
            <c:ext xmlns:c16="http://schemas.microsoft.com/office/drawing/2014/chart" uri="{C3380CC4-5D6E-409C-BE32-E72D297353CC}">
              <c16:uniqueId val="{00000000-AD79-4CE3-B784-691C68D981F6}"/>
            </c:ext>
          </c:extLst>
        </c:ser>
        <c:ser>
          <c:idx val="1"/>
          <c:order val="1"/>
          <c:tx>
            <c:strRef>
              <c:f>'2006 Sampling'!$BJ$2</c:f>
              <c:strCache>
                <c:ptCount val="1"/>
              </c:strCache>
            </c:strRef>
          </c:tx>
          <c:spPr>
            <a:solidFill>
              <a:srgbClr val="FF0000"/>
            </a:solidFill>
            <a:ln w="12700">
              <a:solidFill>
                <a:srgbClr val="FF0000"/>
              </a:solidFill>
              <a:prstDash val="solid"/>
            </a:ln>
          </c:spPr>
          <c:invertIfNegative val="0"/>
          <c:val>
            <c:numRef>
              <c:f>'2006 Sampling'!$BJ$3:$BJ$8</c:f>
              <c:numCache>
                <c:formatCode>General</c:formatCode>
                <c:ptCount val="6"/>
              </c:numCache>
            </c:numRef>
          </c:val>
          <c:extLst>
            <c:ext xmlns:c16="http://schemas.microsoft.com/office/drawing/2014/chart" uri="{C3380CC4-5D6E-409C-BE32-E72D297353CC}">
              <c16:uniqueId val="{00000001-AD79-4CE3-B784-691C68D981F6}"/>
            </c:ext>
          </c:extLst>
        </c:ser>
        <c:dLbls>
          <c:showLegendKey val="0"/>
          <c:showVal val="0"/>
          <c:showCatName val="0"/>
          <c:showSerName val="0"/>
          <c:showPercent val="0"/>
          <c:showBubbleSize val="0"/>
        </c:dLbls>
        <c:gapWidth val="150"/>
        <c:axId val="499531880"/>
        <c:axId val="499532272"/>
      </c:barChart>
      <c:catAx>
        <c:axId val="4995318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9532272"/>
        <c:crosses val="autoZero"/>
        <c:auto val="1"/>
        <c:lblAlgn val="ctr"/>
        <c:lblOffset val="100"/>
        <c:tickLblSkip val="1"/>
        <c:tickMarkSkip val="1"/>
        <c:noMultiLvlLbl val="0"/>
      </c:catAx>
      <c:valAx>
        <c:axId val="49953227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9531880"/>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Sampling'!$AP$90:$AP$91</c:f>
              <c:strCache>
                <c:ptCount val="2"/>
              </c:strCache>
            </c:strRef>
          </c:tx>
          <c:spPr>
            <a:solidFill>
              <a:srgbClr val="0000FF"/>
            </a:solidFill>
            <a:ln w="12700">
              <a:solidFill>
                <a:srgbClr val="0000FF"/>
              </a:solidFill>
              <a:prstDash val="solid"/>
            </a:ln>
          </c:spPr>
          <c:invertIfNegative val="0"/>
          <c:cat>
            <c:numRef>
              <c:f>'2006 Sampling'!$AO$92:$AO$96</c:f>
              <c:numCache>
                <c:formatCode>General</c:formatCode>
                <c:ptCount val="5"/>
              </c:numCache>
            </c:numRef>
          </c:cat>
          <c:val>
            <c:numRef>
              <c:f>'2006 Sampling'!$AP$92:$AP$96</c:f>
              <c:numCache>
                <c:formatCode>General</c:formatCode>
                <c:ptCount val="5"/>
              </c:numCache>
            </c:numRef>
          </c:val>
          <c:extLst>
            <c:ext xmlns:c16="http://schemas.microsoft.com/office/drawing/2014/chart" uri="{C3380CC4-5D6E-409C-BE32-E72D297353CC}">
              <c16:uniqueId val="{00000000-B482-4D84-9C41-DC68BF36A7E5}"/>
            </c:ext>
          </c:extLst>
        </c:ser>
        <c:ser>
          <c:idx val="2"/>
          <c:order val="1"/>
          <c:tx>
            <c:strRef>
              <c:f>'2006 Sampling'!$AR$90:$AR$91</c:f>
              <c:strCache>
                <c:ptCount val="2"/>
              </c:strCache>
            </c:strRef>
          </c:tx>
          <c:spPr>
            <a:solidFill>
              <a:srgbClr val="FF00FF"/>
            </a:solidFill>
            <a:ln w="12700">
              <a:solidFill>
                <a:srgbClr val="FF00FF"/>
              </a:solidFill>
              <a:prstDash val="solid"/>
            </a:ln>
          </c:spPr>
          <c:invertIfNegative val="0"/>
          <c:val>
            <c:numRef>
              <c:f>'2006 Sampling'!$AR$92:$AR$96</c:f>
              <c:numCache>
                <c:formatCode>General</c:formatCode>
                <c:ptCount val="5"/>
              </c:numCache>
            </c:numRef>
          </c:val>
          <c:extLst>
            <c:ext xmlns:c16="http://schemas.microsoft.com/office/drawing/2014/chart" uri="{C3380CC4-5D6E-409C-BE32-E72D297353CC}">
              <c16:uniqueId val="{00000001-B482-4D84-9C41-DC68BF36A7E5}"/>
            </c:ext>
          </c:extLst>
        </c:ser>
        <c:ser>
          <c:idx val="4"/>
          <c:order val="2"/>
          <c:tx>
            <c:strRef>
              <c:f>'2006 Sampling'!$AT$90:$AT$91</c:f>
              <c:strCache>
                <c:ptCount val="2"/>
              </c:strCache>
            </c:strRef>
          </c:tx>
          <c:spPr>
            <a:solidFill>
              <a:srgbClr val="008000"/>
            </a:solidFill>
            <a:ln w="12700">
              <a:solidFill>
                <a:srgbClr val="008000"/>
              </a:solidFill>
              <a:prstDash val="solid"/>
            </a:ln>
          </c:spPr>
          <c:invertIfNegative val="0"/>
          <c:val>
            <c:numRef>
              <c:f>'2006 Sampling'!$AT$92:$AT$96</c:f>
              <c:numCache>
                <c:formatCode>General</c:formatCode>
                <c:ptCount val="5"/>
              </c:numCache>
            </c:numRef>
          </c:val>
          <c:extLst>
            <c:ext xmlns:c16="http://schemas.microsoft.com/office/drawing/2014/chart" uri="{C3380CC4-5D6E-409C-BE32-E72D297353CC}">
              <c16:uniqueId val="{00000002-B482-4D84-9C41-DC68BF36A7E5}"/>
            </c:ext>
          </c:extLst>
        </c:ser>
        <c:ser>
          <c:idx val="6"/>
          <c:order val="3"/>
          <c:tx>
            <c:strRef>
              <c:f>'2006 Sampling'!$AV$90:$AV$91</c:f>
              <c:strCache>
                <c:ptCount val="2"/>
              </c:strCache>
            </c:strRef>
          </c:tx>
          <c:spPr>
            <a:solidFill>
              <a:srgbClr val="000080"/>
            </a:solidFill>
            <a:ln w="12700">
              <a:solidFill>
                <a:srgbClr val="000080"/>
              </a:solidFill>
              <a:prstDash val="solid"/>
            </a:ln>
          </c:spPr>
          <c:invertIfNegative val="0"/>
          <c:val>
            <c:numRef>
              <c:f>'2006 Sampling'!$AV$92:$AV$96</c:f>
              <c:numCache>
                <c:formatCode>General</c:formatCode>
                <c:ptCount val="5"/>
              </c:numCache>
            </c:numRef>
          </c:val>
          <c:extLst>
            <c:ext xmlns:c16="http://schemas.microsoft.com/office/drawing/2014/chart" uri="{C3380CC4-5D6E-409C-BE32-E72D297353CC}">
              <c16:uniqueId val="{00000003-B482-4D84-9C41-DC68BF36A7E5}"/>
            </c:ext>
          </c:extLst>
        </c:ser>
        <c:ser>
          <c:idx val="8"/>
          <c:order val="4"/>
          <c:tx>
            <c:strRef>
              <c:f>'2006 Sampling'!$AX$90:$AX$91</c:f>
              <c:strCache>
                <c:ptCount val="2"/>
              </c:strCache>
            </c:strRef>
          </c:tx>
          <c:spPr>
            <a:solidFill>
              <a:srgbClr val="FF0000"/>
            </a:solidFill>
            <a:ln w="12700">
              <a:solidFill>
                <a:srgbClr val="FF0000"/>
              </a:solidFill>
              <a:prstDash val="solid"/>
            </a:ln>
          </c:spPr>
          <c:invertIfNegative val="0"/>
          <c:val>
            <c:numRef>
              <c:f>'2006 Sampling'!$AX$92:$AX$96</c:f>
              <c:numCache>
                <c:formatCode>General</c:formatCode>
                <c:ptCount val="5"/>
              </c:numCache>
            </c:numRef>
          </c:val>
          <c:extLst>
            <c:ext xmlns:c16="http://schemas.microsoft.com/office/drawing/2014/chart" uri="{C3380CC4-5D6E-409C-BE32-E72D297353CC}">
              <c16:uniqueId val="{00000004-B482-4D84-9C41-DC68BF36A7E5}"/>
            </c:ext>
          </c:extLst>
        </c:ser>
        <c:dLbls>
          <c:showLegendKey val="0"/>
          <c:showVal val="0"/>
          <c:showCatName val="0"/>
          <c:showSerName val="0"/>
          <c:showPercent val="0"/>
          <c:showBubbleSize val="0"/>
        </c:dLbls>
        <c:gapWidth val="150"/>
        <c:axId val="499533840"/>
        <c:axId val="499534232"/>
      </c:barChart>
      <c:catAx>
        <c:axId val="499533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9534232"/>
        <c:crosses val="autoZero"/>
        <c:auto val="1"/>
        <c:lblAlgn val="ctr"/>
        <c:lblOffset val="100"/>
        <c:tickLblSkip val="1"/>
        <c:tickMarkSkip val="1"/>
        <c:noMultiLvlLbl val="0"/>
      </c:catAx>
      <c:valAx>
        <c:axId val="49953423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9533840"/>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strRef>
              <c:f>'2006 Sampling'!$AQ$90:$AQ$91</c:f>
              <c:strCache>
                <c:ptCount val="2"/>
              </c:strCache>
            </c:strRef>
          </c:tx>
          <c:spPr>
            <a:solidFill>
              <a:srgbClr val="0000FF"/>
            </a:solidFill>
            <a:ln w="12700">
              <a:solidFill>
                <a:srgbClr val="0000FF"/>
              </a:solidFill>
              <a:prstDash val="solid"/>
            </a:ln>
          </c:spPr>
          <c:invertIfNegative val="0"/>
          <c:cat>
            <c:numRef>
              <c:f>'2006 Sampling'!$AO$92:$AO$96</c:f>
              <c:numCache>
                <c:formatCode>General</c:formatCode>
                <c:ptCount val="5"/>
              </c:numCache>
            </c:numRef>
          </c:cat>
          <c:val>
            <c:numRef>
              <c:f>'2006 Sampling'!$AQ$92:$AQ$96</c:f>
              <c:numCache>
                <c:formatCode>General</c:formatCode>
                <c:ptCount val="5"/>
              </c:numCache>
            </c:numRef>
          </c:val>
          <c:extLst>
            <c:ext xmlns:c16="http://schemas.microsoft.com/office/drawing/2014/chart" uri="{C3380CC4-5D6E-409C-BE32-E72D297353CC}">
              <c16:uniqueId val="{00000000-0546-4378-9043-CE011546AD83}"/>
            </c:ext>
          </c:extLst>
        </c:ser>
        <c:ser>
          <c:idx val="3"/>
          <c:order val="1"/>
          <c:tx>
            <c:strRef>
              <c:f>'2006 Sampling'!$AS$90:$AS$91</c:f>
              <c:strCache>
                <c:ptCount val="2"/>
              </c:strCache>
            </c:strRef>
          </c:tx>
          <c:spPr>
            <a:solidFill>
              <a:srgbClr val="FF00FF"/>
            </a:solidFill>
            <a:ln w="12700">
              <a:solidFill>
                <a:srgbClr val="FF00FF"/>
              </a:solidFill>
              <a:prstDash val="solid"/>
            </a:ln>
          </c:spPr>
          <c:invertIfNegative val="0"/>
          <c:cat>
            <c:numRef>
              <c:f>'2006 Sampling'!$AO$92:$AO$96</c:f>
              <c:numCache>
                <c:formatCode>General</c:formatCode>
                <c:ptCount val="5"/>
              </c:numCache>
            </c:numRef>
          </c:cat>
          <c:val>
            <c:numRef>
              <c:f>'2006 Sampling'!$AS$92:$AS$96</c:f>
              <c:numCache>
                <c:formatCode>General</c:formatCode>
                <c:ptCount val="5"/>
              </c:numCache>
            </c:numRef>
          </c:val>
          <c:extLst>
            <c:ext xmlns:c16="http://schemas.microsoft.com/office/drawing/2014/chart" uri="{C3380CC4-5D6E-409C-BE32-E72D297353CC}">
              <c16:uniqueId val="{00000001-0546-4378-9043-CE011546AD83}"/>
            </c:ext>
          </c:extLst>
        </c:ser>
        <c:ser>
          <c:idx val="5"/>
          <c:order val="2"/>
          <c:tx>
            <c:strRef>
              <c:f>'2006 Sampling'!$AU$90:$AU$91</c:f>
              <c:strCache>
                <c:ptCount val="2"/>
              </c:strCache>
            </c:strRef>
          </c:tx>
          <c:spPr>
            <a:solidFill>
              <a:srgbClr val="008000"/>
            </a:solidFill>
            <a:ln w="12700">
              <a:solidFill>
                <a:srgbClr val="008000"/>
              </a:solidFill>
              <a:prstDash val="solid"/>
            </a:ln>
          </c:spPr>
          <c:invertIfNegative val="0"/>
          <c:cat>
            <c:numRef>
              <c:f>'2006 Sampling'!$AO$92:$AO$96</c:f>
              <c:numCache>
                <c:formatCode>General</c:formatCode>
                <c:ptCount val="5"/>
              </c:numCache>
            </c:numRef>
          </c:cat>
          <c:val>
            <c:numRef>
              <c:f>'2006 Sampling'!$AU$92:$AU$96</c:f>
              <c:numCache>
                <c:formatCode>General</c:formatCode>
                <c:ptCount val="5"/>
              </c:numCache>
            </c:numRef>
          </c:val>
          <c:extLst>
            <c:ext xmlns:c16="http://schemas.microsoft.com/office/drawing/2014/chart" uri="{C3380CC4-5D6E-409C-BE32-E72D297353CC}">
              <c16:uniqueId val="{00000002-0546-4378-9043-CE011546AD83}"/>
            </c:ext>
          </c:extLst>
        </c:ser>
        <c:ser>
          <c:idx val="7"/>
          <c:order val="3"/>
          <c:tx>
            <c:strRef>
              <c:f>'2006 Sampling'!$AW$90:$AW$91</c:f>
              <c:strCache>
                <c:ptCount val="2"/>
              </c:strCache>
            </c:strRef>
          </c:tx>
          <c:spPr>
            <a:solidFill>
              <a:srgbClr val="000080"/>
            </a:solidFill>
            <a:ln w="12700">
              <a:solidFill>
                <a:srgbClr val="000080"/>
              </a:solidFill>
              <a:prstDash val="solid"/>
            </a:ln>
          </c:spPr>
          <c:invertIfNegative val="0"/>
          <c:cat>
            <c:numRef>
              <c:f>'2006 Sampling'!$AO$92:$AO$96</c:f>
              <c:numCache>
                <c:formatCode>General</c:formatCode>
                <c:ptCount val="5"/>
              </c:numCache>
            </c:numRef>
          </c:cat>
          <c:val>
            <c:numRef>
              <c:f>'2006 Sampling'!$AW$92:$AW$96</c:f>
              <c:numCache>
                <c:formatCode>General</c:formatCode>
                <c:ptCount val="5"/>
              </c:numCache>
            </c:numRef>
          </c:val>
          <c:extLst>
            <c:ext xmlns:c16="http://schemas.microsoft.com/office/drawing/2014/chart" uri="{C3380CC4-5D6E-409C-BE32-E72D297353CC}">
              <c16:uniqueId val="{00000003-0546-4378-9043-CE011546AD83}"/>
            </c:ext>
          </c:extLst>
        </c:ser>
        <c:ser>
          <c:idx val="9"/>
          <c:order val="4"/>
          <c:tx>
            <c:strRef>
              <c:f>'2006 Sampling'!$AY$90:$AY$91</c:f>
              <c:strCache>
                <c:ptCount val="2"/>
              </c:strCache>
            </c:strRef>
          </c:tx>
          <c:spPr>
            <a:solidFill>
              <a:srgbClr val="FF0000"/>
            </a:solidFill>
            <a:ln w="12700">
              <a:solidFill>
                <a:srgbClr val="FF0000"/>
              </a:solidFill>
              <a:prstDash val="solid"/>
            </a:ln>
          </c:spPr>
          <c:invertIfNegative val="0"/>
          <c:cat>
            <c:numRef>
              <c:f>'2006 Sampling'!$AO$92:$AO$96</c:f>
              <c:numCache>
                <c:formatCode>General</c:formatCode>
                <c:ptCount val="5"/>
              </c:numCache>
            </c:numRef>
          </c:cat>
          <c:val>
            <c:numRef>
              <c:f>'2006 Sampling'!$AY$92:$AY$96</c:f>
              <c:numCache>
                <c:formatCode>General</c:formatCode>
                <c:ptCount val="5"/>
              </c:numCache>
            </c:numRef>
          </c:val>
          <c:extLst>
            <c:ext xmlns:c16="http://schemas.microsoft.com/office/drawing/2014/chart" uri="{C3380CC4-5D6E-409C-BE32-E72D297353CC}">
              <c16:uniqueId val="{00000004-0546-4378-9043-CE011546AD83}"/>
            </c:ext>
          </c:extLst>
        </c:ser>
        <c:dLbls>
          <c:showLegendKey val="0"/>
          <c:showVal val="0"/>
          <c:showCatName val="0"/>
          <c:showSerName val="0"/>
          <c:showPercent val="0"/>
          <c:showBubbleSize val="0"/>
        </c:dLbls>
        <c:gapWidth val="150"/>
        <c:axId val="499541288"/>
        <c:axId val="499539720"/>
      </c:barChart>
      <c:catAx>
        <c:axId val="499541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9539720"/>
        <c:crosses val="autoZero"/>
        <c:auto val="1"/>
        <c:lblAlgn val="ctr"/>
        <c:lblOffset val="100"/>
        <c:tickLblSkip val="1"/>
        <c:tickMarkSkip val="1"/>
        <c:noMultiLvlLbl val="0"/>
      </c:catAx>
      <c:valAx>
        <c:axId val="49953972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954128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0000FF"/>
            </a:solidFill>
            <a:ln w="12700">
              <a:solidFill>
                <a:srgbClr val="0000FF"/>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56E3-42B8-BD7E-052F37EBD24D}"/>
            </c:ext>
          </c:extLst>
        </c:ser>
        <c:ser>
          <c:idx val="1"/>
          <c:order val="1"/>
          <c:spPr>
            <a:solidFill>
              <a:srgbClr val="FF0000"/>
            </a:solidFill>
            <a:ln w="12700">
              <a:solidFill>
                <a:srgbClr val="FF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1-56E3-42B8-BD7E-052F37EBD24D}"/>
            </c:ext>
          </c:extLst>
        </c:ser>
        <c:ser>
          <c:idx val="2"/>
          <c:order val="2"/>
          <c:spPr>
            <a:solidFill>
              <a:srgbClr val="008000"/>
            </a:solidFill>
            <a:ln w="12700">
              <a:solidFill>
                <a:srgbClr val="008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2-56E3-42B8-BD7E-052F37EBD24D}"/>
            </c:ext>
          </c:extLst>
        </c:ser>
        <c:ser>
          <c:idx val="3"/>
          <c:order val="3"/>
          <c:spPr>
            <a:solidFill>
              <a:srgbClr val="FF00FF"/>
            </a:solidFill>
            <a:ln w="12700">
              <a:solidFill>
                <a:srgbClr val="FF00FF"/>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3-56E3-42B8-BD7E-052F37EBD24D}"/>
            </c:ext>
          </c:extLst>
        </c:ser>
        <c:ser>
          <c:idx val="4"/>
          <c:order val="4"/>
          <c:spPr>
            <a:solidFill>
              <a:srgbClr val="6600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4-56E3-42B8-BD7E-052F37EBD24D}"/>
            </c:ext>
          </c:extLst>
        </c:ser>
        <c:dLbls>
          <c:showLegendKey val="0"/>
          <c:showVal val="0"/>
          <c:showCatName val="0"/>
          <c:showSerName val="0"/>
          <c:showPercent val="0"/>
          <c:showBubbleSize val="0"/>
        </c:dLbls>
        <c:gapWidth val="150"/>
        <c:axId val="499540896"/>
        <c:axId val="499538544"/>
      </c:barChart>
      <c:catAx>
        <c:axId val="499540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9538544"/>
        <c:crosses val="autoZero"/>
        <c:auto val="1"/>
        <c:lblAlgn val="ctr"/>
        <c:lblOffset val="100"/>
        <c:tickLblSkip val="1"/>
        <c:tickMarkSkip val="1"/>
        <c:noMultiLvlLbl val="0"/>
      </c:catAx>
      <c:valAx>
        <c:axId val="499538544"/>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9540896"/>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0000FF"/>
            </a:solidFill>
            <a:ln w="12700">
              <a:solidFill>
                <a:srgbClr val="0000FF"/>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F34-4055-A8A1-08F248338354}"/>
            </c:ext>
          </c:extLst>
        </c:ser>
        <c:ser>
          <c:idx val="1"/>
          <c:order val="1"/>
          <c:spPr>
            <a:solidFill>
              <a:srgbClr val="FF0000"/>
            </a:solidFill>
            <a:ln w="12700">
              <a:solidFill>
                <a:srgbClr val="FF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1-2F34-4055-A8A1-08F248338354}"/>
            </c:ext>
          </c:extLst>
        </c:ser>
        <c:ser>
          <c:idx val="2"/>
          <c:order val="2"/>
          <c:spPr>
            <a:solidFill>
              <a:srgbClr val="008000"/>
            </a:solidFill>
            <a:ln w="12700">
              <a:solidFill>
                <a:srgbClr val="008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2-2F34-4055-A8A1-08F248338354}"/>
            </c:ext>
          </c:extLst>
        </c:ser>
        <c:ser>
          <c:idx val="3"/>
          <c:order val="3"/>
          <c:spPr>
            <a:solidFill>
              <a:srgbClr val="FF00FF"/>
            </a:solidFill>
            <a:ln w="12700">
              <a:solidFill>
                <a:srgbClr val="FF00FF"/>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3-2F34-4055-A8A1-08F248338354}"/>
            </c:ext>
          </c:extLst>
        </c:ser>
        <c:ser>
          <c:idx val="4"/>
          <c:order val="4"/>
          <c:spPr>
            <a:solidFill>
              <a:srgbClr val="6600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4-2F34-4055-A8A1-08F248338354}"/>
            </c:ext>
          </c:extLst>
        </c:ser>
        <c:dLbls>
          <c:showLegendKey val="0"/>
          <c:showVal val="0"/>
          <c:showCatName val="0"/>
          <c:showSerName val="0"/>
          <c:showPercent val="0"/>
          <c:showBubbleSize val="0"/>
        </c:dLbls>
        <c:gapWidth val="150"/>
        <c:axId val="499538152"/>
        <c:axId val="499538936"/>
      </c:barChart>
      <c:catAx>
        <c:axId val="4995381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9538936"/>
        <c:crosses val="autoZero"/>
        <c:auto val="1"/>
        <c:lblAlgn val="ctr"/>
        <c:lblOffset val="100"/>
        <c:tickLblSkip val="1"/>
        <c:tickMarkSkip val="1"/>
        <c:noMultiLvlLbl val="0"/>
      </c:catAx>
      <c:valAx>
        <c:axId val="499538936"/>
        <c:scaling>
          <c:orientation val="minMax"/>
          <c:max val="12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953815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Sampling'!$AP$90:$AP$91</c:f>
              <c:strCache>
                <c:ptCount val="2"/>
              </c:strCache>
            </c:strRef>
          </c:tx>
          <c:spPr>
            <a:solidFill>
              <a:srgbClr val="0000FF"/>
            </a:solidFill>
            <a:ln w="12700">
              <a:solidFill>
                <a:srgbClr val="0000FF"/>
              </a:solidFill>
              <a:prstDash val="solid"/>
            </a:ln>
          </c:spPr>
          <c:invertIfNegative val="0"/>
          <c:cat>
            <c:numRef>
              <c:f>'2006 Sampling'!$AO$92:$AO$96</c:f>
              <c:numCache>
                <c:formatCode>General</c:formatCode>
                <c:ptCount val="5"/>
              </c:numCache>
            </c:numRef>
          </c:cat>
          <c:val>
            <c:numRef>
              <c:f>'2006 Sampling'!$AP$92:$AP$96</c:f>
              <c:numCache>
                <c:formatCode>General</c:formatCode>
                <c:ptCount val="5"/>
              </c:numCache>
            </c:numRef>
          </c:val>
          <c:extLst>
            <c:ext xmlns:c16="http://schemas.microsoft.com/office/drawing/2014/chart" uri="{C3380CC4-5D6E-409C-BE32-E72D297353CC}">
              <c16:uniqueId val="{00000000-83FF-489E-8A50-E839DEE02F92}"/>
            </c:ext>
          </c:extLst>
        </c:ser>
        <c:ser>
          <c:idx val="2"/>
          <c:order val="1"/>
          <c:tx>
            <c:strRef>
              <c:f>'2006 Sampling'!$AR$90:$AR$91</c:f>
              <c:strCache>
                <c:ptCount val="2"/>
              </c:strCache>
            </c:strRef>
          </c:tx>
          <c:spPr>
            <a:solidFill>
              <a:srgbClr val="FF00FF"/>
            </a:solidFill>
            <a:ln w="12700">
              <a:solidFill>
                <a:srgbClr val="FF00FF"/>
              </a:solidFill>
              <a:prstDash val="solid"/>
            </a:ln>
          </c:spPr>
          <c:invertIfNegative val="0"/>
          <c:cat>
            <c:numRef>
              <c:f>'2006 Sampling'!$AO$92:$AO$96</c:f>
              <c:numCache>
                <c:formatCode>General</c:formatCode>
                <c:ptCount val="5"/>
              </c:numCache>
            </c:numRef>
          </c:cat>
          <c:val>
            <c:numRef>
              <c:f>'2006 Sampling'!$AR$92:$AR$96</c:f>
              <c:numCache>
                <c:formatCode>General</c:formatCode>
                <c:ptCount val="5"/>
              </c:numCache>
            </c:numRef>
          </c:val>
          <c:extLst>
            <c:ext xmlns:c16="http://schemas.microsoft.com/office/drawing/2014/chart" uri="{C3380CC4-5D6E-409C-BE32-E72D297353CC}">
              <c16:uniqueId val="{00000001-83FF-489E-8A50-E839DEE02F92}"/>
            </c:ext>
          </c:extLst>
        </c:ser>
        <c:ser>
          <c:idx val="4"/>
          <c:order val="2"/>
          <c:tx>
            <c:strRef>
              <c:f>'2006 Sampling'!$AT$90:$AT$91</c:f>
              <c:strCache>
                <c:ptCount val="2"/>
              </c:strCache>
            </c:strRef>
          </c:tx>
          <c:spPr>
            <a:solidFill>
              <a:srgbClr val="008000"/>
            </a:solidFill>
            <a:ln w="12700">
              <a:solidFill>
                <a:srgbClr val="008000"/>
              </a:solidFill>
              <a:prstDash val="solid"/>
            </a:ln>
          </c:spPr>
          <c:invertIfNegative val="0"/>
          <c:cat>
            <c:numRef>
              <c:f>'2006 Sampling'!$AO$92:$AO$96</c:f>
              <c:numCache>
                <c:formatCode>General</c:formatCode>
                <c:ptCount val="5"/>
              </c:numCache>
            </c:numRef>
          </c:cat>
          <c:val>
            <c:numRef>
              <c:f>'2006 Sampling'!$AT$92:$AT$96</c:f>
              <c:numCache>
                <c:formatCode>General</c:formatCode>
                <c:ptCount val="5"/>
              </c:numCache>
            </c:numRef>
          </c:val>
          <c:extLst>
            <c:ext xmlns:c16="http://schemas.microsoft.com/office/drawing/2014/chart" uri="{C3380CC4-5D6E-409C-BE32-E72D297353CC}">
              <c16:uniqueId val="{00000002-83FF-489E-8A50-E839DEE02F92}"/>
            </c:ext>
          </c:extLst>
        </c:ser>
        <c:ser>
          <c:idx val="6"/>
          <c:order val="3"/>
          <c:tx>
            <c:strRef>
              <c:f>'2006 Sampling'!$AV$90:$AV$91</c:f>
              <c:strCache>
                <c:ptCount val="2"/>
              </c:strCache>
            </c:strRef>
          </c:tx>
          <c:spPr>
            <a:solidFill>
              <a:srgbClr val="000080"/>
            </a:solidFill>
            <a:ln w="12700">
              <a:solidFill>
                <a:srgbClr val="000080"/>
              </a:solidFill>
              <a:prstDash val="solid"/>
            </a:ln>
          </c:spPr>
          <c:invertIfNegative val="0"/>
          <c:cat>
            <c:numRef>
              <c:f>'2006 Sampling'!$AO$92:$AO$96</c:f>
              <c:numCache>
                <c:formatCode>General</c:formatCode>
                <c:ptCount val="5"/>
              </c:numCache>
            </c:numRef>
          </c:cat>
          <c:val>
            <c:numRef>
              <c:f>'2006 Sampling'!$AV$92:$AV$96</c:f>
              <c:numCache>
                <c:formatCode>General</c:formatCode>
                <c:ptCount val="5"/>
              </c:numCache>
            </c:numRef>
          </c:val>
          <c:extLst>
            <c:ext xmlns:c16="http://schemas.microsoft.com/office/drawing/2014/chart" uri="{C3380CC4-5D6E-409C-BE32-E72D297353CC}">
              <c16:uniqueId val="{00000003-83FF-489E-8A50-E839DEE02F92}"/>
            </c:ext>
          </c:extLst>
        </c:ser>
        <c:ser>
          <c:idx val="8"/>
          <c:order val="4"/>
          <c:tx>
            <c:strRef>
              <c:f>'2006 Sampling'!$AX$90:$AX$91</c:f>
              <c:strCache>
                <c:ptCount val="2"/>
              </c:strCache>
            </c:strRef>
          </c:tx>
          <c:spPr>
            <a:solidFill>
              <a:srgbClr val="FF0000"/>
            </a:solidFill>
            <a:ln w="12700">
              <a:solidFill>
                <a:srgbClr val="FF0000"/>
              </a:solidFill>
              <a:prstDash val="solid"/>
            </a:ln>
          </c:spPr>
          <c:invertIfNegative val="0"/>
          <c:cat>
            <c:numRef>
              <c:f>'2006 Sampling'!$AO$92:$AO$96</c:f>
              <c:numCache>
                <c:formatCode>General</c:formatCode>
                <c:ptCount val="5"/>
              </c:numCache>
            </c:numRef>
          </c:cat>
          <c:val>
            <c:numRef>
              <c:f>'2006 Sampling'!$AX$92:$AX$96</c:f>
              <c:numCache>
                <c:formatCode>General</c:formatCode>
                <c:ptCount val="5"/>
              </c:numCache>
            </c:numRef>
          </c:val>
          <c:extLst>
            <c:ext xmlns:c16="http://schemas.microsoft.com/office/drawing/2014/chart" uri="{C3380CC4-5D6E-409C-BE32-E72D297353CC}">
              <c16:uniqueId val="{00000004-83FF-489E-8A50-E839DEE02F92}"/>
            </c:ext>
          </c:extLst>
        </c:ser>
        <c:dLbls>
          <c:showLegendKey val="0"/>
          <c:showVal val="0"/>
          <c:showCatName val="0"/>
          <c:showSerName val="0"/>
          <c:showPercent val="0"/>
          <c:showBubbleSize val="0"/>
        </c:dLbls>
        <c:gapWidth val="150"/>
        <c:axId val="509260464"/>
        <c:axId val="509256936"/>
      </c:barChart>
      <c:catAx>
        <c:axId val="509260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509256936"/>
        <c:crosses val="autoZero"/>
        <c:auto val="1"/>
        <c:lblAlgn val="ctr"/>
        <c:lblOffset val="100"/>
        <c:tickLblSkip val="1"/>
        <c:tickMarkSkip val="1"/>
        <c:noMultiLvlLbl val="0"/>
      </c:catAx>
      <c:valAx>
        <c:axId val="509256936"/>
        <c:scaling>
          <c:orientation val="minMax"/>
          <c:max val="14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50926046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strRef>
              <c:f>'2006 Sampling'!#REF!</c:f>
            </c:strRef>
          </c:tx>
          <c:spPr>
            <a:solidFill>
              <a:srgbClr val="800080"/>
            </a:solidFill>
            <a:ln w="12700">
              <a:solidFill>
                <a:srgbClr val="800080"/>
              </a:solidFill>
              <a:prstDash val="solid"/>
            </a:ln>
          </c:spPr>
          <c:invertIfNegative val="0"/>
          <c:cat>
            <c:numRef>
              <c:f>('2006 Sampling'!$AP$90,'2006 Sampling'!$AR$90,'2006 Sampling'!$AT$90,'2006 Sampling'!$AV$90,'2006 Sampling'!$AX$90)</c:f>
              <c:numCache>
                <c:formatCode>General</c:formatCode>
                <c:ptCount val="5"/>
              </c:numCache>
            </c:numRef>
          </c:cat>
          <c:val>
            <c:numRef>
              <c:f>('2006 Sampling'!#REF!,'2006 Sampling'!#REF!,'2006 Sampling'!#REF!,'2006 Sampling'!#REF!,'2006 Sampling'!#REF!)</c:f>
              <c:numCache>
                <c:formatCode>General</c:formatCode>
                <c:ptCount val="1"/>
                <c:pt idx="0">
                  <c:v>1</c:v>
                </c:pt>
              </c:numCache>
            </c:numRef>
          </c:val>
          <c:extLst>
            <c:ext xmlns:c16="http://schemas.microsoft.com/office/drawing/2014/chart" uri="{C3380CC4-5D6E-409C-BE32-E72D297353CC}">
              <c16:uniqueId val="{00000000-ED3B-4462-9333-AAEDCB63F406}"/>
            </c:ext>
          </c:extLst>
        </c:ser>
        <c:ser>
          <c:idx val="3"/>
          <c:order val="1"/>
          <c:tx>
            <c:strRef>
              <c:f>'2006 Sampling'!$AO$92</c:f>
              <c:strCache>
                <c:ptCount val="1"/>
              </c:strCache>
            </c:strRef>
          </c:tx>
          <c:spPr>
            <a:solidFill>
              <a:srgbClr val="0000FF"/>
            </a:solidFill>
            <a:ln w="12700">
              <a:solidFill>
                <a:srgbClr val="0000FF"/>
              </a:solidFill>
              <a:prstDash val="solid"/>
            </a:ln>
          </c:spPr>
          <c:invertIfNegative val="0"/>
          <c:cat>
            <c:numRef>
              <c:f>('2006 Sampling'!$AP$90,'2006 Sampling'!$AR$90,'2006 Sampling'!$AT$90,'2006 Sampling'!$AV$90,'2006 Sampling'!$AX$90)</c:f>
              <c:numCache>
                <c:formatCode>General</c:formatCode>
                <c:ptCount val="5"/>
              </c:numCache>
            </c:numRef>
          </c:cat>
          <c:val>
            <c:numRef>
              <c:f>('2006 Sampling'!$AQ$92,'2006 Sampling'!$AS$92,'2006 Sampling'!$AU$92,'2006 Sampling'!$AW$92,'2006 Sampling'!$AY$92)</c:f>
              <c:numCache>
                <c:formatCode>General</c:formatCode>
                <c:ptCount val="5"/>
              </c:numCache>
            </c:numRef>
          </c:val>
          <c:extLst>
            <c:ext xmlns:c16="http://schemas.microsoft.com/office/drawing/2014/chart" uri="{C3380CC4-5D6E-409C-BE32-E72D297353CC}">
              <c16:uniqueId val="{00000001-ED3B-4462-9333-AAEDCB63F406}"/>
            </c:ext>
          </c:extLst>
        </c:ser>
        <c:ser>
          <c:idx val="5"/>
          <c:order val="2"/>
          <c:tx>
            <c:strRef>
              <c:f>'2006 Sampling'!$AO$93</c:f>
              <c:strCache>
                <c:ptCount val="1"/>
              </c:strCache>
            </c:strRef>
          </c:tx>
          <c:spPr>
            <a:solidFill>
              <a:srgbClr val="FF00FF"/>
            </a:solidFill>
            <a:ln w="12700">
              <a:solidFill>
                <a:srgbClr val="FF00FF"/>
              </a:solidFill>
              <a:prstDash val="solid"/>
            </a:ln>
          </c:spPr>
          <c:invertIfNegative val="0"/>
          <c:cat>
            <c:numRef>
              <c:f>('2006 Sampling'!$AP$90,'2006 Sampling'!$AR$90,'2006 Sampling'!$AT$90,'2006 Sampling'!$AV$90,'2006 Sampling'!$AX$90)</c:f>
              <c:numCache>
                <c:formatCode>General</c:formatCode>
                <c:ptCount val="5"/>
              </c:numCache>
            </c:numRef>
          </c:cat>
          <c:val>
            <c:numRef>
              <c:f>('2006 Sampling'!$AQ$93,'2006 Sampling'!$AS$93,'2006 Sampling'!$AU$93,'2006 Sampling'!$AW$93,'2006 Sampling'!$AY$93)</c:f>
              <c:numCache>
                <c:formatCode>General</c:formatCode>
                <c:ptCount val="5"/>
              </c:numCache>
            </c:numRef>
          </c:val>
          <c:extLst>
            <c:ext xmlns:c16="http://schemas.microsoft.com/office/drawing/2014/chart" uri="{C3380CC4-5D6E-409C-BE32-E72D297353CC}">
              <c16:uniqueId val="{00000002-ED3B-4462-9333-AAEDCB63F406}"/>
            </c:ext>
          </c:extLst>
        </c:ser>
        <c:ser>
          <c:idx val="7"/>
          <c:order val="3"/>
          <c:tx>
            <c:strRef>
              <c:f>'2006 Sampling'!$AO$94</c:f>
              <c:strCache>
                <c:ptCount val="1"/>
              </c:strCache>
            </c:strRef>
          </c:tx>
          <c:spPr>
            <a:solidFill>
              <a:srgbClr val="008000"/>
            </a:solidFill>
            <a:ln w="12700">
              <a:solidFill>
                <a:srgbClr val="008000"/>
              </a:solidFill>
              <a:prstDash val="solid"/>
            </a:ln>
          </c:spPr>
          <c:invertIfNegative val="0"/>
          <c:cat>
            <c:numRef>
              <c:f>('2006 Sampling'!$AP$90,'2006 Sampling'!$AR$90,'2006 Sampling'!$AT$90,'2006 Sampling'!$AV$90,'2006 Sampling'!$AX$90)</c:f>
              <c:numCache>
                <c:formatCode>General</c:formatCode>
                <c:ptCount val="5"/>
              </c:numCache>
            </c:numRef>
          </c:cat>
          <c:val>
            <c:numRef>
              <c:f>('2006 Sampling'!$AQ$94,'2006 Sampling'!$AS$94,'2006 Sampling'!$AU$94,'2006 Sampling'!$AW$94,'2006 Sampling'!$AY$94)</c:f>
              <c:numCache>
                <c:formatCode>General</c:formatCode>
                <c:ptCount val="5"/>
              </c:numCache>
            </c:numRef>
          </c:val>
          <c:extLst>
            <c:ext xmlns:c16="http://schemas.microsoft.com/office/drawing/2014/chart" uri="{C3380CC4-5D6E-409C-BE32-E72D297353CC}">
              <c16:uniqueId val="{00000003-ED3B-4462-9333-AAEDCB63F406}"/>
            </c:ext>
          </c:extLst>
        </c:ser>
        <c:ser>
          <c:idx val="9"/>
          <c:order val="4"/>
          <c:tx>
            <c:strRef>
              <c:f>'2006 Sampling'!$AO$95</c:f>
              <c:strCache>
                <c:ptCount val="1"/>
              </c:strCache>
            </c:strRef>
          </c:tx>
          <c:spPr>
            <a:solidFill>
              <a:srgbClr val="000080"/>
            </a:solidFill>
            <a:ln w="12700">
              <a:solidFill>
                <a:srgbClr val="000080"/>
              </a:solidFill>
              <a:prstDash val="solid"/>
            </a:ln>
          </c:spPr>
          <c:invertIfNegative val="0"/>
          <c:cat>
            <c:numRef>
              <c:f>('2006 Sampling'!$AP$90,'2006 Sampling'!$AR$90,'2006 Sampling'!$AT$90,'2006 Sampling'!$AV$90,'2006 Sampling'!$AX$90)</c:f>
              <c:numCache>
                <c:formatCode>General</c:formatCode>
                <c:ptCount val="5"/>
              </c:numCache>
            </c:numRef>
          </c:cat>
          <c:val>
            <c:numRef>
              <c:f>('2006 Sampling'!$AQ$95,'2006 Sampling'!$AS$95,'2006 Sampling'!$AU$95,'2006 Sampling'!$AW$95,'2006 Sampling'!$AY$95)</c:f>
              <c:numCache>
                <c:formatCode>General</c:formatCode>
                <c:ptCount val="5"/>
              </c:numCache>
            </c:numRef>
          </c:val>
          <c:extLst>
            <c:ext xmlns:c16="http://schemas.microsoft.com/office/drawing/2014/chart" uri="{C3380CC4-5D6E-409C-BE32-E72D297353CC}">
              <c16:uniqueId val="{00000004-ED3B-4462-9333-AAEDCB63F406}"/>
            </c:ext>
          </c:extLst>
        </c:ser>
        <c:ser>
          <c:idx val="0"/>
          <c:order val="5"/>
          <c:tx>
            <c:strRef>
              <c:f>'2006 Sampling'!$AO$96</c:f>
              <c:strCache>
                <c:ptCount val="1"/>
              </c:strCache>
            </c:strRef>
          </c:tx>
          <c:spPr>
            <a:solidFill>
              <a:srgbClr val="FF0000"/>
            </a:solidFill>
            <a:ln w="12700">
              <a:solidFill>
                <a:srgbClr val="FF0000"/>
              </a:solidFill>
              <a:prstDash val="solid"/>
            </a:ln>
          </c:spPr>
          <c:invertIfNegative val="0"/>
          <c:cat>
            <c:numRef>
              <c:f>('2006 Sampling'!$AP$90,'2006 Sampling'!$AR$90,'2006 Sampling'!$AT$90,'2006 Sampling'!$AV$90,'2006 Sampling'!$AX$90)</c:f>
              <c:numCache>
                <c:formatCode>General</c:formatCode>
                <c:ptCount val="5"/>
              </c:numCache>
            </c:numRef>
          </c:cat>
          <c:val>
            <c:numRef>
              <c:f>('2006 Sampling'!$AQ$96,'2006 Sampling'!$AS$96,'2006 Sampling'!$AU$96,'2006 Sampling'!$AW$96,'2006 Sampling'!$AY$96)</c:f>
              <c:numCache>
                <c:formatCode>General</c:formatCode>
                <c:ptCount val="5"/>
              </c:numCache>
            </c:numRef>
          </c:val>
          <c:extLst>
            <c:ext xmlns:c16="http://schemas.microsoft.com/office/drawing/2014/chart" uri="{C3380CC4-5D6E-409C-BE32-E72D297353CC}">
              <c16:uniqueId val="{00000005-ED3B-4462-9333-AAEDCB63F406}"/>
            </c:ext>
          </c:extLst>
        </c:ser>
        <c:dLbls>
          <c:showLegendKey val="0"/>
          <c:showVal val="0"/>
          <c:showCatName val="0"/>
          <c:showSerName val="0"/>
          <c:showPercent val="0"/>
          <c:showBubbleSize val="0"/>
        </c:dLbls>
        <c:gapWidth val="150"/>
        <c:axId val="509256544"/>
        <c:axId val="509254584"/>
      </c:barChart>
      <c:catAx>
        <c:axId val="5092565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509254584"/>
        <c:crosses val="autoZero"/>
        <c:auto val="1"/>
        <c:lblAlgn val="ctr"/>
        <c:lblOffset val="100"/>
        <c:tickLblSkip val="1"/>
        <c:tickMarkSkip val="1"/>
        <c:noMultiLvlLbl val="0"/>
      </c:catAx>
      <c:valAx>
        <c:axId val="509254584"/>
        <c:scaling>
          <c:orientation val="minMax"/>
          <c:max val="25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50925654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Sampling'!$AN$99</c:f>
              <c:strCache>
                <c:ptCount val="1"/>
              </c:strCache>
            </c:strRef>
          </c:tx>
          <c:spPr>
            <a:solidFill>
              <a:srgbClr val="0000FF"/>
            </a:solidFill>
            <a:ln w="12700">
              <a:solidFill>
                <a:srgbClr val="0000FF"/>
              </a:solidFill>
              <a:prstDash val="solid"/>
            </a:ln>
          </c:spPr>
          <c:invertIfNegative val="0"/>
          <c:cat>
            <c:numRef>
              <c:f>'2006 Sampling'!$AO$90:$AX$90</c:f>
              <c:numCache>
                <c:formatCode>General</c:formatCode>
                <c:ptCount val="10"/>
              </c:numCache>
            </c:numRef>
          </c:cat>
          <c:val>
            <c:numRef>
              <c:f>'2006 Sampling'!$AO$99:$AX$99</c:f>
              <c:numCache>
                <c:formatCode>General</c:formatCode>
                <c:ptCount val="10"/>
              </c:numCache>
            </c:numRef>
          </c:val>
          <c:extLst>
            <c:ext xmlns:c16="http://schemas.microsoft.com/office/drawing/2014/chart" uri="{C3380CC4-5D6E-409C-BE32-E72D297353CC}">
              <c16:uniqueId val="{00000000-0C8D-4BB8-B4F5-7F9CDDF79C42}"/>
            </c:ext>
          </c:extLst>
        </c:ser>
        <c:ser>
          <c:idx val="1"/>
          <c:order val="1"/>
          <c:tx>
            <c:strRef>
              <c:f>'2006 Sampling'!$AN$100</c:f>
              <c:strCache>
                <c:ptCount val="1"/>
              </c:strCache>
            </c:strRef>
          </c:tx>
          <c:spPr>
            <a:solidFill>
              <a:srgbClr val="FF0000"/>
            </a:solidFill>
            <a:ln w="12700">
              <a:solidFill>
                <a:srgbClr val="FF0000"/>
              </a:solidFill>
              <a:prstDash val="solid"/>
            </a:ln>
          </c:spPr>
          <c:invertIfNegative val="0"/>
          <c:cat>
            <c:numRef>
              <c:f>'2006 Sampling'!$AO$90:$AX$90</c:f>
              <c:numCache>
                <c:formatCode>General</c:formatCode>
                <c:ptCount val="10"/>
              </c:numCache>
            </c:numRef>
          </c:cat>
          <c:val>
            <c:numRef>
              <c:f>'2006 Sampling'!$AO$100:$AX$100</c:f>
              <c:numCache>
                <c:formatCode>General</c:formatCode>
                <c:ptCount val="10"/>
              </c:numCache>
            </c:numRef>
          </c:val>
          <c:extLst>
            <c:ext xmlns:c16="http://schemas.microsoft.com/office/drawing/2014/chart" uri="{C3380CC4-5D6E-409C-BE32-E72D297353CC}">
              <c16:uniqueId val="{00000001-0C8D-4BB8-B4F5-7F9CDDF79C42}"/>
            </c:ext>
          </c:extLst>
        </c:ser>
        <c:dLbls>
          <c:showLegendKey val="0"/>
          <c:showVal val="0"/>
          <c:showCatName val="0"/>
          <c:showSerName val="0"/>
          <c:showPercent val="0"/>
          <c:showBubbleSize val="0"/>
        </c:dLbls>
        <c:gapWidth val="10"/>
        <c:axId val="509257720"/>
        <c:axId val="509258112"/>
      </c:barChart>
      <c:catAx>
        <c:axId val="5092577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509258112"/>
        <c:crosses val="autoZero"/>
        <c:auto val="1"/>
        <c:lblAlgn val="ctr"/>
        <c:lblOffset val="100"/>
        <c:tickLblSkip val="1"/>
        <c:tickMarkSkip val="1"/>
        <c:noMultiLvlLbl val="0"/>
      </c:catAx>
      <c:valAx>
        <c:axId val="50925811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509257720"/>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Sampling'!$BC$29</c:f>
              <c:strCache>
                <c:ptCount val="1"/>
              </c:strCache>
            </c:strRef>
          </c:tx>
          <c:spPr>
            <a:solidFill>
              <a:srgbClr val="800080"/>
            </a:solidFill>
            <a:ln w="12700">
              <a:solidFill>
                <a:srgbClr val="800080"/>
              </a:solidFill>
              <a:prstDash val="solid"/>
            </a:ln>
          </c:spPr>
          <c:invertIfNegative val="0"/>
          <c:cat>
            <c:numRef>
              <c:f>'2006 Sampling'!$BD$28:$BQ$28</c:f>
              <c:numCache>
                <c:formatCode>General</c:formatCode>
                <c:ptCount val="14"/>
              </c:numCache>
            </c:numRef>
          </c:cat>
          <c:val>
            <c:numRef>
              <c:f>'2006 Sampling'!$BD$29:$BQ$29</c:f>
              <c:numCache>
                <c:formatCode>General</c:formatCode>
                <c:ptCount val="14"/>
              </c:numCache>
            </c:numRef>
          </c:val>
          <c:extLst>
            <c:ext xmlns:c16="http://schemas.microsoft.com/office/drawing/2014/chart" uri="{C3380CC4-5D6E-409C-BE32-E72D297353CC}">
              <c16:uniqueId val="{00000000-8E33-47FD-B5BB-F1BE7701AB84}"/>
            </c:ext>
          </c:extLst>
        </c:ser>
        <c:ser>
          <c:idx val="1"/>
          <c:order val="1"/>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1-8E33-47FD-B5BB-F1BE7701AB84}"/>
            </c:ext>
          </c:extLst>
        </c:ser>
        <c:ser>
          <c:idx val="2"/>
          <c:order val="2"/>
          <c:tx>
            <c:strRef>
              <c:f>'2006 Sampling'!$BC$31</c:f>
              <c:strCache>
                <c:ptCount val="1"/>
              </c:strCache>
            </c:strRef>
          </c:tx>
          <c:spPr>
            <a:solidFill>
              <a:srgbClr val="FF00FF"/>
            </a:solidFill>
            <a:ln w="12700">
              <a:solidFill>
                <a:srgbClr val="FF00FF"/>
              </a:solidFill>
              <a:prstDash val="solid"/>
            </a:ln>
          </c:spPr>
          <c:invertIfNegative val="0"/>
          <c:cat>
            <c:numRef>
              <c:f>'2006 Sampling'!$BD$28:$BQ$28</c:f>
              <c:numCache>
                <c:formatCode>General</c:formatCode>
                <c:ptCount val="14"/>
              </c:numCache>
            </c:numRef>
          </c:cat>
          <c:val>
            <c:numRef>
              <c:f>'2006 Sampling'!$BD$31:$BQ$31</c:f>
              <c:numCache>
                <c:formatCode>General</c:formatCode>
                <c:ptCount val="14"/>
              </c:numCache>
            </c:numRef>
          </c:val>
          <c:extLst>
            <c:ext xmlns:c16="http://schemas.microsoft.com/office/drawing/2014/chart" uri="{C3380CC4-5D6E-409C-BE32-E72D297353CC}">
              <c16:uniqueId val="{00000002-8E33-47FD-B5BB-F1BE7701AB84}"/>
            </c:ext>
          </c:extLst>
        </c:ser>
        <c:ser>
          <c:idx val="3"/>
          <c:order val="3"/>
          <c:tx>
            <c:strRef>
              <c:f>'2006 Sampling'!$BC$32</c:f>
              <c:strCache>
                <c:ptCount val="1"/>
              </c:strCache>
            </c:strRef>
          </c:tx>
          <c:spPr>
            <a:solidFill>
              <a:srgbClr val="008000"/>
            </a:solidFill>
            <a:ln w="12700">
              <a:solidFill>
                <a:srgbClr val="008000"/>
              </a:solidFill>
              <a:prstDash val="solid"/>
            </a:ln>
          </c:spPr>
          <c:invertIfNegative val="0"/>
          <c:cat>
            <c:numRef>
              <c:f>'2006 Sampling'!$BD$28:$BQ$28</c:f>
              <c:numCache>
                <c:formatCode>General</c:formatCode>
                <c:ptCount val="14"/>
              </c:numCache>
            </c:numRef>
          </c:cat>
          <c:val>
            <c:numRef>
              <c:f>'2006 Sampling'!$BD$32:$BQ$32</c:f>
              <c:numCache>
                <c:formatCode>General</c:formatCode>
                <c:ptCount val="14"/>
              </c:numCache>
            </c:numRef>
          </c:val>
          <c:extLst>
            <c:ext xmlns:c16="http://schemas.microsoft.com/office/drawing/2014/chart" uri="{C3380CC4-5D6E-409C-BE32-E72D297353CC}">
              <c16:uniqueId val="{00000003-8E33-47FD-B5BB-F1BE7701AB84}"/>
            </c:ext>
          </c:extLst>
        </c:ser>
        <c:ser>
          <c:idx val="4"/>
          <c:order val="4"/>
          <c:tx>
            <c:strRef>
              <c:f>'2006 Sampling'!$BC$34</c:f>
              <c:strCache>
                <c:ptCount val="1"/>
              </c:strCache>
            </c:strRef>
          </c:tx>
          <c:spPr>
            <a:solidFill>
              <a:srgbClr val="000080"/>
            </a:solidFill>
            <a:ln w="12700">
              <a:solidFill>
                <a:srgbClr val="000080"/>
              </a:solidFill>
              <a:prstDash val="solid"/>
            </a:ln>
          </c:spPr>
          <c:invertIfNegative val="0"/>
          <c:cat>
            <c:numRef>
              <c:f>'2006 Sampling'!$BD$28:$BQ$28</c:f>
              <c:numCache>
                <c:formatCode>General</c:formatCode>
                <c:ptCount val="14"/>
              </c:numCache>
            </c:numRef>
          </c:cat>
          <c:val>
            <c:numRef>
              <c:f>'2006 Sampling'!$BD$34:$BQ$34</c:f>
              <c:numCache>
                <c:formatCode>General</c:formatCode>
                <c:ptCount val="14"/>
              </c:numCache>
            </c:numRef>
          </c:val>
          <c:extLst>
            <c:ext xmlns:c16="http://schemas.microsoft.com/office/drawing/2014/chart" uri="{C3380CC4-5D6E-409C-BE32-E72D297353CC}">
              <c16:uniqueId val="{00000004-8E33-47FD-B5BB-F1BE7701AB84}"/>
            </c:ext>
          </c:extLst>
        </c:ser>
        <c:ser>
          <c:idx val="5"/>
          <c:order val="5"/>
          <c:tx>
            <c:strRef>
              <c:f>'2006 Sampling'!$BC$35</c:f>
              <c:strCache>
                <c:ptCount val="1"/>
              </c:strCache>
            </c:strRef>
          </c:tx>
          <c:spPr>
            <a:solidFill>
              <a:srgbClr val="FF0000"/>
            </a:solidFill>
            <a:ln w="12700">
              <a:solidFill>
                <a:srgbClr val="FF0000"/>
              </a:solidFill>
              <a:prstDash val="solid"/>
            </a:ln>
          </c:spPr>
          <c:invertIfNegative val="0"/>
          <c:cat>
            <c:numRef>
              <c:f>'2006 Sampling'!$BD$28:$BQ$28</c:f>
              <c:numCache>
                <c:formatCode>General</c:formatCode>
                <c:ptCount val="14"/>
              </c:numCache>
            </c:numRef>
          </c:cat>
          <c:val>
            <c:numRef>
              <c:f>'2006 Sampling'!$BD$35:$BQ$35</c:f>
              <c:numCache>
                <c:formatCode>General</c:formatCode>
                <c:ptCount val="14"/>
              </c:numCache>
            </c:numRef>
          </c:val>
          <c:extLst>
            <c:ext xmlns:c16="http://schemas.microsoft.com/office/drawing/2014/chart" uri="{C3380CC4-5D6E-409C-BE32-E72D297353CC}">
              <c16:uniqueId val="{00000005-8E33-47FD-B5BB-F1BE7701AB84}"/>
            </c:ext>
          </c:extLst>
        </c:ser>
        <c:dLbls>
          <c:showLegendKey val="0"/>
          <c:showVal val="0"/>
          <c:showCatName val="0"/>
          <c:showSerName val="0"/>
          <c:showPercent val="0"/>
          <c:showBubbleSize val="0"/>
        </c:dLbls>
        <c:gapWidth val="25"/>
        <c:axId val="509260072"/>
        <c:axId val="509254192"/>
      </c:barChart>
      <c:catAx>
        <c:axId val="509260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 b="0" i="0" u="none" strike="noStrike" baseline="0">
                <a:solidFill>
                  <a:srgbClr val="000000"/>
                </a:solidFill>
                <a:latin typeface="Arial"/>
                <a:ea typeface="Arial"/>
                <a:cs typeface="Arial"/>
              </a:defRPr>
            </a:pPr>
            <a:endParaRPr lang="en-US"/>
          </a:p>
        </c:txPr>
        <c:crossAx val="509254192"/>
        <c:crosses val="autoZero"/>
        <c:auto val="1"/>
        <c:lblAlgn val="ctr"/>
        <c:lblOffset val="100"/>
        <c:tickLblSkip val="2"/>
        <c:tickMarkSkip val="1"/>
        <c:noMultiLvlLbl val="0"/>
      </c:catAx>
      <c:valAx>
        <c:axId val="50925419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50926007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18D2-4E84-9DB5-C38CB1C090D1}"/>
            </c:ext>
          </c:extLst>
        </c:ser>
        <c:ser>
          <c:idx val="1"/>
          <c:order val="1"/>
          <c:tx>
            <c:strRef>
              <c:f>'2006 Sampling'!$AN$18</c:f>
              <c:strCache>
                <c:ptCount val="1"/>
              </c:strCache>
            </c:strRef>
          </c:tx>
          <c:spPr>
            <a:solidFill>
              <a:srgbClr val="FF00FF"/>
            </a:solidFill>
            <a:ln w="12700">
              <a:solidFill>
                <a:srgbClr val="FF00FF"/>
              </a:solidFill>
              <a:prstDash val="solid"/>
            </a:ln>
          </c:spPr>
          <c:invertIfNegative val="0"/>
          <c:val>
            <c:numRef>
              <c:f>'2006 Sampling'!$AO$18:$BB$18</c:f>
              <c:numCache>
                <c:formatCode>General</c:formatCode>
                <c:ptCount val="14"/>
              </c:numCache>
            </c:numRef>
          </c:val>
          <c:extLst>
            <c:ext xmlns:c16="http://schemas.microsoft.com/office/drawing/2014/chart" uri="{C3380CC4-5D6E-409C-BE32-E72D297353CC}">
              <c16:uniqueId val="{00000001-18D2-4E84-9DB5-C38CB1C090D1}"/>
            </c:ext>
          </c:extLst>
        </c:ser>
        <c:ser>
          <c:idx val="2"/>
          <c:order val="2"/>
          <c:tx>
            <c:strRef>
              <c:f>'2006 Sampling'!$AN$19</c:f>
              <c:strCache>
                <c:ptCount val="1"/>
              </c:strCache>
            </c:strRef>
          </c:tx>
          <c:spPr>
            <a:solidFill>
              <a:srgbClr val="008000"/>
            </a:solidFill>
            <a:ln w="12700">
              <a:solidFill>
                <a:srgbClr val="008000"/>
              </a:solidFill>
              <a:prstDash val="solid"/>
            </a:ln>
          </c:spPr>
          <c:invertIfNegative val="0"/>
          <c:val>
            <c:numRef>
              <c:f>'2006 Sampling'!$AO$19:$BB$19</c:f>
              <c:numCache>
                <c:formatCode>General</c:formatCode>
                <c:ptCount val="14"/>
              </c:numCache>
            </c:numRef>
          </c:val>
          <c:extLst>
            <c:ext xmlns:c16="http://schemas.microsoft.com/office/drawing/2014/chart" uri="{C3380CC4-5D6E-409C-BE32-E72D297353CC}">
              <c16:uniqueId val="{00000002-18D2-4E84-9DB5-C38CB1C090D1}"/>
            </c:ext>
          </c:extLst>
        </c:ser>
        <c:dLbls>
          <c:showLegendKey val="0"/>
          <c:showVal val="0"/>
          <c:showCatName val="0"/>
          <c:showSerName val="0"/>
          <c:showPercent val="0"/>
          <c:showBubbleSize val="0"/>
        </c:dLbls>
        <c:gapWidth val="150"/>
        <c:axId val="494063632"/>
        <c:axId val="494062064"/>
      </c:barChart>
      <c:catAx>
        <c:axId val="49406363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4062064"/>
        <c:crosses val="autoZero"/>
        <c:auto val="1"/>
        <c:lblAlgn val="ctr"/>
        <c:lblOffset val="100"/>
        <c:tickLblSkip val="2"/>
        <c:tickMarkSkip val="1"/>
        <c:noMultiLvlLbl val="0"/>
      </c:catAx>
      <c:valAx>
        <c:axId val="494062064"/>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363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 b="0" i="0" u="none" strike="noStrike" baseline="0">
              <a:solidFill>
                <a:srgbClr val="000000"/>
              </a:solidFill>
              <a:latin typeface="Arial"/>
              <a:ea typeface="Arial"/>
              <a:cs typeface="Arial"/>
            </a:defRPr>
          </a:pPr>
          <a:endParaRPr lang="en-US"/>
        </a:p>
      </c:txPr>
    </c:title>
    <c:autoTitleDeleted val="0"/>
    <c:plotArea>
      <c:layout/>
      <c:barChart>
        <c:barDir val="col"/>
        <c:grouping val="clustered"/>
        <c:varyColors val="0"/>
        <c:ser>
          <c:idx val="0"/>
          <c:order val="0"/>
          <c:tx>
            <c:strRef>
              <c:f>'2006 Sampling'!$BR$27</c:f>
              <c:strCache>
                <c:ptCount val="1"/>
              </c:strCache>
            </c:strRef>
          </c:tx>
          <c:spPr>
            <a:solidFill>
              <a:srgbClr val="0000FF"/>
            </a:solidFill>
            <a:ln w="12700">
              <a:solidFill>
                <a:srgbClr val="0000FF"/>
              </a:solidFill>
              <a:prstDash val="solid"/>
            </a:ln>
          </c:spPr>
          <c:invertIfNegative val="0"/>
          <c:cat>
            <c:numRef>
              <c:f>'2006 Sampling'!$BC$29:$BC$35</c:f>
              <c:numCache>
                <c:formatCode>General</c:formatCode>
                <c:ptCount val="7"/>
              </c:numCache>
            </c:numRef>
          </c:cat>
          <c:val>
            <c:numRef>
              <c:f>'2006 Sampling'!$BR$29:$BR$35</c:f>
              <c:numCache>
                <c:formatCode>General</c:formatCode>
                <c:ptCount val="7"/>
              </c:numCache>
            </c:numRef>
          </c:val>
          <c:extLst>
            <c:ext xmlns:c16="http://schemas.microsoft.com/office/drawing/2014/chart" uri="{C3380CC4-5D6E-409C-BE32-E72D297353CC}">
              <c16:uniqueId val="{00000000-7BCF-4FEC-85CA-832CD987C41D}"/>
            </c:ext>
          </c:extLst>
        </c:ser>
        <c:dLbls>
          <c:showLegendKey val="0"/>
          <c:showVal val="0"/>
          <c:showCatName val="0"/>
          <c:showSerName val="0"/>
          <c:showPercent val="0"/>
          <c:showBubbleSize val="0"/>
        </c:dLbls>
        <c:gapWidth val="150"/>
        <c:axId val="509258504"/>
        <c:axId val="509257328"/>
      </c:barChart>
      <c:catAx>
        <c:axId val="509258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509257328"/>
        <c:crosses val="autoZero"/>
        <c:auto val="1"/>
        <c:lblAlgn val="ctr"/>
        <c:lblOffset val="100"/>
        <c:tickLblSkip val="1"/>
        <c:tickMarkSkip val="1"/>
        <c:noMultiLvlLbl val="0"/>
      </c:catAx>
      <c:valAx>
        <c:axId val="50925732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509258504"/>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3BF8-4924-A6B5-5712065F9E95}"/>
            </c:ext>
          </c:extLst>
        </c:ser>
        <c:ser>
          <c:idx val="1"/>
          <c:order val="1"/>
          <c:tx>
            <c:strRef>
              <c:f>'2006 Sampling'!$AN$18</c:f>
              <c:strCache>
                <c:ptCount val="1"/>
              </c:strCache>
            </c:strRef>
          </c:tx>
          <c:spPr>
            <a:solidFill>
              <a:srgbClr val="FF00FF"/>
            </a:solidFill>
            <a:ln w="12700">
              <a:solidFill>
                <a:srgbClr val="FF00FF"/>
              </a:solidFill>
              <a:prstDash val="solid"/>
            </a:ln>
          </c:spPr>
          <c:invertIfNegative val="0"/>
          <c:cat>
            <c:numRef>
              <c:f>'2006 Sampling'!$AO$10:$BB$10</c:f>
              <c:numCache>
                <c:formatCode>General</c:formatCode>
                <c:ptCount val="14"/>
              </c:numCache>
            </c:numRef>
          </c:cat>
          <c:val>
            <c:numRef>
              <c:f>'2006 Sampling'!$AO$18:$BB$18</c:f>
              <c:numCache>
                <c:formatCode>General</c:formatCode>
                <c:ptCount val="14"/>
              </c:numCache>
            </c:numRef>
          </c:val>
          <c:extLst>
            <c:ext xmlns:c16="http://schemas.microsoft.com/office/drawing/2014/chart" uri="{C3380CC4-5D6E-409C-BE32-E72D297353CC}">
              <c16:uniqueId val="{00000001-3BF8-4924-A6B5-5712065F9E95}"/>
            </c:ext>
          </c:extLst>
        </c:ser>
        <c:ser>
          <c:idx val="2"/>
          <c:order val="2"/>
          <c:tx>
            <c:strRef>
              <c:f>'2006 Sampling'!$AN$19</c:f>
              <c:strCache>
                <c:ptCount val="1"/>
              </c:strCache>
            </c:strRef>
          </c:tx>
          <c:spPr>
            <a:solidFill>
              <a:srgbClr val="008000"/>
            </a:solidFill>
            <a:ln w="12700">
              <a:solidFill>
                <a:srgbClr val="008000"/>
              </a:solidFill>
              <a:prstDash val="solid"/>
            </a:ln>
          </c:spPr>
          <c:invertIfNegative val="0"/>
          <c:cat>
            <c:numRef>
              <c:f>'2006 Sampling'!$AO$10:$BB$10</c:f>
              <c:numCache>
                <c:formatCode>General</c:formatCode>
                <c:ptCount val="14"/>
              </c:numCache>
            </c:numRef>
          </c:cat>
          <c:val>
            <c:numRef>
              <c:f>'2006 Sampling'!$AO$19:$BB$19</c:f>
              <c:numCache>
                <c:formatCode>General</c:formatCode>
                <c:ptCount val="14"/>
              </c:numCache>
            </c:numRef>
          </c:val>
          <c:extLst>
            <c:ext xmlns:c16="http://schemas.microsoft.com/office/drawing/2014/chart" uri="{C3380CC4-5D6E-409C-BE32-E72D297353CC}">
              <c16:uniqueId val="{00000002-3BF8-4924-A6B5-5712065F9E95}"/>
            </c:ext>
          </c:extLst>
        </c:ser>
        <c:ser>
          <c:idx val="3"/>
          <c:order val="3"/>
          <c:tx>
            <c:strRef>
              <c:f>'2006 Sampling'!$AN$20</c:f>
              <c:strCache>
                <c:ptCount val="1"/>
              </c:strCache>
            </c:strRef>
          </c:tx>
          <c:spPr>
            <a:solidFill>
              <a:srgbClr val="000080"/>
            </a:solidFill>
            <a:ln w="12700">
              <a:solidFill>
                <a:srgbClr val="000080"/>
              </a:solidFill>
              <a:prstDash val="solid"/>
            </a:ln>
          </c:spPr>
          <c:invertIfNegative val="0"/>
          <c:cat>
            <c:numRef>
              <c:f>'2006 Sampling'!$AO$10:$BB$10</c:f>
              <c:numCache>
                <c:formatCode>General</c:formatCode>
                <c:ptCount val="14"/>
              </c:numCache>
            </c:numRef>
          </c:cat>
          <c:val>
            <c:numRef>
              <c:f>'2006 Sampling'!$AO$20:$BB$20</c:f>
              <c:numCache>
                <c:formatCode>General</c:formatCode>
                <c:ptCount val="14"/>
              </c:numCache>
            </c:numRef>
          </c:val>
          <c:extLst>
            <c:ext xmlns:c16="http://schemas.microsoft.com/office/drawing/2014/chart" uri="{C3380CC4-5D6E-409C-BE32-E72D297353CC}">
              <c16:uniqueId val="{00000003-3BF8-4924-A6B5-5712065F9E95}"/>
            </c:ext>
          </c:extLst>
        </c:ser>
        <c:ser>
          <c:idx val="4"/>
          <c:order val="4"/>
          <c:tx>
            <c:strRef>
              <c:f>'2006 Sampling'!$AN$21</c:f>
              <c:strCache>
                <c:ptCount val="1"/>
              </c:strCache>
            </c:strRef>
          </c:tx>
          <c:spPr>
            <a:solidFill>
              <a:srgbClr val="FF0000"/>
            </a:solidFill>
            <a:ln w="12700">
              <a:solidFill>
                <a:srgbClr val="FF0000"/>
              </a:solidFill>
              <a:prstDash val="solid"/>
            </a:ln>
          </c:spPr>
          <c:invertIfNegative val="0"/>
          <c:cat>
            <c:numRef>
              <c:f>'2006 Sampling'!$AO$10:$BB$10</c:f>
              <c:numCache>
                <c:formatCode>General</c:formatCode>
                <c:ptCount val="14"/>
              </c:numCache>
            </c:numRef>
          </c:cat>
          <c:val>
            <c:numRef>
              <c:f>'2006 Sampling'!$AO$21:$BB$21</c:f>
              <c:numCache>
                <c:formatCode>General</c:formatCode>
                <c:ptCount val="14"/>
              </c:numCache>
            </c:numRef>
          </c:val>
          <c:extLst>
            <c:ext xmlns:c16="http://schemas.microsoft.com/office/drawing/2014/chart" uri="{C3380CC4-5D6E-409C-BE32-E72D297353CC}">
              <c16:uniqueId val="{00000004-3BF8-4924-A6B5-5712065F9E95}"/>
            </c:ext>
          </c:extLst>
        </c:ser>
        <c:dLbls>
          <c:showLegendKey val="0"/>
          <c:showVal val="0"/>
          <c:showCatName val="0"/>
          <c:showSerName val="0"/>
          <c:showPercent val="0"/>
          <c:showBubbleSize val="0"/>
        </c:dLbls>
        <c:gapWidth val="150"/>
        <c:axId val="509258896"/>
        <c:axId val="509259680"/>
      </c:barChart>
      <c:catAx>
        <c:axId val="509258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509259680"/>
        <c:crosses val="autoZero"/>
        <c:auto val="1"/>
        <c:lblAlgn val="ctr"/>
        <c:lblOffset val="100"/>
        <c:tickLblSkip val="4"/>
        <c:tickMarkSkip val="1"/>
        <c:noMultiLvlLbl val="0"/>
      </c:catAx>
      <c:valAx>
        <c:axId val="50925968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09258896"/>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05E1-4D72-AAAC-C22AFAEFD93D}"/>
            </c:ext>
          </c:extLst>
        </c:ser>
        <c:ser>
          <c:idx val="1"/>
          <c:order val="1"/>
          <c:tx>
            <c:strRef>
              <c:f>'2006 Sampling'!$AN$18</c:f>
              <c:strCache>
                <c:ptCount val="1"/>
              </c:strCache>
            </c:strRef>
          </c:tx>
          <c:spPr>
            <a:solidFill>
              <a:srgbClr val="FF00FF"/>
            </a:solidFill>
            <a:ln w="12700">
              <a:solidFill>
                <a:srgbClr val="FF00FF"/>
              </a:solidFill>
              <a:prstDash val="solid"/>
            </a:ln>
          </c:spPr>
          <c:invertIfNegative val="0"/>
          <c:val>
            <c:numRef>
              <c:f>'2006 Sampling'!$AO$18:$BB$18</c:f>
              <c:numCache>
                <c:formatCode>General</c:formatCode>
                <c:ptCount val="14"/>
              </c:numCache>
            </c:numRef>
          </c:val>
          <c:extLst>
            <c:ext xmlns:c16="http://schemas.microsoft.com/office/drawing/2014/chart" uri="{C3380CC4-5D6E-409C-BE32-E72D297353CC}">
              <c16:uniqueId val="{00000001-05E1-4D72-AAAC-C22AFAEFD93D}"/>
            </c:ext>
          </c:extLst>
        </c:ser>
        <c:ser>
          <c:idx val="2"/>
          <c:order val="2"/>
          <c:tx>
            <c:strRef>
              <c:f>'2006 Sampling'!$AN$19</c:f>
              <c:strCache>
                <c:ptCount val="1"/>
              </c:strCache>
            </c:strRef>
          </c:tx>
          <c:spPr>
            <a:solidFill>
              <a:srgbClr val="008000"/>
            </a:solidFill>
            <a:ln w="12700">
              <a:solidFill>
                <a:srgbClr val="008000"/>
              </a:solidFill>
              <a:prstDash val="solid"/>
            </a:ln>
          </c:spPr>
          <c:invertIfNegative val="0"/>
          <c:val>
            <c:numRef>
              <c:f>'2006 Sampling'!$AO$19:$BB$19</c:f>
              <c:numCache>
                <c:formatCode>General</c:formatCode>
                <c:ptCount val="14"/>
              </c:numCache>
            </c:numRef>
          </c:val>
          <c:extLst>
            <c:ext xmlns:c16="http://schemas.microsoft.com/office/drawing/2014/chart" uri="{C3380CC4-5D6E-409C-BE32-E72D297353CC}">
              <c16:uniqueId val="{00000002-05E1-4D72-AAAC-C22AFAEFD93D}"/>
            </c:ext>
          </c:extLst>
        </c:ser>
        <c:dLbls>
          <c:showLegendKey val="0"/>
          <c:showVal val="0"/>
          <c:showCatName val="0"/>
          <c:showSerName val="0"/>
          <c:showPercent val="0"/>
          <c:showBubbleSize val="0"/>
        </c:dLbls>
        <c:gapWidth val="150"/>
        <c:axId val="509248704"/>
        <c:axId val="509249880"/>
      </c:barChart>
      <c:catAx>
        <c:axId val="50924870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509249880"/>
        <c:crosses val="autoZero"/>
        <c:auto val="1"/>
        <c:lblAlgn val="ctr"/>
        <c:lblOffset val="100"/>
        <c:tickLblSkip val="2"/>
        <c:tickMarkSkip val="1"/>
        <c:noMultiLvlLbl val="0"/>
      </c:catAx>
      <c:valAx>
        <c:axId val="50924988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0924870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0-7B81-48C3-AF4F-10D2941D6BBE}"/>
            </c:ext>
          </c:extLst>
        </c:ser>
        <c:ser>
          <c:idx val="1"/>
          <c:order val="1"/>
          <c:tx>
            <c:strRef>
              <c:f>'2006 Sampling'!$BC$31</c:f>
              <c:strCache>
                <c:ptCount val="1"/>
              </c:strCache>
            </c:strRef>
          </c:tx>
          <c:spPr>
            <a:solidFill>
              <a:srgbClr val="FF00FF"/>
            </a:solidFill>
            <a:ln w="12700">
              <a:solidFill>
                <a:srgbClr val="FF00FF"/>
              </a:solidFill>
              <a:prstDash val="solid"/>
            </a:ln>
          </c:spPr>
          <c:invertIfNegative val="0"/>
          <c:val>
            <c:numRef>
              <c:f>'2006 Sampling'!$BD$31:$BQ$31</c:f>
              <c:numCache>
                <c:formatCode>General</c:formatCode>
                <c:ptCount val="14"/>
              </c:numCache>
            </c:numRef>
          </c:val>
          <c:extLst>
            <c:ext xmlns:c16="http://schemas.microsoft.com/office/drawing/2014/chart" uri="{C3380CC4-5D6E-409C-BE32-E72D297353CC}">
              <c16:uniqueId val="{00000001-7B81-48C3-AF4F-10D2941D6BBE}"/>
            </c:ext>
          </c:extLst>
        </c:ser>
        <c:ser>
          <c:idx val="2"/>
          <c:order val="2"/>
          <c:tx>
            <c:strRef>
              <c:f>'2006 Sampling'!$BC$32</c:f>
              <c:strCache>
                <c:ptCount val="1"/>
              </c:strCache>
            </c:strRef>
          </c:tx>
          <c:spPr>
            <a:solidFill>
              <a:srgbClr val="008000"/>
            </a:solidFill>
            <a:ln w="12700">
              <a:solidFill>
                <a:srgbClr val="008000"/>
              </a:solidFill>
              <a:prstDash val="solid"/>
            </a:ln>
          </c:spPr>
          <c:invertIfNegative val="0"/>
          <c:val>
            <c:numRef>
              <c:f>'2006 Sampling'!$BD$32:$BQ$32</c:f>
              <c:numCache>
                <c:formatCode>General</c:formatCode>
                <c:ptCount val="14"/>
              </c:numCache>
            </c:numRef>
          </c:val>
          <c:extLst>
            <c:ext xmlns:c16="http://schemas.microsoft.com/office/drawing/2014/chart" uri="{C3380CC4-5D6E-409C-BE32-E72D297353CC}">
              <c16:uniqueId val="{00000002-7B81-48C3-AF4F-10D2941D6BBE}"/>
            </c:ext>
          </c:extLst>
        </c:ser>
        <c:ser>
          <c:idx val="3"/>
          <c:order val="3"/>
          <c:tx>
            <c:strRef>
              <c:f>'2006 Sampling'!$BC$34</c:f>
              <c:strCache>
                <c:ptCount val="1"/>
              </c:strCache>
            </c:strRef>
          </c:tx>
          <c:spPr>
            <a:solidFill>
              <a:srgbClr val="000080"/>
            </a:solidFill>
            <a:ln w="12700">
              <a:solidFill>
                <a:srgbClr val="000080"/>
              </a:solidFill>
              <a:prstDash val="solid"/>
            </a:ln>
          </c:spPr>
          <c:invertIfNegative val="0"/>
          <c:val>
            <c:numRef>
              <c:f>'2006 Sampling'!$BD$34:$BQ$34</c:f>
              <c:numCache>
                <c:formatCode>General</c:formatCode>
                <c:ptCount val="14"/>
              </c:numCache>
            </c:numRef>
          </c:val>
          <c:extLst>
            <c:ext xmlns:c16="http://schemas.microsoft.com/office/drawing/2014/chart" uri="{C3380CC4-5D6E-409C-BE32-E72D297353CC}">
              <c16:uniqueId val="{00000003-7B81-48C3-AF4F-10D2941D6BBE}"/>
            </c:ext>
          </c:extLst>
        </c:ser>
        <c:ser>
          <c:idx val="4"/>
          <c:order val="4"/>
          <c:tx>
            <c:strRef>
              <c:f>'2006 Sampling'!$BC$35</c:f>
              <c:strCache>
                <c:ptCount val="1"/>
              </c:strCache>
            </c:strRef>
          </c:tx>
          <c:spPr>
            <a:solidFill>
              <a:srgbClr val="FF0000"/>
            </a:solidFill>
            <a:ln w="12700">
              <a:solidFill>
                <a:srgbClr val="FF0000"/>
              </a:solidFill>
              <a:prstDash val="solid"/>
            </a:ln>
          </c:spPr>
          <c:invertIfNegative val="0"/>
          <c:val>
            <c:numRef>
              <c:f>'2006 Sampling'!$BD$35:$BQ$35</c:f>
              <c:numCache>
                <c:formatCode>General</c:formatCode>
                <c:ptCount val="14"/>
              </c:numCache>
            </c:numRef>
          </c:val>
          <c:extLst>
            <c:ext xmlns:c16="http://schemas.microsoft.com/office/drawing/2014/chart" uri="{C3380CC4-5D6E-409C-BE32-E72D297353CC}">
              <c16:uniqueId val="{00000004-7B81-48C3-AF4F-10D2941D6BBE}"/>
            </c:ext>
          </c:extLst>
        </c:ser>
        <c:dLbls>
          <c:showLegendKey val="0"/>
          <c:showVal val="0"/>
          <c:showCatName val="0"/>
          <c:showSerName val="0"/>
          <c:showPercent val="0"/>
          <c:showBubbleSize val="0"/>
        </c:dLbls>
        <c:gapWidth val="75"/>
        <c:axId val="509249096"/>
        <c:axId val="509250664"/>
      </c:barChart>
      <c:catAx>
        <c:axId val="50924909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509250664"/>
        <c:crosses val="autoZero"/>
        <c:auto val="1"/>
        <c:lblAlgn val="ctr"/>
        <c:lblOffset val="100"/>
        <c:tickLblSkip val="2"/>
        <c:tickMarkSkip val="1"/>
        <c:noMultiLvlLbl val="0"/>
      </c:catAx>
      <c:valAx>
        <c:axId val="50925066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09249096"/>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Sampling'!$BI$2</c:f>
              <c:strCache>
                <c:ptCount val="1"/>
              </c:strCache>
            </c:strRef>
          </c:tx>
          <c:spPr>
            <a:solidFill>
              <a:srgbClr val="0000FF"/>
            </a:solidFill>
            <a:ln w="12700">
              <a:solidFill>
                <a:srgbClr val="0000FF"/>
              </a:solidFill>
              <a:prstDash val="solid"/>
            </a:ln>
          </c:spPr>
          <c:invertIfNegative val="0"/>
          <c:cat>
            <c:numRef>
              <c:f>'2006 Sampling'!$BH$3:$BH$8</c:f>
              <c:numCache>
                <c:formatCode>General</c:formatCode>
                <c:ptCount val="6"/>
              </c:numCache>
            </c:numRef>
          </c:cat>
          <c:val>
            <c:numRef>
              <c:f>'2006 Sampling'!$BI$3:$BI$8</c:f>
              <c:numCache>
                <c:formatCode>General</c:formatCode>
                <c:ptCount val="6"/>
              </c:numCache>
            </c:numRef>
          </c:val>
          <c:extLst>
            <c:ext xmlns:c16="http://schemas.microsoft.com/office/drawing/2014/chart" uri="{C3380CC4-5D6E-409C-BE32-E72D297353CC}">
              <c16:uniqueId val="{00000000-187E-4EAE-B81F-A63BCF8D8D06}"/>
            </c:ext>
          </c:extLst>
        </c:ser>
        <c:ser>
          <c:idx val="1"/>
          <c:order val="1"/>
          <c:tx>
            <c:strRef>
              <c:f>'2006 Sampling'!$BJ$2</c:f>
              <c:strCache>
                <c:ptCount val="1"/>
              </c:strCache>
            </c:strRef>
          </c:tx>
          <c:spPr>
            <a:solidFill>
              <a:srgbClr val="FF0000"/>
            </a:solidFill>
            <a:ln w="12700">
              <a:solidFill>
                <a:srgbClr val="FF0000"/>
              </a:solidFill>
              <a:prstDash val="solid"/>
            </a:ln>
          </c:spPr>
          <c:invertIfNegative val="0"/>
          <c:val>
            <c:numRef>
              <c:f>'2006 Sampling'!$BJ$3:$BJ$8</c:f>
              <c:numCache>
                <c:formatCode>General</c:formatCode>
                <c:ptCount val="6"/>
              </c:numCache>
            </c:numRef>
          </c:val>
          <c:extLst>
            <c:ext xmlns:c16="http://schemas.microsoft.com/office/drawing/2014/chart" uri="{C3380CC4-5D6E-409C-BE32-E72D297353CC}">
              <c16:uniqueId val="{00000001-187E-4EAE-B81F-A63BCF8D8D06}"/>
            </c:ext>
          </c:extLst>
        </c:ser>
        <c:dLbls>
          <c:showLegendKey val="0"/>
          <c:showVal val="0"/>
          <c:showCatName val="0"/>
          <c:showSerName val="0"/>
          <c:showPercent val="0"/>
          <c:showBubbleSize val="0"/>
        </c:dLbls>
        <c:gapWidth val="150"/>
        <c:axId val="509253800"/>
        <c:axId val="509251448"/>
      </c:barChart>
      <c:catAx>
        <c:axId val="509253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09251448"/>
        <c:crosses val="autoZero"/>
        <c:auto val="1"/>
        <c:lblAlgn val="ctr"/>
        <c:lblOffset val="100"/>
        <c:tickLblSkip val="1"/>
        <c:tickMarkSkip val="1"/>
        <c:noMultiLvlLbl val="0"/>
      </c:catAx>
      <c:valAx>
        <c:axId val="50925144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09253800"/>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 b="0" i="0" u="none" strike="noStrike" baseline="0">
              <a:solidFill>
                <a:srgbClr val="000000"/>
              </a:solidFill>
              <a:latin typeface="Arial"/>
              <a:ea typeface="Arial"/>
              <a:cs typeface="Arial"/>
            </a:defRPr>
          </a:pPr>
          <a:endParaRPr lang="en-US"/>
        </a:p>
      </c:txPr>
    </c:title>
    <c:autoTitleDeleted val="0"/>
    <c:plotArea>
      <c:layout/>
      <c:barChart>
        <c:barDir val="col"/>
        <c:grouping val="clustered"/>
        <c:varyColors val="0"/>
        <c:ser>
          <c:idx val="0"/>
          <c:order val="0"/>
          <c:tx>
            <c:strRef>
              <c:f>'2006 Sampling'!$BR$27</c:f>
              <c:strCache>
                <c:ptCount val="1"/>
              </c:strCache>
            </c:strRef>
          </c:tx>
          <c:spPr>
            <a:solidFill>
              <a:srgbClr val="0000FF"/>
            </a:solidFill>
            <a:ln w="12700">
              <a:solidFill>
                <a:srgbClr val="0000FF"/>
              </a:solidFill>
              <a:prstDash val="solid"/>
            </a:ln>
          </c:spPr>
          <c:invertIfNegative val="0"/>
          <c:cat>
            <c:numRef>
              <c:f>'2006 Sampling'!$BC$29:$BC$35</c:f>
              <c:numCache>
                <c:formatCode>General</c:formatCode>
                <c:ptCount val="7"/>
              </c:numCache>
            </c:numRef>
          </c:cat>
          <c:val>
            <c:numRef>
              <c:f>'2006 Sampling'!$BR$29:$BR$35</c:f>
              <c:numCache>
                <c:formatCode>General</c:formatCode>
                <c:ptCount val="7"/>
              </c:numCache>
            </c:numRef>
          </c:val>
          <c:extLst>
            <c:ext xmlns:c16="http://schemas.microsoft.com/office/drawing/2014/chart" uri="{C3380CC4-5D6E-409C-BE32-E72D297353CC}">
              <c16:uniqueId val="{00000000-15DA-4359-BCD6-465DBAFBFDAF}"/>
            </c:ext>
          </c:extLst>
        </c:ser>
        <c:dLbls>
          <c:showLegendKey val="0"/>
          <c:showVal val="0"/>
          <c:showCatName val="0"/>
          <c:showSerName val="0"/>
          <c:showPercent val="0"/>
          <c:showBubbleSize val="0"/>
        </c:dLbls>
        <c:gapWidth val="150"/>
        <c:axId val="509251840"/>
        <c:axId val="509252624"/>
      </c:barChart>
      <c:catAx>
        <c:axId val="509251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509252624"/>
        <c:crosses val="autoZero"/>
        <c:auto val="1"/>
        <c:lblAlgn val="ctr"/>
        <c:lblOffset val="100"/>
        <c:tickLblSkip val="1"/>
        <c:tickMarkSkip val="1"/>
        <c:noMultiLvlLbl val="0"/>
      </c:catAx>
      <c:valAx>
        <c:axId val="50925262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509251840"/>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0-687F-43D1-B106-2D30FF037657}"/>
            </c:ext>
          </c:extLst>
        </c:ser>
        <c:ser>
          <c:idx val="1"/>
          <c:order val="1"/>
          <c:tx>
            <c:strRef>
              <c:f>'2006 Sampling'!$BC$31</c:f>
              <c:strCache>
                <c:ptCount val="1"/>
              </c:strCache>
            </c:strRef>
          </c:tx>
          <c:spPr>
            <a:solidFill>
              <a:srgbClr val="FF00FF"/>
            </a:solidFill>
            <a:ln w="12700">
              <a:solidFill>
                <a:srgbClr val="FF00FF"/>
              </a:solidFill>
              <a:prstDash val="solid"/>
            </a:ln>
          </c:spPr>
          <c:invertIfNegative val="0"/>
          <c:val>
            <c:numRef>
              <c:f>'2006 Sampling'!$BD$31:$BQ$31</c:f>
              <c:numCache>
                <c:formatCode>General</c:formatCode>
                <c:ptCount val="14"/>
              </c:numCache>
            </c:numRef>
          </c:val>
          <c:extLst>
            <c:ext xmlns:c16="http://schemas.microsoft.com/office/drawing/2014/chart" uri="{C3380CC4-5D6E-409C-BE32-E72D297353CC}">
              <c16:uniqueId val="{00000001-687F-43D1-B106-2D30FF037657}"/>
            </c:ext>
          </c:extLst>
        </c:ser>
        <c:ser>
          <c:idx val="2"/>
          <c:order val="2"/>
          <c:tx>
            <c:strRef>
              <c:f>'2006 Sampling'!$BC$32</c:f>
              <c:strCache>
                <c:ptCount val="1"/>
              </c:strCache>
            </c:strRef>
          </c:tx>
          <c:spPr>
            <a:solidFill>
              <a:srgbClr val="008000"/>
            </a:solidFill>
            <a:ln w="12700">
              <a:solidFill>
                <a:srgbClr val="008000"/>
              </a:solidFill>
              <a:prstDash val="solid"/>
            </a:ln>
          </c:spPr>
          <c:invertIfNegative val="0"/>
          <c:val>
            <c:numRef>
              <c:f>'2006 Sampling'!$BD$32:$BQ$32</c:f>
              <c:numCache>
                <c:formatCode>General</c:formatCode>
                <c:ptCount val="14"/>
              </c:numCache>
            </c:numRef>
          </c:val>
          <c:extLst>
            <c:ext xmlns:c16="http://schemas.microsoft.com/office/drawing/2014/chart" uri="{C3380CC4-5D6E-409C-BE32-E72D297353CC}">
              <c16:uniqueId val="{00000002-687F-43D1-B106-2D30FF037657}"/>
            </c:ext>
          </c:extLst>
        </c:ser>
        <c:ser>
          <c:idx val="3"/>
          <c:order val="3"/>
          <c:tx>
            <c:strRef>
              <c:f>'2006 Sampling'!$BC$34</c:f>
              <c:strCache>
                <c:ptCount val="1"/>
              </c:strCache>
            </c:strRef>
          </c:tx>
          <c:spPr>
            <a:solidFill>
              <a:srgbClr val="000080"/>
            </a:solidFill>
            <a:ln w="12700">
              <a:solidFill>
                <a:srgbClr val="000080"/>
              </a:solidFill>
              <a:prstDash val="solid"/>
            </a:ln>
          </c:spPr>
          <c:invertIfNegative val="0"/>
          <c:val>
            <c:numRef>
              <c:f>'2006 Sampling'!$BD$34:$BQ$34</c:f>
              <c:numCache>
                <c:formatCode>General</c:formatCode>
                <c:ptCount val="14"/>
              </c:numCache>
            </c:numRef>
          </c:val>
          <c:extLst>
            <c:ext xmlns:c16="http://schemas.microsoft.com/office/drawing/2014/chart" uri="{C3380CC4-5D6E-409C-BE32-E72D297353CC}">
              <c16:uniqueId val="{00000003-687F-43D1-B106-2D30FF037657}"/>
            </c:ext>
          </c:extLst>
        </c:ser>
        <c:ser>
          <c:idx val="4"/>
          <c:order val="4"/>
          <c:tx>
            <c:strRef>
              <c:f>'2006 Sampling'!$BC$35</c:f>
              <c:strCache>
                <c:ptCount val="1"/>
              </c:strCache>
            </c:strRef>
          </c:tx>
          <c:spPr>
            <a:solidFill>
              <a:srgbClr val="FF0000"/>
            </a:solidFill>
            <a:ln w="12700">
              <a:solidFill>
                <a:srgbClr val="FF0000"/>
              </a:solidFill>
              <a:prstDash val="solid"/>
            </a:ln>
          </c:spPr>
          <c:invertIfNegative val="0"/>
          <c:val>
            <c:numRef>
              <c:f>'2006 Sampling'!$BD$35:$BQ$35</c:f>
              <c:numCache>
                <c:formatCode>General</c:formatCode>
                <c:ptCount val="14"/>
              </c:numCache>
            </c:numRef>
          </c:val>
          <c:extLst>
            <c:ext xmlns:c16="http://schemas.microsoft.com/office/drawing/2014/chart" uri="{C3380CC4-5D6E-409C-BE32-E72D297353CC}">
              <c16:uniqueId val="{00000004-687F-43D1-B106-2D30FF037657}"/>
            </c:ext>
          </c:extLst>
        </c:ser>
        <c:dLbls>
          <c:showLegendKey val="0"/>
          <c:showVal val="0"/>
          <c:showCatName val="0"/>
          <c:showSerName val="0"/>
          <c:showPercent val="0"/>
          <c:showBubbleSize val="0"/>
        </c:dLbls>
        <c:gapWidth val="75"/>
        <c:axId val="494065200"/>
        <c:axId val="494062848"/>
      </c:barChart>
      <c:catAx>
        <c:axId val="49406520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4062848"/>
        <c:crosses val="autoZero"/>
        <c:auto val="1"/>
        <c:lblAlgn val="ctr"/>
        <c:lblOffset val="100"/>
        <c:tickLblSkip val="2"/>
        <c:tickMarkSkip val="1"/>
        <c:noMultiLvlLbl val="0"/>
      </c:catAx>
      <c:valAx>
        <c:axId val="49406284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5200"/>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Sampling'!$BI$2</c:f>
              <c:strCache>
                <c:ptCount val="1"/>
              </c:strCache>
            </c:strRef>
          </c:tx>
          <c:spPr>
            <a:solidFill>
              <a:srgbClr val="0000FF"/>
            </a:solidFill>
            <a:ln w="12700">
              <a:solidFill>
                <a:srgbClr val="0000FF"/>
              </a:solidFill>
              <a:prstDash val="solid"/>
            </a:ln>
          </c:spPr>
          <c:invertIfNegative val="0"/>
          <c:cat>
            <c:numRef>
              <c:f>'2006 Sampling'!$BH$3:$BH$8</c:f>
              <c:numCache>
                <c:formatCode>General</c:formatCode>
                <c:ptCount val="6"/>
              </c:numCache>
            </c:numRef>
          </c:cat>
          <c:val>
            <c:numRef>
              <c:f>'2006 Sampling'!$BI$3:$BI$8</c:f>
              <c:numCache>
                <c:formatCode>General</c:formatCode>
                <c:ptCount val="6"/>
              </c:numCache>
            </c:numRef>
          </c:val>
          <c:extLst>
            <c:ext xmlns:c16="http://schemas.microsoft.com/office/drawing/2014/chart" uri="{C3380CC4-5D6E-409C-BE32-E72D297353CC}">
              <c16:uniqueId val="{00000000-0B60-4CC3-AB9D-2BA359513F51}"/>
            </c:ext>
          </c:extLst>
        </c:ser>
        <c:ser>
          <c:idx val="1"/>
          <c:order val="1"/>
          <c:tx>
            <c:strRef>
              <c:f>'2006 Sampling'!$BJ$2</c:f>
              <c:strCache>
                <c:ptCount val="1"/>
              </c:strCache>
            </c:strRef>
          </c:tx>
          <c:spPr>
            <a:solidFill>
              <a:srgbClr val="FF0000"/>
            </a:solidFill>
            <a:ln w="12700">
              <a:solidFill>
                <a:srgbClr val="FF0000"/>
              </a:solidFill>
              <a:prstDash val="solid"/>
            </a:ln>
          </c:spPr>
          <c:invertIfNegative val="0"/>
          <c:val>
            <c:numRef>
              <c:f>'2006 Sampling'!$BJ$3:$BJ$8</c:f>
              <c:numCache>
                <c:formatCode>General</c:formatCode>
                <c:ptCount val="6"/>
              </c:numCache>
            </c:numRef>
          </c:val>
          <c:extLst>
            <c:ext xmlns:c16="http://schemas.microsoft.com/office/drawing/2014/chart" uri="{C3380CC4-5D6E-409C-BE32-E72D297353CC}">
              <c16:uniqueId val="{00000001-0B60-4CC3-AB9D-2BA359513F51}"/>
            </c:ext>
          </c:extLst>
        </c:ser>
        <c:dLbls>
          <c:showLegendKey val="0"/>
          <c:showVal val="0"/>
          <c:showCatName val="0"/>
          <c:showSerName val="0"/>
          <c:showPercent val="0"/>
          <c:showBubbleSize val="0"/>
        </c:dLbls>
        <c:gapWidth val="150"/>
        <c:axId val="494064024"/>
        <c:axId val="494069512"/>
      </c:barChart>
      <c:catAx>
        <c:axId val="4940640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9512"/>
        <c:crosses val="autoZero"/>
        <c:auto val="1"/>
        <c:lblAlgn val="ctr"/>
        <c:lblOffset val="100"/>
        <c:tickLblSkip val="1"/>
        <c:tickMarkSkip val="1"/>
        <c:noMultiLvlLbl val="0"/>
      </c:catAx>
      <c:valAx>
        <c:axId val="49406951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402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 b="0" i="0" u="none" strike="noStrike" baseline="0">
              <a:solidFill>
                <a:srgbClr val="000000"/>
              </a:solidFill>
              <a:latin typeface="Arial"/>
              <a:ea typeface="Arial"/>
              <a:cs typeface="Arial"/>
            </a:defRPr>
          </a:pPr>
          <a:endParaRPr lang="en-US"/>
        </a:p>
      </c:txPr>
    </c:title>
    <c:autoTitleDeleted val="0"/>
    <c:plotArea>
      <c:layout/>
      <c:barChart>
        <c:barDir val="col"/>
        <c:grouping val="clustered"/>
        <c:varyColors val="0"/>
        <c:ser>
          <c:idx val="0"/>
          <c:order val="0"/>
          <c:tx>
            <c:strRef>
              <c:f>'2006 Sampling'!$BR$27</c:f>
              <c:strCache>
                <c:ptCount val="1"/>
              </c:strCache>
            </c:strRef>
          </c:tx>
          <c:spPr>
            <a:solidFill>
              <a:srgbClr val="0000FF"/>
            </a:solidFill>
            <a:ln w="12700">
              <a:solidFill>
                <a:srgbClr val="0000FF"/>
              </a:solidFill>
              <a:prstDash val="solid"/>
            </a:ln>
          </c:spPr>
          <c:invertIfNegative val="0"/>
          <c:cat>
            <c:numRef>
              <c:f>'2006 Sampling'!$BC$29:$BC$35</c:f>
              <c:numCache>
                <c:formatCode>General</c:formatCode>
                <c:ptCount val="7"/>
              </c:numCache>
            </c:numRef>
          </c:cat>
          <c:val>
            <c:numRef>
              <c:f>'2006 Sampling'!$BR$29:$BR$35</c:f>
              <c:numCache>
                <c:formatCode>General</c:formatCode>
                <c:ptCount val="7"/>
              </c:numCache>
            </c:numRef>
          </c:val>
          <c:extLst>
            <c:ext xmlns:c16="http://schemas.microsoft.com/office/drawing/2014/chart" uri="{C3380CC4-5D6E-409C-BE32-E72D297353CC}">
              <c16:uniqueId val="{00000000-B650-463C-BE6C-604A9F5600B4}"/>
            </c:ext>
          </c:extLst>
        </c:ser>
        <c:dLbls>
          <c:showLegendKey val="0"/>
          <c:showVal val="0"/>
          <c:showCatName val="0"/>
          <c:showSerName val="0"/>
          <c:showPercent val="0"/>
          <c:showBubbleSize val="0"/>
        </c:dLbls>
        <c:gapWidth val="150"/>
        <c:axId val="494064808"/>
        <c:axId val="494063240"/>
      </c:barChart>
      <c:catAx>
        <c:axId val="494064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4063240"/>
        <c:crosses val="autoZero"/>
        <c:auto val="1"/>
        <c:lblAlgn val="ctr"/>
        <c:lblOffset val="100"/>
        <c:tickLblSkip val="1"/>
        <c:tickMarkSkip val="1"/>
        <c:noMultiLvlLbl val="0"/>
      </c:catAx>
      <c:valAx>
        <c:axId val="49406324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4064808"/>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4D00-4BA1-B0AE-444DBA893A78}"/>
            </c:ext>
          </c:extLst>
        </c:ser>
        <c:ser>
          <c:idx val="1"/>
          <c:order val="1"/>
          <c:tx>
            <c:strRef>
              <c:f>'2006 Sampling'!$AN$18</c:f>
              <c:strCache>
                <c:ptCount val="1"/>
              </c:strCache>
            </c:strRef>
          </c:tx>
          <c:spPr>
            <a:solidFill>
              <a:srgbClr val="FF00FF"/>
            </a:solidFill>
            <a:ln w="12700">
              <a:solidFill>
                <a:srgbClr val="FF00FF"/>
              </a:solidFill>
              <a:prstDash val="solid"/>
            </a:ln>
          </c:spPr>
          <c:invertIfNegative val="0"/>
          <c:cat>
            <c:numRef>
              <c:f>'2006 Sampling'!$AO$10:$BB$10</c:f>
              <c:numCache>
                <c:formatCode>General</c:formatCode>
                <c:ptCount val="14"/>
              </c:numCache>
            </c:numRef>
          </c:cat>
          <c:val>
            <c:numRef>
              <c:f>'2006 Sampling'!$AO$18:$BB$18</c:f>
              <c:numCache>
                <c:formatCode>General</c:formatCode>
                <c:ptCount val="14"/>
              </c:numCache>
            </c:numRef>
          </c:val>
          <c:extLst>
            <c:ext xmlns:c16="http://schemas.microsoft.com/office/drawing/2014/chart" uri="{C3380CC4-5D6E-409C-BE32-E72D297353CC}">
              <c16:uniqueId val="{00000001-4D00-4BA1-B0AE-444DBA893A78}"/>
            </c:ext>
          </c:extLst>
        </c:ser>
        <c:ser>
          <c:idx val="2"/>
          <c:order val="2"/>
          <c:tx>
            <c:strRef>
              <c:f>'2006 Sampling'!$AN$19</c:f>
              <c:strCache>
                <c:ptCount val="1"/>
              </c:strCache>
            </c:strRef>
          </c:tx>
          <c:spPr>
            <a:solidFill>
              <a:srgbClr val="008000"/>
            </a:solidFill>
            <a:ln w="12700">
              <a:solidFill>
                <a:srgbClr val="008000"/>
              </a:solidFill>
              <a:prstDash val="solid"/>
            </a:ln>
          </c:spPr>
          <c:invertIfNegative val="0"/>
          <c:cat>
            <c:numRef>
              <c:f>'2006 Sampling'!$AO$10:$BB$10</c:f>
              <c:numCache>
                <c:formatCode>General</c:formatCode>
                <c:ptCount val="14"/>
              </c:numCache>
            </c:numRef>
          </c:cat>
          <c:val>
            <c:numRef>
              <c:f>'2006 Sampling'!$AO$19:$BB$19</c:f>
              <c:numCache>
                <c:formatCode>General</c:formatCode>
                <c:ptCount val="14"/>
              </c:numCache>
            </c:numRef>
          </c:val>
          <c:extLst>
            <c:ext xmlns:c16="http://schemas.microsoft.com/office/drawing/2014/chart" uri="{C3380CC4-5D6E-409C-BE32-E72D297353CC}">
              <c16:uniqueId val="{00000002-4D00-4BA1-B0AE-444DBA893A78}"/>
            </c:ext>
          </c:extLst>
        </c:ser>
        <c:ser>
          <c:idx val="3"/>
          <c:order val="3"/>
          <c:tx>
            <c:strRef>
              <c:f>'2006 Sampling'!$AN$20</c:f>
              <c:strCache>
                <c:ptCount val="1"/>
              </c:strCache>
            </c:strRef>
          </c:tx>
          <c:spPr>
            <a:solidFill>
              <a:srgbClr val="000080"/>
            </a:solidFill>
            <a:ln w="12700">
              <a:solidFill>
                <a:srgbClr val="000080"/>
              </a:solidFill>
              <a:prstDash val="solid"/>
            </a:ln>
          </c:spPr>
          <c:invertIfNegative val="0"/>
          <c:cat>
            <c:numRef>
              <c:f>'2006 Sampling'!$AO$10:$BB$10</c:f>
              <c:numCache>
                <c:formatCode>General</c:formatCode>
                <c:ptCount val="14"/>
              </c:numCache>
            </c:numRef>
          </c:cat>
          <c:val>
            <c:numRef>
              <c:f>'2006 Sampling'!$AO$20:$BB$20</c:f>
              <c:numCache>
                <c:formatCode>General</c:formatCode>
                <c:ptCount val="14"/>
              </c:numCache>
            </c:numRef>
          </c:val>
          <c:extLst>
            <c:ext xmlns:c16="http://schemas.microsoft.com/office/drawing/2014/chart" uri="{C3380CC4-5D6E-409C-BE32-E72D297353CC}">
              <c16:uniqueId val="{00000003-4D00-4BA1-B0AE-444DBA893A78}"/>
            </c:ext>
          </c:extLst>
        </c:ser>
        <c:ser>
          <c:idx val="4"/>
          <c:order val="4"/>
          <c:tx>
            <c:strRef>
              <c:f>'2006 Sampling'!$AN$21</c:f>
              <c:strCache>
                <c:ptCount val="1"/>
              </c:strCache>
            </c:strRef>
          </c:tx>
          <c:spPr>
            <a:solidFill>
              <a:srgbClr val="FF0000"/>
            </a:solidFill>
            <a:ln w="12700">
              <a:solidFill>
                <a:srgbClr val="FF0000"/>
              </a:solidFill>
              <a:prstDash val="solid"/>
            </a:ln>
          </c:spPr>
          <c:invertIfNegative val="0"/>
          <c:cat>
            <c:numRef>
              <c:f>'2006 Sampling'!$AO$10:$BB$10</c:f>
              <c:numCache>
                <c:formatCode>General</c:formatCode>
                <c:ptCount val="14"/>
              </c:numCache>
            </c:numRef>
          </c:cat>
          <c:val>
            <c:numRef>
              <c:f>'2006 Sampling'!$AO$21:$BB$21</c:f>
              <c:numCache>
                <c:formatCode>General</c:formatCode>
                <c:ptCount val="14"/>
              </c:numCache>
            </c:numRef>
          </c:val>
          <c:extLst>
            <c:ext xmlns:c16="http://schemas.microsoft.com/office/drawing/2014/chart" uri="{C3380CC4-5D6E-409C-BE32-E72D297353CC}">
              <c16:uniqueId val="{00000004-4D00-4BA1-B0AE-444DBA893A78}"/>
            </c:ext>
          </c:extLst>
        </c:ser>
        <c:dLbls>
          <c:showLegendKey val="0"/>
          <c:showVal val="0"/>
          <c:showCatName val="0"/>
          <c:showSerName val="0"/>
          <c:showPercent val="0"/>
          <c:showBubbleSize val="0"/>
        </c:dLbls>
        <c:gapWidth val="150"/>
        <c:axId val="344733352"/>
        <c:axId val="344735312"/>
      </c:barChart>
      <c:catAx>
        <c:axId val="344733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344735312"/>
        <c:crosses val="autoZero"/>
        <c:auto val="1"/>
        <c:lblAlgn val="ctr"/>
        <c:lblOffset val="100"/>
        <c:tickLblSkip val="4"/>
        <c:tickMarkSkip val="1"/>
        <c:noMultiLvlLbl val="0"/>
      </c:catAx>
      <c:valAx>
        <c:axId val="34473531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34473335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02DC-4FAB-9CA0-8B018C26ABDC}"/>
            </c:ext>
          </c:extLst>
        </c:ser>
        <c:ser>
          <c:idx val="1"/>
          <c:order val="1"/>
          <c:tx>
            <c:strRef>
              <c:f>'2006 Sampling'!$AN$18</c:f>
              <c:strCache>
                <c:ptCount val="1"/>
              </c:strCache>
            </c:strRef>
          </c:tx>
          <c:spPr>
            <a:solidFill>
              <a:srgbClr val="FF00FF"/>
            </a:solidFill>
            <a:ln w="12700">
              <a:solidFill>
                <a:srgbClr val="FF00FF"/>
              </a:solidFill>
              <a:prstDash val="solid"/>
            </a:ln>
          </c:spPr>
          <c:invertIfNegative val="0"/>
          <c:val>
            <c:numRef>
              <c:f>'2006 Sampling'!$AO$18:$BB$18</c:f>
              <c:numCache>
                <c:formatCode>General</c:formatCode>
                <c:ptCount val="14"/>
              </c:numCache>
            </c:numRef>
          </c:val>
          <c:extLst>
            <c:ext xmlns:c16="http://schemas.microsoft.com/office/drawing/2014/chart" uri="{C3380CC4-5D6E-409C-BE32-E72D297353CC}">
              <c16:uniqueId val="{00000001-02DC-4FAB-9CA0-8B018C26ABDC}"/>
            </c:ext>
          </c:extLst>
        </c:ser>
        <c:ser>
          <c:idx val="2"/>
          <c:order val="2"/>
          <c:tx>
            <c:strRef>
              <c:f>'2006 Sampling'!$AN$19</c:f>
              <c:strCache>
                <c:ptCount val="1"/>
              </c:strCache>
            </c:strRef>
          </c:tx>
          <c:spPr>
            <a:solidFill>
              <a:srgbClr val="008000"/>
            </a:solidFill>
            <a:ln w="12700">
              <a:solidFill>
                <a:srgbClr val="008000"/>
              </a:solidFill>
              <a:prstDash val="solid"/>
            </a:ln>
          </c:spPr>
          <c:invertIfNegative val="0"/>
          <c:val>
            <c:numRef>
              <c:f>'2006 Sampling'!$AO$19:$BB$19</c:f>
              <c:numCache>
                <c:formatCode>General</c:formatCode>
                <c:ptCount val="14"/>
              </c:numCache>
            </c:numRef>
          </c:val>
          <c:extLst>
            <c:ext xmlns:c16="http://schemas.microsoft.com/office/drawing/2014/chart" uri="{C3380CC4-5D6E-409C-BE32-E72D297353CC}">
              <c16:uniqueId val="{00000002-02DC-4FAB-9CA0-8B018C26ABDC}"/>
            </c:ext>
          </c:extLst>
        </c:ser>
        <c:dLbls>
          <c:showLegendKey val="0"/>
          <c:showVal val="0"/>
          <c:showCatName val="0"/>
          <c:showSerName val="0"/>
          <c:showPercent val="0"/>
          <c:showBubbleSize val="0"/>
        </c:dLbls>
        <c:gapWidth val="150"/>
        <c:axId val="494063632"/>
        <c:axId val="494062064"/>
      </c:barChart>
      <c:catAx>
        <c:axId val="49406363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4062064"/>
        <c:crosses val="autoZero"/>
        <c:auto val="1"/>
        <c:lblAlgn val="ctr"/>
        <c:lblOffset val="100"/>
        <c:tickLblSkip val="2"/>
        <c:tickMarkSkip val="1"/>
        <c:noMultiLvlLbl val="0"/>
      </c:catAx>
      <c:valAx>
        <c:axId val="494062064"/>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363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0-2694-4E1E-96F6-25F1022B985A}"/>
            </c:ext>
          </c:extLst>
        </c:ser>
        <c:ser>
          <c:idx val="1"/>
          <c:order val="1"/>
          <c:tx>
            <c:strRef>
              <c:f>'2006 Sampling'!$BC$31</c:f>
              <c:strCache>
                <c:ptCount val="1"/>
              </c:strCache>
            </c:strRef>
          </c:tx>
          <c:spPr>
            <a:solidFill>
              <a:srgbClr val="FF00FF"/>
            </a:solidFill>
            <a:ln w="12700">
              <a:solidFill>
                <a:srgbClr val="FF00FF"/>
              </a:solidFill>
              <a:prstDash val="solid"/>
            </a:ln>
          </c:spPr>
          <c:invertIfNegative val="0"/>
          <c:val>
            <c:numRef>
              <c:f>'2006 Sampling'!$BD$31:$BQ$31</c:f>
              <c:numCache>
                <c:formatCode>General</c:formatCode>
                <c:ptCount val="14"/>
              </c:numCache>
            </c:numRef>
          </c:val>
          <c:extLst>
            <c:ext xmlns:c16="http://schemas.microsoft.com/office/drawing/2014/chart" uri="{C3380CC4-5D6E-409C-BE32-E72D297353CC}">
              <c16:uniqueId val="{00000001-2694-4E1E-96F6-25F1022B985A}"/>
            </c:ext>
          </c:extLst>
        </c:ser>
        <c:ser>
          <c:idx val="2"/>
          <c:order val="2"/>
          <c:tx>
            <c:strRef>
              <c:f>'2006 Sampling'!$BC$32</c:f>
              <c:strCache>
                <c:ptCount val="1"/>
              </c:strCache>
            </c:strRef>
          </c:tx>
          <c:spPr>
            <a:solidFill>
              <a:srgbClr val="008000"/>
            </a:solidFill>
            <a:ln w="12700">
              <a:solidFill>
                <a:srgbClr val="008000"/>
              </a:solidFill>
              <a:prstDash val="solid"/>
            </a:ln>
          </c:spPr>
          <c:invertIfNegative val="0"/>
          <c:val>
            <c:numRef>
              <c:f>'2006 Sampling'!$BD$32:$BQ$32</c:f>
              <c:numCache>
                <c:formatCode>General</c:formatCode>
                <c:ptCount val="14"/>
              </c:numCache>
            </c:numRef>
          </c:val>
          <c:extLst>
            <c:ext xmlns:c16="http://schemas.microsoft.com/office/drawing/2014/chart" uri="{C3380CC4-5D6E-409C-BE32-E72D297353CC}">
              <c16:uniqueId val="{00000002-2694-4E1E-96F6-25F1022B985A}"/>
            </c:ext>
          </c:extLst>
        </c:ser>
        <c:ser>
          <c:idx val="3"/>
          <c:order val="3"/>
          <c:tx>
            <c:strRef>
              <c:f>'2006 Sampling'!$BC$34</c:f>
              <c:strCache>
                <c:ptCount val="1"/>
              </c:strCache>
            </c:strRef>
          </c:tx>
          <c:spPr>
            <a:solidFill>
              <a:srgbClr val="000080"/>
            </a:solidFill>
            <a:ln w="12700">
              <a:solidFill>
                <a:srgbClr val="000080"/>
              </a:solidFill>
              <a:prstDash val="solid"/>
            </a:ln>
          </c:spPr>
          <c:invertIfNegative val="0"/>
          <c:val>
            <c:numRef>
              <c:f>'2006 Sampling'!$BD$34:$BQ$34</c:f>
              <c:numCache>
                <c:formatCode>General</c:formatCode>
                <c:ptCount val="14"/>
              </c:numCache>
            </c:numRef>
          </c:val>
          <c:extLst>
            <c:ext xmlns:c16="http://schemas.microsoft.com/office/drawing/2014/chart" uri="{C3380CC4-5D6E-409C-BE32-E72D297353CC}">
              <c16:uniqueId val="{00000003-2694-4E1E-96F6-25F1022B985A}"/>
            </c:ext>
          </c:extLst>
        </c:ser>
        <c:ser>
          <c:idx val="4"/>
          <c:order val="4"/>
          <c:tx>
            <c:strRef>
              <c:f>'2006 Sampling'!$BC$35</c:f>
              <c:strCache>
                <c:ptCount val="1"/>
              </c:strCache>
            </c:strRef>
          </c:tx>
          <c:spPr>
            <a:solidFill>
              <a:srgbClr val="FF0000"/>
            </a:solidFill>
            <a:ln w="12700">
              <a:solidFill>
                <a:srgbClr val="FF0000"/>
              </a:solidFill>
              <a:prstDash val="solid"/>
            </a:ln>
          </c:spPr>
          <c:invertIfNegative val="0"/>
          <c:val>
            <c:numRef>
              <c:f>'2006 Sampling'!$BD$35:$BQ$35</c:f>
              <c:numCache>
                <c:formatCode>General</c:formatCode>
                <c:ptCount val="14"/>
              </c:numCache>
            </c:numRef>
          </c:val>
          <c:extLst>
            <c:ext xmlns:c16="http://schemas.microsoft.com/office/drawing/2014/chart" uri="{C3380CC4-5D6E-409C-BE32-E72D297353CC}">
              <c16:uniqueId val="{00000004-2694-4E1E-96F6-25F1022B985A}"/>
            </c:ext>
          </c:extLst>
        </c:ser>
        <c:dLbls>
          <c:showLegendKey val="0"/>
          <c:showVal val="0"/>
          <c:showCatName val="0"/>
          <c:showSerName val="0"/>
          <c:showPercent val="0"/>
          <c:showBubbleSize val="0"/>
        </c:dLbls>
        <c:gapWidth val="75"/>
        <c:axId val="494065200"/>
        <c:axId val="494062848"/>
      </c:barChart>
      <c:catAx>
        <c:axId val="49406520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4062848"/>
        <c:crosses val="autoZero"/>
        <c:auto val="1"/>
        <c:lblAlgn val="ctr"/>
        <c:lblOffset val="100"/>
        <c:tickLblSkip val="2"/>
        <c:tickMarkSkip val="1"/>
        <c:noMultiLvlLbl val="0"/>
      </c:catAx>
      <c:valAx>
        <c:axId val="49406284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5200"/>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Sampling'!$BI$2</c:f>
              <c:strCache>
                <c:ptCount val="1"/>
              </c:strCache>
            </c:strRef>
          </c:tx>
          <c:spPr>
            <a:solidFill>
              <a:srgbClr val="0000FF"/>
            </a:solidFill>
            <a:ln w="12700">
              <a:solidFill>
                <a:srgbClr val="0000FF"/>
              </a:solidFill>
              <a:prstDash val="solid"/>
            </a:ln>
          </c:spPr>
          <c:invertIfNegative val="0"/>
          <c:cat>
            <c:numRef>
              <c:f>'2006 Sampling'!$BH$3:$BH$8</c:f>
              <c:numCache>
                <c:formatCode>General</c:formatCode>
                <c:ptCount val="6"/>
              </c:numCache>
            </c:numRef>
          </c:cat>
          <c:val>
            <c:numRef>
              <c:f>'2006 Sampling'!$BI$3:$BI$8</c:f>
              <c:numCache>
                <c:formatCode>General</c:formatCode>
                <c:ptCount val="6"/>
              </c:numCache>
            </c:numRef>
          </c:val>
          <c:extLst>
            <c:ext xmlns:c16="http://schemas.microsoft.com/office/drawing/2014/chart" uri="{C3380CC4-5D6E-409C-BE32-E72D297353CC}">
              <c16:uniqueId val="{00000000-F419-4816-95F6-DD021DEA4CA5}"/>
            </c:ext>
          </c:extLst>
        </c:ser>
        <c:ser>
          <c:idx val="1"/>
          <c:order val="1"/>
          <c:tx>
            <c:strRef>
              <c:f>'2006 Sampling'!$BJ$2</c:f>
              <c:strCache>
                <c:ptCount val="1"/>
              </c:strCache>
            </c:strRef>
          </c:tx>
          <c:spPr>
            <a:solidFill>
              <a:srgbClr val="FF0000"/>
            </a:solidFill>
            <a:ln w="12700">
              <a:solidFill>
                <a:srgbClr val="FF0000"/>
              </a:solidFill>
              <a:prstDash val="solid"/>
            </a:ln>
          </c:spPr>
          <c:invertIfNegative val="0"/>
          <c:val>
            <c:numRef>
              <c:f>'2006 Sampling'!$BJ$3:$BJ$8</c:f>
              <c:numCache>
                <c:formatCode>General</c:formatCode>
                <c:ptCount val="6"/>
              </c:numCache>
            </c:numRef>
          </c:val>
          <c:extLst>
            <c:ext xmlns:c16="http://schemas.microsoft.com/office/drawing/2014/chart" uri="{C3380CC4-5D6E-409C-BE32-E72D297353CC}">
              <c16:uniqueId val="{00000001-F419-4816-95F6-DD021DEA4CA5}"/>
            </c:ext>
          </c:extLst>
        </c:ser>
        <c:dLbls>
          <c:showLegendKey val="0"/>
          <c:showVal val="0"/>
          <c:showCatName val="0"/>
          <c:showSerName val="0"/>
          <c:showPercent val="0"/>
          <c:showBubbleSize val="0"/>
        </c:dLbls>
        <c:gapWidth val="150"/>
        <c:axId val="494064024"/>
        <c:axId val="494069512"/>
      </c:barChart>
      <c:catAx>
        <c:axId val="4940640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9512"/>
        <c:crosses val="autoZero"/>
        <c:auto val="1"/>
        <c:lblAlgn val="ctr"/>
        <c:lblOffset val="100"/>
        <c:tickLblSkip val="1"/>
        <c:tickMarkSkip val="1"/>
        <c:noMultiLvlLbl val="0"/>
      </c:catAx>
      <c:valAx>
        <c:axId val="49406951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402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1E2B-49B1-9920-5B8D2A05FB59}"/>
            </c:ext>
          </c:extLst>
        </c:ser>
        <c:ser>
          <c:idx val="1"/>
          <c:order val="1"/>
          <c:tx>
            <c:strRef>
              <c:f>'2006 Sampling'!$AN$18</c:f>
              <c:strCache>
                <c:ptCount val="1"/>
              </c:strCache>
            </c:strRef>
          </c:tx>
          <c:spPr>
            <a:solidFill>
              <a:srgbClr val="FF00FF"/>
            </a:solidFill>
            <a:ln w="12700">
              <a:solidFill>
                <a:srgbClr val="FF00FF"/>
              </a:solidFill>
              <a:prstDash val="solid"/>
            </a:ln>
          </c:spPr>
          <c:invertIfNegative val="0"/>
          <c:val>
            <c:numRef>
              <c:f>'2006 Sampling'!$AO$18:$BB$18</c:f>
              <c:numCache>
                <c:formatCode>General</c:formatCode>
                <c:ptCount val="14"/>
              </c:numCache>
            </c:numRef>
          </c:val>
          <c:extLst>
            <c:ext xmlns:c16="http://schemas.microsoft.com/office/drawing/2014/chart" uri="{C3380CC4-5D6E-409C-BE32-E72D297353CC}">
              <c16:uniqueId val="{00000001-1E2B-49B1-9920-5B8D2A05FB59}"/>
            </c:ext>
          </c:extLst>
        </c:ser>
        <c:ser>
          <c:idx val="2"/>
          <c:order val="2"/>
          <c:tx>
            <c:strRef>
              <c:f>'2006 Sampling'!$AN$19</c:f>
              <c:strCache>
                <c:ptCount val="1"/>
              </c:strCache>
            </c:strRef>
          </c:tx>
          <c:spPr>
            <a:solidFill>
              <a:srgbClr val="008000"/>
            </a:solidFill>
            <a:ln w="12700">
              <a:solidFill>
                <a:srgbClr val="008000"/>
              </a:solidFill>
              <a:prstDash val="solid"/>
            </a:ln>
          </c:spPr>
          <c:invertIfNegative val="0"/>
          <c:val>
            <c:numRef>
              <c:f>'2006 Sampling'!$AO$19:$BB$19</c:f>
              <c:numCache>
                <c:formatCode>General</c:formatCode>
                <c:ptCount val="14"/>
              </c:numCache>
            </c:numRef>
          </c:val>
          <c:extLst>
            <c:ext xmlns:c16="http://schemas.microsoft.com/office/drawing/2014/chart" uri="{C3380CC4-5D6E-409C-BE32-E72D297353CC}">
              <c16:uniqueId val="{00000002-1E2B-49B1-9920-5B8D2A05FB59}"/>
            </c:ext>
          </c:extLst>
        </c:ser>
        <c:dLbls>
          <c:showLegendKey val="0"/>
          <c:showVal val="0"/>
          <c:showCatName val="0"/>
          <c:showSerName val="0"/>
          <c:showPercent val="0"/>
          <c:showBubbleSize val="0"/>
        </c:dLbls>
        <c:gapWidth val="150"/>
        <c:axId val="494063632"/>
        <c:axId val="494062064"/>
      </c:barChart>
      <c:catAx>
        <c:axId val="49406363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4062064"/>
        <c:crosses val="autoZero"/>
        <c:auto val="1"/>
        <c:lblAlgn val="ctr"/>
        <c:lblOffset val="100"/>
        <c:tickLblSkip val="2"/>
        <c:tickMarkSkip val="1"/>
        <c:noMultiLvlLbl val="0"/>
      </c:catAx>
      <c:valAx>
        <c:axId val="494062064"/>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363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 b="0" i="0" u="none" strike="noStrike" baseline="0">
              <a:solidFill>
                <a:srgbClr val="000000"/>
              </a:solidFill>
              <a:latin typeface="Arial"/>
              <a:ea typeface="Arial"/>
              <a:cs typeface="Arial"/>
            </a:defRPr>
          </a:pPr>
          <a:endParaRPr lang="en-US"/>
        </a:p>
      </c:txPr>
    </c:title>
    <c:autoTitleDeleted val="0"/>
    <c:plotArea>
      <c:layout/>
      <c:barChart>
        <c:barDir val="col"/>
        <c:grouping val="clustered"/>
        <c:varyColors val="0"/>
        <c:ser>
          <c:idx val="0"/>
          <c:order val="0"/>
          <c:tx>
            <c:strRef>
              <c:f>'2006 Sampling'!$BR$27</c:f>
              <c:strCache>
                <c:ptCount val="1"/>
              </c:strCache>
            </c:strRef>
          </c:tx>
          <c:spPr>
            <a:solidFill>
              <a:srgbClr val="0000FF"/>
            </a:solidFill>
            <a:ln w="12700">
              <a:solidFill>
                <a:srgbClr val="0000FF"/>
              </a:solidFill>
              <a:prstDash val="solid"/>
            </a:ln>
          </c:spPr>
          <c:invertIfNegative val="0"/>
          <c:cat>
            <c:numRef>
              <c:f>'2006 Sampling'!$BC$29:$BC$35</c:f>
              <c:numCache>
                <c:formatCode>General</c:formatCode>
                <c:ptCount val="7"/>
              </c:numCache>
            </c:numRef>
          </c:cat>
          <c:val>
            <c:numRef>
              <c:f>'2006 Sampling'!$BR$29:$BR$35</c:f>
              <c:numCache>
                <c:formatCode>General</c:formatCode>
                <c:ptCount val="7"/>
              </c:numCache>
            </c:numRef>
          </c:val>
          <c:extLst>
            <c:ext xmlns:c16="http://schemas.microsoft.com/office/drawing/2014/chart" uri="{C3380CC4-5D6E-409C-BE32-E72D297353CC}">
              <c16:uniqueId val="{00000000-F4B1-4469-865E-A04894910535}"/>
            </c:ext>
          </c:extLst>
        </c:ser>
        <c:dLbls>
          <c:showLegendKey val="0"/>
          <c:showVal val="0"/>
          <c:showCatName val="0"/>
          <c:showSerName val="0"/>
          <c:showPercent val="0"/>
          <c:showBubbleSize val="0"/>
        </c:dLbls>
        <c:gapWidth val="150"/>
        <c:axId val="494064808"/>
        <c:axId val="494063240"/>
      </c:barChart>
      <c:catAx>
        <c:axId val="494064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4063240"/>
        <c:crosses val="autoZero"/>
        <c:auto val="1"/>
        <c:lblAlgn val="ctr"/>
        <c:lblOffset val="100"/>
        <c:tickLblSkip val="1"/>
        <c:tickMarkSkip val="1"/>
        <c:noMultiLvlLbl val="0"/>
      </c:catAx>
      <c:valAx>
        <c:axId val="49406324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4064808"/>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E8C3-487B-B6FB-1A09D1DCD48C}"/>
            </c:ext>
          </c:extLst>
        </c:ser>
        <c:ser>
          <c:idx val="1"/>
          <c:order val="1"/>
          <c:tx>
            <c:strRef>
              <c:f>'2006 Sampling'!$AN$18</c:f>
              <c:strCache>
                <c:ptCount val="1"/>
              </c:strCache>
            </c:strRef>
          </c:tx>
          <c:spPr>
            <a:solidFill>
              <a:srgbClr val="FF00FF"/>
            </a:solidFill>
            <a:ln w="12700">
              <a:solidFill>
                <a:srgbClr val="FF00FF"/>
              </a:solidFill>
              <a:prstDash val="solid"/>
            </a:ln>
          </c:spPr>
          <c:invertIfNegative val="0"/>
          <c:cat>
            <c:numRef>
              <c:f>'2006 Sampling'!$AO$10:$BB$10</c:f>
              <c:numCache>
                <c:formatCode>General</c:formatCode>
                <c:ptCount val="14"/>
              </c:numCache>
            </c:numRef>
          </c:cat>
          <c:val>
            <c:numRef>
              <c:f>'2006 Sampling'!$AO$18:$BB$18</c:f>
              <c:numCache>
                <c:formatCode>General</c:formatCode>
                <c:ptCount val="14"/>
              </c:numCache>
            </c:numRef>
          </c:val>
          <c:extLst>
            <c:ext xmlns:c16="http://schemas.microsoft.com/office/drawing/2014/chart" uri="{C3380CC4-5D6E-409C-BE32-E72D297353CC}">
              <c16:uniqueId val="{00000001-E8C3-487B-B6FB-1A09D1DCD48C}"/>
            </c:ext>
          </c:extLst>
        </c:ser>
        <c:ser>
          <c:idx val="2"/>
          <c:order val="2"/>
          <c:tx>
            <c:strRef>
              <c:f>'2006 Sampling'!$AN$19</c:f>
              <c:strCache>
                <c:ptCount val="1"/>
              </c:strCache>
            </c:strRef>
          </c:tx>
          <c:spPr>
            <a:solidFill>
              <a:srgbClr val="008000"/>
            </a:solidFill>
            <a:ln w="12700">
              <a:solidFill>
                <a:srgbClr val="008000"/>
              </a:solidFill>
              <a:prstDash val="solid"/>
            </a:ln>
          </c:spPr>
          <c:invertIfNegative val="0"/>
          <c:cat>
            <c:numRef>
              <c:f>'2006 Sampling'!$AO$10:$BB$10</c:f>
              <c:numCache>
                <c:formatCode>General</c:formatCode>
                <c:ptCount val="14"/>
              </c:numCache>
            </c:numRef>
          </c:cat>
          <c:val>
            <c:numRef>
              <c:f>'2006 Sampling'!$AO$19:$BB$19</c:f>
              <c:numCache>
                <c:formatCode>General</c:formatCode>
                <c:ptCount val="14"/>
              </c:numCache>
            </c:numRef>
          </c:val>
          <c:extLst>
            <c:ext xmlns:c16="http://schemas.microsoft.com/office/drawing/2014/chart" uri="{C3380CC4-5D6E-409C-BE32-E72D297353CC}">
              <c16:uniqueId val="{00000002-E8C3-487B-B6FB-1A09D1DCD48C}"/>
            </c:ext>
          </c:extLst>
        </c:ser>
        <c:ser>
          <c:idx val="3"/>
          <c:order val="3"/>
          <c:tx>
            <c:strRef>
              <c:f>'2006 Sampling'!$AN$20</c:f>
              <c:strCache>
                <c:ptCount val="1"/>
              </c:strCache>
            </c:strRef>
          </c:tx>
          <c:spPr>
            <a:solidFill>
              <a:srgbClr val="000080"/>
            </a:solidFill>
            <a:ln w="12700">
              <a:solidFill>
                <a:srgbClr val="000080"/>
              </a:solidFill>
              <a:prstDash val="solid"/>
            </a:ln>
          </c:spPr>
          <c:invertIfNegative val="0"/>
          <c:cat>
            <c:numRef>
              <c:f>'2006 Sampling'!$AO$10:$BB$10</c:f>
              <c:numCache>
                <c:formatCode>General</c:formatCode>
                <c:ptCount val="14"/>
              </c:numCache>
            </c:numRef>
          </c:cat>
          <c:val>
            <c:numRef>
              <c:f>'2006 Sampling'!$AO$20:$BB$20</c:f>
              <c:numCache>
                <c:formatCode>General</c:formatCode>
                <c:ptCount val="14"/>
              </c:numCache>
            </c:numRef>
          </c:val>
          <c:extLst>
            <c:ext xmlns:c16="http://schemas.microsoft.com/office/drawing/2014/chart" uri="{C3380CC4-5D6E-409C-BE32-E72D297353CC}">
              <c16:uniqueId val="{00000003-E8C3-487B-B6FB-1A09D1DCD48C}"/>
            </c:ext>
          </c:extLst>
        </c:ser>
        <c:ser>
          <c:idx val="4"/>
          <c:order val="4"/>
          <c:tx>
            <c:strRef>
              <c:f>'2006 Sampling'!$AN$21</c:f>
              <c:strCache>
                <c:ptCount val="1"/>
              </c:strCache>
            </c:strRef>
          </c:tx>
          <c:spPr>
            <a:solidFill>
              <a:srgbClr val="FF0000"/>
            </a:solidFill>
            <a:ln w="12700">
              <a:solidFill>
                <a:srgbClr val="FF0000"/>
              </a:solidFill>
              <a:prstDash val="solid"/>
            </a:ln>
          </c:spPr>
          <c:invertIfNegative val="0"/>
          <c:cat>
            <c:numRef>
              <c:f>'2006 Sampling'!$AO$10:$BB$10</c:f>
              <c:numCache>
                <c:formatCode>General</c:formatCode>
                <c:ptCount val="14"/>
              </c:numCache>
            </c:numRef>
          </c:cat>
          <c:val>
            <c:numRef>
              <c:f>'2006 Sampling'!$AO$21:$BB$21</c:f>
              <c:numCache>
                <c:formatCode>General</c:formatCode>
                <c:ptCount val="14"/>
              </c:numCache>
            </c:numRef>
          </c:val>
          <c:extLst>
            <c:ext xmlns:c16="http://schemas.microsoft.com/office/drawing/2014/chart" uri="{C3380CC4-5D6E-409C-BE32-E72D297353CC}">
              <c16:uniqueId val="{00000004-E8C3-487B-B6FB-1A09D1DCD48C}"/>
            </c:ext>
          </c:extLst>
        </c:ser>
        <c:dLbls>
          <c:showLegendKey val="0"/>
          <c:showVal val="0"/>
          <c:showCatName val="0"/>
          <c:showSerName val="0"/>
          <c:showPercent val="0"/>
          <c:showBubbleSize val="0"/>
        </c:dLbls>
        <c:gapWidth val="150"/>
        <c:axId val="344733352"/>
        <c:axId val="344735312"/>
      </c:barChart>
      <c:catAx>
        <c:axId val="344733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344735312"/>
        <c:crosses val="autoZero"/>
        <c:auto val="1"/>
        <c:lblAlgn val="ctr"/>
        <c:lblOffset val="100"/>
        <c:tickLblSkip val="4"/>
        <c:tickMarkSkip val="1"/>
        <c:noMultiLvlLbl val="0"/>
      </c:catAx>
      <c:valAx>
        <c:axId val="34473531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34473335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1FE3-47ED-8FC9-F35CA2E2DEE5}"/>
            </c:ext>
          </c:extLst>
        </c:ser>
        <c:ser>
          <c:idx val="1"/>
          <c:order val="1"/>
          <c:tx>
            <c:strRef>
              <c:f>'2006 Sampling'!$AN$18</c:f>
              <c:strCache>
                <c:ptCount val="1"/>
              </c:strCache>
            </c:strRef>
          </c:tx>
          <c:spPr>
            <a:solidFill>
              <a:srgbClr val="FF00FF"/>
            </a:solidFill>
            <a:ln w="12700">
              <a:solidFill>
                <a:srgbClr val="FF00FF"/>
              </a:solidFill>
              <a:prstDash val="solid"/>
            </a:ln>
          </c:spPr>
          <c:invertIfNegative val="0"/>
          <c:val>
            <c:numRef>
              <c:f>'2006 Sampling'!$AO$18:$BB$18</c:f>
              <c:numCache>
                <c:formatCode>General</c:formatCode>
                <c:ptCount val="14"/>
              </c:numCache>
            </c:numRef>
          </c:val>
          <c:extLst>
            <c:ext xmlns:c16="http://schemas.microsoft.com/office/drawing/2014/chart" uri="{C3380CC4-5D6E-409C-BE32-E72D297353CC}">
              <c16:uniqueId val="{00000001-1FE3-47ED-8FC9-F35CA2E2DEE5}"/>
            </c:ext>
          </c:extLst>
        </c:ser>
        <c:ser>
          <c:idx val="2"/>
          <c:order val="2"/>
          <c:tx>
            <c:strRef>
              <c:f>'2006 Sampling'!$AN$19</c:f>
              <c:strCache>
                <c:ptCount val="1"/>
              </c:strCache>
            </c:strRef>
          </c:tx>
          <c:spPr>
            <a:solidFill>
              <a:srgbClr val="008000"/>
            </a:solidFill>
            <a:ln w="12700">
              <a:solidFill>
                <a:srgbClr val="008000"/>
              </a:solidFill>
              <a:prstDash val="solid"/>
            </a:ln>
          </c:spPr>
          <c:invertIfNegative val="0"/>
          <c:val>
            <c:numRef>
              <c:f>'2006 Sampling'!$AO$19:$BB$19</c:f>
              <c:numCache>
                <c:formatCode>General</c:formatCode>
                <c:ptCount val="14"/>
              </c:numCache>
            </c:numRef>
          </c:val>
          <c:extLst>
            <c:ext xmlns:c16="http://schemas.microsoft.com/office/drawing/2014/chart" uri="{C3380CC4-5D6E-409C-BE32-E72D297353CC}">
              <c16:uniqueId val="{00000002-1FE3-47ED-8FC9-F35CA2E2DEE5}"/>
            </c:ext>
          </c:extLst>
        </c:ser>
        <c:dLbls>
          <c:showLegendKey val="0"/>
          <c:showVal val="0"/>
          <c:showCatName val="0"/>
          <c:showSerName val="0"/>
          <c:showPercent val="0"/>
          <c:showBubbleSize val="0"/>
        </c:dLbls>
        <c:gapWidth val="150"/>
        <c:axId val="494063632"/>
        <c:axId val="494062064"/>
      </c:barChart>
      <c:catAx>
        <c:axId val="49406363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4062064"/>
        <c:crosses val="autoZero"/>
        <c:auto val="1"/>
        <c:lblAlgn val="ctr"/>
        <c:lblOffset val="100"/>
        <c:tickLblSkip val="2"/>
        <c:tickMarkSkip val="1"/>
        <c:noMultiLvlLbl val="0"/>
      </c:catAx>
      <c:valAx>
        <c:axId val="494062064"/>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363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0-329D-470C-B76E-A1F614670AA3}"/>
            </c:ext>
          </c:extLst>
        </c:ser>
        <c:ser>
          <c:idx val="1"/>
          <c:order val="1"/>
          <c:tx>
            <c:strRef>
              <c:f>'2006 Sampling'!$BC$31</c:f>
              <c:strCache>
                <c:ptCount val="1"/>
              </c:strCache>
            </c:strRef>
          </c:tx>
          <c:spPr>
            <a:solidFill>
              <a:srgbClr val="FF00FF"/>
            </a:solidFill>
            <a:ln w="12700">
              <a:solidFill>
                <a:srgbClr val="FF00FF"/>
              </a:solidFill>
              <a:prstDash val="solid"/>
            </a:ln>
          </c:spPr>
          <c:invertIfNegative val="0"/>
          <c:val>
            <c:numRef>
              <c:f>'2006 Sampling'!$BD$31:$BQ$31</c:f>
              <c:numCache>
                <c:formatCode>General</c:formatCode>
                <c:ptCount val="14"/>
              </c:numCache>
            </c:numRef>
          </c:val>
          <c:extLst>
            <c:ext xmlns:c16="http://schemas.microsoft.com/office/drawing/2014/chart" uri="{C3380CC4-5D6E-409C-BE32-E72D297353CC}">
              <c16:uniqueId val="{00000001-329D-470C-B76E-A1F614670AA3}"/>
            </c:ext>
          </c:extLst>
        </c:ser>
        <c:ser>
          <c:idx val="2"/>
          <c:order val="2"/>
          <c:tx>
            <c:strRef>
              <c:f>'2006 Sampling'!$BC$32</c:f>
              <c:strCache>
                <c:ptCount val="1"/>
              </c:strCache>
            </c:strRef>
          </c:tx>
          <c:spPr>
            <a:solidFill>
              <a:srgbClr val="008000"/>
            </a:solidFill>
            <a:ln w="12700">
              <a:solidFill>
                <a:srgbClr val="008000"/>
              </a:solidFill>
              <a:prstDash val="solid"/>
            </a:ln>
          </c:spPr>
          <c:invertIfNegative val="0"/>
          <c:val>
            <c:numRef>
              <c:f>'2006 Sampling'!$BD$32:$BQ$32</c:f>
              <c:numCache>
                <c:formatCode>General</c:formatCode>
                <c:ptCount val="14"/>
              </c:numCache>
            </c:numRef>
          </c:val>
          <c:extLst>
            <c:ext xmlns:c16="http://schemas.microsoft.com/office/drawing/2014/chart" uri="{C3380CC4-5D6E-409C-BE32-E72D297353CC}">
              <c16:uniqueId val="{00000002-329D-470C-B76E-A1F614670AA3}"/>
            </c:ext>
          </c:extLst>
        </c:ser>
        <c:ser>
          <c:idx val="3"/>
          <c:order val="3"/>
          <c:tx>
            <c:strRef>
              <c:f>'2006 Sampling'!$BC$34</c:f>
              <c:strCache>
                <c:ptCount val="1"/>
              </c:strCache>
            </c:strRef>
          </c:tx>
          <c:spPr>
            <a:solidFill>
              <a:srgbClr val="000080"/>
            </a:solidFill>
            <a:ln w="12700">
              <a:solidFill>
                <a:srgbClr val="000080"/>
              </a:solidFill>
              <a:prstDash val="solid"/>
            </a:ln>
          </c:spPr>
          <c:invertIfNegative val="0"/>
          <c:val>
            <c:numRef>
              <c:f>'2006 Sampling'!$BD$34:$BQ$34</c:f>
              <c:numCache>
                <c:formatCode>General</c:formatCode>
                <c:ptCount val="14"/>
              </c:numCache>
            </c:numRef>
          </c:val>
          <c:extLst>
            <c:ext xmlns:c16="http://schemas.microsoft.com/office/drawing/2014/chart" uri="{C3380CC4-5D6E-409C-BE32-E72D297353CC}">
              <c16:uniqueId val="{00000003-329D-470C-B76E-A1F614670AA3}"/>
            </c:ext>
          </c:extLst>
        </c:ser>
        <c:ser>
          <c:idx val="4"/>
          <c:order val="4"/>
          <c:tx>
            <c:strRef>
              <c:f>'2006 Sampling'!$BC$35</c:f>
              <c:strCache>
                <c:ptCount val="1"/>
              </c:strCache>
            </c:strRef>
          </c:tx>
          <c:spPr>
            <a:solidFill>
              <a:srgbClr val="FF0000"/>
            </a:solidFill>
            <a:ln w="12700">
              <a:solidFill>
                <a:srgbClr val="FF0000"/>
              </a:solidFill>
              <a:prstDash val="solid"/>
            </a:ln>
          </c:spPr>
          <c:invertIfNegative val="0"/>
          <c:val>
            <c:numRef>
              <c:f>'2006 Sampling'!$BD$35:$BQ$35</c:f>
              <c:numCache>
                <c:formatCode>General</c:formatCode>
                <c:ptCount val="14"/>
              </c:numCache>
            </c:numRef>
          </c:val>
          <c:extLst>
            <c:ext xmlns:c16="http://schemas.microsoft.com/office/drawing/2014/chart" uri="{C3380CC4-5D6E-409C-BE32-E72D297353CC}">
              <c16:uniqueId val="{00000004-329D-470C-B76E-A1F614670AA3}"/>
            </c:ext>
          </c:extLst>
        </c:ser>
        <c:dLbls>
          <c:showLegendKey val="0"/>
          <c:showVal val="0"/>
          <c:showCatName val="0"/>
          <c:showSerName val="0"/>
          <c:showPercent val="0"/>
          <c:showBubbleSize val="0"/>
        </c:dLbls>
        <c:gapWidth val="75"/>
        <c:axId val="494065200"/>
        <c:axId val="494062848"/>
      </c:barChart>
      <c:catAx>
        <c:axId val="49406520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4062848"/>
        <c:crosses val="autoZero"/>
        <c:auto val="1"/>
        <c:lblAlgn val="ctr"/>
        <c:lblOffset val="100"/>
        <c:tickLblSkip val="2"/>
        <c:tickMarkSkip val="1"/>
        <c:noMultiLvlLbl val="0"/>
      </c:catAx>
      <c:valAx>
        <c:axId val="49406284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5200"/>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Sampling'!$BI$2</c:f>
              <c:strCache>
                <c:ptCount val="1"/>
              </c:strCache>
            </c:strRef>
          </c:tx>
          <c:spPr>
            <a:solidFill>
              <a:srgbClr val="0000FF"/>
            </a:solidFill>
            <a:ln w="12700">
              <a:solidFill>
                <a:srgbClr val="0000FF"/>
              </a:solidFill>
              <a:prstDash val="solid"/>
            </a:ln>
          </c:spPr>
          <c:invertIfNegative val="0"/>
          <c:cat>
            <c:numRef>
              <c:f>'2006 Sampling'!$BH$3:$BH$8</c:f>
              <c:numCache>
                <c:formatCode>General</c:formatCode>
                <c:ptCount val="6"/>
              </c:numCache>
            </c:numRef>
          </c:cat>
          <c:val>
            <c:numRef>
              <c:f>'2006 Sampling'!$BI$3:$BI$8</c:f>
              <c:numCache>
                <c:formatCode>General</c:formatCode>
                <c:ptCount val="6"/>
              </c:numCache>
            </c:numRef>
          </c:val>
          <c:extLst>
            <c:ext xmlns:c16="http://schemas.microsoft.com/office/drawing/2014/chart" uri="{C3380CC4-5D6E-409C-BE32-E72D297353CC}">
              <c16:uniqueId val="{00000000-1DAC-4E67-ABFD-FDEEDCC10504}"/>
            </c:ext>
          </c:extLst>
        </c:ser>
        <c:ser>
          <c:idx val="1"/>
          <c:order val="1"/>
          <c:tx>
            <c:strRef>
              <c:f>'2006 Sampling'!$BJ$2</c:f>
              <c:strCache>
                <c:ptCount val="1"/>
              </c:strCache>
            </c:strRef>
          </c:tx>
          <c:spPr>
            <a:solidFill>
              <a:srgbClr val="FF0000"/>
            </a:solidFill>
            <a:ln w="12700">
              <a:solidFill>
                <a:srgbClr val="FF0000"/>
              </a:solidFill>
              <a:prstDash val="solid"/>
            </a:ln>
          </c:spPr>
          <c:invertIfNegative val="0"/>
          <c:val>
            <c:numRef>
              <c:f>'2006 Sampling'!$BJ$3:$BJ$8</c:f>
              <c:numCache>
                <c:formatCode>General</c:formatCode>
                <c:ptCount val="6"/>
              </c:numCache>
            </c:numRef>
          </c:val>
          <c:extLst>
            <c:ext xmlns:c16="http://schemas.microsoft.com/office/drawing/2014/chart" uri="{C3380CC4-5D6E-409C-BE32-E72D297353CC}">
              <c16:uniqueId val="{00000001-1DAC-4E67-ABFD-FDEEDCC10504}"/>
            </c:ext>
          </c:extLst>
        </c:ser>
        <c:dLbls>
          <c:showLegendKey val="0"/>
          <c:showVal val="0"/>
          <c:showCatName val="0"/>
          <c:showSerName val="0"/>
          <c:showPercent val="0"/>
          <c:showBubbleSize val="0"/>
        </c:dLbls>
        <c:gapWidth val="150"/>
        <c:axId val="494064024"/>
        <c:axId val="494069512"/>
      </c:barChart>
      <c:catAx>
        <c:axId val="4940640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9512"/>
        <c:crosses val="autoZero"/>
        <c:auto val="1"/>
        <c:lblAlgn val="ctr"/>
        <c:lblOffset val="100"/>
        <c:tickLblSkip val="1"/>
        <c:tickMarkSkip val="1"/>
        <c:noMultiLvlLbl val="0"/>
      </c:catAx>
      <c:valAx>
        <c:axId val="49406951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402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 b="0" i="0" u="none" strike="noStrike" baseline="0">
              <a:solidFill>
                <a:srgbClr val="000000"/>
              </a:solidFill>
              <a:latin typeface="Arial"/>
              <a:ea typeface="Arial"/>
              <a:cs typeface="Arial"/>
            </a:defRPr>
          </a:pPr>
          <a:endParaRPr lang="en-US"/>
        </a:p>
      </c:txPr>
    </c:title>
    <c:autoTitleDeleted val="0"/>
    <c:plotArea>
      <c:layout/>
      <c:barChart>
        <c:barDir val="col"/>
        <c:grouping val="clustered"/>
        <c:varyColors val="0"/>
        <c:ser>
          <c:idx val="0"/>
          <c:order val="0"/>
          <c:tx>
            <c:strRef>
              <c:f>'2006 Sampling'!$BR$27</c:f>
              <c:strCache>
                <c:ptCount val="1"/>
              </c:strCache>
            </c:strRef>
          </c:tx>
          <c:spPr>
            <a:solidFill>
              <a:srgbClr val="0000FF"/>
            </a:solidFill>
            <a:ln w="12700">
              <a:solidFill>
                <a:srgbClr val="0000FF"/>
              </a:solidFill>
              <a:prstDash val="solid"/>
            </a:ln>
          </c:spPr>
          <c:invertIfNegative val="0"/>
          <c:cat>
            <c:numRef>
              <c:f>'2006 Sampling'!$BC$29:$BC$35</c:f>
              <c:numCache>
                <c:formatCode>General</c:formatCode>
                <c:ptCount val="7"/>
              </c:numCache>
            </c:numRef>
          </c:cat>
          <c:val>
            <c:numRef>
              <c:f>'2006 Sampling'!$BR$29:$BR$35</c:f>
              <c:numCache>
                <c:formatCode>General</c:formatCode>
                <c:ptCount val="7"/>
              </c:numCache>
            </c:numRef>
          </c:val>
          <c:extLst>
            <c:ext xmlns:c16="http://schemas.microsoft.com/office/drawing/2014/chart" uri="{C3380CC4-5D6E-409C-BE32-E72D297353CC}">
              <c16:uniqueId val="{00000000-7522-4AB7-941B-0AC2717E4C02}"/>
            </c:ext>
          </c:extLst>
        </c:ser>
        <c:dLbls>
          <c:showLegendKey val="0"/>
          <c:showVal val="0"/>
          <c:showCatName val="0"/>
          <c:showSerName val="0"/>
          <c:showPercent val="0"/>
          <c:showBubbleSize val="0"/>
        </c:dLbls>
        <c:gapWidth val="150"/>
        <c:axId val="494064808"/>
        <c:axId val="494063240"/>
      </c:barChart>
      <c:catAx>
        <c:axId val="494064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4063240"/>
        <c:crosses val="autoZero"/>
        <c:auto val="1"/>
        <c:lblAlgn val="ctr"/>
        <c:lblOffset val="100"/>
        <c:tickLblSkip val="1"/>
        <c:tickMarkSkip val="1"/>
        <c:noMultiLvlLbl val="0"/>
      </c:catAx>
      <c:valAx>
        <c:axId val="49406324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4064808"/>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EBEB-4690-ADEE-62F921F83B11}"/>
            </c:ext>
          </c:extLst>
        </c:ser>
        <c:ser>
          <c:idx val="1"/>
          <c:order val="1"/>
          <c:tx>
            <c:strRef>
              <c:f>'2006 Sampling'!$AN$18</c:f>
              <c:strCache>
                <c:ptCount val="1"/>
              </c:strCache>
            </c:strRef>
          </c:tx>
          <c:spPr>
            <a:solidFill>
              <a:srgbClr val="FF00FF"/>
            </a:solidFill>
            <a:ln w="12700">
              <a:solidFill>
                <a:srgbClr val="FF00FF"/>
              </a:solidFill>
              <a:prstDash val="solid"/>
            </a:ln>
          </c:spPr>
          <c:invertIfNegative val="0"/>
          <c:cat>
            <c:numRef>
              <c:f>'2006 Sampling'!$AO$10:$BB$10</c:f>
              <c:numCache>
                <c:formatCode>General</c:formatCode>
                <c:ptCount val="14"/>
              </c:numCache>
            </c:numRef>
          </c:cat>
          <c:val>
            <c:numRef>
              <c:f>'2006 Sampling'!$AO$18:$BB$18</c:f>
              <c:numCache>
                <c:formatCode>General</c:formatCode>
                <c:ptCount val="14"/>
              </c:numCache>
            </c:numRef>
          </c:val>
          <c:extLst>
            <c:ext xmlns:c16="http://schemas.microsoft.com/office/drawing/2014/chart" uri="{C3380CC4-5D6E-409C-BE32-E72D297353CC}">
              <c16:uniqueId val="{00000001-EBEB-4690-ADEE-62F921F83B11}"/>
            </c:ext>
          </c:extLst>
        </c:ser>
        <c:ser>
          <c:idx val="2"/>
          <c:order val="2"/>
          <c:tx>
            <c:strRef>
              <c:f>'2006 Sampling'!$AN$19</c:f>
              <c:strCache>
                <c:ptCount val="1"/>
              </c:strCache>
            </c:strRef>
          </c:tx>
          <c:spPr>
            <a:solidFill>
              <a:srgbClr val="008000"/>
            </a:solidFill>
            <a:ln w="12700">
              <a:solidFill>
                <a:srgbClr val="008000"/>
              </a:solidFill>
              <a:prstDash val="solid"/>
            </a:ln>
          </c:spPr>
          <c:invertIfNegative val="0"/>
          <c:cat>
            <c:numRef>
              <c:f>'2006 Sampling'!$AO$10:$BB$10</c:f>
              <c:numCache>
                <c:formatCode>General</c:formatCode>
                <c:ptCount val="14"/>
              </c:numCache>
            </c:numRef>
          </c:cat>
          <c:val>
            <c:numRef>
              <c:f>'2006 Sampling'!$AO$19:$BB$19</c:f>
              <c:numCache>
                <c:formatCode>General</c:formatCode>
                <c:ptCount val="14"/>
              </c:numCache>
            </c:numRef>
          </c:val>
          <c:extLst>
            <c:ext xmlns:c16="http://schemas.microsoft.com/office/drawing/2014/chart" uri="{C3380CC4-5D6E-409C-BE32-E72D297353CC}">
              <c16:uniqueId val="{00000002-EBEB-4690-ADEE-62F921F83B11}"/>
            </c:ext>
          </c:extLst>
        </c:ser>
        <c:ser>
          <c:idx val="3"/>
          <c:order val="3"/>
          <c:tx>
            <c:strRef>
              <c:f>'2006 Sampling'!$AN$20</c:f>
              <c:strCache>
                <c:ptCount val="1"/>
              </c:strCache>
            </c:strRef>
          </c:tx>
          <c:spPr>
            <a:solidFill>
              <a:srgbClr val="000080"/>
            </a:solidFill>
            <a:ln w="12700">
              <a:solidFill>
                <a:srgbClr val="000080"/>
              </a:solidFill>
              <a:prstDash val="solid"/>
            </a:ln>
          </c:spPr>
          <c:invertIfNegative val="0"/>
          <c:cat>
            <c:numRef>
              <c:f>'2006 Sampling'!$AO$10:$BB$10</c:f>
              <c:numCache>
                <c:formatCode>General</c:formatCode>
                <c:ptCount val="14"/>
              </c:numCache>
            </c:numRef>
          </c:cat>
          <c:val>
            <c:numRef>
              <c:f>'2006 Sampling'!$AO$20:$BB$20</c:f>
              <c:numCache>
                <c:formatCode>General</c:formatCode>
                <c:ptCount val="14"/>
              </c:numCache>
            </c:numRef>
          </c:val>
          <c:extLst>
            <c:ext xmlns:c16="http://schemas.microsoft.com/office/drawing/2014/chart" uri="{C3380CC4-5D6E-409C-BE32-E72D297353CC}">
              <c16:uniqueId val="{00000003-EBEB-4690-ADEE-62F921F83B11}"/>
            </c:ext>
          </c:extLst>
        </c:ser>
        <c:ser>
          <c:idx val="4"/>
          <c:order val="4"/>
          <c:tx>
            <c:strRef>
              <c:f>'2006 Sampling'!$AN$21</c:f>
              <c:strCache>
                <c:ptCount val="1"/>
              </c:strCache>
            </c:strRef>
          </c:tx>
          <c:spPr>
            <a:solidFill>
              <a:srgbClr val="FF0000"/>
            </a:solidFill>
            <a:ln w="12700">
              <a:solidFill>
                <a:srgbClr val="FF0000"/>
              </a:solidFill>
              <a:prstDash val="solid"/>
            </a:ln>
          </c:spPr>
          <c:invertIfNegative val="0"/>
          <c:cat>
            <c:numRef>
              <c:f>'2006 Sampling'!$AO$10:$BB$10</c:f>
              <c:numCache>
                <c:formatCode>General</c:formatCode>
                <c:ptCount val="14"/>
              </c:numCache>
            </c:numRef>
          </c:cat>
          <c:val>
            <c:numRef>
              <c:f>'2006 Sampling'!$AO$21:$BB$21</c:f>
              <c:numCache>
                <c:formatCode>General</c:formatCode>
                <c:ptCount val="14"/>
              </c:numCache>
            </c:numRef>
          </c:val>
          <c:extLst>
            <c:ext xmlns:c16="http://schemas.microsoft.com/office/drawing/2014/chart" uri="{C3380CC4-5D6E-409C-BE32-E72D297353CC}">
              <c16:uniqueId val="{00000004-EBEB-4690-ADEE-62F921F83B11}"/>
            </c:ext>
          </c:extLst>
        </c:ser>
        <c:dLbls>
          <c:showLegendKey val="0"/>
          <c:showVal val="0"/>
          <c:showCatName val="0"/>
          <c:showSerName val="0"/>
          <c:showPercent val="0"/>
          <c:showBubbleSize val="0"/>
        </c:dLbls>
        <c:gapWidth val="150"/>
        <c:axId val="494065984"/>
        <c:axId val="494066376"/>
      </c:barChart>
      <c:catAx>
        <c:axId val="4940659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4066376"/>
        <c:crosses val="autoZero"/>
        <c:auto val="1"/>
        <c:lblAlgn val="ctr"/>
        <c:lblOffset val="100"/>
        <c:tickLblSkip val="4"/>
        <c:tickMarkSkip val="1"/>
        <c:noMultiLvlLbl val="0"/>
      </c:catAx>
      <c:valAx>
        <c:axId val="49406637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598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65EE-4D14-AD3F-48130A6BB2DC}"/>
            </c:ext>
          </c:extLst>
        </c:ser>
        <c:ser>
          <c:idx val="1"/>
          <c:order val="1"/>
          <c:tx>
            <c:strRef>
              <c:f>'2006 Sampling'!$AN$18</c:f>
              <c:strCache>
                <c:ptCount val="1"/>
              </c:strCache>
            </c:strRef>
          </c:tx>
          <c:spPr>
            <a:solidFill>
              <a:srgbClr val="FF00FF"/>
            </a:solidFill>
            <a:ln w="12700">
              <a:solidFill>
                <a:srgbClr val="FF00FF"/>
              </a:solidFill>
              <a:prstDash val="solid"/>
            </a:ln>
          </c:spPr>
          <c:invertIfNegative val="0"/>
          <c:val>
            <c:numRef>
              <c:f>'2006 Sampling'!$AO$18:$BB$18</c:f>
              <c:numCache>
                <c:formatCode>General</c:formatCode>
                <c:ptCount val="14"/>
              </c:numCache>
            </c:numRef>
          </c:val>
          <c:extLst>
            <c:ext xmlns:c16="http://schemas.microsoft.com/office/drawing/2014/chart" uri="{C3380CC4-5D6E-409C-BE32-E72D297353CC}">
              <c16:uniqueId val="{00000001-65EE-4D14-AD3F-48130A6BB2DC}"/>
            </c:ext>
          </c:extLst>
        </c:ser>
        <c:ser>
          <c:idx val="2"/>
          <c:order val="2"/>
          <c:tx>
            <c:strRef>
              <c:f>'2006 Sampling'!$AN$19</c:f>
              <c:strCache>
                <c:ptCount val="1"/>
              </c:strCache>
            </c:strRef>
          </c:tx>
          <c:spPr>
            <a:solidFill>
              <a:srgbClr val="008000"/>
            </a:solidFill>
            <a:ln w="12700">
              <a:solidFill>
                <a:srgbClr val="008000"/>
              </a:solidFill>
              <a:prstDash val="solid"/>
            </a:ln>
          </c:spPr>
          <c:invertIfNegative val="0"/>
          <c:val>
            <c:numRef>
              <c:f>'2006 Sampling'!$AO$19:$BB$19</c:f>
              <c:numCache>
                <c:formatCode>General</c:formatCode>
                <c:ptCount val="14"/>
              </c:numCache>
            </c:numRef>
          </c:val>
          <c:extLst>
            <c:ext xmlns:c16="http://schemas.microsoft.com/office/drawing/2014/chart" uri="{C3380CC4-5D6E-409C-BE32-E72D297353CC}">
              <c16:uniqueId val="{00000002-65EE-4D14-AD3F-48130A6BB2DC}"/>
            </c:ext>
          </c:extLst>
        </c:ser>
        <c:dLbls>
          <c:showLegendKey val="0"/>
          <c:showVal val="0"/>
          <c:showCatName val="0"/>
          <c:showSerName val="0"/>
          <c:showPercent val="0"/>
          <c:showBubbleSize val="0"/>
        </c:dLbls>
        <c:gapWidth val="150"/>
        <c:axId val="494067944"/>
        <c:axId val="494065592"/>
      </c:barChart>
      <c:catAx>
        <c:axId val="494067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4065592"/>
        <c:crosses val="autoZero"/>
        <c:auto val="1"/>
        <c:lblAlgn val="ctr"/>
        <c:lblOffset val="100"/>
        <c:tickLblSkip val="2"/>
        <c:tickMarkSkip val="1"/>
        <c:noMultiLvlLbl val="0"/>
      </c:catAx>
      <c:valAx>
        <c:axId val="49406559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794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0-5825-49E1-ACF2-69ECA75F121B}"/>
            </c:ext>
          </c:extLst>
        </c:ser>
        <c:ser>
          <c:idx val="1"/>
          <c:order val="1"/>
          <c:tx>
            <c:strRef>
              <c:f>'2006 Sampling'!$BC$31</c:f>
              <c:strCache>
                <c:ptCount val="1"/>
              </c:strCache>
            </c:strRef>
          </c:tx>
          <c:spPr>
            <a:solidFill>
              <a:srgbClr val="FF00FF"/>
            </a:solidFill>
            <a:ln w="12700">
              <a:solidFill>
                <a:srgbClr val="FF00FF"/>
              </a:solidFill>
              <a:prstDash val="solid"/>
            </a:ln>
          </c:spPr>
          <c:invertIfNegative val="0"/>
          <c:val>
            <c:numRef>
              <c:f>'2006 Sampling'!$BD$31:$BQ$31</c:f>
              <c:numCache>
                <c:formatCode>General</c:formatCode>
                <c:ptCount val="14"/>
              </c:numCache>
            </c:numRef>
          </c:val>
          <c:extLst>
            <c:ext xmlns:c16="http://schemas.microsoft.com/office/drawing/2014/chart" uri="{C3380CC4-5D6E-409C-BE32-E72D297353CC}">
              <c16:uniqueId val="{00000001-5825-49E1-ACF2-69ECA75F121B}"/>
            </c:ext>
          </c:extLst>
        </c:ser>
        <c:ser>
          <c:idx val="2"/>
          <c:order val="2"/>
          <c:tx>
            <c:strRef>
              <c:f>'2006 Sampling'!$BC$32</c:f>
              <c:strCache>
                <c:ptCount val="1"/>
              </c:strCache>
            </c:strRef>
          </c:tx>
          <c:spPr>
            <a:solidFill>
              <a:srgbClr val="008000"/>
            </a:solidFill>
            <a:ln w="12700">
              <a:solidFill>
                <a:srgbClr val="008000"/>
              </a:solidFill>
              <a:prstDash val="solid"/>
            </a:ln>
          </c:spPr>
          <c:invertIfNegative val="0"/>
          <c:val>
            <c:numRef>
              <c:f>'2006 Sampling'!$BD$32:$BQ$32</c:f>
              <c:numCache>
                <c:formatCode>General</c:formatCode>
                <c:ptCount val="14"/>
              </c:numCache>
            </c:numRef>
          </c:val>
          <c:extLst>
            <c:ext xmlns:c16="http://schemas.microsoft.com/office/drawing/2014/chart" uri="{C3380CC4-5D6E-409C-BE32-E72D297353CC}">
              <c16:uniqueId val="{00000002-5825-49E1-ACF2-69ECA75F121B}"/>
            </c:ext>
          </c:extLst>
        </c:ser>
        <c:ser>
          <c:idx val="3"/>
          <c:order val="3"/>
          <c:tx>
            <c:strRef>
              <c:f>'2006 Sampling'!$BC$34</c:f>
              <c:strCache>
                <c:ptCount val="1"/>
              </c:strCache>
            </c:strRef>
          </c:tx>
          <c:spPr>
            <a:solidFill>
              <a:srgbClr val="000080"/>
            </a:solidFill>
            <a:ln w="12700">
              <a:solidFill>
                <a:srgbClr val="000080"/>
              </a:solidFill>
              <a:prstDash val="solid"/>
            </a:ln>
          </c:spPr>
          <c:invertIfNegative val="0"/>
          <c:val>
            <c:numRef>
              <c:f>'2006 Sampling'!$BD$34:$BQ$34</c:f>
              <c:numCache>
                <c:formatCode>General</c:formatCode>
                <c:ptCount val="14"/>
              </c:numCache>
            </c:numRef>
          </c:val>
          <c:extLst>
            <c:ext xmlns:c16="http://schemas.microsoft.com/office/drawing/2014/chart" uri="{C3380CC4-5D6E-409C-BE32-E72D297353CC}">
              <c16:uniqueId val="{00000003-5825-49E1-ACF2-69ECA75F121B}"/>
            </c:ext>
          </c:extLst>
        </c:ser>
        <c:ser>
          <c:idx val="4"/>
          <c:order val="4"/>
          <c:tx>
            <c:strRef>
              <c:f>'2006 Sampling'!$BC$35</c:f>
              <c:strCache>
                <c:ptCount val="1"/>
              </c:strCache>
            </c:strRef>
          </c:tx>
          <c:spPr>
            <a:solidFill>
              <a:srgbClr val="FF0000"/>
            </a:solidFill>
            <a:ln w="12700">
              <a:solidFill>
                <a:srgbClr val="FF0000"/>
              </a:solidFill>
              <a:prstDash val="solid"/>
            </a:ln>
          </c:spPr>
          <c:invertIfNegative val="0"/>
          <c:val>
            <c:numRef>
              <c:f>'2006 Sampling'!$BD$35:$BQ$35</c:f>
              <c:numCache>
                <c:formatCode>General</c:formatCode>
                <c:ptCount val="14"/>
              </c:numCache>
            </c:numRef>
          </c:val>
          <c:extLst>
            <c:ext xmlns:c16="http://schemas.microsoft.com/office/drawing/2014/chart" uri="{C3380CC4-5D6E-409C-BE32-E72D297353CC}">
              <c16:uniqueId val="{00000004-5825-49E1-ACF2-69ECA75F121B}"/>
            </c:ext>
          </c:extLst>
        </c:ser>
        <c:dLbls>
          <c:showLegendKey val="0"/>
          <c:showVal val="0"/>
          <c:showCatName val="0"/>
          <c:showSerName val="0"/>
          <c:showPercent val="0"/>
          <c:showBubbleSize val="0"/>
        </c:dLbls>
        <c:gapWidth val="75"/>
        <c:axId val="494068336"/>
        <c:axId val="501700472"/>
      </c:barChart>
      <c:catAx>
        <c:axId val="494068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501700472"/>
        <c:crosses val="autoZero"/>
        <c:auto val="1"/>
        <c:lblAlgn val="ctr"/>
        <c:lblOffset val="100"/>
        <c:tickLblSkip val="2"/>
        <c:tickMarkSkip val="1"/>
        <c:noMultiLvlLbl val="0"/>
      </c:catAx>
      <c:valAx>
        <c:axId val="50170047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8336"/>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Sampling'!$BI$2</c:f>
              <c:strCache>
                <c:ptCount val="1"/>
              </c:strCache>
            </c:strRef>
          </c:tx>
          <c:spPr>
            <a:solidFill>
              <a:srgbClr val="0000FF"/>
            </a:solidFill>
            <a:ln w="12700">
              <a:solidFill>
                <a:srgbClr val="0000FF"/>
              </a:solidFill>
              <a:prstDash val="solid"/>
            </a:ln>
          </c:spPr>
          <c:invertIfNegative val="0"/>
          <c:cat>
            <c:numRef>
              <c:f>'2006 Sampling'!$BH$3:$BH$8</c:f>
              <c:numCache>
                <c:formatCode>General</c:formatCode>
                <c:ptCount val="6"/>
              </c:numCache>
            </c:numRef>
          </c:cat>
          <c:val>
            <c:numRef>
              <c:f>'2006 Sampling'!$BI$3:$BI$8</c:f>
              <c:numCache>
                <c:formatCode>General</c:formatCode>
                <c:ptCount val="6"/>
              </c:numCache>
            </c:numRef>
          </c:val>
          <c:extLst>
            <c:ext xmlns:c16="http://schemas.microsoft.com/office/drawing/2014/chart" uri="{C3380CC4-5D6E-409C-BE32-E72D297353CC}">
              <c16:uniqueId val="{00000000-08F0-437D-B074-E74C595F9DC1}"/>
            </c:ext>
          </c:extLst>
        </c:ser>
        <c:ser>
          <c:idx val="1"/>
          <c:order val="1"/>
          <c:tx>
            <c:strRef>
              <c:f>'2006 Sampling'!$BJ$2</c:f>
              <c:strCache>
                <c:ptCount val="1"/>
              </c:strCache>
            </c:strRef>
          </c:tx>
          <c:spPr>
            <a:solidFill>
              <a:srgbClr val="FF0000"/>
            </a:solidFill>
            <a:ln w="12700">
              <a:solidFill>
                <a:srgbClr val="FF0000"/>
              </a:solidFill>
              <a:prstDash val="solid"/>
            </a:ln>
          </c:spPr>
          <c:invertIfNegative val="0"/>
          <c:val>
            <c:numRef>
              <c:f>'2006 Sampling'!$BJ$3:$BJ$8</c:f>
              <c:numCache>
                <c:formatCode>General</c:formatCode>
                <c:ptCount val="6"/>
              </c:numCache>
            </c:numRef>
          </c:val>
          <c:extLst>
            <c:ext xmlns:c16="http://schemas.microsoft.com/office/drawing/2014/chart" uri="{C3380CC4-5D6E-409C-BE32-E72D297353CC}">
              <c16:uniqueId val="{00000001-08F0-437D-B074-E74C595F9DC1}"/>
            </c:ext>
          </c:extLst>
        </c:ser>
        <c:dLbls>
          <c:showLegendKey val="0"/>
          <c:showVal val="0"/>
          <c:showCatName val="0"/>
          <c:showSerName val="0"/>
          <c:showPercent val="0"/>
          <c:showBubbleSize val="0"/>
        </c:dLbls>
        <c:gapWidth val="150"/>
        <c:axId val="501704784"/>
        <c:axId val="501704392"/>
      </c:barChart>
      <c:catAx>
        <c:axId val="5017047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01704392"/>
        <c:crosses val="autoZero"/>
        <c:auto val="1"/>
        <c:lblAlgn val="ctr"/>
        <c:lblOffset val="100"/>
        <c:tickLblSkip val="1"/>
        <c:tickMarkSkip val="1"/>
        <c:noMultiLvlLbl val="0"/>
      </c:catAx>
      <c:valAx>
        <c:axId val="50170439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0170478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0-78EF-41CD-B4DF-2080E4940DAF}"/>
            </c:ext>
          </c:extLst>
        </c:ser>
        <c:ser>
          <c:idx val="1"/>
          <c:order val="1"/>
          <c:tx>
            <c:strRef>
              <c:f>'2006 Sampling'!$BC$31</c:f>
              <c:strCache>
                <c:ptCount val="1"/>
              </c:strCache>
            </c:strRef>
          </c:tx>
          <c:spPr>
            <a:solidFill>
              <a:srgbClr val="FF00FF"/>
            </a:solidFill>
            <a:ln w="12700">
              <a:solidFill>
                <a:srgbClr val="FF00FF"/>
              </a:solidFill>
              <a:prstDash val="solid"/>
            </a:ln>
          </c:spPr>
          <c:invertIfNegative val="0"/>
          <c:val>
            <c:numRef>
              <c:f>'2006 Sampling'!$BD$31:$BQ$31</c:f>
              <c:numCache>
                <c:formatCode>General</c:formatCode>
                <c:ptCount val="14"/>
              </c:numCache>
            </c:numRef>
          </c:val>
          <c:extLst>
            <c:ext xmlns:c16="http://schemas.microsoft.com/office/drawing/2014/chart" uri="{C3380CC4-5D6E-409C-BE32-E72D297353CC}">
              <c16:uniqueId val="{00000001-78EF-41CD-B4DF-2080E4940DAF}"/>
            </c:ext>
          </c:extLst>
        </c:ser>
        <c:ser>
          <c:idx val="2"/>
          <c:order val="2"/>
          <c:tx>
            <c:strRef>
              <c:f>'2006 Sampling'!$BC$32</c:f>
              <c:strCache>
                <c:ptCount val="1"/>
              </c:strCache>
            </c:strRef>
          </c:tx>
          <c:spPr>
            <a:solidFill>
              <a:srgbClr val="008000"/>
            </a:solidFill>
            <a:ln w="12700">
              <a:solidFill>
                <a:srgbClr val="008000"/>
              </a:solidFill>
              <a:prstDash val="solid"/>
            </a:ln>
          </c:spPr>
          <c:invertIfNegative val="0"/>
          <c:val>
            <c:numRef>
              <c:f>'2006 Sampling'!$BD$32:$BQ$32</c:f>
              <c:numCache>
                <c:formatCode>General</c:formatCode>
                <c:ptCount val="14"/>
              </c:numCache>
            </c:numRef>
          </c:val>
          <c:extLst>
            <c:ext xmlns:c16="http://schemas.microsoft.com/office/drawing/2014/chart" uri="{C3380CC4-5D6E-409C-BE32-E72D297353CC}">
              <c16:uniqueId val="{00000002-78EF-41CD-B4DF-2080E4940DAF}"/>
            </c:ext>
          </c:extLst>
        </c:ser>
        <c:ser>
          <c:idx val="3"/>
          <c:order val="3"/>
          <c:tx>
            <c:strRef>
              <c:f>'2006 Sampling'!$BC$34</c:f>
              <c:strCache>
                <c:ptCount val="1"/>
              </c:strCache>
            </c:strRef>
          </c:tx>
          <c:spPr>
            <a:solidFill>
              <a:srgbClr val="000080"/>
            </a:solidFill>
            <a:ln w="12700">
              <a:solidFill>
                <a:srgbClr val="000080"/>
              </a:solidFill>
              <a:prstDash val="solid"/>
            </a:ln>
          </c:spPr>
          <c:invertIfNegative val="0"/>
          <c:val>
            <c:numRef>
              <c:f>'2006 Sampling'!$BD$34:$BQ$34</c:f>
              <c:numCache>
                <c:formatCode>General</c:formatCode>
                <c:ptCount val="14"/>
              </c:numCache>
            </c:numRef>
          </c:val>
          <c:extLst>
            <c:ext xmlns:c16="http://schemas.microsoft.com/office/drawing/2014/chart" uri="{C3380CC4-5D6E-409C-BE32-E72D297353CC}">
              <c16:uniqueId val="{00000003-78EF-41CD-B4DF-2080E4940DAF}"/>
            </c:ext>
          </c:extLst>
        </c:ser>
        <c:ser>
          <c:idx val="4"/>
          <c:order val="4"/>
          <c:tx>
            <c:strRef>
              <c:f>'2006 Sampling'!$BC$35</c:f>
              <c:strCache>
                <c:ptCount val="1"/>
              </c:strCache>
            </c:strRef>
          </c:tx>
          <c:spPr>
            <a:solidFill>
              <a:srgbClr val="FF0000"/>
            </a:solidFill>
            <a:ln w="12700">
              <a:solidFill>
                <a:srgbClr val="FF0000"/>
              </a:solidFill>
              <a:prstDash val="solid"/>
            </a:ln>
          </c:spPr>
          <c:invertIfNegative val="0"/>
          <c:val>
            <c:numRef>
              <c:f>'2006 Sampling'!$BD$35:$BQ$35</c:f>
              <c:numCache>
                <c:formatCode>General</c:formatCode>
                <c:ptCount val="14"/>
              </c:numCache>
            </c:numRef>
          </c:val>
          <c:extLst>
            <c:ext xmlns:c16="http://schemas.microsoft.com/office/drawing/2014/chart" uri="{C3380CC4-5D6E-409C-BE32-E72D297353CC}">
              <c16:uniqueId val="{00000004-78EF-41CD-B4DF-2080E4940DAF}"/>
            </c:ext>
          </c:extLst>
        </c:ser>
        <c:dLbls>
          <c:showLegendKey val="0"/>
          <c:showVal val="0"/>
          <c:showCatName val="0"/>
          <c:showSerName val="0"/>
          <c:showPercent val="0"/>
          <c:showBubbleSize val="0"/>
        </c:dLbls>
        <c:gapWidth val="75"/>
        <c:axId val="494065200"/>
        <c:axId val="494062848"/>
      </c:barChart>
      <c:catAx>
        <c:axId val="49406520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4062848"/>
        <c:crosses val="autoZero"/>
        <c:auto val="1"/>
        <c:lblAlgn val="ctr"/>
        <c:lblOffset val="100"/>
        <c:tickLblSkip val="2"/>
        <c:tickMarkSkip val="1"/>
        <c:noMultiLvlLbl val="0"/>
      </c:catAx>
      <c:valAx>
        <c:axId val="49406284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5200"/>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 b="0" i="0" u="none" strike="noStrike" baseline="0">
              <a:solidFill>
                <a:srgbClr val="000000"/>
              </a:solidFill>
              <a:latin typeface="Arial"/>
              <a:ea typeface="Arial"/>
              <a:cs typeface="Arial"/>
            </a:defRPr>
          </a:pPr>
          <a:endParaRPr lang="en-US"/>
        </a:p>
      </c:txPr>
    </c:title>
    <c:autoTitleDeleted val="0"/>
    <c:plotArea>
      <c:layout/>
      <c:barChart>
        <c:barDir val="col"/>
        <c:grouping val="clustered"/>
        <c:varyColors val="0"/>
        <c:ser>
          <c:idx val="0"/>
          <c:order val="0"/>
          <c:tx>
            <c:strRef>
              <c:f>'2006 Sampling'!$BR$27</c:f>
              <c:strCache>
                <c:ptCount val="1"/>
              </c:strCache>
            </c:strRef>
          </c:tx>
          <c:spPr>
            <a:solidFill>
              <a:srgbClr val="0000FF"/>
            </a:solidFill>
            <a:ln w="12700">
              <a:solidFill>
                <a:srgbClr val="0000FF"/>
              </a:solidFill>
              <a:prstDash val="solid"/>
            </a:ln>
          </c:spPr>
          <c:invertIfNegative val="0"/>
          <c:cat>
            <c:numRef>
              <c:f>'2006 Sampling'!$BC$29:$BC$35</c:f>
              <c:numCache>
                <c:formatCode>General</c:formatCode>
                <c:ptCount val="7"/>
              </c:numCache>
            </c:numRef>
          </c:cat>
          <c:val>
            <c:numRef>
              <c:f>'2006 Sampling'!$BR$29:$BR$35</c:f>
              <c:numCache>
                <c:formatCode>General</c:formatCode>
                <c:ptCount val="7"/>
              </c:numCache>
            </c:numRef>
          </c:val>
          <c:extLst>
            <c:ext xmlns:c16="http://schemas.microsoft.com/office/drawing/2014/chart" uri="{C3380CC4-5D6E-409C-BE32-E72D297353CC}">
              <c16:uniqueId val="{00000000-EA03-4047-AC11-B17C8460B0CE}"/>
            </c:ext>
          </c:extLst>
        </c:ser>
        <c:dLbls>
          <c:showLegendKey val="0"/>
          <c:showVal val="0"/>
          <c:showCatName val="0"/>
          <c:showSerName val="0"/>
          <c:showPercent val="0"/>
          <c:showBubbleSize val="0"/>
        </c:dLbls>
        <c:gapWidth val="150"/>
        <c:axId val="501698904"/>
        <c:axId val="501700864"/>
      </c:barChart>
      <c:catAx>
        <c:axId val="501698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501700864"/>
        <c:crosses val="autoZero"/>
        <c:auto val="1"/>
        <c:lblAlgn val="ctr"/>
        <c:lblOffset val="100"/>
        <c:tickLblSkip val="1"/>
        <c:tickMarkSkip val="1"/>
        <c:noMultiLvlLbl val="0"/>
      </c:catAx>
      <c:valAx>
        <c:axId val="50170086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501698904"/>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708D-4AF3-975E-1AD5B0FD3DA3}"/>
            </c:ext>
          </c:extLst>
        </c:ser>
        <c:ser>
          <c:idx val="1"/>
          <c:order val="1"/>
          <c:tx>
            <c:strRef>
              <c:f>'2006 Sampling'!$AN$18</c:f>
              <c:strCache>
                <c:ptCount val="1"/>
              </c:strCache>
            </c:strRef>
          </c:tx>
          <c:spPr>
            <a:solidFill>
              <a:srgbClr val="FF00FF"/>
            </a:solidFill>
            <a:ln w="12700">
              <a:solidFill>
                <a:srgbClr val="FF00FF"/>
              </a:solidFill>
              <a:prstDash val="solid"/>
            </a:ln>
          </c:spPr>
          <c:invertIfNegative val="0"/>
          <c:cat>
            <c:numRef>
              <c:f>'2006 Sampling'!$AO$10:$BB$10</c:f>
              <c:numCache>
                <c:formatCode>General</c:formatCode>
                <c:ptCount val="14"/>
              </c:numCache>
            </c:numRef>
          </c:cat>
          <c:val>
            <c:numRef>
              <c:f>'2006 Sampling'!$AO$18:$BB$18</c:f>
              <c:numCache>
                <c:formatCode>General</c:formatCode>
                <c:ptCount val="14"/>
              </c:numCache>
            </c:numRef>
          </c:val>
          <c:extLst>
            <c:ext xmlns:c16="http://schemas.microsoft.com/office/drawing/2014/chart" uri="{C3380CC4-5D6E-409C-BE32-E72D297353CC}">
              <c16:uniqueId val="{00000001-708D-4AF3-975E-1AD5B0FD3DA3}"/>
            </c:ext>
          </c:extLst>
        </c:ser>
        <c:ser>
          <c:idx val="2"/>
          <c:order val="2"/>
          <c:tx>
            <c:strRef>
              <c:f>'2006 Sampling'!$AN$19</c:f>
              <c:strCache>
                <c:ptCount val="1"/>
              </c:strCache>
            </c:strRef>
          </c:tx>
          <c:spPr>
            <a:solidFill>
              <a:srgbClr val="008000"/>
            </a:solidFill>
            <a:ln w="12700">
              <a:solidFill>
                <a:srgbClr val="008000"/>
              </a:solidFill>
              <a:prstDash val="solid"/>
            </a:ln>
          </c:spPr>
          <c:invertIfNegative val="0"/>
          <c:cat>
            <c:numRef>
              <c:f>'2006 Sampling'!$AO$10:$BB$10</c:f>
              <c:numCache>
                <c:formatCode>General</c:formatCode>
                <c:ptCount val="14"/>
              </c:numCache>
            </c:numRef>
          </c:cat>
          <c:val>
            <c:numRef>
              <c:f>'2006 Sampling'!$AO$19:$BB$19</c:f>
              <c:numCache>
                <c:formatCode>General</c:formatCode>
                <c:ptCount val="14"/>
              </c:numCache>
            </c:numRef>
          </c:val>
          <c:extLst>
            <c:ext xmlns:c16="http://schemas.microsoft.com/office/drawing/2014/chart" uri="{C3380CC4-5D6E-409C-BE32-E72D297353CC}">
              <c16:uniqueId val="{00000002-708D-4AF3-975E-1AD5B0FD3DA3}"/>
            </c:ext>
          </c:extLst>
        </c:ser>
        <c:ser>
          <c:idx val="3"/>
          <c:order val="3"/>
          <c:tx>
            <c:strRef>
              <c:f>'2006 Sampling'!$AN$20</c:f>
              <c:strCache>
                <c:ptCount val="1"/>
              </c:strCache>
            </c:strRef>
          </c:tx>
          <c:spPr>
            <a:solidFill>
              <a:srgbClr val="000080"/>
            </a:solidFill>
            <a:ln w="12700">
              <a:solidFill>
                <a:srgbClr val="000080"/>
              </a:solidFill>
              <a:prstDash val="solid"/>
            </a:ln>
          </c:spPr>
          <c:invertIfNegative val="0"/>
          <c:cat>
            <c:numRef>
              <c:f>'2006 Sampling'!$AO$10:$BB$10</c:f>
              <c:numCache>
                <c:formatCode>General</c:formatCode>
                <c:ptCount val="14"/>
              </c:numCache>
            </c:numRef>
          </c:cat>
          <c:val>
            <c:numRef>
              <c:f>'2006 Sampling'!$AO$20:$BB$20</c:f>
              <c:numCache>
                <c:formatCode>General</c:formatCode>
                <c:ptCount val="14"/>
              </c:numCache>
            </c:numRef>
          </c:val>
          <c:extLst>
            <c:ext xmlns:c16="http://schemas.microsoft.com/office/drawing/2014/chart" uri="{C3380CC4-5D6E-409C-BE32-E72D297353CC}">
              <c16:uniqueId val="{00000003-708D-4AF3-975E-1AD5B0FD3DA3}"/>
            </c:ext>
          </c:extLst>
        </c:ser>
        <c:ser>
          <c:idx val="4"/>
          <c:order val="4"/>
          <c:tx>
            <c:strRef>
              <c:f>'2006 Sampling'!$AN$21</c:f>
              <c:strCache>
                <c:ptCount val="1"/>
              </c:strCache>
            </c:strRef>
          </c:tx>
          <c:spPr>
            <a:solidFill>
              <a:srgbClr val="FF0000"/>
            </a:solidFill>
            <a:ln w="12700">
              <a:solidFill>
                <a:srgbClr val="FF0000"/>
              </a:solidFill>
              <a:prstDash val="solid"/>
            </a:ln>
          </c:spPr>
          <c:invertIfNegative val="0"/>
          <c:cat>
            <c:numRef>
              <c:f>'2006 Sampling'!$AO$10:$BB$10</c:f>
              <c:numCache>
                <c:formatCode>General</c:formatCode>
                <c:ptCount val="14"/>
              </c:numCache>
            </c:numRef>
          </c:cat>
          <c:val>
            <c:numRef>
              <c:f>'2006 Sampling'!$AO$21:$BB$21</c:f>
              <c:numCache>
                <c:formatCode>General</c:formatCode>
                <c:ptCount val="14"/>
              </c:numCache>
            </c:numRef>
          </c:val>
          <c:extLst>
            <c:ext xmlns:c16="http://schemas.microsoft.com/office/drawing/2014/chart" uri="{C3380CC4-5D6E-409C-BE32-E72D297353CC}">
              <c16:uniqueId val="{00000004-708D-4AF3-975E-1AD5B0FD3DA3}"/>
            </c:ext>
          </c:extLst>
        </c:ser>
        <c:dLbls>
          <c:showLegendKey val="0"/>
          <c:showVal val="0"/>
          <c:showCatName val="0"/>
          <c:showSerName val="0"/>
          <c:showPercent val="0"/>
          <c:showBubbleSize val="0"/>
        </c:dLbls>
        <c:gapWidth val="150"/>
        <c:axId val="501699296"/>
        <c:axId val="501705960"/>
      </c:barChart>
      <c:catAx>
        <c:axId val="501699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501705960"/>
        <c:crosses val="autoZero"/>
        <c:auto val="1"/>
        <c:lblAlgn val="ctr"/>
        <c:lblOffset val="100"/>
        <c:tickLblSkip val="4"/>
        <c:tickMarkSkip val="1"/>
        <c:noMultiLvlLbl val="0"/>
      </c:catAx>
      <c:valAx>
        <c:axId val="50170596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01699296"/>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B748-42A9-A04D-B8055F6E2E2C}"/>
            </c:ext>
          </c:extLst>
        </c:ser>
        <c:ser>
          <c:idx val="1"/>
          <c:order val="1"/>
          <c:tx>
            <c:strRef>
              <c:f>'2006 Sampling'!$AN$18</c:f>
              <c:strCache>
                <c:ptCount val="1"/>
              </c:strCache>
            </c:strRef>
          </c:tx>
          <c:spPr>
            <a:solidFill>
              <a:srgbClr val="FF00FF"/>
            </a:solidFill>
            <a:ln w="12700">
              <a:solidFill>
                <a:srgbClr val="FF00FF"/>
              </a:solidFill>
              <a:prstDash val="solid"/>
            </a:ln>
          </c:spPr>
          <c:invertIfNegative val="0"/>
          <c:val>
            <c:numRef>
              <c:f>'2006 Sampling'!$AO$18:$BB$18</c:f>
              <c:numCache>
                <c:formatCode>General</c:formatCode>
                <c:ptCount val="14"/>
              </c:numCache>
            </c:numRef>
          </c:val>
          <c:extLst>
            <c:ext xmlns:c16="http://schemas.microsoft.com/office/drawing/2014/chart" uri="{C3380CC4-5D6E-409C-BE32-E72D297353CC}">
              <c16:uniqueId val="{00000001-B748-42A9-A04D-B8055F6E2E2C}"/>
            </c:ext>
          </c:extLst>
        </c:ser>
        <c:ser>
          <c:idx val="2"/>
          <c:order val="2"/>
          <c:tx>
            <c:strRef>
              <c:f>'2006 Sampling'!$AN$19</c:f>
              <c:strCache>
                <c:ptCount val="1"/>
              </c:strCache>
            </c:strRef>
          </c:tx>
          <c:spPr>
            <a:solidFill>
              <a:srgbClr val="008000"/>
            </a:solidFill>
            <a:ln w="12700">
              <a:solidFill>
                <a:srgbClr val="008000"/>
              </a:solidFill>
              <a:prstDash val="solid"/>
            </a:ln>
          </c:spPr>
          <c:invertIfNegative val="0"/>
          <c:val>
            <c:numRef>
              <c:f>'2006 Sampling'!$AO$19:$BB$19</c:f>
              <c:numCache>
                <c:formatCode>General</c:formatCode>
                <c:ptCount val="14"/>
              </c:numCache>
            </c:numRef>
          </c:val>
          <c:extLst>
            <c:ext xmlns:c16="http://schemas.microsoft.com/office/drawing/2014/chart" uri="{C3380CC4-5D6E-409C-BE32-E72D297353CC}">
              <c16:uniqueId val="{00000002-B748-42A9-A04D-B8055F6E2E2C}"/>
            </c:ext>
          </c:extLst>
        </c:ser>
        <c:dLbls>
          <c:showLegendKey val="0"/>
          <c:showVal val="0"/>
          <c:showCatName val="0"/>
          <c:showSerName val="0"/>
          <c:showPercent val="0"/>
          <c:showBubbleSize val="0"/>
        </c:dLbls>
        <c:gapWidth val="150"/>
        <c:axId val="501702432"/>
        <c:axId val="501705176"/>
      </c:barChart>
      <c:catAx>
        <c:axId val="501702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501705176"/>
        <c:crosses val="autoZero"/>
        <c:auto val="1"/>
        <c:lblAlgn val="ctr"/>
        <c:lblOffset val="100"/>
        <c:tickLblSkip val="2"/>
        <c:tickMarkSkip val="1"/>
        <c:noMultiLvlLbl val="0"/>
      </c:catAx>
      <c:valAx>
        <c:axId val="50170517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0170243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0-21CB-4990-9F49-2E079943FA88}"/>
            </c:ext>
          </c:extLst>
        </c:ser>
        <c:ser>
          <c:idx val="1"/>
          <c:order val="1"/>
          <c:tx>
            <c:strRef>
              <c:f>'2006 Sampling'!$BC$31</c:f>
              <c:strCache>
                <c:ptCount val="1"/>
              </c:strCache>
            </c:strRef>
          </c:tx>
          <c:spPr>
            <a:solidFill>
              <a:srgbClr val="FF00FF"/>
            </a:solidFill>
            <a:ln w="12700">
              <a:solidFill>
                <a:srgbClr val="FF00FF"/>
              </a:solidFill>
              <a:prstDash val="solid"/>
            </a:ln>
          </c:spPr>
          <c:invertIfNegative val="0"/>
          <c:val>
            <c:numRef>
              <c:f>'2006 Sampling'!$BD$31:$BQ$31</c:f>
              <c:numCache>
                <c:formatCode>General</c:formatCode>
                <c:ptCount val="14"/>
              </c:numCache>
            </c:numRef>
          </c:val>
          <c:extLst>
            <c:ext xmlns:c16="http://schemas.microsoft.com/office/drawing/2014/chart" uri="{C3380CC4-5D6E-409C-BE32-E72D297353CC}">
              <c16:uniqueId val="{00000001-21CB-4990-9F49-2E079943FA88}"/>
            </c:ext>
          </c:extLst>
        </c:ser>
        <c:ser>
          <c:idx val="2"/>
          <c:order val="2"/>
          <c:tx>
            <c:strRef>
              <c:f>'2006 Sampling'!$BC$32</c:f>
              <c:strCache>
                <c:ptCount val="1"/>
              </c:strCache>
            </c:strRef>
          </c:tx>
          <c:spPr>
            <a:solidFill>
              <a:srgbClr val="008000"/>
            </a:solidFill>
            <a:ln w="12700">
              <a:solidFill>
                <a:srgbClr val="008000"/>
              </a:solidFill>
              <a:prstDash val="solid"/>
            </a:ln>
          </c:spPr>
          <c:invertIfNegative val="0"/>
          <c:val>
            <c:numRef>
              <c:f>'2006 Sampling'!$BD$32:$BQ$32</c:f>
              <c:numCache>
                <c:formatCode>General</c:formatCode>
                <c:ptCount val="14"/>
              </c:numCache>
            </c:numRef>
          </c:val>
          <c:extLst>
            <c:ext xmlns:c16="http://schemas.microsoft.com/office/drawing/2014/chart" uri="{C3380CC4-5D6E-409C-BE32-E72D297353CC}">
              <c16:uniqueId val="{00000002-21CB-4990-9F49-2E079943FA88}"/>
            </c:ext>
          </c:extLst>
        </c:ser>
        <c:ser>
          <c:idx val="3"/>
          <c:order val="3"/>
          <c:tx>
            <c:strRef>
              <c:f>'2006 Sampling'!$BC$34</c:f>
              <c:strCache>
                <c:ptCount val="1"/>
              </c:strCache>
            </c:strRef>
          </c:tx>
          <c:spPr>
            <a:solidFill>
              <a:srgbClr val="000080"/>
            </a:solidFill>
            <a:ln w="12700">
              <a:solidFill>
                <a:srgbClr val="000080"/>
              </a:solidFill>
              <a:prstDash val="solid"/>
            </a:ln>
          </c:spPr>
          <c:invertIfNegative val="0"/>
          <c:val>
            <c:numRef>
              <c:f>'2006 Sampling'!$BD$34:$BQ$34</c:f>
              <c:numCache>
                <c:formatCode>General</c:formatCode>
                <c:ptCount val="14"/>
              </c:numCache>
            </c:numRef>
          </c:val>
          <c:extLst>
            <c:ext xmlns:c16="http://schemas.microsoft.com/office/drawing/2014/chart" uri="{C3380CC4-5D6E-409C-BE32-E72D297353CC}">
              <c16:uniqueId val="{00000003-21CB-4990-9F49-2E079943FA88}"/>
            </c:ext>
          </c:extLst>
        </c:ser>
        <c:ser>
          <c:idx val="4"/>
          <c:order val="4"/>
          <c:tx>
            <c:strRef>
              <c:f>'2006 Sampling'!$BC$35</c:f>
              <c:strCache>
                <c:ptCount val="1"/>
              </c:strCache>
            </c:strRef>
          </c:tx>
          <c:spPr>
            <a:solidFill>
              <a:srgbClr val="FF0000"/>
            </a:solidFill>
            <a:ln w="12700">
              <a:solidFill>
                <a:srgbClr val="FF0000"/>
              </a:solidFill>
              <a:prstDash val="solid"/>
            </a:ln>
          </c:spPr>
          <c:invertIfNegative val="0"/>
          <c:val>
            <c:numRef>
              <c:f>'2006 Sampling'!$BD$35:$BQ$35</c:f>
              <c:numCache>
                <c:formatCode>General</c:formatCode>
                <c:ptCount val="14"/>
              </c:numCache>
            </c:numRef>
          </c:val>
          <c:extLst>
            <c:ext xmlns:c16="http://schemas.microsoft.com/office/drawing/2014/chart" uri="{C3380CC4-5D6E-409C-BE32-E72D297353CC}">
              <c16:uniqueId val="{00000004-21CB-4990-9F49-2E079943FA88}"/>
            </c:ext>
          </c:extLst>
        </c:ser>
        <c:dLbls>
          <c:showLegendKey val="0"/>
          <c:showVal val="0"/>
          <c:showCatName val="0"/>
          <c:showSerName val="0"/>
          <c:showPercent val="0"/>
          <c:showBubbleSize val="0"/>
        </c:dLbls>
        <c:gapWidth val="75"/>
        <c:axId val="501706352"/>
        <c:axId val="501699688"/>
      </c:barChart>
      <c:catAx>
        <c:axId val="501706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501699688"/>
        <c:crosses val="autoZero"/>
        <c:auto val="1"/>
        <c:lblAlgn val="ctr"/>
        <c:lblOffset val="100"/>
        <c:tickLblSkip val="2"/>
        <c:tickMarkSkip val="1"/>
        <c:noMultiLvlLbl val="0"/>
      </c:catAx>
      <c:valAx>
        <c:axId val="50169968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0170635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Sampling'!$BI$2</c:f>
              <c:strCache>
                <c:ptCount val="1"/>
              </c:strCache>
            </c:strRef>
          </c:tx>
          <c:spPr>
            <a:solidFill>
              <a:srgbClr val="0000FF"/>
            </a:solidFill>
            <a:ln w="12700">
              <a:solidFill>
                <a:srgbClr val="0000FF"/>
              </a:solidFill>
              <a:prstDash val="solid"/>
            </a:ln>
          </c:spPr>
          <c:invertIfNegative val="0"/>
          <c:cat>
            <c:numRef>
              <c:f>'2006 Sampling'!$BH$3:$BH$8</c:f>
              <c:numCache>
                <c:formatCode>General</c:formatCode>
                <c:ptCount val="6"/>
              </c:numCache>
            </c:numRef>
          </c:cat>
          <c:val>
            <c:numRef>
              <c:f>'2006 Sampling'!$BI$3:$BI$8</c:f>
              <c:numCache>
                <c:formatCode>General</c:formatCode>
                <c:ptCount val="6"/>
              </c:numCache>
            </c:numRef>
          </c:val>
          <c:extLst>
            <c:ext xmlns:c16="http://schemas.microsoft.com/office/drawing/2014/chart" uri="{C3380CC4-5D6E-409C-BE32-E72D297353CC}">
              <c16:uniqueId val="{00000000-5CFD-4C49-8736-6A9B5B8923F1}"/>
            </c:ext>
          </c:extLst>
        </c:ser>
        <c:ser>
          <c:idx val="1"/>
          <c:order val="1"/>
          <c:tx>
            <c:strRef>
              <c:f>'2006 Sampling'!$BJ$2</c:f>
              <c:strCache>
                <c:ptCount val="1"/>
              </c:strCache>
            </c:strRef>
          </c:tx>
          <c:spPr>
            <a:solidFill>
              <a:srgbClr val="FF0000"/>
            </a:solidFill>
            <a:ln w="12700">
              <a:solidFill>
                <a:srgbClr val="FF0000"/>
              </a:solidFill>
              <a:prstDash val="solid"/>
            </a:ln>
          </c:spPr>
          <c:invertIfNegative val="0"/>
          <c:val>
            <c:numRef>
              <c:f>'2006 Sampling'!$BJ$3:$BJ$8</c:f>
              <c:numCache>
                <c:formatCode>General</c:formatCode>
                <c:ptCount val="6"/>
              </c:numCache>
            </c:numRef>
          </c:val>
          <c:extLst>
            <c:ext xmlns:c16="http://schemas.microsoft.com/office/drawing/2014/chart" uri="{C3380CC4-5D6E-409C-BE32-E72D297353CC}">
              <c16:uniqueId val="{00000001-5CFD-4C49-8736-6A9B5B8923F1}"/>
            </c:ext>
          </c:extLst>
        </c:ser>
        <c:dLbls>
          <c:showLegendKey val="0"/>
          <c:showVal val="0"/>
          <c:showCatName val="0"/>
          <c:showSerName val="0"/>
          <c:showPercent val="0"/>
          <c:showBubbleSize val="0"/>
        </c:dLbls>
        <c:gapWidth val="150"/>
        <c:axId val="501702824"/>
        <c:axId val="501703216"/>
      </c:barChart>
      <c:catAx>
        <c:axId val="5017028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01703216"/>
        <c:crosses val="autoZero"/>
        <c:auto val="1"/>
        <c:lblAlgn val="ctr"/>
        <c:lblOffset val="100"/>
        <c:tickLblSkip val="1"/>
        <c:tickMarkSkip val="1"/>
        <c:noMultiLvlLbl val="0"/>
      </c:catAx>
      <c:valAx>
        <c:axId val="50170321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0170282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 b="0" i="0" u="none" strike="noStrike" baseline="0">
              <a:solidFill>
                <a:srgbClr val="000000"/>
              </a:solidFill>
              <a:latin typeface="Arial"/>
              <a:ea typeface="Arial"/>
              <a:cs typeface="Arial"/>
            </a:defRPr>
          </a:pPr>
          <a:endParaRPr lang="en-US"/>
        </a:p>
      </c:txPr>
    </c:title>
    <c:autoTitleDeleted val="0"/>
    <c:plotArea>
      <c:layout/>
      <c:barChart>
        <c:barDir val="col"/>
        <c:grouping val="clustered"/>
        <c:varyColors val="0"/>
        <c:ser>
          <c:idx val="0"/>
          <c:order val="0"/>
          <c:tx>
            <c:strRef>
              <c:f>'2006 Sampling'!$BR$27</c:f>
              <c:strCache>
                <c:ptCount val="1"/>
              </c:strCache>
            </c:strRef>
          </c:tx>
          <c:spPr>
            <a:solidFill>
              <a:srgbClr val="0000FF"/>
            </a:solidFill>
            <a:ln w="12700">
              <a:solidFill>
                <a:srgbClr val="0000FF"/>
              </a:solidFill>
              <a:prstDash val="solid"/>
            </a:ln>
          </c:spPr>
          <c:invertIfNegative val="0"/>
          <c:cat>
            <c:numRef>
              <c:f>'2006 Sampling'!$BC$29:$BC$35</c:f>
              <c:numCache>
                <c:formatCode>General</c:formatCode>
                <c:ptCount val="7"/>
              </c:numCache>
            </c:numRef>
          </c:cat>
          <c:val>
            <c:numRef>
              <c:f>'2006 Sampling'!$BR$29:$BR$35</c:f>
              <c:numCache>
                <c:formatCode>General</c:formatCode>
                <c:ptCount val="7"/>
              </c:numCache>
            </c:numRef>
          </c:val>
          <c:extLst>
            <c:ext xmlns:c16="http://schemas.microsoft.com/office/drawing/2014/chart" uri="{C3380CC4-5D6E-409C-BE32-E72D297353CC}">
              <c16:uniqueId val="{00000000-67CA-460F-A657-1691043ECB7C}"/>
            </c:ext>
          </c:extLst>
        </c:ser>
        <c:dLbls>
          <c:showLegendKey val="0"/>
          <c:showVal val="0"/>
          <c:showCatName val="0"/>
          <c:showSerName val="0"/>
          <c:showPercent val="0"/>
          <c:showBubbleSize val="0"/>
        </c:dLbls>
        <c:gapWidth val="150"/>
        <c:axId val="495253816"/>
        <c:axId val="495251856"/>
      </c:barChart>
      <c:catAx>
        <c:axId val="4952538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5251856"/>
        <c:crosses val="autoZero"/>
        <c:auto val="1"/>
        <c:lblAlgn val="ctr"/>
        <c:lblOffset val="100"/>
        <c:tickLblSkip val="1"/>
        <c:tickMarkSkip val="1"/>
        <c:noMultiLvlLbl val="0"/>
      </c:catAx>
      <c:valAx>
        <c:axId val="49525185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5253816"/>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FF7D-45D5-A825-042BE749B62B}"/>
            </c:ext>
          </c:extLst>
        </c:ser>
        <c:ser>
          <c:idx val="1"/>
          <c:order val="1"/>
          <c:tx>
            <c:strRef>
              <c:f>'2006 Sampling'!$AN$18</c:f>
              <c:strCache>
                <c:ptCount val="1"/>
              </c:strCache>
            </c:strRef>
          </c:tx>
          <c:spPr>
            <a:solidFill>
              <a:srgbClr val="FF00FF"/>
            </a:solidFill>
            <a:ln w="12700">
              <a:solidFill>
                <a:srgbClr val="FF00FF"/>
              </a:solidFill>
              <a:prstDash val="solid"/>
            </a:ln>
          </c:spPr>
          <c:invertIfNegative val="0"/>
          <c:cat>
            <c:numRef>
              <c:f>'2006 Sampling'!$AO$10:$BB$10</c:f>
              <c:numCache>
                <c:formatCode>General</c:formatCode>
                <c:ptCount val="14"/>
              </c:numCache>
            </c:numRef>
          </c:cat>
          <c:val>
            <c:numRef>
              <c:f>'2006 Sampling'!$AO$18:$BB$18</c:f>
              <c:numCache>
                <c:formatCode>General</c:formatCode>
                <c:ptCount val="14"/>
              </c:numCache>
            </c:numRef>
          </c:val>
          <c:extLst>
            <c:ext xmlns:c16="http://schemas.microsoft.com/office/drawing/2014/chart" uri="{C3380CC4-5D6E-409C-BE32-E72D297353CC}">
              <c16:uniqueId val="{00000001-FF7D-45D5-A825-042BE749B62B}"/>
            </c:ext>
          </c:extLst>
        </c:ser>
        <c:ser>
          <c:idx val="2"/>
          <c:order val="2"/>
          <c:tx>
            <c:strRef>
              <c:f>'2006 Sampling'!$AN$19</c:f>
              <c:strCache>
                <c:ptCount val="1"/>
              </c:strCache>
            </c:strRef>
          </c:tx>
          <c:spPr>
            <a:solidFill>
              <a:srgbClr val="008000"/>
            </a:solidFill>
            <a:ln w="12700">
              <a:solidFill>
                <a:srgbClr val="008000"/>
              </a:solidFill>
              <a:prstDash val="solid"/>
            </a:ln>
          </c:spPr>
          <c:invertIfNegative val="0"/>
          <c:cat>
            <c:numRef>
              <c:f>'2006 Sampling'!$AO$10:$BB$10</c:f>
              <c:numCache>
                <c:formatCode>General</c:formatCode>
                <c:ptCount val="14"/>
              </c:numCache>
            </c:numRef>
          </c:cat>
          <c:val>
            <c:numRef>
              <c:f>'2006 Sampling'!$AO$19:$BB$19</c:f>
              <c:numCache>
                <c:formatCode>General</c:formatCode>
                <c:ptCount val="14"/>
              </c:numCache>
            </c:numRef>
          </c:val>
          <c:extLst>
            <c:ext xmlns:c16="http://schemas.microsoft.com/office/drawing/2014/chart" uri="{C3380CC4-5D6E-409C-BE32-E72D297353CC}">
              <c16:uniqueId val="{00000002-FF7D-45D5-A825-042BE749B62B}"/>
            </c:ext>
          </c:extLst>
        </c:ser>
        <c:ser>
          <c:idx val="3"/>
          <c:order val="3"/>
          <c:tx>
            <c:strRef>
              <c:f>'2006 Sampling'!$AN$20</c:f>
              <c:strCache>
                <c:ptCount val="1"/>
              </c:strCache>
            </c:strRef>
          </c:tx>
          <c:spPr>
            <a:solidFill>
              <a:srgbClr val="000080"/>
            </a:solidFill>
            <a:ln w="12700">
              <a:solidFill>
                <a:srgbClr val="000080"/>
              </a:solidFill>
              <a:prstDash val="solid"/>
            </a:ln>
          </c:spPr>
          <c:invertIfNegative val="0"/>
          <c:cat>
            <c:numRef>
              <c:f>'2006 Sampling'!$AO$10:$BB$10</c:f>
              <c:numCache>
                <c:formatCode>General</c:formatCode>
                <c:ptCount val="14"/>
              </c:numCache>
            </c:numRef>
          </c:cat>
          <c:val>
            <c:numRef>
              <c:f>'2006 Sampling'!$AO$20:$BB$20</c:f>
              <c:numCache>
                <c:formatCode>General</c:formatCode>
                <c:ptCount val="14"/>
              </c:numCache>
            </c:numRef>
          </c:val>
          <c:extLst>
            <c:ext xmlns:c16="http://schemas.microsoft.com/office/drawing/2014/chart" uri="{C3380CC4-5D6E-409C-BE32-E72D297353CC}">
              <c16:uniqueId val="{00000003-FF7D-45D5-A825-042BE749B62B}"/>
            </c:ext>
          </c:extLst>
        </c:ser>
        <c:ser>
          <c:idx val="4"/>
          <c:order val="4"/>
          <c:tx>
            <c:strRef>
              <c:f>'2006 Sampling'!$AN$21</c:f>
              <c:strCache>
                <c:ptCount val="1"/>
              </c:strCache>
            </c:strRef>
          </c:tx>
          <c:spPr>
            <a:solidFill>
              <a:srgbClr val="FF0000"/>
            </a:solidFill>
            <a:ln w="12700">
              <a:solidFill>
                <a:srgbClr val="FF0000"/>
              </a:solidFill>
              <a:prstDash val="solid"/>
            </a:ln>
          </c:spPr>
          <c:invertIfNegative val="0"/>
          <c:cat>
            <c:numRef>
              <c:f>'2006 Sampling'!$AO$10:$BB$10</c:f>
              <c:numCache>
                <c:formatCode>General</c:formatCode>
                <c:ptCount val="14"/>
              </c:numCache>
            </c:numRef>
          </c:cat>
          <c:val>
            <c:numRef>
              <c:f>'2006 Sampling'!$AO$21:$BB$21</c:f>
              <c:numCache>
                <c:formatCode>General</c:formatCode>
                <c:ptCount val="14"/>
              </c:numCache>
            </c:numRef>
          </c:val>
          <c:extLst>
            <c:ext xmlns:c16="http://schemas.microsoft.com/office/drawing/2014/chart" uri="{C3380CC4-5D6E-409C-BE32-E72D297353CC}">
              <c16:uniqueId val="{00000004-FF7D-45D5-A825-042BE749B62B}"/>
            </c:ext>
          </c:extLst>
        </c:ser>
        <c:dLbls>
          <c:showLegendKey val="0"/>
          <c:showVal val="0"/>
          <c:showCatName val="0"/>
          <c:showSerName val="0"/>
          <c:showPercent val="0"/>
          <c:showBubbleSize val="0"/>
        </c:dLbls>
        <c:gapWidth val="150"/>
        <c:axId val="495252640"/>
        <c:axId val="495247936"/>
      </c:barChart>
      <c:catAx>
        <c:axId val="49525264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5247936"/>
        <c:crosses val="autoZero"/>
        <c:auto val="1"/>
        <c:lblAlgn val="ctr"/>
        <c:lblOffset val="100"/>
        <c:tickLblSkip val="4"/>
        <c:tickMarkSkip val="1"/>
        <c:noMultiLvlLbl val="0"/>
      </c:catAx>
      <c:valAx>
        <c:axId val="4952479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5252640"/>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D90E-4F0F-8F1D-0477F7D8EDD8}"/>
            </c:ext>
          </c:extLst>
        </c:ser>
        <c:ser>
          <c:idx val="1"/>
          <c:order val="1"/>
          <c:tx>
            <c:strRef>
              <c:f>'2006 Sampling'!$AN$18</c:f>
              <c:strCache>
                <c:ptCount val="1"/>
              </c:strCache>
            </c:strRef>
          </c:tx>
          <c:spPr>
            <a:solidFill>
              <a:srgbClr val="FF00FF"/>
            </a:solidFill>
            <a:ln w="12700">
              <a:solidFill>
                <a:srgbClr val="FF00FF"/>
              </a:solidFill>
              <a:prstDash val="solid"/>
            </a:ln>
          </c:spPr>
          <c:invertIfNegative val="0"/>
          <c:val>
            <c:numRef>
              <c:f>'2006 Sampling'!$AO$18:$BB$18</c:f>
              <c:numCache>
                <c:formatCode>General</c:formatCode>
                <c:ptCount val="14"/>
              </c:numCache>
            </c:numRef>
          </c:val>
          <c:extLst>
            <c:ext xmlns:c16="http://schemas.microsoft.com/office/drawing/2014/chart" uri="{C3380CC4-5D6E-409C-BE32-E72D297353CC}">
              <c16:uniqueId val="{00000001-D90E-4F0F-8F1D-0477F7D8EDD8}"/>
            </c:ext>
          </c:extLst>
        </c:ser>
        <c:ser>
          <c:idx val="2"/>
          <c:order val="2"/>
          <c:tx>
            <c:strRef>
              <c:f>'2006 Sampling'!$AN$19</c:f>
              <c:strCache>
                <c:ptCount val="1"/>
              </c:strCache>
            </c:strRef>
          </c:tx>
          <c:spPr>
            <a:solidFill>
              <a:srgbClr val="008000"/>
            </a:solidFill>
            <a:ln w="12700">
              <a:solidFill>
                <a:srgbClr val="008000"/>
              </a:solidFill>
              <a:prstDash val="solid"/>
            </a:ln>
          </c:spPr>
          <c:invertIfNegative val="0"/>
          <c:val>
            <c:numRef>
              <c:f>'2006 Sampling'!$AO$19:$BB$19</c:f>
              <c:numCache>
                <c:formatCode>General</c:formatCode>
                <c:ptCount val="14"/>
              </c:numCache>
            </c:numRef>
          </c:val>
          <c:extLst>
            <c:ext xmlns:c16="http://schemas.microsoft.com/office/drawing/2014/chart" uri="{C3380CC4-5D6E-409C-BE32-E72D297353CC}">
              <c16:uniqueId val="{00000002-D90E-4F0F-8F1D-0477F7D8EDD8}"/>
            </c:ext>
          </c:extLst>
        </c:ser>
        <c:dLbls>
          <c:showLegendKey val="0"/>
          <c:showVal val="0"/>
          <c:showCatName val="0"/>
          <c:showSerName val="0"/>
          <c:showPercent val="0"/>
          <c:showBubbleSize val="0"/>
        </c:dLbls>
        <c:gapWidth val="150"/>
        <c:axId val="495248720"/>
        <c:axId val="495251072"/>
      </c:barChart>
      <c:catAx>
        <c:axId val="49524872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5251072"/>
        <c:crosses val="autoZero"/>
        <c:auto val="1"/>
        <c:lblAlgn val="ctr"/>
        <c:lblOffset val="100"/>
        <c:tickLblSkip val="2"/>
        <c:tickMarkSkip val="1"/>
        <c:noMultiLvlLbl val="0"/>
      </c:catAx>
      <c:valAx>
        <c:axId val="495251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5248720"/>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0-C030-466C-9B73-BEF54BFD00C1}"/>
            </c:ext>
          </c:extLst>
        </c:ser>
        <c:ser>
          <c:idx val="1"/>
          <c:order val="1"/>
          <c:tx>
            <c:strRef>
              <c:f>'2006 Sampling'!$BC$31</c:f>
              <c:strCache>
                <c:ptCount val="1"/>
              </c:strCache>
            </c:strRef>
          </c:tx>
          <c:spPr>
            <a:solidFill>
              <a:srgbClr val="FF00FF"/>
            </a:solidFill>
            <a:ln w="12700">
              <a:solidFill>
                <a:srgbClr val="FF00FF"/>
              </a:solidFill>
              <a:prstDash val="solid"/>
            </a:ln>
          </c:spPr>
          <c:invertIfNegative val="0"/>
          <c:val>
            <c:numRef>
              <c:f>'2006 Sampling'!$BD$31:$BQ$31</c:f>
              <c:numCache>
                <c:formatCode>General</c:formatCode>
                <c:ptCount val="14"/>
              </c:numCache>
            </c:numRef>
          </c:val>
          <c:extLst>
            <c:ext xmlns:c16="http://schemas.microsoft.com/office/drawing/2014/chart" uri="{C3380CC4-5D6E-409C-BE32-E72D297353CC}">
              <c16:uniqueId val="{00000001-C030-466C-9B73-BEF54BFD00C1}"/>
            </c:ext>
          </c:extLst>
        </c:ser>
        <c:ser>
          <c:idx val="2"/>
          <c:order val="2"/>
          <c:tx>
            <c:strRef>
              <c:f>'2006 Sampling'!$BC$32</c:f>
              <c:strCache>
                <c:ptCount val="1"/>
              </c:strCache>
            </c:strRef>
          </c:tx>
          <c:spPr>
            <a:solidFill>
              <a:srgbClr val="008000"/>
            </a:solidFill>
            <a:ln w="12700">
              <a:solidFill>
                <a:srgbClr val="008000"/>
              </a:solidFill>
              <a:prstDash val="solid"/>
            </a:ln>
          </c:spPr>
          <c:invertIfNegative val="0"/>
          <c:val>
            <c:numRef>
              <c:f>'2006 Sampling'!$BD$32:$BQ$32</c:f>
              <c:numCache>
                <c:formatCode>General</c:formatCode>
                <c:ptCount val="14"/>
              </c:numCache>
            </c:numRef>
          </c:val>
          <c:extLst>
            <c:ext xmlns:c16="http://schemas.microsoft.com/office/drawing/2014/chart" uri="{C3380CC4-5D6E-409C-BE32-E72D297353CC}">
              <c16:uniqueId val="{00000002-C030-466C-9B73-BEF54BFD00C1}"/>
            </c:ext>
          </c:extLst>
        </c:ser>
        <c:ser>
          <c:idx val="3"/>
          <c:order val="3"/>
          <c:tx>
            <c:strRef>
              <c:f>'2006 Sampling'!$BC$34</c:f>
              <c:strCache>
                <c:ptCount val="1"/>
              </c:strCache>
            </c:strRef>
          </c:tx>
          <c:spPr>
            <a:solidFill>
              <a:srgbClr val="000080"/>
            </a:solidFill>
            <a:ln w="12700">
              <a:solidFill>
                <a:srgbClr val="000080"/>
              </a:solidFill>
              <a:prstDash val="solid"/>
            </a:ln>
          </c:spPr>
          <c:invertIfNegative val="0"/>
          <c:val>
            <c:numRef>
              <c:f>'2006 Sampling'!$BD$34:$BQ$34</c:f>
              <c:numCache>
                <c:formatCode>General</c:formatCode>
                <c:ptCount val="14"/>
              </c:numCache>
            </c:numRef>
          </c:val>
          <c:extLst>
            <c:ext xmlns:c16="http://schemas.microsoft.com/office/drawing/2014/chart" uri="{C3380CC4-5D6E-409C-BE32-E72D297353CC}">
              <c16:uniqueId val="{00000003-C030-466C-9B73-BEF54BFD00C1}"/>
            </c:ext>
          </c:extLst>
        </c:ser>
        <c:ser>
          <c:idx val="4"/>
          <c:order val="4"/>
          <c:tx>
            <c:strRef>
              <c:f>'2006 Sampling'!$BC$35</c:f>
              <c:strCache>
                <c:ptCount val="1"/>
              </c:strCache>
            </c:strRef>
          </c:tx>
          <c:spPr>
            <a:solidFill>
              <a:srgbClr val="FF0000"/>
            </a:solidFill>
            <a:ln w="12700">
              <a:solidFill>
                <a:srgbClr val="FF0000"/>
              </a:solidFill>
              <a:prstDash val="solid"/>
            </a:ln>
          </c:spPr>
          <c:invertIfNegative val="0"/>
          <c:val>
            <c:numRef>
              <c:f>'2006 Sampling'!$BD$35:$BQ$35</c:f>
              <c:numCache>
                <c:formatCode>General</c:formatCode>
                <c:ptCount val="14"/>
              </c:numCache>
            </c:numRef>
          </c:val>
          <c:extLst>
            <c:ext xmlns:c16="http://schemas.microsoft.com/office/drawing/2014/chart" uri="{C3380CC4-5D6E-409C-BE32-E72D297353CC}">
              <c16:uniqueId val="{00000004-C030-466C-9B73-BEF54BFD00C1}"/>
            </c:ext>
          </c:extLst>
        </c:ser>
        <c:dLbls>
          <c:showLegendKey val="0"/>
          <c:showVal val="0"/>
          <c:showCatName val="0"/>
          <c:showSerName val="0"/>
          <c:showPercent val="0"/>
          <c:showBubbleSize val="0"/>
        </c:dLbls>
        <c:gapWidth val="75"/>
        <c:axId val="495251464"/>
        <c:axId val="495248328"/>
      </c:barChart>
      <c:catAx>
        <c:axId val="495251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5248328"/>
        <c:crosses val="autoZero"/>
        <c:auto val="1"/>
        <c:lblAlgn val="ctr"/>
        <c:lblOffset val="100"/>
        <c:tickLblSkip val="2"/>
        <c:tickMarkSkip val="1"/>
        <c:noMultiLvlLbl val="0"/>
      </c:catAx>
      <c:valAx>
        <c:axId val="49524832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525146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Sampling'!$BI$2</c:f>
              <c:strCache>
                <c:ptCount val="1"/>
              </c:strCache>
            </c:strRef>
          </c:tx>
          <c:spPr>
            <a:solidFill>
              <a:srgbClr val="0000FF"/>
            </a:solidFill>
            <a:ln w="12700">
              <a:solidFill>
                <a:srgbClr val="0000FF"/>
              </a:solidFill>
              <a:prstDash val="solid"/>
            </a:ln>
          </c:spPr>
          <c:invertIfNegative val="0"/>
          <c:cat>
            <c:numRef>
              <c:f>'2006 Sampling'!$BH$3:$BH$8</c:f>
              <c:numCache>
                <c:formatCode>General</c:formatCode>
                <c:ptCount val="6"/>
              </c:numCache>
            </c:numRef>
          </c:cat>
          <c:val>
            <c:numRef>
              <c:f>'2006 Sampling'!$BI$3:$BI$8</c:f>
              <c:numCache>
                <c:formatCode>General</c:formatCode>
                <c:ptCount val="6"/>
              </c:numCache>
            </c:numRef>
          </c:val>
          <c:extLst>
            <c:ext xmlns:c16="http://schemas.microsoft.com/office/drawing/2014/chart" uri="{C3380CC4-5D6E-409C-BE32-E72D297353CC}">
              <c16:uniqueId val="{00000000-8EDB-479F-A6A6-41978614BDAE}"/>
            </c:ext>
          </c:extLst>
        </c:ser>
        <c:ser>
          <c:idx val="1"/>
          <c:order val="1"/>
          <c:tx>
            <c:strRef>
              <c:f>'2006 Sampling'!$BJ$2</c:f>
              <c:strCache>
                <c:ptCount val="1"/>
              </c:strCache>
            </c:strRef>
          </c:tx>
          <c:spPr>
            <a:solidFill>
              <a:srgbClr val="FF0000"/>
            </a:solidFill>
            <a:ln w="12700">
              <a:solidFill>
                <a:srgbClr val="FF0000"/>
              </a:solidFill>
              <a:prstDash val="solid"/>
            </a:ln>
          </c:spPr>
          <c:invertIfNegative val="0"/>
          <c:val>
            <c:numRef>
              <c:f>'2006 Sampling'!$BJ$3:$BJ$8</c:f>
              <c:numCache>
                <c:formatCode>General</c:formatCode>
                <c:ptCount val="6"/>
              </c:numCache>
            </c:numRef>
          </c:val>
          <c:extLst>
            <c:ext xmlns:c16="http://schemas.microsoft.com/office/drawing/2014/chart" uri="{C3380CC4-5D6E-409C-BE32-E72D297353CC}">
              <c16:uniqueId val="{00000001-8EDB-479F-A6A6-41978614BDAE}"/>
            </c:ext>
          </c:extLst>
        </c:ser>
        <c:dLbls>
          <c:showLegendKey val="0"/>
          <c:showVal val="0"/>
          <c:showCatName val="0"/>
          <c:showSerName val="0"/>
          <c:showPercent val="0"/>
          <c:showBubbleSize val="0"/>
        </c:dLbls>
        <c:gapWidth val="150"/>
        <c:axId val="495249112"/>
        <c:axId val="495249504"/>
      </c:barChart>
      <c:catAx>
        <c:axId val="4952491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5249504"/>
        <c:crosses val="autoZero"/>
        <c:auto val="1"/>
        <c:lblAlgn val="ctr"/>
        <c:lblOffset val="100"/>
        <c:tickLblSkip val="1"/>
        <c:tickMarkSkip val="1"/>
        <c:noMultiLvlLbl val="0"/>
      </c:catAx>
      <c:valAx>
        <c:axId val="49524950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524911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Sampling'!$BI$2</c:f>
              <c:strCache>
                <c:ptCount val="1"/>
              </c:strCache>
            </c:strRef>
          </c:tx>
          <c:spPr>
            <a:solidFill>
              <a:srgbClr val="0000FF"/>
            </a:solidFill>
            <a:ln w="12700">
              <a:solidFill>
                <a:srgbClr val="0000FF"/>
              </a:solidFill>
              <a:prstDash val="solid"/>
            </a:ln>
          </c:spPr>
          <c:invertIfNegative val="0"/>
          <c:cat>
            <c:numRef>
              <c:f>'2006 Sampling'!$BH$3:$BH$8</c:f>
              <c:numCache>
                <c:formatCode>General</c:formatCode>
                <c:ptCount val="6"/>
              </c:numCache>
            </c:numRef>
          </c:cat>
          <c:val>
            <c:numRef>
              <c:f>'2006 Sampling'!$BI$3:$BI$8</c:f>
              <c:numCache>
                <c:formatCode>General</c:formatCode>
                <c:ptCount val="6"/>
              </c:numCache>
            </c:numRef>
          </c:val>
          <c:extLst>
            <c:ext xmlns:c16="http://schemas.microsoft.com/office/drawing/2014/chart" uri="{C3380CC4-5D6E-409C-BE32-E72D297353CC}">
              <c16:uniqueId val="{00000000-2438-4A1A-AE94-353495842A13}"/>
            </c:ext>
          </c:extLst>
        </c:ser>
        <c:ser>
          <c:idx val="1"/>
          <c:order val="1"/>
          <c:tx>
            <c:strRef>
              <c:f>'2006 Sampling'!$BJ$2</c:f>
              <c:strCache>
                <c:ptCount val="1"/>
              </c:strCache>
            </c:strRef>
          </c:tx>
          <c:spPr>
            <a:solidFill>
              <a:srgbClr val="FF0000"/>
            </a:solidFill>
            <a:ln w="12700">
              <a:solidFill>
                <a:srgbClr val="FF0000"/>
              </a:solidFill>
              <a:prstDash val="solid"/>
            </a:ln>
          </c:spPr>
          <c:invertIfNegative val="0"/>
          <c:val>
            <c:numRef>
              <c:f>'2006 Sampling'!$BJ$3:$BJ$8</c:f>
              <c:numCache>
                <c:formatCode>General</c:formatCode>
                <c:ptCount val="6"/>
              </c:numCache>
            </c:numRef>
          </c:val>
          <c:extLst>
            <c:ext xmlns:c16="http://schemas.microsoft.com/office/drawing/2014/chart" uri="{C3380CC4-5D6E-409C-BE32-E72D297353CC}">
              <c16:uniqueId val="{00000001-2438-4A1A-AE94-353495842A13}"/>
            </c:ext>
          </c:extLst>
        </c:ser>
        <c:dLbls>
          <c:showLegendKey val="0"/>
          <c:showVal val="0"/>
          <c:showCatName val="0"/>
          <c:showSerName val="0"/>
          <c:showPercent val="0"/>
          <c:showBubbleSize val="0"/>
        </c:dLbls>
        <c:gapWidth val="150"/>
        <c:axId val="494064024"/>
        <c:axId val="494069512"/>
      </c:barChart>
      <c:catAx>
        <c:axId val="4940640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9512"/>
        <c:crosses val="autoZero"/>
        <c:auto val="1"/>
        <c:lblAlgn val="ctr"/>
        <c:lblOffset val="100"/>
        <c:tickLblSkip val="1"/>
        <c:tickMarkSkip val="1"/>
        <c:noMultiLvlLbl val="0"/>
      </c:catAx>
      <c:valAx>
        <c:axId val="49406951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402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 b="0" i="0" u="none" strike="noStrike" baseline="0">
              <a:solidFill>
                <a:srgbClr val="000000"/>
              </a:solidFill>
              <a:latin typeface="Arial"/>
              <a:ea typeface="Arial"/>
              <a:cs typeface="Arial"/>
            </a:defRPr>
          </a:pPr>
          <a:endParaRPr lang="en-US"/>
        </a:p>
      </c:txPr>
    </c:title>
    <c:autoTitleDeleted val="0"/>
    <c:plotArea>
      <c:layout/>
      <c:barChart>
        <c:barDir val="col"/>
        <c:grouping val="clustered"/>
        <c:varyColors val="0"/>
        <c:ser>
          <c:idx val="0"/>
          <c:order val="0"/>
          <c:tx>
            <c:strRef>
              <c:f>'2006 Sampling'!$BR$27</c:f>
              <c:strCache>
                <c:ptCount val="1"/>
              </c:strCache>
            </c:strRef>
          </c:tx>
          <c:spPr>
            <a:solidFill>
              <a:srgbClr val="0000FF"/>
            </a:solidFill>
            <a:ln w="12700">
              <a:solidFill>
                <a:srgbClr val="0000FF"/>
              </a:solidFill>
              <a:prstDash val="solid"/>
            </a:ln>
          </c:spPr>
          <c:invertIfNegative val="0"/>
          <c:cat>
            <c:numRef>
              <c:f>'2006 Sampling'!$BC$29:$BC$35</c:f>
              <c:numCache>
                <c:formatCode>General</c:formatCode>
                <c:ptCount val="7"/>
              </c:numCache>
            </c:numRef>
          </c:cat>
          <c:val>
            <c:numRef>
              <c:f>'2006 Sampling'!$BR$29:$BR$35</c:f>
              <c:numCache>
                <c:formatCode>General</c:formatCode>
                <c:ptCount val="7"/>
              </c:numCache>
            </c:numRef>
          </c:val>
          <c:extLst>
            <c:ext xmlns:c16="http://schemas.microsoft.com/office/drawing/2014/chart" uri="{C3380CC4-5D6E-409C-BE32-E72D297353CC}">
              <c16:uniqueId val="{00000000-8B7E-47E6-A741-B4A3D6632C0D}"/>
            </c:ext>
          </c:extLst>
        </c:ser>
        <c:dLbls>
          <c:showLegendKey val="0"/>
          <c:showVal val="0"/>
          <c:showCatName val="0"/>
          <c:showSerName val="0"/>
          <c:showPercent val="0"/>
          <c:showBubbleSize val="0"/>
        </c:dLbls>
        <c:gapWidth val="150"/>
        <c:axId val="495249896"/>
        <c:axId val="495246760"/>
      </c:barChart>
      <c:catAx>
        <c:axId val="495249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5246760"/>
        <c:crosses val="autoZero"/>
        <c:auto val="1"/>
        <c:lblAlgn val="ctr"/>
        <c:lblOffset val="100"/>
        <c:tickLblSkip val="1"/>
        <c:tickMarkSkip val="1"/>
        <c:noMultiLvlLbl val="0"/>
      </c:catAx>
      <c:valAx>
        <c:axId val="49524676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5249896"/>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7357-4198-9638-B1256C0A5263}"/>
            </c:ext>
          </c:extLst>
        </c:ser>
        <c:ser>
          <c:idx val="1"/>
          <c:order val="1"/>
          <c:tx>
            <c:strRef>
              <c:f>'2006 Sampling'!$AN$18</c:f>
              <c:strCache>
                <c:ptCount val="1"/>
              </c:strCache>
            </c:strRef>
          </c:tx>
          <c:spPr>
            <a:solidFill>
              <a:srgbClr val="FF00FF"/>
            </a:solidFill>
            <a:ln w="12700">
              <a:solidFill>
                <a:srgbClr val="FF00FF"/>
              </a:solidFill>
              <a:prstDash val="solid"/>
            </a:ln>
          </c:spPr>
          <c:invertIfNegative val="0"/>
          <c:cat>
            <c:numRef>
              <c:f>'2006 Sampling'!$AO$10:$BB$10</c:f>
              <c:numCache>
                <c:formatCode>General</c:formatCode>
                <c:ptCount val="14"/>
              </c:numCache>
            </c:numRef>
          </c:cat>
          <c:val>
            <c:numRef>
              <c:f>'2006 Sampling'!$AO$18:$BB$18</c:f>
              <c:numCache>
                <c:formatCode>General</c:formatCode>
                <c:ptCount val="14"/>
              </c:numCache>
            </c:numRef>
          </c:val>
          <c:extLst>
            <c:ext xmlns:c16="http://schemas.microsoft.com/office/drawing/2014/chart" uri="{C3380CC4-5D6E-409C-BE32-E72D297353CC}">
              <c16:uniqueId val="{00000001-7357-4198-9638-B1256C0A5263}"/>
            </c:ext>
          </c:extLst>
        </c:ser>
        <c:ser>
          <c:idx val="2"/>
          <c:order val="2"/>
          <c:tx>
            <c:strRef>
              <c:f>'2006 Sampling'!$AN$19</c:f>
              <c:strCache>
                <c:ptCount val="1"/>
              </c:strCache>
            </c:strRef>
          </c:tx>
          <c:spPr>
            <a:solidFill>
              <a:srgbClr val="008000"/>
            </a:solidFill>
            <a:ln w="12700">
              <a:solidFill>
                <a:srgbClr val="008000"/>
              </a:solidFill>
              <a:prstDash val="solid"/>
            </a:ln>
          </c:spPr>
          <c:invertIfNegative val="0"/>
          <c:cat>
            <c:numRef>
              <c:f>'2006 Sampling'!$AO$10:$BB$10</c:f>
              <c:numCache>
                <c:formatCode>General</c:formatCode>
                <c:ptCount val="14"/>
              </c:numCache>
            </c:numRef>
          </c:cat>
          <c:val>
            <c:numRef>
              <c:f>'2006 Sampling'!$AO$19:$BB$19</c:f>
              <c:numCache>
                <c:formatCode>General</c:formatCode>
                <c:ptCount val="14"/>
              </c:numCache>
            </c:numRef>
          </c:val>
          <c:extLst>
            <c:ext xmlns:c16="http://schemas.microsoft.com/office/drawing/2014/chart" uri="{C3380CC4-5D6E-409C-BE32-E72D297353CC}">
              <c16:uniqueId val="{00000002-7357-4198-9638-B1256C0A5263}"/>
            </c:ext>
          </c:extLst>
        </c:ser>
        <c:ser>
          <c:idx val="3"/>
          <c:order val="3"/>
          <c:tx>
            <c:strRef>
              <c:f>'2006 Sampling'!$AN$20</c:f>
              <c:strCache>
                <c:ptCount val="1"/>
              </c:strCache>
            </c:strRef>
          </c:tx>
          <c:spPr>
            <a:solidFill>
              <a:srgbClr val="000080"/>
            </a:solidFill>
            <a:ln w="12700">
              <a:solidFill>
                <a:srgbClr val="000080"/>
              </a:solidFill>
              <a:prstDash val="solid"/>
            </a:ln>
          </c:spPr>
          <c:invertIfNegative val="0"/>
          <c:cat>
            <c:numRef>
              <c:f>'2006 Sampling'!$AO$10:$BB$10</c:f>
              <c:numCache>
                <c:formatCode>General</c:formatCode>
                <c:ptCount val="14"/>
              </c:numCache>
            </c:numRef>
          </c:cat>
          <c:val>
            <c:numRef>
              <c:f>'2006 Sampling'!$AO$20:$BB$20</c:f>
              <c:numCache>
                <c:formatCode>General</c:formatCode>
                <c:ptCount val="14"/>
              </c:numCache>
            </c:numRef>
          </c:val>
          <c:extLst>
            <c:ext xmlns:c16="http://schemas.microsoft.com/office/drawing/2014/chart" uri="{C3380CC4-5D6E-409C-BE32-E72D297353CC}">
              <c16:uniqueId val="{00000003-7357-4198-9638-B1256C0A5263}"/>
            </c:ext>
          </c:extLst>
        </c:ser>
        <c:ser>
          <c:idx val="4"/>
          <c:order val="4"/>
          <c:tx>
            <c:strRef>
              <c:f>'2006 Sampling'!$AN$21</c:f>
              <c:strCache>
                <c:ptCount val="1"/>
              </c:strCache>
            </c:strRef>
          </c:tx>
          <c:spPr>
            <a:solidFill>
              <a:srgbClr val="FF0000"/>
            </a:solidFill>
            <a:ln w="12700">
              <a:solidFill>
                <a:srgbClr val="FF0000"/>
              </a:solidFill>
              <a:prstDash val="solid"/>
            </a:ln>
          </c:spPr>
          <c:invertIfNegative val="0"/>
          <c:cat>
            <c:numRef>
              <c:f>'2006 Sampling'!$AO$10:$BB$10</c:f>
              <c:numCache>
                <c:formatCode>General</c:formatCode>
                <c:ptCount val="14"/>
              </c:numCache>
            </c:numRef>
          </c:cat>
          <c:val>
            <c:numRef>
              <c:f>'2006 Sampling'!$AO$21:$BB$21</c:f>
              <c:numCache>
                <c:formatCode>General</c:formatCode>
                <c:ptCount val="14"/>
              </c:numCache>
            </c:numRef>
          </c:val>
          <c:extLst>
            <c:ext xmlns:c16="http://schemas.microsoft.com/office/drawing/2014/chart" uri="{C3380CC4-5D6E-409C-BE32-E72D297353CC}">
              <c16:uniqueId val="{00000004-7357-4198-9638-B1256C0A5263}"/>
            </c:ext>
          </c:extLst>
        </c:ser>
        <c:dLbls>
          <c:showLegendKey val="0"/>
          <c:showVal val="0"/>
          <c:showCatName val="0"/>
          <c:showSerName val="0"/>
          <c:showPercent val="0"/>
          <c:showBubbleSize val="0"/>
        </c:dLbls>
        <c:gapWidth val="150"/>
        <c:axId val="495247152"/>
        <c:axId val="495247544"/>
      </c:barChart>
      <c:catAx>
        <c:axId val="4952471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5247544"/>
        <c:crosses val="autoZero"/>
        <c:auto val="1"/>
        <c:lblAlgn val="ctr"/>
        <c:lblOffset val="100"/>
        <c:tickLblSkip val="4"/>
        <c:tickMarkSkip val="1"/>
        <c:noMultiLvlLbl val="0"/>
      </c:catAx>
      <c:valAx>
        <c:axId val="495247544"/>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524715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D405-46C4-BF89-47B6987AD12C}"/>
            </c:ext>
          </c:extLst>
        </c:ser>
        <c:ser>
          <c:idx val="1"/>
          <c:order val="1"/>
          <c:tx>
            <c:strRef>
              <c:f>'2006 Sampling'!$AN$18</c:f>
              <c:strCache>
                <c:ptCount val="1"/>
              </c:strCache>
            </c:strRef>
          </c:tx>
          <c:spPr>
            <a:solidFill>
              <a:srgbClr val="FF00FF"/>
            </a:solidFill>
            <a:ln w="12700">
              <a:solidFill>
                <a:srgbClr val="FF00FF"/>
              </a:solidFill>
              <a:prstDash val="solid"/>
            </a:ln>
          </c:spPr>
          <c:invertIfNegative val="0"/>
          <c:val>
            <c:numRef>
              <c:f>'2006 Sampling'!$AO$18:$BB$18</c:f>
              <c:numCache>
                <c:formatCode>General</c:formatCode>
                <c:ptCount val="14"/>
              </c:numCache>
            </c:numRef>
          </c:val>
          <c:extLst>
            <c:ext xmlns:c16="http://schemas.microsoft.com/office/drawing/2014/chart" uri="{C3380CC4-5D6E-409C-BE32-E72D297353CC}">
              <c16:uniqueId val="{00000001-D405-46C4-BF89-47B6987AD12C}"/>
            </c:ext>
          </c:extLst>
        </c:ser>
        <c:ser>
          <c:idx val="2"/>
          <c:order val="2"/>
          <c:tx>
            <c:strRef>
              <c:f>'2006 Sampling'!$AN$19</c:f>
              <c:strCache>
                <c:ptCount val="1"/>
              </c:strCache>
            </c:strRef>
          </c:tx>
          <c:spPr>
            <a:solidFill>
              <a:srgbClr val="008000"/>
            </a:solidFill>
            <a:ln w="12700">
              <a:solidFill>
                <a:srgbClr val="008000"/>
              </a:solidFill>
              <a:prstDash val="solid"/>
            </a:ln>
          </c:spPr>
          <c:invertIfNegative val="0"/>
          <c:val>
            <c:numRef>
              <c:f>'2006 Sampling'!$AO$19:$BB$19</c:f>
              <c:numCache>
                <c:formatCode>General</c:formatCode>
                <c:ptCount val="14"/>
              </c:numCache>
            </c:numRef>
          </c:val>
          <c:extLst>
            <c:ext xmlns:c16="http://schemas.microsoft.com/office/drawing/2014/chart" uri="{C3380CC4-5D6E-409C-BE32-E72D297353CC}">
              <c16:uniqueId val="{00000002-D405-46C4-BF89-47B6987AD12C}"/>
            </c:ext>
          </c:extLst>
        </c:ser>
        <c:dLbls>
          <c:showLegendKey val="0"/>
          <c:showVal val="0"/>
          <c:showCatName val="0"/>
          <c:showSerName val="0"/>
          <c:showPercent val="0"/>
          <c:showBubbleSize val="0"/>
        </c:dLbls>
        <c:gapWidth val="150"/>
        <c:axId val="503810648"/>
        <c:axId val="503814176"/>
      </c:barChart>
      <c:catAx>
        <c:axId val="50381064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503814176"/>
        <c:crosses val="autoZero"/>
        <c:auto val="1"/>
        <c:lblAlgn val="ctr"/>
        <c:lblOffset val="100"/>
        <c:tickLblSkip val="2"/>
        <c:tickMarkSkip val="1"/>
        <c:noMultiLvlLbl val="0"/>
      </c:catAx>
      <c:valAx>
        <c:axId val="50381417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0381064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0-8C06-4AAA-92C6-1C8CAA3335BA}"/>
            </c:ext>
          </c:extLst>
        </c:ser>
        <c:ser>
          <c:idx val="1"/>
          <c:order val="1"/>
          <c:tx>
            <c:strRef>
              <c:f>'2006 Sampling'!$BC$31</c:f>
              <c:strCache>
                <c:ptCount val="1"/>
              </c:strCache>
            </c:strRef>
          </c:tx>
          <c:spPr>
            <a:solidFill>
              <a:srgbClr val="FF00FF"/>
            </a:solidFill>
            <a:ln w="12700">
              <a:solidFill>
                <a:srgbClr val="FF00FF"/>
              </a:solidFill>
              <a:prstDash val="solid"/>
            </a:ln>
          </c:spPr>
          <c:invertIfNegative val="0"/>
          <c:val>
            <c:numRef>
              <c:f>'2006 Sampling'!$BD$31:$BQ$31</c:f>
              <c:numCache>
                <c:formatCode>General</c:formatCode>
                <c:ptCount val="14"/>
              </c:numCache>
            </c:numRef>
          </c:val>
          <c:extLst>
            <c:ext xmlns:c16="http://schemas.microsoft.com/office/drawing/2014/chart" uri="{C3380CC4-5D6E-409C-BE32-E72D297353CC}">
              <c16:uniqueId val="{00000001-8C06-4AAA-92C6-1C8CAA3335BA}"/>
            </c:ext>
          </c:extLst>
        </c:ser>
        <c:ser>
          <c:idx val="2"/>
          <c:order val="2"/>
          <c:tx>
            <c:strRef>
              <c:f>'2006 Sampling'!$BC$32</c:f>
              <c:strCache>
                <c:ptCount val="1"/>
              </c:strCache>
            </c:strRef>
          </c:tx>
          <c:spPr>
            <a:solidFill>
              <a:srgbClr val="008000"/>
            </a:solidFill>
            <a:ln w="12700">
              <a:solidFill>
                <a:srgbClr val="008000"/>
              </a:solidFill>
              <a:prstDash val="solid"/>
            </a:ln>
          </c:spPr>
          <c:invertIfNegative val="0"/>
          <c:val>
            <c:numRef>
              <c:f>'2006 Sampling'!$BD$32:$BQ$32</c:f>
              <c:numCache>
                <c:formatCode>General</c:formatCode>
                <c:ptCount val="14"/>
              </c:numCache>
            </c:numRef>
          </c:val>
          <c:extLst>
            <c:ext xmlns:c16="http://schemas.microsoft.com/office/drawing/2014/chart" uri="{C3380CC4-5D6E-409C-BE32-E72D297353CC}">
              <c16:uniqueId val="{00000002-8C06-4AAA-92C6-1C8CAA3335BA}"/>
            </c:ext>
          </c:extLst>
        </c:ser>
        <c:ser>
          <c:idx val="3"/>
          <c:order val="3"/>
          <c:tx>
            <c:strRef>
              <c:f>'2006 Sampling'!$BC$34</c:f>
              <c:strCache>
                <c:ptCount val="1"/>
              </c:strCache>
            </c:strRef>
          </c:tx>
          <c:spPr>
            <a:solidFill>
              <a:srgbClr val="000080"/>
            </a:solidFill>
            <a:ln w="12700">
              <a:solidFill>
                <a:srgbClr val="000080"/>
              </a:solidFill>
              <a:prstDash val="solid"/>
            </a:ln>
          </c:spPr>
          <c:invertIfNegative val="0"/>
          <c:val>
            <c:numRef>
              <c:f>'2006 Sampling'!$BD$34:$BQ$34</c:f>
              <c:numCache>
                <c:formatCode>General</c:formatCode>
                <c:ptCount val="14"/>
              </c:numCache>
            </c:numRef>
          </c:val>
          <c:extLst>
            <c:ext xmlns:c16="http://schemas.microsoft.com/office/drawing/2014/chart" uri="{C3380CC4-5D6E-409C-BE32-E72D297353CC}">
              <c16:uniqueId val="{00000003-8C06-4AAA-92C6-1C8CAA3335BA}"/>
            </c:ext>
          </c:extLst>
        </c:ser>
        <c:ser>
          <c:idx val="4"/>
          <c:order val="4"/>
          <c:tx>
            <c:strRef>
              <c:f>'2006 Sampling'!$BC$35</c:f>
              <c:strCache>
                <c:ptCount val="1"/>
              </c:strCache>
            </c:strRef>
          </c:tx>
          <c:spPr>
            <a:solidFill>
              <a:srgbClr val="FF0000"/>
            </a:solidFill>
            <a:ln w="12700">
              <a:solidFill>
                <a:srgbClr val="FF0000"/>
              </a:solidFill>
              <a:prstDash val="solid"/>
            </a:ln>
          </c:spPr>
          <c:invertIfNegative val="0"/>
          <c:val>
            <c:numRef>
              <c:f>'2006 Sampling'!$BD$35:$BQ$35</c:f>
              <c:numCache>
                <c:formatCode>General</c:formatCode>
                <c:ptCount val="14"/>
              </c:numCache>
            </c:numRef>
          </c:val>
          <c:extLst>
            <c:ext xmlns:c16="http://schemas.microsoft.com/office/drawing/2014/chart" uri="{C3380CC4-5D6E-409C-BE32-E72D297353CC}">
              <c16:uniqueId val="{00000004-8C06-4AAA-92C6-1C8CAA3335BA}"/>
            </c:ext>
          </c:extLst>
        </c:ser>
        <c:dLbls>
          <c:showLegendKey val="0"/>
          <c:showVal val="0"/>
          <c:showCatName val="0"/>
          <c:showSerName val="0"/>
          <c:showPercent val="0"/>
          <c:showBubbleSize val="0"/>
        </c:dLbls>
        <c:gapWidth val="75"/>
        <c:axId val="503817312"/>
        <c:axId val="503811040"/>
      </c:barChart>
      <c:catAx>
        <c:axId val="503817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503811040"/>
        <c:crosses val="autoZero"/>
        <c:auto val="1"/>
        <c:lblAlgn val="ctr"/>
        <c:lblOffset val="100"/>
        <c:tickLblSkip val="2"/>
        <c:tickMarkSkip val="1"/>
        <c:noMultiLvlLbl val="0"/>
      </c:catAx>
      <c:valAx>
        <c:axId val="50381104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0381731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Sampling'!$BI$2</c:f>
              <c:strCache>
                <c:ptCount val="1"/>
              </c:strCache>
            </c:strRef>
          </c:tx>
          <c:spPr>
            <a:solidFill>
              <a:srgbClr val="0000FF"/>
            </a:solidFill>
            <a:ln w="12700">
              <a:solidFill>
                <a:srgbClr val="0000FF"/>
              </a:solidFill>
              <a:prstDash val="solid"/>
            </a:ln>
          </c:spPr>
          <c:invertIfNegative val="0"/>
          <c:cat>
            <c:numRef>
              <c:f>'2006 Sampling'!$BH$3:$BH$8</c:f>
              <c:numCache>
                <c:formatCode>General</c:formatCode>
                <c:ptCount val="6"/>
              </c:numCache>
            </c:numRef>
          </c:cat>
          <c:val>
            <c:numRef>
              <c:f>'2006 Sampling'!$BI$3:$BI$8</c:f>
              <c:numCache>
                <c:formatCode>General</c:formatCode>
                <c:ptCount val="6"/>
              </c:numCache>
            </c:numRef>
          </c:val>
          <c:extLst>
            <c:ext xmlns:c16="http://schemas.microsoft.com/office/drawing/2014/chart" uri="{C3380CC4-5D6E-409C-BE32-E72D297353CC}">
              <c16:uniqueId val="{00000000-5234-4558-A10B-B63074DA59C1}"/>
            </c:ext>
          </c:extLst>
        </c:ser>
        <c:ser>
          <c:idx val="1"/>
          <c:order val="1"/>
          <c:tx>
            <c:strRef>
              <c:f>'2006 Sampling'!$BJ$2</c:f>
              <c:strCache>
                <c:ptCount val="1"/>
              </c:strCache>
            </c:strRef>
          </c:tx>
          <c:spPr>
            <a:solidFill>
              <a:srgbClr val="FF0000"/>
            </a:solidFill>
            <a:ln w="12700">
              <a:solidFill>
                <a:srgbClr val="FF0000"/>
              </a:solidFill>
              <a:prstDash val="solid"/>
            </a:ln>
          </c:spPr>
          <c:invertIfNegative val="0"/>
          <c:val>
            <c:numRef>
              <c:f>'2006 Sampling'!$BJ$3:$BJ$8</c:f>
              <c:numCache>
                <c:formatCode>General</c:formatCode>
                <c:ptCount val="6"/>
              </c:numCache>
            </c:numRef>
          </c:val>
          <c:extLst>
            <c:ext xmlns:c16="http://schemas.microsoft.com/office/drawing/2014/chart" uri="{C3380CC4-5D6E-409C-BE32-E72D297353CC}">
              <c16:uniqueId val="{00000001-5234-4558-A10B-B63074DA59C1}"/>
            </c:ext>
          </c:extLst>
        </c:ser>
        <c:dLbls>
          <c:showLegendKey val="0"/>
          <c:showVal val="0"/>
          <c:showCatName val="0"/>
          <c:showSerName val="0"/>
          <c:showPercent val="0"/>
          <c:showBubbleSize val="0"/>
        </c:dLbls>
        <c:gapWidth val="150"/>
        <c:axId val="503813000"/>
        <c:axId val="503811432"/>
      </c:barChart>
      <c:catAx>
        <c:axId val="5038130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03811432"/>
        <c:crosses val="autoZero"/>
        <c:auto val="1"/>
        <c:lblAlgn val="ctr"/>
        <c:lblOffset val="100"/>
        <c:tickLblSkip val="1"/>
        <c:tickMarkSkip val="1"/>
        <c:noMultiLvlLbl val="0"/>
      </c:catAx>
      <c:valAx>
        <c:axId val="50381143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03813000"/>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 b="0" i="0" u="none" strike="noStrike" baseline="0">
              <a:solidFill>
                <a:srgbClr val="000000"/>
              </a:solidFill>
              <a:latin typeface="Arial"/>
              <a:ea typeface="Arial"/>
              <a:cs typeface="Arial"/>
            </a:defRPr>
          </a:pPr>
          <a:endParaRPr lang="en-US"/>
        </a:p>
      </c:txPr>
    </c:title>
    <c:autoTitleDeleted val="0"/>
    <c:plotArea>
      <c:layout/>
      <c:barChart>
        <c:barDir val="col"/>
        <c:grouping val="clustered"/>
        <c:varyColors val="0"/>
        <c:ser>
          <c:idx val="0"/>
          <c:order val="0"/>
          <c:tx>
            <c:strRef>
              <c:f>'2006 Sampling'!$BR$27</c:f>
              <c:strCache>
                <c:ptCount val="1"/>
              </c:strCache>
            </c:strRef>
          </c:tx>
          <c:spPr>
            <a:solidFill>
              <a:srgbClr val="0000FF"/>
            </a:solidFill>
            <a:ln w="12700">
              <a:solidFill>
                <a:srgbClr val="0000FF"/>
              </a:solidFill>
              <a:prstDash val="solid"/>
            </a:ln>
          </c:spPr>
          <c:invertIfNegative val="0"/>
          <c:cat>
            <c:numRef>
              <c:f>'2006 Sampling'!$BC$29:$BC$35</c:f>
              <c:numCache>
                <c:formatCode>General</c:formatCode>
                <c:ptCount val="7"/>
              </c:numCache>
            </c:numRef>
          </c:cat>
          <c:val>
            <c:numRef>
              <c:f>'2006 Sampling'!$BR$29:$BR$35</c:f>
              <c:numCache>
                <c:formatCode>General</c:formatCode>
                <c:ptCount val="7"/>
              </c:numCache>
            </c:numRef>
          </c:val>
          <c:extLst>
            <c:ext xmlns:c16="http://schemas.microsoft.com/office/drawing/2014/chart" uri="{C3380CC4-5D6E-409C-BE32-E72D297353CC}">
              <c16:uniqueId val="{00000000-3D5B-4ECC-83E1-5E349C189B9E}"/>
            </c:ext>
          </c:extLst>
        </c:ser>
        <c:dLbls>
          <c:showLegendKey val="0"/>
          <c:showVal val="0"/>
          <c:showCatName val="0"/>
          <c:showSerName val="0"/>
          <c:showPercent val="0"/>
          <c:showBubbleSize val="0"/>
        </c:dLbls>
        <c:gapWidth val="150"/>
        <c:axId val="503811824"/>
        <c:axId val="503812216"/>
      </c:barChart>
      <c:catAx>
        <c:axId val="5038118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503812216"/>
        <c:crosses val="autoZero"/>
        <c:auto val="1"/>
        <c:lblAlgn val="ctr"/>
        <c:lblOffset val="100"/>
        <c:tickLblSkip val="1"/>
        <c:tickMarkSkip val="1"/>
        <c:noMultiLvlLbl val="0"/>
      </c:catAx>
      <c:valAx>
        <c:axId val="50381221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503811824"/>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8397-475E-AD72-BC307C11D514}"/>
            </c:ext>
          </c:extLst>
        </c:ser>
        <c:ser>
          <c:idx val="1"/>
          <c:order val="1"/>
          <c:tx>
            <c:strRef>
              <c:f>'2006 Sampling'!$AN$18</c:f>
              <c:strCache>
                <c:ptCount val="1"/>
              </c:strCache>
            </c:strRef>
          </c:tx>
          <c:spPr>
            <a:solidFill>
              <a:srgbClr val="FF00FF"/>
            </a:solidFill>
            <a:ln w="12700">
              <a:solidFill>
                <a:srgbClr val="FF00FF"/>
              </a:solidFill>
              <a:prstDash val="solid"/>
            </a:ln>
          </c:spPr>
          <c:invertIfNegative val="0"/>
          <c:cat>
            <c:numRef>
              <c:f>'2006 Sampling'!$AO$10:$BB$10</c:f>
              <c:numCache>
                <c:formatCode>General</c:formatCode>
                <c:ptCount val="14"/>
              </c:numCache>
            </c:numRef>
          </c:cat>
          <c:val>
            <c:numRef>
              <c:f>'2006 Sampling'!$AO$18:$BB$18</c:f>
              <c:numCache>
                <c:formatCode>General</c:formatCode>
                <c:ptCount val="14"/>
              </c:numCache>
            </c:numRef>
          </c:val>
          <c:extLst>
            <c:ext xmlns:c16="http://schemas.microsoft.com/office/drawing/2014/chart" uri="{C3380CC4-5D6E-409C-BE32-E72D297353CC}">
              <c16:uniqueId val="{00000001-8397-475E-AD72-BC307C11D514}"/>
            </c:ext>
          </c:extLst>
        </c:ser>
        <c:ser>
          <c:idx val="2"/>
          <c:order val="2"/>
          <c:tx>
            <c:strRef>
              <c:f>'2006 Sampling'!$AN$19</c:f>
              <c:strCache>
                <c:ptCount val="1"/>
              </c:strCache>
            </c:strRef>
          </c:tx>
          <c:spPr>
            <a:solidFill>
              <a:srgbClr val="008000"/>
            </a:solidFill>
            <a:ln w="12700">
              <a:solidFill>
                <a:srgbClr val="008000"/>
              </a:solidFill>
              <a:prstDash val="solid"/>
            </a:ln>
          </c:spPr>
          <c:invertIfNegative val="0"/>
          <c:cat>
            <c:numRef>
              <c:f>'2006 Sampling'!$AO$10:$BB$10</c:f>
              <c:numCache>
                <c:formatCode>General</c:formatCode>
                <c:ptCount val="14"/>
              </c:numCache>
            </c:numRef>
          </c:cat>
          <c:val>
            <c:numRef>
              <c:f>'2006 Sampling'!$AO$19:$BB$19</c:f>
              <c:numCache>
                <c:formatCode>General</c:formatCode>
                <c:ptCount val="14"/>
              </c:numCache>
            </c:numRef>
          </c:val>
          <c:extLst>
            <c:ext xmlns:c16="http://schemas.microsoft.com/office/drawing/2014/chart" uri="{C3380CC4-5D6E-409C-BE32-E72D297353CC}">
              <c16:uniqueId val="{00000002-8397-475E-AD72-BC307C11D514}"/>
            </c:ext>
          </c:extLst>
        </c:ser>
        <c:ser>
          <c:idx val="3"/>
          <c:order val="3"/>
          <c:tx>
            <c:strRef>
              <c:f>'2006 Sampling'!$AN$20</c:f>
              <c:strCache>
                <c:ptCount val="1"/>
              </c:strCache>
            </c:strRef>
          </c:tx>
          <c:spPr>
            <a:solidFill>
              <a:srgbClr val="000080"/>
            </a:solidFill>
            <a:ln w="12700">
              <a:solidFill>
                <a:srgbClr val="000080"/>
              </a:solidFill>
              <a:prstDash val="solid"/>
            </a:ln>
          </c:spPr>
          <c:invertIfNegative val="0"/>
          <c:cat>
            <c:numRef>
              <c:f>'2006 Sampling'!$AO$10:$BB$10</c:f>
              <c:numCache>
                <c:formatCode>General</c:formatCode>
                <c:ptCount val="14"/>
              </c:numCache>
            </c:numRef>
          </c:cat>
          <c:val>
            <c:numRef>
              <c:f>'2006 Sampling'!$AO$20:$BB$20</c:f>
              <c:numCache>
                <c:formatCode>General</c:formatCode>
                <c:ptCount val="14"/>
              </c:numCache>
            </c:numRef>
          </c:val>
          <c:extLst>
            <c:ext xmlns:c16="http://schemas.microsoft.com/office/drawing/2014/chart" uri="{C3380CC4-5D6E-409C-BE32-E72D297353CC}">
              <c16:uniqueId val="{00000003-8397-475E-AD72-BC307C11D514}"/>
            </c:ext>
          </c:extLst>
        </c:ser>
        <c:ser>
          <c:idx val="4"/>
          <c:order val="4"/>
          <c:tx>
            <c:strRef>
              <c:f>'2006 Sampling'!$AN$21</c:f>
              <c:strCache>
                <c:ptCount val="1"/>
              </c:strCache>
            </c:strRef>
          </c:tx>
          <c:spPr>
            <a:solidFill>
              <a:srgbClr val="FF0000"/>
            </a:solidFill>
            <a:ln w="12700">
              <a:solidFill>
                <a:srgbClr val="FF0000"/>
              </a:solidFill>
              <a:prstDash val="solid"/>
            </a:ln>
          </c:spPr>
          <c:invertIfNegative val="0"/>
          <c:cat>
            <c:numRef>
              <c:f>'2006 Sampling'!$AO$10:$BB$10</c:f>
              <c:numCache>
                <c:formatCode>General</c:formatCode>
                <c:ptCount val="14"/>
              </c:numCache>
            </c:numRef>
          </c:cat>
          <c:val>
            <c:numRef>
              <c:f>'2006 Sampling'!$AO$21:$BB$21</c:f>
              <c:numCache>
                <c:formatCode>General</c:formatCode>
                <c:ptCount val="14"/>
              </c:numCache>
            </c:numRef>
          </c:val>
          <c:extLst>
            <c:ext xmlns:c16="http://schemas.microsoft.com/office/drawing/2014/chart" uri="{C3380CC4-5D6E-409C-BE32-E72D297353CC}">
              <c16:uniqueId val="{00000004-8397-475E-AD72-BC307C11D514}"/>
            </c:ext>
          </c:extLst>
        </c:ser>
        <c:dLbls>
          <c:showLegendKey val="0"/>
          <c:showVal val="0"/>
          <c:showCatName val="0"/>
          <c:showSerName val="0"/>
          <c:showPercent val="0"/>
          <c:showBubbleSize val="0"/>
        </c:dLbls>
        <c:gapWidth val="150"/>
        <c:axId val="503812608"/>
        <c:axId val="503814960"/>
      </c:barChart>
      <c:catAx>
        <c:axId val="5038126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503814960"/>
        <c:crosses val="autoZero"/>
        <c:auto val="1"/>
        <c:lblAlgn val="ctr"/>
        <c:lblOffset val="100"/>
        <c:tickLblSkip val="4"/>
        <c:tickMarkSkip val="1"/>
        <c:noMultiLvlLbl val="0"/>
      </c:catAx>
      <c:valAx>
        <c:axId val="50381496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0381260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B0E3-4BD1-A825-3C068B96996D}"/>
            </c:ext>
          </c:extLst>
        </c:ser>
        <c:ser>
          <c:idx val="1"/>
          <c:order val="1"/>
          <c:tx>
            <c:strRef>
              <c:f>'2006 Sampling'!$AN$18</c:f>
              <c:strCache>
                <c:ptCount val="1"/>
              </c:strCache>
            </c:strRef>
          </c:tx>
          <c:spPr>
            <a:solidFill>
              <a:srgbClr val="FF00FF"/>
            </a:solidFill>
            <a:ln w="12700">
              <a:solidFill>
                <a:srgbClr val="FF00FF"/>
              </a:solidFill>
              <a:prstDash val="solid"/>
            </a:ln>
          </c:spPr>
          <c:invertIfNegative val="0"/>
          <c:val>
            <c:numRef>
              <c:f>'2006 Sampling'!$AO$18:$BB$18</c:f>
              <c:numCache>
                <c:formatCode>General</c:formatCode>
                <c:ptCount val="14"/>
              </c:numCache>
            </c:numRef>
          </c:val>
          <c:extLst>
            <c:ext xmlns:c16="http://schemas.microsoft.com/office/drawing/2014/chart" uri="{C3380CC4-5D6E-409C-BE32-E72D297353CC}">
              <c16:uniqueId val="{00000001-B0E3-4BD1-A825-3C068B96996D}"/>
            </c:ext>
          </c:extLst>
        </c:ser>
        <c:ser>
          <c:idx val="2"/>
          <c:order val="2"/>
          <c:tx>
            <c:strRef>
              <c:f>'2006 Sampling'!$AN$19</c:f>
              <c:strCache>
                <c:ptCount val="1"/>
              </c:strCache>
            </c:strRef>
          </c:tx>
          <c:spPr>
            <a:solidFill>
              <a:srgbClr val="008000"/>
            </a:solidFill>
            <a:ln w="12700">
              <a:solidFill>
                <a:srgbClr val="008000"/>
              </a:solidFill>
              <a:prstDash val="solid"/>
            </a:ln>
          </c:spPr>
          <c:invertIfNegative val="0"/>
          <c:val>
            <c:numRef>
              <c:f>'2006 Sampling'!$AO$19:$BB$19</c:f>
              <c:numCache>
                <c:formatCode>General</c:formatCode>
                <c:ptCount val="14"/>
              </c:numCache>
            </c:numRef>
          </c:val>
          <c:extLst>
            <c:ext xmlns:c16="http://schemas.microsoft.com/office/drawing/2014/chart" uri="{C3380CC4-5D6E-409C-BE32-E72D297353CC}">
              <c16:uniqueId val="{00000002-B0E3-4BD1-A825-3C068B96996D}"/>
            </c:ext>
          </c:extLst>
        </c:ser>
        <c:dLbls>
          <c:showLegendKey val="0"/>
          <c:showVal val="0"/>
          <c:showCatName val="0"/>
          <c:showSerName val="0"/>
          <c:showPercent val="0"/>
          <c:showBubbleSize val="0"/>
        </c:dLbls>
        <c:gapWidth val="150"/>
        <c:axId val="503815744"/>
        <c:axId val="503816136"/>
      </c:barChart>
      <c:catAx>
        <c:axId val="503815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503816136"/>
        <c:crosses val="autoZero"/>
        <c:auto val="1"/>
        <c:lblAlgn val="ctr"/>
        <c:lblOffset val="100"/>
        <c:tickLblSkip val="2"/>
        <c:tickMarkSkip val="1"/>
        <c:noMultiLvlLbl val="0"/>
      </c:catAx>
      <c:valAx>
        <c:axId val="503816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0381574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0-DA0F-48FD-96C9-1381363D494A}"/>
            </c:ext>
          </c:extLst>
        </c:ser>
        <c:ser>
          <c:idx val="1"/>
          <c:order val="1"/>
          <c:tx>
            <c:strRef>
              <c:f>'2006 Sampling'!$BC$31</c:f>
              <c:strCache>
                <c:ptCount val="1"/>
              </c:strCache>
            </c:strRef>
          </c:tx>
          <c:spPr>
            <a:solidFill>
              <a:srgbClr val="FF00FF"/>
            </a:solidFill>
            <a:ln w="12700">
              <a:solidFill>
                <a:srgbClr val="FF00FF"/>
              </a:solidFill>
              <a:prstDash val="solid"/>
            </a:ln>
          </c:spPr>
          <c:invertIfNegative val="0"/>
          <c:val>
            <c:numRef>
              <c:f>'2006 Sampling'!$BD$31:$BQ$31</c:f>
              <c:numCache>
                <c:formatCode>General</c:formatCode>
                <c:ptCount val="14"/>
              </c:numCache>
            </c:numRef>
          </c:val>
          <c:extLst>
            <c:ext xmlns:c16="http://schemas.microsoft.com/office/drawing/2014/chart" uri="{C3380CC4-5D6E-409C-BE32-E72D297353CC}">
              <c16:uniqueId val="{00000001-DA0F-48FD-96C9-1381363D494A}"/>
            </c:ext>
          </c:extLst>
        </c:ser>
        <c:ser>
          <c:idx val="2"/>
          <c:order val="2"/>
          <c:tx>
            <c:strRef>
              <c:f>'2006 Sampling'!$BC$32</c:f>
              <c:strCache>
                <c:ptCount val="1"/>
              </c:strCache>
            </c:strRef>
          </c:tx>
          <c:spPr>
            <a:solidFill>
              <a:srgbClr val="008000"/>
            </a:solidFill>
            <a:ln w="12700">
              <a:solidFill>
                <a:srgbClr val="008000"/>
              </a:solidFill>
              <a:prstDash val="solid"/>
            </a:ln>
          </c:spPr>
          <c:invertIfNegative val="0"/>
          <c:val>
            <c:numRef>
              <c:f>'2006 Sampling'!$BD$32:$BQ$32</c:f>
              <c:numCache>
                <c:formatCode>General</c:formatCode>
                <c:ptCount val="14"/>
              </c:numCache>
            </c:numRef>
          </c:val>
          <c:extLst>
            <c:ext xmlns:c16="http://schemas.microsoft.com/office/drawing/2014/chart" uri="{C3380CC4-5D6E-409C-BE32-E72D297353CC}">
              <c16:uniqueId val="{00000002-DA0F-48FD-96C9-1381363D494A}"/>
            </c:ext>
          </c:extLst>
        </c:ser>
        <c:ser>
          <c:idx val="3"/>
          <c:order val="3"/>
          <c:tx>
            <c:strRef>
              <c:f>'2006 Sampling'!$BC$34</c:f>
              <c:strCache>
                <c:ptCount val="1"/>
              </c:strCache>
            </c:strRef>
          </c:tx>
          <c:spPr>
            <a:solidFill>
              <a:srgbClr val="000080"/>
            </a:solidFill>
            <a:ln w="12700">
              <a:solidFill>
                <a:srgbClr val="000080"/>
              </a:solidFill>
              <a:prstDash val="solid"/>
            </a:ln>
          </c:spPr>
          <c:invertIfNegative val="0"/>
          <c:val>
            <c:numRef>
              <c:f>'2006 Sampling'!$BD$34:$BQ$34</c:f>
              <c:numCache>
                <c:formatCode>General</c:formatCode>
                <c:ptCount val="14"/>
              </c:numCache>
            </c:numRef>
          </c:val>
          <c:extLst>
            <c:ext xmlns:c16="http://schemas.microsoft.com/office/drawing/2014/chart" uri="{C3380CC4-5D6E-409C-BE32-E72D297353CC}">
              <c16:uniqueId val="{00000003-DA0F-48FD-96C9-1381363D494A}"/>
            </c:ext>
          </c:extLst>
        </c:ser>
        <c:ser>
          <c:idx val="4"/>
          <c:order val="4"/>
          <c:tx>
            <c:strRef>
              <c:f>'2006 Sampling'!$BC$35</c:f>
              <c:strCache>
                <c:ptCount val="1"/>
              </c:strCache>
            </c:strRef>
          </c:tx>
          <c:spPr>
            <a:solidFill>
              <a:srgbClr val="FF0000"/>
            </a:solidFill>
            <a:ln w="12700">
              <a:solidFill>
                <a:srgbClr val="FF0000"/>
              </a:solidFill>
              <a:prstDash val="solid"/>
            </a:ln>
          </c:spPr>
          <c:invertIfNegative val="0"/>
          <c:val>
            <c:numRef>
              <c:f>'2006 Sampling'!$BD$35:$BQ$35</c:f>
              <c:numCache>
                <c:formatCode>General</c:formatCode>
                <c:ptCount val="14"/>
              </c:numCache>
            </c:numRef>
          </c:val>
          <c:extLst>
            <c:ext xmlns:c16="http://schemas.microsoft.com/office/drawing/2014/chart" uri="{C3380CC4-5D6E-409C-BE32-E72D297353CC}">
              <c16:uniqueId val="{00000004-DA0F-48FD-96C9-1381363D494A}"/>
            </c:ext>
          </c:extLst>
        </c:ser>
        <c:dLbls>
          <c:showLegendKey val="0"/>
          <c:showVal val="0"/>
          <c:showCatName val="0"/>
          <c:showSerName val="0"/>
          <c:showPercent val="0"/>
          <c:showBubbleSize val="0"/>
        </c:dLbls>
        <c:gapWidth val="75"/>
        <c:axId val="503817704"/>
        <c:axId val="496116576"/>
      </c:barChart>
      <c:catAx>
        <c:axId val="50381770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6116576"/>
        <c:crosses val="autoZero"/>
        <c:auto val="1"/>
        <c:lblAlgn val="ctr"/>
        <c:lblOffset val="100"/>
        <c:tickLblSkip val="2"/>
        <c:tickMarkSkip val="1"/>
        <c:noMultiLvlLbl val="0"/>
      </c:catAx>
      <c:valAx>
        <c:axId val="49611657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0381770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Sampling'!$BI$2</c:f>
              <c:strCache>
                <c:ptCount val="1"/>
              </c:strCache>
            </c:strRef>
          </c:tx>
          <c:spPr>
            <a:solidFill>
              <a:srgbClr val="0000FF"/>
            </a:solidFill>
            <a:ln w="12700">
              <a:solidFill>
                <a:srgbClr val="0000FF"/>
              </a:solidFill>
              <a:prstDash val="solid"/>
            </a:ln>
          </c:spPr>
          <c:invertIfNegative val="0"/>
          <c:cat>
            <c:numRef>
              <c:f>'2006 Sampling'!$BH$3:$BH$8</c:f>
              <c:numCache>
                <c:formatCode>General</c:formatCode>
                <c:ptCount val="6"/>
              </c:numCache>
            </c:numRef>
          </c:cat>
          <c:val>
            <c:numRef>
              <c:f>'2006 Sampling'!$BI$3:$BI$8</c:f>
              <c:numCache>
                <c:formatCode>General</c:formatCode>
                <c:ptCount val="6"/>
              </c:numCache>
            </c:numRef>
          </c:val>
          <c:extLst>
            <c:ext xmlns:c16="http://schemas.microsoft.com/office/drawing/2014/chart" uri="{C3380CC4-5D6E-409C-BE32-E72D297353CC}">
              <c16:uniqueId val="{00000000-BB54-41C9-AD33-CD4E7D686B55}"/>
            </c:ext>
          </c:extLst>
        </c:ser>
        <c:ser>
          <c:idx val="1"/>
          <c:order val="1"/>
          <c:tx>
            <c:strRef>
              <c:f>'2006 Sampling'!$BJ$2</c:f>
              <c:strCache>
                <c:ptCount val="1"/>
              </c:strCache>
            </c:strRef>
          </c:tx>
          <c:spPr>
            <a:solidFill>
              <a:srgbClr val="FF0000"/>
            </a:solidFill>
            <a:ln w="12700">
              <a:solidFill>
                <a:srgbClr val="FF0000"/>
              </a:solidFill>
              <a:prstDash val="solid"/>
            </a:ln>
          </c:spPr>
          <c:invertIfNegative val="0"/>
          <c:val>
            <c:numRef>
              <c:f>'2006 Sampling'!$BJ$3:$BJ$8</c:f>
              <c:numCache>
                <c:formatCode>General</c:formatCode>
                <c:ptCount val="6"/>
              </c:numCache>
            </c:numRef>
          </c:val>
          <c:extLst>
            <c:ext xmlns:c16="http://schemas.microsoft.com/office/drawing/2014/chart" uri="{C3380CC4-5D6E-409C-BE32-E72D297353CC}">
              <c16:uniqueId val="{00000001-BB54-41C9-AD33-CD4E7D686B55}"/>
            </c:ext>
          </c:extLst>
        </c:ser>
        <c:dLbls>
          <c:showLegendKey val="0"/>
          <c:showVal val="0"/>
          <c:showCatName val="0"/>
          <c:showSerName val="0"/>
          <c:showPercent val="0"/>
          <c:showBubbleSize val="0"/>
        </c:dLbls>
        <c:gapWidth val="150"/>
        <c:axId val="496118144"/>
        <c:axId val="496118536"/>
      </c:barChart>
      <c:catAx>
        <c:axId val="496118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6118536"/>
        <c:crosses val="autoZero"/>
        <c:auto val="1"/>
        <c:lblAlgn val="ctr"/>
        <c:lblOffset val="100"/>
        <c:tickLblSkip val="1"/>
        <c:tickMarkSkip val="1"/>
        <c:noMultiLvlLbl val="0"/>
      </c:catAx>
      <c:valAx>
        <c:axId val="49611853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611814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 b="0" i="0" u="none" strike="noStrike" baseline="0">
              <a:solidFill>
                <a:srgbClr val="000000"/>
              </a:solidFill>
              <a:latin typeface="Arial"/>
              <a:ea typeface="Arial"/>
              <a:cs typeface="Arial"/>
            </a:defRPr>
          </a:pPr>
          <a:endParaRPr lang="en-US"/>
        </a:p>
      </c:txPr>
    </c:title>
    <c:autoTitleDeleted val="0"/>
    <c:plotArea>
      <c:layout/>
      <c:barChart>
        <c:barDir val="col"/>
        <c:grouping val="clustered"/>
        <c:varyColors val="0"/>
        <c:ser>
          <c:idx val="0"/>
          <c:order val="0"/>
          <c:tx>
            <c:strRef>
              <c:f>'2006 Sampling'!$BR$27</c:f>
              <c:strCache>
                <c:ptCount val="1"/>
              </c:strCache>
            </c:strRef>
          </c:tx>
          <c:spPr>
            <a:solidFill>
              <a:srgbClr val="0000FF"/>
            </a:solidFill>
            <a:ln w="12700">
              <a:solidFill>
                <a:srgbClr val="0000FF"/>
              </a:solidFill>
              <a:prstDash val="solid"/>
            </a:ln>
          </c:spPr>
          <c:invertIfNegative val="0"/>
          <c:cat>
            <c:numRef>
              <c:f>'2006 Sampling'!$BC$29:$BC$35</c:f>
              <c:numCache>
                <c:formatCode>General</c:formatCode>
                <c:ptCount val="7"/>
              </c:numCache>
            </c:numRef>
          </c:cat>
          <c:val>
            <c:numRef>
              <c:f>'2006 Sampling'!$BR$29:$BR$35</c:f>
              <c:numCache>
                <c:formatCode>General</c:formatCode>
                <c:ptCount val="7"/>
              </c:numCache>
            </c:numRef>
          </c:val>
          <c:extLst>
            <c:ext xmlns:c16="http://schemas.microsoft.com/office/drawing/2014/chart" uri="{C3380CC4-5D6E-409C-BE32-E72D297353CC}">
              <c16:uniqueId val="{00000000-EE2B-4039-BA74-55D769284419}"/>
            </c:ext>
          </c:extLst>
        </c:ser>
        <c:dLbls>
          <c:showLegendKey val="0"/>
          <c:showVal val="0"/>
          <c:showCatName val="0"/>
          <c:showSerName val="0"/>
          <c:showPercent val="0"/>
          <c:showBubbleSize val="0"/>
        </c:dLbls>
        <c:gapWidth val="150"/>
        <c:axId val="494064808"/>
        <c:axId val="494063240"/>
      </c:barChart>
      <c:catAx>
        <c:axId val="494064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4063240"/>
        <c:crosses val="autoZero"/>
        <c:auto val="1"/>
        <c:lblAlgn val="ctr"/>
        <c:lblOffset val="100"/>
        <c:tickLblSkip val="1"/>
        <c:tickMarkSkip val="1"/>
        <c:noMultiLvlLbl val="0"/>
      </c:catAx>
      <c:valAx>
        <c:axId val="49406324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4064808"/>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 b="0" i="0" u="none" strike="noStrike" baseline="0">
              <a:solidFill>
                <a:srgbClr val="000000"/>
              </a:solidFill>
              <a:latin typeface="Arial"/>
              <a:ea typeface="Arial"/>
              <a:cs typeface="Arial"/>
            </a:defRPr>
          </a:pPr>
          <a:endParaRPr lang="en-US"/>
        </a:p>
      </c:txPr>
    </c:title>
    <c:autoTitleDeleted val="0"/>
    <c:plotArea>
      <c:layout/>
      <c:barChart>
        <c:barDir val="col"/>
        <c:grouping val="clustered"/>
        <c:varyColors val="0"/>
        <c:ser>
          <c:idx val="0"/>
          <c:order val="0"/>
          <c:tx>
            <c:strRef>
              <c:f>'2006 Sampling'!$BR$27</c:f>
              <c:strCache>
                <c:ptCount val="1"/>
              </c:strCache>
            </c:strRef>
          </c:tx>
          <c:spPr>
            <a:solidFill>
              <a:srgbClr val="0000FF"/>
            </a:solidFill>
            <a:ln w="12700">
              <a:solidFill>
                <a:srgbClr val="0000FF"/>
              </a:solidFill>
              <a:prstDash val="solid"/>
            </a:ln>
          </c:spPr>
          <c:invertIfNegative val="0"/>
          <c:cat>
            <c:numRef>
              <c:f>'2006 Sampling'!$BC$29:$BC$35</c:f>
              <c:numCache>
                <c:formatCode>General</c:formatCode>
                <c:ptCount val="7"/>
              </c:numCache>
            </c:numRef>
          </c:cat>
          <c:val>
            <c:numRef>
              <c:f>'2006 Sampling'!$BR$29:$BR$35</c:f>
              <c:numCache>
                <c:formatCode>General</c:formatCode>
                <c:ptCount val="7"/>
              </c:numCache>
            </c:numRef>
          </c:val>
          <c:extLst>
            <c:ext xmlns:c16="http://schemas.microsoft.com/office/drawing/2014/chart" uri="{C3380CC4-5D6E-409C-BE32-E72D297353CC}">
              <c16:uniqueId val="{00000000-AF43-4227-921F-B38679F3AAEE}"/>
            </c:ext>
          </c:extLst>
        </c:ser>
        <c:dLbls>
          <c:showLegendKey val="0"/>
          <c:showVal val="0"/>
          <c:showCatName val="0"/>
          <c:showSerName val="0"/>
          <c:showPercent val="0"/>
          <c:showBubbleSize val="0"/>
        </c:dLbls>
        <c:gapWidth val="150"/>
        <c:axId val="496111480"/>
        <c:axId val="496118928"/>
      </c:barChart>
      <c:catAx>
        <c:axId val="496111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6118928"/>
        <c:crosses val="autoZero"/>
        <c:auto val="1"/>
        <c:lblAlgn val="ctr"/>
        <c:lblOffset val="100"/>
        <c:tickLblSkip val="1"/>
        <c:tickMarkSkip val="1"/>
        <c:noMultiLvlLbl val="0"/>
      </c:catAx>
      <c:valAx>
        <c:axId val="49611892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6111480"/>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C5D6-4F90-B734-9AC75AFFE0E3}"/>
            </c:ext>
          </c:extLst>
        </c:ser>
        <c:ser>
          <c:idx val="1"/>
          <c:order val="1"/>
          <c:tx>
            <c:strRef>
              <c:f>'2006 Sampling'!$AN$18</c:f>
              <c:strCache>
                <c:ptCount val="1"/>
              </c:strCache>
            </c:strRef>
          </c:tx>
          <c:spPr>
            <a:solidFill>
              <a:srgbClr val="FF00FF"/>
            </a:solidFill>
            <a:ln w="12700">
              <a:solidFill>
                <a:srgbClr val="FF00FF"/>
              </a:solidFill>
              <a:prstDash val="solid"/>
            </a:ln>
          </c:spPr>
          <c:invertIfNegative val="0"/>
          <c:cat>
            <c:numRef>
              <c:f>'2006 Sampling'!$AO$10:$BB$10</c:f>
              <c:numCache>
                <c:formatCode>General</c:formatCode>
                <c:ptCount val="14"/>
              </c:numCache>
            </c:numRef>
          </c:cat>
          <c:val>
            <c:numRef>
              <c:f>'2006 Sampling'!$AO$18:$BB$18</c:f>
              <c:numCache>
                <c:formatCode>General</c:formatCode>
                <c:ptCount val="14"/>
              </c:numCache>
            </c:numRef>
          </c:val>
          <c:extLst>
            <c:ext xmlns:c16="http://schemas.microsoft.com/office/drawing/2014/chart" uri="{C3380CC4-5D6E-409C-BE32-E72D297353CC}">
              <c16:uniqueId val="{00000001-C5D6-4F90-B734-9AC75AFFE0E3}"/>
            </c:ext>
          </c:extLst>
        </c:ser>
        <c:ser>
          <c:idx val="2"/>
          <c:order val="2"/>
          <c:tx>
            <c:strRef>
              <c:f>'2006 Sampling'!$AN$19</c:f>
              <c:strCache>
                <c:ptCount val="1"/>
              </c:strCache>
            </c:strRef>
          </c:tx>
          <c:spPr>
            <a:solidFill>
              <a:srgbClr val="008000"/>
            </a:solidFill>
            <a:ln w="12700">
              <a:solidFill>
                <a:srgbClr val="008000"/>
              </a:solidFill>
              <a:prstDash val="solid"/>
            </a:ln>
          </c:spPr>
          <c:invertIfNegative val="0"/>
          <c:cat>
            <c:numRef>
              <c:f>'2006 Sampling'!$AO$10:$BB$10</c:f>
              <c:numCache>
                <c:formatCode>General</c:formatCode>
                <c:ptCount val="14"/>
              </c:numCache>
            </c:numRef>
          </c:cat>
          <c:val>
            <c:numRef>
              <c:f>'2006 Sampling'!$AO$19:$BB$19</c:f>
              <c:numCache>
                <c:formatCode>General</c:formatCode>
                <c:ptCount val="14"/>
              </c:numCache>
            </c:numRef>
          </c:val>
          <c:extLst>
            <c:ext xmlns:c16="http://schemas.microsoft.com/office/drawing/2014/chart" uri="{C3380CC4-5D6E-409C-BE32-E72D297353CC}">
              <c16:uniqueId val="{00000002-C5D6-4F90-B734-9AC75AFFE0E3}"/>
            </c:ext>
          </c:extLst>
        </c:ser>
        <c:ser>
          <c:idx val="3"/>
          <c:order val="3"/>
          <c:tx>
            <c:strRef>
              <c:f>'2006 Sampling'!$AN$20</c:f>
              <c:strCache>
                <c:ptCount val="1"/>
              </c:strCache>
            </c:strRef>
          </c:tx>
          <c:spPr>
            <a:solidFill>
              <a:srgbClr val="000080"/>
            </a:solidFill>
            <a:ln w="12700">
              <a:solidFill>
                <a:srgbClr val="000080"/>
              </a:solidFill>
              <a:prstDash val="solid"/>
            </a:ln>
          </c:spPr>
          <c:invertIfNegative val="0"/>
          <c:cat>
            <c:numRef>
              <c:f>'2006 Sampling'!$AO$10:$BB$10</c:f>
              <c:numCache>
                <c:formatCode>General</c:formatCode>
                <c:ptCount val="14"/>
              </c:numCache>
            </c:numRef>
          </c:cat>
          <c:val>
            <c:numRef>
              <c:f>'2006 Sampling'!$AO$20:$BB$20</c:f>
              <c:numCache>
                <c:formatCode>General</c:formatCode>
                <c:ptCount val="14"/>
              </c:numCache>
            </c:numRef>
          </c:val>
          <c:extLst>
            <c:ext xmlns:c16="http://schemas.microsoft.com/office/drawing/2014/chart" uri="{C3380CC4-5D6E-409C-BE32-E72D297353CC}">
              <c16:uniqueId val="{00000003-C5D6-4F90-B734-9AC75AFFE0E3}"/>
            </c:ext>
          </c:extLst>
        </c:ser>
        <c:ser>
          <c:idx val="4"/>
          <c:order val="4"/>
          <c:tx>
            <c:strRef>
              <c:f>'2006 Sampling'!$AN$21</c:f>
              <c:strCache>
                <c:ptCount val="1"/>
              </c:strCache>
            </c:strRef>
          </c:tx>
          <c:spPr>
            <a:solidFill>
              <a:srgbClr val="FF0000"/>
            </a:solidFill>
            <a:ln w="12700">
              <a:solidFill>
                <a:srgbClr val="FF0000"/>
              </a:solidFill>
              <a:prstDash val="solid"/>
            </a:ln>
          </c:spPr>
          <c:invertIfNegative val="0"/>
          <c:cat>
            <c:numRef>
              <c:f>'2006 Sampling'!$AO$10:$BB$10</c:f>
              <c:numCache>
                <c:formatCode>General</c:formatCode>
                <c:ptCount val="14"/>
              </c:numCache>
            </c:numRef>
          </c:cat>
          <c:val>
            <c:numRef>
              <c:f>'2006 Sampling'!$AO$21:$BB$21</c:f>
              <c:numCache>
                <c:formatCode>General</c:formatCode>
                <c:ptCount val="14"/>
              </c:numCache>
            </c:numRef>
          </c:val>
          <c:extLst>
            <c:ext xmlns:c16="http://schemas.microsoft.com/office/drawing/2014/chart" uri="{C3380CC4-5D6E-409C-BE32-E72D297353CC}">
              <c16:uniqueId val="{00000004-C5D6-4F90-B734-9AC75AFFE0E3}"/>
            </c:ext>
          </c:extLst>
        </c:ser>
        <c:dLbls>
          <c:showLegendKey val="0"/>
          <c:showVal val="0"/>
          <c:showCatName val="0"/>
          <c:showSerName val="0"/>
          <c:showPercent val="0"/>
          <c:showBubbleSize val="0"/>
        </c:dLbls>
        <c:gapWidth val="150"/>
        <c:axId val="496117360"/>
        <c:axId val="496114616"/>
      </c:barChart>
      <c:catAx>
        <c:axId val="49611736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6114616"/>
        <c:crosses val="autoZero"/>
        <c:auto val="1"/>
        <c:lblAlgn val="ctr"/>
        <c:lblOffset val="100"/>
        <c:tickLblSkip val="4"/>
        <c:tickMarkSkip val="1"/>
        <c:noMultiLvlLbl val="0"/>
      </c:catAx>
      <c:valAx>
        <c:axId val="49611461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6117360"/>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CEDA-4010-B5C3-C585D0DD0009}"/>
            </c:ext>
          </c:extLst>
        </c:ser>
        <c:ser>
          <c:idx val="1"/>
          <c:order val="1"/>
          <c:tx>
            <c:strRef>
              <c:f>'2006 Sampling'!$AN$18</c:f>
              <c:strCache>
                <c:ptCount val="1"/>
              </c:strCache>
            </c:strRef>
          </c:tx>
          <c:spPr>
            <a:solidFill>
              <a:srgbClr val="FF00FF"/>
            </a:solidFill>
            <a:ln w="12700">
              <a:solidFill>
                <a:srgbClr val="FF00FF"/>
              </a:solidFill>
              <a:prstDash val="solid"/>
            </a:ln>
          </c:spPr>
          <c:invertIfNegative val="0"/>
          <c:val>
            <c:numRef>
              <c:f>'2006 Sampling'!$AO$18:$BB$18</c:f>
              <c:numCache>
                <c:formatCode>General</c:formatCode>
                <c:ptCount val="14"/>
              </c:numCache>
            </c:numRef>
          </c:val>
          <c:extLst>
            <c:ext xmlns:c16="http://schemas.microsoft.com/office/drawing/2014/chart" uri="{C3380CC4-5D6E-409C-BE32-E72D297353CC}">
              <c16:uniqueId val="{00000001-CEDA-4010-B5C3-C585D0DD0009}"/>
            </c:ext>
          </c:extLst>
        </c:ser>
        <c:ser>
          <c:idx val="2"/>
          <c:order val="2"/>
          <c:tx>
            <c:strRef>
              <c:f>'2006 Sampling'!$AN$19</c:f>
              <c:strCache>
                <c:ptCount val="1"/>
              </c:strCache>
            </c:strRef>
          </c:tx>
          <c:spPr>
            <a:solidFill>
              <a:srgbClr val="008000"/>
            </a:solidFill>
            <a:ln w="12700">
              <a:solidFill>
                <a:srgbClr val="008000"/>
              </a:solidFill>
              <a:prstDash val="solid"/>
            </a:ln>
          </c:spPr>
          <c:invertIfNegative val="0"/>
          <c:val>
            <c:numRef>
              <c:f>'2006 Sampling'!$AO$19:$BB$19</c:f>
              <c:numCache>
                <c:formatCode>General</c:formatCode>
                <c:ptCount val="14"/>
              </c:numCache>
            </c:numRef>
          </c:val>
          <c:extLst>
            <c:ext xmlns:c16="http://schemas.microsoft.com/office/drawing/2014/chart" uri="{C3380CC4-5D6E-409C-BE32-E72D297353CC}">
              <c16:uniqueId val="{00000002-CEDA-4010-B5C3-C585D0DD0009}"/>
            </c:ext>
          </c:extLst>
        </c:ser>
        <c:dLbls>
          <c:showLegendKey val="0"/>
          <c:showVal val="0"/>
          <c:showCatName val="0"/>
          <c:showSerName val="0"/>
          <c:showPercent val="0"/>
          <c:showBubbleSize val="0"/>
        </c:dLbls>
        <c:gapWidth val="150"/>
        <c:axId val="496115008"/>
        <c:axId val="496113440"/>
      </c:barChart>
      <c:catAx>
        <c:axId val="496115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6113440"/>
        <c:crosses val="autoZero"/>
        <c:auto val="1"/>
        <c:lblAlgn val="ctr"/>
        <c:lblOffset val="100"/>
        <c:tickLblSkip val="2"/>
        <c:tickMarkSkip val="1"/>
        <c:noMultiLvlLbl val="0"/>
      </c:catAx>
      <c:valAx>
        <c:axId val="49611344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611500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0-B90E-4A27-8541-4DC2CC786D92}"/>
            </c:ext>
          </c:extLst>
        </c:ser>
        <c:ser>
          <c:idx val="1"/>
          <c:order val="1"/>
          <c:tx>
            <c:strRef>
              <c:f>'2006 Sampling'!$BC$31</c:f>
              <c:strCache>
                <c:ptCount val="1"/>
              </c:strCache>
            </c:strRef>
          </c:tx>
          <c:spPr>
            <a:solidFill>
              <a:srgbClr val="FF00FF"/>
            </a:solidFill>
            <a:ln w="12700">
              <a:solidFill>
                <a:srgbClr val="FF00FF"/>
              </a:solidFill>
              <a:prstDash val="solid"/>
            </a:ln>
          </c:spPr>
          <c:invertIfNegative val="0"/>
          <c:val>
            <c:numRef>
              <c:f>'2006 Sampling'!$BD$31:$BQ$31</c:f>
              <c:numCache>
                <c:formatCode>General</c:formatCode>
                <c:ptCount val="14"/>
              </c:numCache>
            </c:numRef>
          </c:val>
          <c:extLst>
            <c:ext xmlns:c16="http://schemas.microsoft.com/office/drawing/2014/chart" uri="{C3380CC4-5D6E-409C-BE32-E72D297353CC}">
              <c16:uniqueId val="{00000001-B90E-4A27-8541-4DC2CC786D92}"/>
            </c:ext>
          </c:extLst>
        </c:ser>
        <c:ser>
          <c:idx val="2"/>
          <c:order val="2"/>
          <c:tx>
            <c:strRef>
              <c:f>'2006 Sampling'!$BC$32</c:f>
              <c:strCache>
                <c:ptCount val="1"/>
              </c:strCache>
            </c:strRef>
          </c:tx>
          <c:spPr>
            <a:solidFill>
              <a:srgbClr val="008000"/>
            </a:solidFill>
            <a:ln w="12700">
              <a:solidFill>
                <a:srgbClr val="008000"/>
              </a:solidFill>
              <a:prstDash val="solid"/>
            </a:ln>
          </c:spPr>
          <c:invertIfNegative val="0"/>
          <c:val>
            <c:numRef>
              <c:f>'2006 Sampling'!$BD$32:$BQ$32</c:f>
              <c:numCache>
                <c:formatCode>General</c:formatCode>
                <c:ptCount val="14"/>
              </c:numCache>
            </c:numRef>
          </c:val>
          <c:extLst>
            <c:ext xmlns:c16="http://schemas.microsoft.com/office/drawing/2014/chart" uri="{C3380CC4-5D6E-409C-BE32-E72D297353CC}">
              <c16:uniqueId val="{00000002-B90E-4A27-8541-4DC2CC786D92}"/>
            </c:ext>
          </c:extLst>
        </c:ser>
        <c:ser>
          <c:idx val="3"/>
          <c:order val="3"/>
          <c:tx>
            <c:strRef>
              <c:f>'2006 Sampling'!$BC$34</c:f>
              <c:strCache>
                <c:ptCount val="1"/>
              </c:strCache>
            </c:strRef>
          </c:tx>
          <c:spPr>
            <a:solidFill>
              <a:srgbClr val="000080"/>
            </a:solidFill>
            <a:ln w="12700">
              <a:solidFill>
                <a:srgbClr val="000080"/>
              </a:solidFill>
              <a:prstDash val="solid"/>
            </a:ln>
          </c:spPr>
          <c:invertIfNegative val="0"/>
          <c:val>
            <c:numRef>
              <c:f>'2006 Sampling'!$BD$34:$BQ$34</c:f>
              <c:numCache>
                <c:formatCode>General</c:formatCode>
                <c:ptCount val="14"/>
              </c:numCache>
            </c:numRef>
          </c:val>
          <c:extLst>
            <c:ext xmlns:c16="http://schemas.microsoft.com/office/drawing/2014/chart" uri="{C3380CC4-5D6E-409C-BE32-E72D297353CC}">
              <c16:uniqueId val="{00000003-B90E-4A27-8541-4DC2CC786D92}"/>
            </c:ext>
          </c:extLst>
        </c:ser>
        <c:ser>
          <c:idx val="4"/>
          <c:order val="4"/>
          <c:tx>
            <c:strRef>
              <c:f>'2006 Sampling'!$BC$35</c:f>
              <c:strCache>
                <c:ptCount val="1"/>
              </c:strCache>
            </c:strRef>
          </c:tx>
          <c:spPr>
            <a:solidFill>
              <a:srgbClr val="FF0000"/>
            </a:solidFill>
            <a:ln w="12700">
              <a:solidFill>
                <a:srgbClr val="FF0000"/>
              </a:solidFill>
              <a:prstDash val="solid"/>
            </a:ln>
          </c:spPr>
          <c:invertIfNegative val="0"/>
          <c:val>
            <c:numRef>
              <c:f>'2006 Sampling'!$BD$35:$BQ$35</c:f>
              <c:numCache>
                <c:formatCode>General</c:formatCode>
                <c:ptCount val="14"/>
              </c:numCache>
            </c:numRef>
          </c:val>
          <c:extLst>
            <c:ext xmlns:c16="http://schemas.microsoft.com/office/drawing/2014/chart" uri="{C3380CC4-5D6E-409C-BE32-E72D297353CC}">
              <c16:uniqueId val="{00000004-B90E-4A27-8541-4DC2CC786D92}"/>
            </c:ext>
          </c:extLst>
        </c:ser>
        <c:dLbls>
          <c:showLegendKey val="0"/>
          <c:showVal val="0"/>
          <c:showCatName val="0"/>
          <c:showSerName val="0"/>
          <c:showPercent val="0"/>
          <c:showBubbleSize val="0"/>
        </c:dLbls>
        <c:gapWidth val="75"/>
        <c:axId val="496116968"/>
        <c:axId val="496112656"/>
      </c:barChart>
      <c:catAx>
        <c:axId val="49611696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6112656"/>
        <c:crosses val="autoZero"/>
        <c:auto val="1"/>
        <c:lblAlgn val="ctr"/>
        <c:lblOffset val="100"/>
        <c:tickLblSkip val="2"/>
        <c:tickMarkSkip val="1"/>
        <c:noMultiLvlLbl val="0"/>
      </c:catAx>
      <c:valAx>
        <c:axId val="49611265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611696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Sampling'!$BI$2</c:f>
              <c:strCache>
                <c:ptCount val="1"/>
              </c:strCache>
            </c:strRef>
          </c:tx>
          <c:spPr>
            <a:solidFill>
              <a:srgbClr val="0000FF"/>
            </a:solidFill>
            <a:ln w="12700">
              <a:solidFill>
                <a:srgbClr val="0000FF"/>
              </a:solidFill>
              <a:prstDash val="solid"/>
            </a:ln>
          </c:spPr>
          <c:invertIfNegative val="0"/>
          <c:cat>
            <c:numRef>
              <c:f>'2006 Sampling'!$BH$3:$BH$8</c:f>
              <c:numCache>
                <c:formatCode>General</c:formatCode>
                <c:ptCount val="6"/>
              </c:numCache>
            </c:numRef>
          </c:cat>
          <c:val>
            <c:numRef>
              <c:f>'2006 Sampling'!$BI$3:$BI$8</c:f>
              <c:numCache>
                <c:formatCode>General</c:formatCode>
                <c:ptCount val="6"/>
              </c:numCache>
            </c:numRef>
          </c:val>
          <c:extLst>
            <c:ext xmlns:c16="http://schemas.microsoft.com/office/drawing/2014/chart" uri="{C3380CC4-5D6E-409C-BE32-E72D297353CC}">
              <c16:uniqueId val="{00000000-CBC9-4AE6-864E-F7E87CC86E38}"/>
            </c:ext>
          </c:extLst>
        </c:ser>
        <c:ser>
          <c:idx val="1"/>
          <c:order val="1"/>
          <c:tx>
            <c:strRef>
              <c:f>'2006 Sampling'!$BJ$2</c:f>
              <c:strCache>
                <c:ptCount val="1"/>
              </c:strCache>
            </c:strRef>
          </c:tx>
          <c:spPr>
            <a:solidFill>
              <a:srgbClr val="FF0000"/>
            </a:solidFill>
            <a:ln w="12700">
              <a:solidFill>
                <a:srgbClr val="FF0000"/>
              </a:solidFill>
              <a:prstDash val="solid"/>
            </a:ln>
          </c:spPr>
          <c:invertIfNegative val="0"/>
          <c:val>
            <c:numRef>
              <c:f>'2006 Sampling'!$BJ$3:$BJ$8</c:f>
              <c:numCache>
                <c:formatCode>General</c:formatCode>
                <c:ptCount val="6"/>
              </c:numCache>
            </c:numRef>
          </c:val>
          <c:extLst>
            <c:ext xmlns:c16="http://schemas.microsoft.com/office/drawing/2014/chart" uri="{C3380CC4-5D6E-409C-BE32-E72D297353CC}">
              <c16:uniqueId val="{00000001-CBC9-4AE6-864E-F7E87CC86E38}"/>
            </c:ext>
          </c:extLst>
        </c:ser>
        <c:dLbls>
          <c:showLegendKey val="0"/>
          <c:showVal val="0"/>
          <c:showCatName val="0"/>
          <c:showSerName val="0"/>
          <c:showPercent val="0"/>
          <c:showBubbleSize val="0"/>
        </c:dLbls>
        <c:gapWidth val="150"/>
        <c:axId val="496116184"/>
        <c:axId val="496113832"/>
      </c:barChart>
      <c:catAx>
        <c:axId val="496116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6113832"/>
        <c:crosses val="autoZero"/>
        <c:auto val="1"/>
        <c:lblAlgn val="ctr"/>
        <c:lblOffset val="100"/>
        <c:tickLblSkip val="1"/>
        <c:tickMarkSkip val="1"/>
        <c:noMultiLvlLbl val="0"/>
      </c:catAx>
      <c:valAx>
        <c:axId val="49611383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611618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 b="0" i="0" u="none" strike="noStrike" baseline="0">
              <a:solidFill>
                <a:srgbClr val="000000"/>
              </a:solidFill>
              <a:latin typeface="Arial"/>
              <a:ea typeface="Arial"/>
              <a:cs typeface="Arial"/>
            </a:defRPr>
          </a:pPr>
          <a:endParaRPr lang="en-US"/>
        </a:p>
      </c:txPr>
    </c:title>
    <c:autoTitleDeleted val="0"/>
    <c:plotArea>
      <c:layout/>
      <c:barChart>
        <c:barDir val="col"/>
        <c:grouping val="clustered"/>
        <c:varyColors val="0"/>
        <c:ser>
          <c:idx val="0"/>
          <c:order val="0"/>
          <c:tx>
            <c:strRef>
              <c:f>'2006 Sampling'!$BR$27</c:f>
              <c:strCache>
                <c:ptCount val="1"/>
              </c:strCache>
            </c:strRef>
          </c:tx>
          <c:spPr>
            <a:solidFill>
              <a:srgbClr val="0000FF"/>
            </a:solidFill>
            <a:ln w="12700">
              <a:solidFill>
                <a:srgbClr val="0000FF"/>
              </a:solidFill>
              <a:prstDash val="solid"/>
            </a:ln>
          </c:spPr>
          <c:invertIfNegative val="0"/>
          <c:cat>
            <c:numRef>
              <c:f>'2006 Sampling'!$BC$29:$BC$35</c:f>
              <c:numCache>
                <c:formatCode>General</c:formatCode>
                <c:ptCount val="7"/>
              </c:numCache>
            </c:numRef>
          </c:cat>
          <c:val>
            <c:numRef>
              <c:f>'2006 Sampling'!$BR$29:$BR$35</c:f>
              <c:numCache>
                <c:formatCode>General</c:formatCode>
                <c:ptCount val="7"/>
              </c:numCache>
            </c:numRef>
          </c:val>
          <c:extLst>
            <c:ext xmlns:c16="http://schemas.microsoft.com/office/drawing/2014/chart" uri="{C3380CC4-5D6E-409C-BE32-E72D297353CC}">
              <c16:uniqueId val="{00000000-BBB6-471F-B3B7-9184B992BCAB}"/>
            </c:ext>
          </c:extLst>
        </c:ser>
        <c:dLbls>
          <c:showLegendKey val="0"/>
          <c:showVal val="0"/>
          <c:showCatName val="0"/>
          <c:showSerName val="0"/>
          <c:showPercent val="0"/>
          <c:showBubbleSize val="0"/>
        </c:dLbls>
        <c:gapWidth val="150"/>
        <c:axId val="496306440"/>
        <c:axId val="496304872"/>
      </c:barChart>
      <c:catAx>
        <c:axId val="496306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6304872"/>
        <c:crosses val="autoZero"/>
        <c:auto val="1"/>
        <c:lblAlgn val="ctr"/>
        <c:lblOffset val="100"/>
        <c:tickLblSkip val="1"/>
        <c:tickMarkSkip val="1"/>
        <c:noMultiLvlLbl val="0"/>
      </c:catAx>
      <c:valAx>
        <c:axId val="49630487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6306440"/>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2E23-48F3-934A-5D054568AA77}"/>
            </c:ext>
          </c:extLst>
        </c:ser>
        <c:ser>
          <c:idx val="1"/>
          <c:order val="1"/>
          <c:tx>
            <c:strRef>
              <c:f>'2006 Sampling'!$AN$18</c:f>
              <c:strCache>
                <c:ptCount val="1"/>
              </c:strCache>
            </c:strRef>
          </c:tx>
          <c:spPr>
            <a:solidFill>
              <a:srgbClr val="FF00FF"/>
            </a:solidFill>
            <a:ln w="12700">
              <a:solidFill>
                <a:srgbClr val="FF00FF"/>
              </a:solidFill>
              <a:prstDash val="solid"/>
            </a:ln>
          </c:spPr>
          <c:invertIfNegative val="0"/>
          <c:cat>
            <c:numRef>
              <c:f>'2006 Sampling'!$AO$10:$BB$10</c:f>
              <c:numCache>
                <c:formatCode>General</c:formatCode>
                <c:ptCount val="14"/>
              </c:numCache>
            </c:numRef>
          </c:cat>
          <c:val>
            <c:numRef>
              <c:f>'2006 Sampling'!$AO$18:$BB$18</c:f>
              <c:numCache>
                <c:formatCode>General</c:formatCode>
                <c:ptCount val="14"/>
              </c:numCache>
            </c:numRef>
          </c:val>
          <c:extLst>
            <c:ext xmlns:c16="http://schemas.microsoft.com/office/drawing/2014/chart" uri="{C3380CC4-5D6E-409C-BE32-E72D297353CC}">
              <c16:uniqueId val="{00000001-2E23-48F3-934A-5D054568AA77}"/>
            </c:ext>
          </c:extLst>
        </c:ser>
        <c:ser>
          <c:idx val="2"/>
          <c:order val="2"/>
          <c:tx>
            <c:strRef>
              <c:f>'2006 Sampling'!$AN$19</c:f>
              <c:strCache>
                <c:ptCount val="1"/>
              </c:strCache>
            </c:strRef>
          </c:tx>
          <c:spPr>
            <a:solidFill>
              <a:srgbClr val="008000"/>
            </a:solidFill>
            <a:ln w="12700">
              <a:solidFill>
                <a:srgbClr val="008000"/>
              </a:solidFill>
              <a:prstDash val="solid"/>
            </a:ln>
          </c:spPr>
          <c:invertIfNegative val="0"/>
          <c:cat>
            <c:numRef>
              <c:f>'2006 Sampling'!$AO$10:$BB$10</c:f>
              <c:numCache>
                <c:formatCode>General</c:formatCode>
                <c:ptCount val="14"/>
              </c:numCache>
            </c:numRef>
          </c:cat>
          <c:val>
            <c:numRef>
              <c:f>'2006 Sampling'!$AO$19:$BB$19</c:f>
              <c:numCache>
                <c:formatCode>General</c:formatCode>
                <c:ptCount val="14"/>
              </c:numCache>
            </c:numRef>
          </c:val>
          <c:extLst>
            <c:ext xmlns:c16="http://schemas.microsoft.com/office/drawing/2014/chart" uri="{C3380CC4-5D6E-409C-BE32-E72D297353CC}">
              <c16:uniqueId val="{00000002-2E23-48F3-934A-5D054568AA77}"/>
            </c:ext>
          </c:extLst>
        </c:ser>
        <c:ser>
          <c:idx val="3"/>
          <c:order val="3"/>
          <c:tx>
            <c:strRef>
              <c:f>'2006 Sampling'!$AN$20</c:f>
              <c:strCache>
                <c:ptCount val="1"/>
              </c:strCache>
            </c:strRef>
          </c:tx>
          <c:spPr>
            <a:solidFill>
              <a:srgbClr val="000080"/>
            </a:solidFill>
            <a:ln w="12700">
              <a:solidFill>
                <a:srgbClr val="000080"/>
              </a:solidFill>
              <a:prstDash val="solid"/>
            </a:ln>
          </c:spPr>
          <c:invertIfNegative val="0"/>
          <c:cat>
            <c:numRef>
              <c:f>'2006 Sampling'!$AO$10:$BB$10</c:f>
              <c:numCache>
                <c:formatCode>General</c:formatCode>
                <c:ptCount val="14"/>
              </c:numCache>
            </c:numRef>
          </c:cat>
          <c:val>
            <c:numRef>
              <c:f>'2006 Sampling'!$AO$20:$BB$20</c:f>
              <c:numCache>
                <c:formatCode>General</c:formatCode>
                <c:ptCount val="14"/>
              </c:numCache>
            </c:numRef>
          </c:val>
          <c:extLst>
            <c:ext xmlns:c16="http://schemas.microsoft.com/office/drawing/2014/chart" uri="{C3380CC4-5D6E-409C-BE32-E72D297353CC}">
              <c16:uniqueId val="{00000003-2E23-48F3-934A-5D054568AA77}"/>
            </c:ext>
          </c:extLst>
        </c:ser>
        <c:ser>
          <c:idx val="4"/>
          <c:order val="4"/>
          <c:tx>
            <c:strRef>
              <c:f>'2006 Sampling'!$AN$21</c:f>
              <c:strCache>
                <c:ptCount val="1"/>
              </c:strCache>
            </c:strRef>
          </c:tx>
          <c:spPr>
            <a:solidFill>
              <a:srgbClr val="FF0000"/>
            </a:solidFill>
            <a:ln w="12700">
              <a:solidFill>
                <a:srgbClr val="FF0000"/>
              </a:solidFill>
              <a:prstDash val="solid"/>
            </a:ln>
          </c:spPr>
          <c:invertIfNegative val="0"/>
          <c:cat>
            <c:numRef>
              <c:f>'2006 Sampling'!$AO$10:$BB$10</c:f>
              <c:numCache>
                <c:formatCode>General</c:formatCode>
                <c:ptCount val="14"/>
              </c:numCache>
            </c:numRef>
          </c:cat>
          <c:val>
            <c:numRef>
              <c:f>'2006 Sampling'!$AO$21:$BB$21</c:f>
              <c:numCache>
                <c:formatCode>General</c:formatCode>
                <c:ptCount val="14"/>
              </c:numCache>
            </c:numRef>
          </c:val>
          <c:extLst>
            <c:ext xmlns:c16="http://schemas.microsoft.com/office/drawing/2014/chart" uri="{C3380CC4-5D6E-409C-BE32-E72D297353CC}">
              <c16:uniqueId val="{00000004-2E23-48F3-934A-5D054568AA77}"/>
            </c:ext>
          </c:extLst>
        </c:ser>
        <c:dLbls>
          <c:showLegendKey val="0"/>
          <c:showVal val="0"/>
          <c:showCatName val="0"/>
          <c:showSerName val="0"/>
          <c:showPercent val="0"/>
          <c:showBubbleSize val="0"/>
        </c:dLbls>
        <c:gapWidth val="150"/>
        <c:axId val="496309576"/>
        <c:axId val="496309968"/>
      </c:barChart>
      <c:catAx>
        <c:axId val="496309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6309968"/>
        <c:crosses val="autoZero"/>
        <c:auto val="1"/>
        <c:lblAlgn val="ctr"/>
        <c:lblOffset val="100"/>
        <c:tickLblSkip val="4"/>
        <c:tickMarkSkip val="1"/>
        <c:noMultiLvlLbl val="0"/>
      </c:catAx>
      <c:valAx>
        <c:axId val="496309968"/>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6309576"/>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0F47-4908-90C6-05E5CA05E469}"/>
            </c:ext>
          </c:extLst>
        </c:ser>
        <c:ser>
          <c:idx val="1"/>
          <c:order val="1"/>
          <c:tx>
            <c:strRef>
              <c:f>'2006 Sampling'!$AN$18</c:f>
              <c:strCache>
                <c:ptCount val="1"/>
              </c:strCache>
            </c:strRef>
          </c:tx>
          <c:spPr>
            <a:solidFill>
              <a:srgbClr val="FF00FF"/>
            </a:solidFill>
            <a:ln w="12700">
              <a:solidFill>
                <a:srgbClr val="FF00FF"/>
              </a:solidFill>
              <a:prstDash val="solid"/>
            </a:ln>
          </c:spPr>
          <c:invertIfNegative val="0"/>
          <c:val>
            <c:numRef>
              <c:f>'2006 Sampling'!$AO$18:$BB$18</c:f>
              <c:numCache>
                <c:formatCode>General</c:formatCode>
                <c:ptCount val="14"/>
              </c:numCache>
            </c:numRef>
          </c:val>
          <c:extLst>
            <c:ext xmlns:c16="http://schemas.microsoft.com/office/drawing/2014/chart" uri="{C3380CC4-5D6E-409C-BE32-E72D297353CC}">
              <c16:uniqueId val="{00000001-0F47-4908-90C6-05E5CA05E469}"/>
            </c:ext>
          </c:extLst>
        </c:ser>
        <c:ser>
          <c:idx val="2"/>
          <c:order val="2"/>
          <c:tx>
            <c:strRef>
              <c:f>'2006 Sampling'!$AN$19</c:f>
              <c:strCache>
                <c:ptCount val="1"/>
              </c:strCache>
            </c:strRef>
          </c:tx>
          <c:spPr>
            <a:solidFill>
              <a:srgbClr val="008000"/>
            </a:solidFill>
            <a:ln w="12700">
              <a:solidFill>
                <a:srgbClr val="008000"/>
              </a:solidFill>
              <a:prstDash val="solid"/>
            </a:ln>
          </c:spPr>
          <c:invertIfNegative val="0"/>
          <c:val>
            <c:numRef>
              <c:f>'2006 Sampling'!$AO$19:$BB$19</c:f>
              <c:numCache>
                <c:formatCode>General</c:formatCode>
                <c:ptCount val="14"/>
              </c:numCache>
            </c:numRef>
          </c:val>
          <c:extLst>
            <c:ext xmlns:c16="http://schemas.microsoft.com/office/drawing/2014/chart" uri="{C3380CC4-5D6E-409C-BE32-E72D297353CC}">
              <c16:uniqueId val="{00000002-0F47-4908-90C6-05E5CA05E469}"/>
            </c:ext>
          </c:extLst>
        </c:ser>
        <c:dLbls>
          <c:showLegendKey val="0"/>
          <c:showVal val="0"/>
          <c:showCatName val="0"/>
          <c:showSerName val="0"/>
          <c:showPercent val="0"/>
          <c:showBubbleSize val="0"/>
        </c:dLbls>
        <c:gapWidth val="150"/>
        <c:axId val="496310360"/>
        <c:axId val="496311536"/>
      </c:barChart>
      <c:catAx>
        <c:axId val="49631036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6311536"/>
        <c:crosses val="autoZero"/>
        <c:auto val="1"/>
        <c:lblAlgn val="ctr"/>
        <c:lblOffset val="100"/>
        <c:tickLblSkip val="2"/>
        <c:tickMarkSkip val="1"/>
        <c:noMultiLvlLbl val="0"/>
      </c:catAx>
      <c:valAx>
        <c:axId val="4963115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6310360"/>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0-B76B-4633-A7AD-822B0C8D56D9}"/>
            </c:ext>
          </c:extLst>
        </c:ser>
        <c:ser>
          <c:idx val="1"/>
          <c:order val="1"/>
          <c:tx>
            <c:strRef>
              <c:f>'2006 Sampling'!$BC$31</c:f>
              <c:strCache>
                <c:ptCount val="1"/>
              </c:strCache>
            </c:strRef>
          </c:tx>
          <c:spPr>
            <a:solidFill>
              <a:srgbClr val="FF00FF"/>
            </a:solidFill>
            <a:ln w="12700">
              <a:solidFill>
                <a:srgbClr val="FF00FF"/>
              </a:solidFill>
              <a:prstDash val="solid"/>
            </a:ln>
          </c:spPr>
          <c:invertIfNegative val="0"/>
          <c:val>
            <c:numRef>
              <c:f>'2006 Sampling'!$BD$31:$BQ$31</c:f>
              <c:numCache>
                <c:formatCode>General</c:formatCode>
                <c:ptCount val="14"/>
              </c:numCache>
            </c:numRef>
          </c:val>
          <c:extLst>
            <c:ext xmlns:c16="http://schemas.microsoft.com/office/drawing/2014/chart" uri="{C3380CC4-5D6E-409C-BE32-E72D297353CC}">
              <c16:uniqueId val="{00000001-B76B-4633-A7AD-822B0C8D56D9}"/>
            </c:ext>
          </c:extLst>
        </c:ser>
        <c:ser>
          <c:idx val="2"/>
          <c:order val="2"/>
          <c:tx>
            <c:strRef>
              <c:f>'2006 Sampling'!$BC$32</c:f>
              <c:strCache>
                <c:ptCount val="1"/>
              </c:strCache>
            </c:strRef>
          </c:tx>
          <c:spPr>
            <a:solidFill>
              <a:srgbClr val="008000"/>
            </a:solidFill>
            <a:ln w="12700">
              <a:solidFill>
                <a:srgbClr val="008000"/>
              </a:solidFill>
              <a:prstDash val="solid"/>
            </a:ln>
          </c:spPr>
          <c:invertIfNegative val="0"/>
          <c:val>
            <c:numRef>
              <c:f>'2006 Sampling'!$BD$32:$BQ$32</c:f>
              <c:numCache>
                <c:formatCode>General</c:formatCode>
                <c:ptCount val="14"/>
              </c:numCache>
            </c:numRef>
          </c:val>
          <c:extLst>
            <c:ext xmlns:c16="http://schemas.microsoft.com/office/drawing/2014/chart" uri="{C3380CC4-5D6E-409C-BE32-E72D297353CC}">
              <c16:uniqueId val="{00000002-B76B-4633-A7AD-822B0C8D56D9}"/>
            </c:ext>
          </c:extLst>
        </c:ser>
        <c:ser>
          <c:idx val="3"/>
          <c:order val="3"/>
          <c:tx>
            <c:strRef>
              <c:f>'2006 Sampling'!$BC$34</c:f>
              <c:strCache>
                <c:ptCount val="1"/>
              </c:strCache>
            </c:strRef>
          </c:tx>
          <c:spPr>
            <a:solidFill>
              <a:srgbClr val="000080"/>
            </a:solidFill>
            <a:ln w="12700">
              <a:solidFill>
                <a:srgbClr val="000080"/>
              </a:solidFill>
              <a:prstDash val="solid"/>
            </a:ln>
          </c:spPr>
          <c:invertIfNegative val="0"/>
          <c:val>
            <c:numRef>
              <c:f>'2006 Sampling'!$BD$34:$BQ$34</c:f>
              <c:numCache>
                <c:formatCode>General</c:formatCode>
                <c:ptCount val="14"/>
              </c:numCache>
            </c:numRef>
          </c:val>
          <c:extLst>
            <c:ext xmlns:c16="http://schemas.microsoft.com/office/drawing/2014/chart" uri="{C3380CC4-5D6E-409C-BE32-E72D297353CC}">
              <c16:uniqueId val="{00000003-B76B-4633-A7AD-822B0C8D56D9}"/>
            </c:ext>
          </c:extLst>
        </c:ser>
        <c:ser>
          <c:idx val="4"/>
          <c:order val="4"/>
          <c:tx>
            <c:strRef>
              <c:f>'2006 Sampling'!$BC$35</c:f>
              <c:strCache>
                <c:ptCount val="1"/>
              </c:strCache>
            </c:strRef>
          </c:tx>
          <c:spPr>
            <a:solidFill>
              <a:srgbClr val="FF0000"/>
            </a:solidFill>
            <a:ln w="12700">
              <a:solidFill>
                <a:srgbClr val="FF0000"/>
              </a:solidFill>
              <a:prstDash val="solid"/>
            </a:ln>
          </c:spPr>
          <c:invertIfNegative val="0"/>
          <c:val>
            <c:numRef>
              <c:f>'2006 Sampling'!$BD$35:$BQ$35</c:f>
              <c:numCache>
                <c:formatCode>General</c:formatCode>
                <c:ptCount val="14"/>
              </c:numCache>
            </c:numRef>
          </c:val>
          <c:extLst>
            <c:ext xmlns:c16="http://schemas.microsoft.com/office/drawing/2014/chart" uri="{C3380CC4-5D6E-409C-BE32-E72D297353CC}">
              <c16:uniqueId val="{00000004-B76B-4633-A7AD-822B0C8D56D9}"/>
            </c:ext>
          </c:extLst>
        </c:ser>
        <c:dLbls>
          <c:showLegendKey val="0"/>
          <c:showVal val="0"/>
          <c:showCatName val="0"/>
          <c:showSerName val="0"/>
          <c:showPercent val="0"/>
          <c:showBubbleSize val="0"/>
        </c:dLbls>
        <c:gapWidth val="75"/>
        <c:axId val="496311928"/>
        <c:axId val="496305656"/>
      </c:barChart>
      <c:catAx>
        <c:axId val="496311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6305656"/>
        <c:crosses val="autoZero"/>
        <c:auto val="1"/>
        <c:lblAlgn val="ctr"/>
        <c:lblOffset val="100"/>
        <c:tickLblSkip val="2"/>
        <c:tickMarkSkip val="1"/>
        <c:noMultiLvlLbl val="0"/>
      </c:catAx>
      <c:valAx>
        <c:axId val="49630565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631192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Sampling'!$BI$2</c:f>
              <c:strCache>
                <c:ptCount val="1"/>
              </c:strCache>
            </c:strRef>
          </c:tx>
          <c:spPr>
            <a:solidFill>
              <a:srgbClr val="0000FF"/>
            </a:solidFill>
            <a:ln w="12700">
              <a:solidFill>
                <a:srgbClr val="0000FF"/>
              </a:solidFill>
              <a:prstDash val="solid"/>
            </a:ln>
          </c:spPr>
          <c:invertIfNegative val="0"/>
          <c:cat>
            <c:numRef>
              <c:f>'2006 Sampling'!$BH$3:$BH$8</c:f>
              <c:numCache>
                <c:formatCode>General</c:formatCode>
                <c:ptCount val="6"/>
              </c:numCache>
            </c:numRef>
          </c:cat>
          <c:val>
            <c:numRef>
              <c:f>'2006 Sampling'!$BI$3:$BI$8</c:f>
              <c:numCache>
                <c:formatCode>General</c:formatCode>
                <c:ptCount val="6"/>
              </c:numCache>
            </c:numRef>
          </c:val>
          <c:extLst>
            <c:ext xmlns:c16="http://schemas.microsoft.com/office/drawing/2014/chart" uri="{C3380CC4-5D6E-409C-BE32-E72D297353CC}">
              <c16:uniqueId val="{00000000-2C13-4FC8-937E-78CDE3FE66CB}"/>
            </c:ext>
          </c:extLst>
        </c:ser>
        <c:ser>
          <c:idx val="1"/>
          <c:order val="1"/>
          <c:tx>
            <c:strRef>
              <c:f>'2006 Sampling'!$BJ$2</c:f>
              <c:strCache>
                <c:ptCount val="1"/>
              </c:strCache>
            </c:strRef>
          </c:tx>
          <c:spPr>
            <a:solidFill>
              <a:srgbClr val="FF0000"/>
            </a:solidFill>
            <a:ln w="12700">
              <a:solidFill>
                <a:srgbClr val="FF0000"/>
              </a:solidFill>
              <a:prstDash val="solid"/>
            </a:ln>
          </c:spPr>
          <c:invertIfNegative val="0"/>
          <c:val>
            <c:numRef>
              <c:f>'2006 Sampling'!$BJ$3:$BJ$8</c:f>
              <c:numCache>
                <c:formatCode>General</c:formatCode>
                <c:ptCount val="6"/>
              </c:numCache>
            </c:numRef>
          </c:val>
          <c:extLst>
            <c:ext xmlns:c16="http://schemas.microsoft.com/office/drawing/2014/chart" uri="{C3380CC4-5D6E-409C-BE32-E72D297353CC}">
              <c16:uniqueId val="{00000001-2C13-4FC8-937E-78CDE3FE66CB}"/>
            </c:ext>
          </c:extLst>
        </c:ser>
        <c:dLbls>
          <c:showLegendKey val="0"/>
          <c:showVal val="0"/>
          <c:showCatName val="0"/>
          <c:showSerName val="0"/>
          <c:showPercent val="0"/>
          <c:showBubbleSize val="0"/>
        </c:dLbls>
        <c:gapWidth val="150"/>
        <c:axId val="496305264"/>
        <c:axId val="496307224"/>
      </c:barChart>
      <c:catAx>
        <c:axId val="4963052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6307224"/>
        <c:crosses val="autoZero"/>
        <c:auto val="1"/>
        <c:lblAlgn val="ctr"/>
        <c:lblOffset val="100"/>
        <c:tickLblSkip val="1"/>
        <c:tickMarkSkip val="1"/>
        <c:noMultiLvlLbl val="0"/>
      </c:catAx>
      <c:valAx>
        <c:axId val="49630722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630526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FB0B-43FA-B3B1-092CF4ABF21C}"/>
            </c:ext>
          </c:extLst>
        </c:ser>
        <c:ser>
          <c:idx val="1"/>
          <c:order val="1"/>
          <c:tx>
            <c:strRef>
              <c:f>'2006 Sampling'!$AN$18</c:f>
              <c:strCache>
                <c:ptCount val="1"/>
              </c:strCache>
            </c:strRef>
          </c:tx>
          <c:spPr>
            <a:solidFill>
              <a:srgbClr val="FF00FF"/>
            </a:solidFill>
            <a:ln w="12700">
              <a:solidFill>
                <a:srgbClr val="FF00FF"/>
              </a:solidFill>
              <a:prstDash val="solid"/>
            </a:ln>
          </c:spPr>
          <c:invertIfNegative val="0"/>
          <c:cat>
            <c:numRef>
              <c:f>'2006 Sampling'!$AO$10:$BB$10</c:f>
              <c:numCache>
                <c:formatCode>General</c:formatCode>
                <c:ptCount val="14"/>
              </c:numCache>
            </c:numRef>
          </c:cat>
          <c:val>
            <c:numRef>
              <c:f>'2006 Sampling'!$AO$18:$BB$18</c:f>
              <c:numCache>
                <c:formatCode>General</c:formatCode>
                <c:ptCount val="14"/>
              </c:numCache>
            </c:numRef>
          </c:val>
          <c:extLst>
            <c:ext xmlns:c16="http://schemas.microsoft.com/office/drawing/2014/chart" uri="{C3380CC4-5D6E-409C-BE32-E72D297353CC}">
              <c16:uniqueId val="{00000001-FB0B-43FA-B3B1-092CF4ABF21C}"/>
            </c:ext>
          </c:extLst>
        </c:ser>
        <c:ser>
          <c:idx val="2"/>
          <c:order val="2"/>
          <c:tx>
            <c:strRef>
              <c:f>'2006 Sampling'!$AN$19</c:f>
              <c:strCache>
                <c:ptCount val="1"/>
              </c:strCache>
            </c:strRef>
          </c:tx>
          <c:spPr>
            <a:solidFill>
              <a:srgbClr val="008000"/>
            </a:solidFill>
            <a:ln w="12700">
              <a:solidFill>
                <a:srgbClr val="008000"/>
              </a:solidFill>
              <a:prstDash val="solid"/>
            </a:ln>
          </c:spPr>
          <c:invertIfNegative val="0"/>
          <c:cat>
            <c:numRef>
              <c:f>'2006 Sampling'!$AO$10:$BB$10</c:f>
              <c:numCache>
                <c:formatCode>General</c:formatCode>
                <c:ptCount val="14"/>
              </c:numCache>
            </c:numRef>
          </c:cat>
          <c:val>
            <c:numRef>
              <c:f>'2006 Sampling'!$AO$19:$BB$19</c:f>
              <c:numCache>
                <c:formatCode>General</c:formatCode>
                <c:ptCount val="14"/>
              </c:numCache>
            </c:numRef>
          </c:val>
          <c:extLst>
            <c:ext xmlns:c16="http://schemas.microsoft.com/office/drawing/2014/chart" uri="{C3380CC4-5D6E-409C-BE32-E72D297353CC}">
              <c16:uniqueId val="{00000002-FB0B-43FA-B3B1-092CF4ABF21C}"/>
            </c:ext>
          </c:extLst>
        </c:ser>
        <c:ser>
          <c:idx val="3"/>
          <c:order val="3"/>
          <c:tx>
            <c:strRef>
              <c:f>'2006 Sampling'!$AN$20</c:f>
              <c:strCache>
                <c:ptCount val="1"/>
              </c:strCache>
            </c:strRef>
          </c:tx>
          <c:spPr>
            <a:solidFill>
              <a:srgbClr val="000080"/>
            </a:solidFill>
            <a:ln w="12700">
              <a:solidFill>
                <a:srgbClr val="000080"/>
              </a:solidFill>
              <a:prstDash val="solid"/>
            </a:ln>
          </c:spPr>
          <c:invertIfNegative val="0"/>
          <c:cat>
            <c:numRef>
              <c:f>'2006 Sampling'!$AO$10:$BB$10</c:f>
              <c:numCache>
                <c:formatCode>General</c:formatCode>
                <c:ptCount val="14"/>
              </c:numCache>
            </c:numRef>
          </c:cat>
          <c:val>
            <c:numRef>
              <c:f>'2006 Sampling'!$AO$20:$BB$20</c:f>
              <c:numCache>
                <c:formatCode>General</c:formatCode>
                <c:ptCount val="14"/>
              </c:numCache>
            </c:numRef>
          </c:val>
          <c:extLst>
            <c:ext xmlns:c16="http://schemas.microsoft.com/office/drawing/2014/chart" uri="{C3380CC4-5D6E-409C-BE32-E72D297353CC}">
              <c16:uniqueId val="{00000003-FB0B-43FA-B3B1-092CF4ABF21C}"/>
            </c:ext>
          </c:extLst>
        </c:ser>
        <c:ser>
          <c:idx val="4"/>
          <c:order val="4"/>
          <c:tx>
            <c:strRef>
              <c:f>'2006 Sampling'!$AN$21</c:f>
              <c:strCache>
                <c:ptCount val="1"/>
              </c:strCache>
            </c:strRef>
          </c:tx>
          <c:spPr>
            <a:solidFill>
              <a:srgbClr val="FF0000"/>
            </a:solidFill>
            <a:ln w="12700">
              <a:solidFill>
                <a:srgbClr val="FF0000"/>
              </a:solidFill>
              <a:prstDash val="solid"/>
            </a:ln>
          </c:spPr>
          <c:invertIfNegative val="0"/>
          <c:cat>
            <c:numRef>
              <c:f>'2006 Sampling'!$AO$10:$BB$10</c:f>
              <c:numCache>
                <c:formatCode>General</c:formatCode>
                <c:ptCount val="14"/>
              </c:numCache>
            </c:numRef>
          </c:cat>
          <c:val>
            <c:numRef>
              <c:f>'2006 Sampling'!$AO$21:$BB$21</c:f>
              <c:numCache>
                <c:formatCode>General</c:formatCode>
                <c:ptCount val="14"/>
              </c:numCache>
            </c:numRef>
          </c:val>
          <c:extLst>
            <c:ext xmlns:c16="http://schemas.microsoft.com/office/drawing/2014/chart" uri="{C3380CC4-5D6E-409C-BE32-E72D297353CC}">
              <c16:uniqueId val="{00000004-FB0B-43FA-B3B1-092CF4ABF21C}"/>
            </c:ext>
          </c:extLst>
        </c:ser>
        <c:dLbls>
          <c:showLegendKey val="0"/>
          <c:showVal val="0"/>
          <c:showCatName val="0"/>
          <c:showSerName val="0"/>
          <c:showPercent val="0"/>
          <c:showBubbleSize val="0"/>
        </c:dLbls>
        <c:gapWidth val="150"/>
        <c:axId val="344733352"/>
        <c:axId val="344735312"/>
      </c:barChart>
      <c:catAx>
        <c:axId val="344733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344735312"/>
        <c:crosses val="autoZero"/>
        <c:auto val="1"/>
        <c:lblAlgn val="ctr"/>
        <c:lblOffset val="100"/>
        <c:tickLblSkip val="4"/>
        <c:tickMarkSkip val="1"/>
        <c:noMultiLvlLbl val="0"/>
      </c:catAx>
      <c:valAx>
        <c:axId val="34473531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34473335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 b="0" i="0" u="none" strike="noStrike" baseline="0">
              <a:solidFill>
                <a:srgbClr val="000000"/>
              </a:solidFill>
              <a:latin typeface="Arial"/>
              <a:ea typeface="Arial"/>
              <a:cs typeface="Arial"/>
            </a:defRPr>
          </a:pPr>
          <a:endParaRPr lang="en-US"/>
        </a:p>
      </c:txPr>
    </c:title>
    <c:autoTitleDeleted val="0"/>
    <c:plotArea>
      <c:layout/>
      <c:barChart>
        <c:barDir val="col"/>
        <c:grouping val="clustered"/>
        <c:varyColors val="0"/>
        <c:ser>
          <c:idx val="0"/>
          <c:order val="0"/>
          <c:tx>
            <c:strRef>
              <c:f>'2006 Sampling'!$BR$27</c:f>
              <c:strCache>
                <c:ptCount val="1"/>
              </c:strCache>
            </c:strRef>
          </c:tx>
          <c:spPr>
            <a:solidFill>
              <a:srgbClr val="0000FF"/>
            </a:solidFill>
            <a:ln w="12700">
              <a:solidFill>
                <a:srgbClr val="0000FF"/>
              </a:solidFill>
              <a:prstDash val="solid"/>
            </a:ln>
          </c:spPr>
          <c:invertIfNegative val="0"/>
          <c:cat>
            <c:numRef>
              <c:f>'2006 Sampling'!$BC$29:$BC$35</c:f>
              <c:numCache>
                <c:formatCode>General</c:formatCode>
                <c:ptCount val="7"/>
              </c:numCache>
            </c:numRef>
          </c:cat>
          <c:val>
            <c:numRef>
              <c:f>'2006 Sampling'!$BR$29:$BR$35</c:f>
              <c:numCache>
                <c:formatCode>General</c:formatCode>
                <c:ptCount val="7"/>
              </c:numCache>
            </c:numRef>
          </c:val>
          <c:extLst>
            <c:ext xmlns:c16="http://schemas.microsoft.com/office/drawing/2014/chart" uri="{C3380CC4-5D6E-409C-BE32-E72D297353CC}">
              <c16:uniqueId val="{00000000-D361-4E7F-8B2F-C2FAFD35B625}"/>
            </c:ext>
          </c:extLst>
        </c:ser>
        <c:dLbls>
          <c:showLegendKey val="0"/>
          <c:showVal val="0"/>
          <c:showCatName val="0"/>
          <c:showSerName val="0"/>
          <c:showPercent val="0"/>
          <c:showBubbleSize val="0"/>
        </c:dLbls>
        <c:gapWidth val="150"/>
        <c:axId val="496308400"/>
        <c:axId val="496304480"/>
      </c:barChart>
      <c:catAx>
        <c:axId val="496308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6304480"/>
        <c:crosses val="autoZero"/>
        <c:auto val="1"/>
        <c:lblAlgn val="ctr"/>
        <c:lblOffset val="100"/>
        <c:tickLblSkip val="1"/>
        <c:tickMarkSkip val="1"/>
        <c:noMultiLvlLbl val="0"/>
      </c:catAx>
      <c:valAx>
        <c:axId val="49630448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6308400"/>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0B30-4F46-A974-7E32F9F33D11}"/>
            </c:ext>
          </c:extLst>
        </c:ser>
        <c:ser>
          <c:idx val="1"/>
          <c:order val="1"/>
          <c:tx>
            <c:strRef>
              <c:f>'2006 Sampling'!$AN$18</c:f>
              <c:strCache>
                <c:ptCount val="1"/>
              </c:strCache>
            </c:strRef>
          </c:tx>
          <c:spPr>
            <a:solidFill>
              <a:srgbClr val="FF00FF"/>
            </a:solidFill>
            <a:ln w="12700">
              <a:solidFill>
                <a:srgbClr val="FF00FF"/>
              </a:solidFill>
              <a:prstDash val="solid"/>
            </a:ln>
          </c:spPr>
          <c:invertIfNegative val="0"/>
          <c:cat>
            <c:numRef>
              <c:f>'2006 Sampling'!$AO$10:$BB$10</c:f>
              <c:numCache>
                <c:formatCode>General</c:formatCode>
                <c:ptCount val="14"/>
              </c:numCache>
            </c:numRef>
          </c:cat>
          <c:val>
            <c:numRef>
              <c:f>'2006 Sampling'!$AO$18:$BB$18</c:f>
              <c:numCache>
                <c:formatCode>General</c:formatCode>
                <c:ptCount val="14"/>
              </c:numCache>
            </c:numRef>
          </c:val>
          <c:extLst>
            <c:ext xmlns:c16="http://schemas.microsoft.com/office/drawing/2014/chart" uri="{C3380CC4-5D6E-409C-BE32-E72D297353CC}">
              <c16:uniqueId val="{00000001-0B30-4F46-A974-7E32F9F33D11}"/>
            </c:ext>
          </c:extLst>
        </c:ser>
        <c:ser>
          <c:idx val="2"/>
          <c:order val="2"/>
          <c:tx>
            <c:strRef>
              <c:f>'2006 Sampling'!$AN$19</c:f>
              <c:strCache>
                <c:ptCount val="1"/>
              </c:strCache>
            </c:strRef>
          </c:tx>
          <c:spPr>
            <a:solidFill>
              <a:srgbClr val="008000"/>
            </a:solidFill>
            <a:ln w="12700">
              <a:solidFill>
                <a:srgbClr val="008000"/>
              </a:solidFill>
              <a:prstDash val="solid"/>
            </a:ln>
          </c:spPr>
          <c:invertIfNegative val="0"/>
          <c:cat>
            <c:numRef>
              <c:f>'2006 Sampling'!$AO$10:$BB$10</c:f>
              <c:numCache>
                <c:formatCode>General</c:formatCode>
                <c:ptCount val="14"/>
              </c:numCache>
            </c:numRef>
          </c:cat>
          <c:val>
            <c:numRef>
              <c:f>'2006 Sampling'!$AO$19:$BB$19</c:f>
              <c:numCache>
                <c:formatCode>General</c:formatCode>
                <c:ptCount val="14"/>
              </c:numCache>
            </c:numRef>
          </c:val>
          <c:extLst>
            <c:ext xmlns:c16="http://schemas.microsoft.com/office/drawing/2014/chart" uri="{C3380CC4-5D6E-409C-BE32-E72D297353CC}">
              <c16:uniqueId val="{00000002-0B30-4F46-A974-7E32F9F33D11}"/>
            </c:ext>
          </c:extLst>
        </c:ser>
        <c:ser>
          <c:idx val="3"/>
          <c:order val="3"/>
          <c:tx>
            <c:strRef>
              <c:f>'2006 Sampling'!$AN$20</c:f>
              <c:strCache>
                <c:ptCount val="1"/>
              </c:strCache>
            </c:strRef>
          </c:tx>
          <c:spPr>
            <a:solidFill>
              <a:srgbClr val="000080"/>
            </a:solidFill>
            <a:ln w="12700">
              <a:solidFill>
                <a:srgbClr val="000080"/>
              </a:solidFill>
              <a:prstDash val="solid"/>
            </a:ln>
          </c:spPr>
          <c:invertIfNegative val="0"/>
          <c:cat>
            <c:numRef>
              <c:f>'2006 Sampling'!$AO$10:$BB$10</c:f>
              <c:numCache>
                <c:formatCode>General</c:formatCode>
                <c:ptCount val="14"/>
              </c:numCache>
            </c:numRef>
          </c:cat>
          <c:val>
            <c:numRef>
              <c:f>'2006 Sampling'!$AO$20:$BB$20</c:f>
              <c:numCache>
                <c:formatCode>General</c:formatCode>
                <c:ptCount val="14"/>
              </c:numCache>
            </c:numRef>
          </c:val>
          <c:extLst>
            <c:ext xmlns:c16="http://schemas.microsoft.com/office/drawing/2014/chart" uri="{C3380CC4-5D6E-409C-BE32-E72D297353CC}">
              <c16:uniqueId val="{00000003-0B30-4F46-A974-7E32F9F33D11}"/>
            </c:ext>
          </c:extLst>
        </c:ser>
        <c:ser>
          <c:idx val="4"/>
          <c:order val="4"/>
          <c:tx>
            <c:strRef>
              <c:f>'2006 Sampling'!$AN$21</c:f>
              <c:strCache>
                <c:ptCount val="1"/>
              </c:strCache>
            </c:strRef>
          </c:tx>
          <c:spPr>
            <a:solidFill>
              <a:srgbClr val="FF0000"/>
            </a:solidFill>
            <a:ln w="12700">
              <a:solidFill>
                <a:srgbClr val="FF0000"/>
              </a:solidFill>
              <a:prstDash val="solid"/>
            </a:ln>
          </c:spPr>
          <c:invertIfNegative val="0"/>
          <c:cat>
            <c:numRef>
              <c:f>'2006 Sampling'!$AO$10:$BB$10</c:f>
              <c:numCache>
                <c:formatCode>General</c:formatCode>
                <c:ptCount val="14"/>
              </c:numCache>
            </c:numRef>
          </c:cat>
          <c:val>
            <c:numRef>
              <c:f>'2006 Sampling'!$AO$21:$BB$21</c:f>
              <c:numCache>
                <c:formatCode>General</c:formatCode>
                <c:ptCount val="14"/>
              </c:numCache>
            </c:numRef>
          </c:val>
          <c:extLst>
            <c:ext xmlns:c16="http://schemas.microsoft.com/office/drawing/2014/chart" uri="{C3380CC4-5D6E-409C-BE32-E72D297353CC}">
              <c16:uniqueId val="{00000004-0B30-4F46-A974-7E32F9F33D11}"/>
            </c:ext>
          </c:extLst>
        </c:ser>
        <c:dLbls>
          <c:showLegendKey val="0"/>
          <c:showVal val="0"/>
          <c:showCatName val="0"/>
          <c:showSerName val="0"/>
          <c:showPercent val="0"/>
          <c:showBubbleSize val="0"/>
        </c:dLbls>
        <c:gapWidth val="150"/>
        <c:axId val="496308792"/>
        <c:axId val="496309184"/>
      </c:barChart>
      <c:catAx>
        <c:axId val="496308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6309184"/>
        <c:crosses val="autoZero"/>
        <c:auto val="1"/>
        <c:lblAlgn val="ctr"/>
        <c:lblOffset val="100"/>
        <c:tickLblSkip val="4"/>
        <c:tickMarkSkip val="1"/>
        <c:noMultiLvlLbl val="0"/>
      </c:catAx>
      <c:valAx>
        <c:axId val="496309184"/>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630879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6E98-41D9-9E0E-EB132DE7E915}"/>
            </c:ext>
          </c:extLst>
        </c:ser>
        <c:ser>
          <c:idx val="1"/>
          <c:order val="1"/>
          <c:tx>
            <c:strRef>
              <c:f>'2006 Sampling'!$AN$18</c:f>
              <c:strCache>
                <c:ptCount val="1"/>
              </c:strCache>
            </c:strRef>
          </c:tx>
          <c:spPr>
            <a:solidFill>
              <a:srgbClr val="FF00FF"/>
            </a:solidFill>
            <a:ln w="12700">
              <a:solidFill>
                <a:srgbClr val="FF00FF"/>
              </a:solidFill>
              <a:prstDash val="solid"/>
            </a:ln>
          </c:spPr>
          <c:invertIfNegative val="0"/>
          <c:val>
            <c:numRef>
              <c:f>'2006 Sampling'!$AO$18:$BB$18</c:f>
              <c:numCache>
                <c:formatCode>General</c:formatCode>
                <c:ptCount val="14"/>
              </c:numCache>
            </c:numRef>
          </c:val>
          <c:extLst>
            <c:ext xmlns:c16="http://schemas.microsoft.com/office/drawing/2014/chart" uri="{C3380CC4-5D6E-409C-BE32-E72D297353CC}">
              <c16:uniqueId val="{00000001-6E98-41D9-9E0E-EB132DE7E915}"/>
            </c:ext>
          </c:extLst>
        </c:ser>
        <c:ser>
          <c:idx val="2"/>
          <c:order val="2"/>
          <c:tx>
            <c:strRef>
              <c:f>'2006 Sampling'!$AN$19</c:f>
              <c:strCache>
                <c:ptCount val="1"/>
              </c:strCache>
            </c:strRef>
          </c:tx>
          <c:spPr>
            <a:solidFill>
              <a:srgbClr val="008000"/>
            </a:solidFill>
            <a:ln w="12700">
              <a:solidFill>
                <a:srgbClr val="008000"/>
              </a:solidFill>
              <a:prstDash val="solid"/>
            </a:ln>
          </c:spPr>
          <c:invertIfNegative val="0"/>
          <c:val>
            <c:numRef>
              <c:f>'2006 Sampling'!$AO$19:$BB$19</c:f>
              <c:numCache>
                <c:formatCode>General</c:formatCode>
                <c:ptCount val="14"/>
              </c:numCache>
            </c:numRef>
          </c:val>
          <c:extLst>
            <c:ext xmlns:c16="http://schemas.microsoft.com/office/drawing/2014/chart" uri="{C3380CC4-5D6E-409C-BE32-E72D297353CC}">
              <c16:uniqueId val="{00000002-6E98-41D9-9E0E-EB132DE7E915}"/>
            </c:ext>
          </c:extLst>
        </c:ser>
        <c:dLbls>
          <c:showLegendKey val="0"/>
          <c:showVal val="0"/>
          <c:showCatName val="0"/>
          <c:showSerName val="0"/>
          <c:showPercent val="0"/>
          <c:showBubbleSize val="0"/>
        </c:dLbls>
        <c:gapWidth val="150"/>
        <c:axId val="496671688"/>
        <c:axId val="496666200"/>
      </c:barChart>
      <c:catAx>
        <c:axId val="49667168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6666200"/>
        <c:crosses val="autoZero"/>
        <c:auto val="1"/>
        <c:lblAlgn val="ctr"/>
        <c:lblOffset val="100"/>
        <c:tickLblSkip val="2"/>
        <c:tickMarkSkip val="1"/>
        <c:noMultiLvlLbl val="0"/>
      </c:catAx>
      <c:valAx>
        <c:axId val="49666620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667168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0-54E0-4703-90E9-97BC0BDB43E7}"/>
            </c:ext>
          </c:extLst>
        </c:ser>
        <c:ser>
          <c:idx val="1"/>
          <c:order val="1"/>
          <c:tx>
            <c:strRef>
              <c:f>'2006 Sampling'!$BC$31</c:f>
              <c:strCache>
                <c:ptCount val="1"/>
              </c:strCache>
            </c:strRef>
          </c:tx>
          <c:spPr>
            <a:solidFill>
              <a:srgbClr val="FF00FF"/>
            </a:solidFill>
            <a:ln w="12700">
              <a:solidFill>
                <a:srgbClr val="FF00FF"/>
              </a:solidFill>
              <a:prstDash val="solid"/>
            </a:ln>
          </c:spPr>
          <c:invertIfNegative val="0"/>
          <c:val>
            <c:numRef>
              <c:f>'2006 Sampling'!$BD$31:$BQ$31</c:f>
              <c:numCache>
                <c:formatCode>General</c:formatCode>
                <c:ptCount val="14"/>
              </c:numCache>
            </c:numRef>
          </c:val>
          <c:extLst>
            <c:ext xmlns:c16="http://schemas.microsoft.com/office/drawing/2014/chart" uri="{C3380CC4-5D6E-409C-BE32-E72D297353CC}">
              <c16:uniqueId val="{00000001-54E0-4703-90E9-97BC0BDB43E7}"/>
            </c:ext>
          </c:extLst>
        </c:ser>
        <c:ser>
          <c:idx val="2"/>
          <c:order val="2"/>
          <c:tx>
            <c:strRef>
              <c:f>'2006 Sampling'!$BC$32</c:f>
              <c:strCache>
                <c:ptCount val="1"/>
              </c:strCache>
            </c:strRef>
          </c:tx>
          <c:spPr>
            <a:solidFill>
              <a:srgbClr val="008000"/>
            </a:solidFill>
            <a:ln w="12700">
              <a:solidFill>
                <a:srgbClr val="008000"/>
              </a:solidFill>
              <a:prstDash val="solid"/>
            </a:ln>
          </c:spPr>
          <c:invertIfNegative val="0"/>
          <c:val>
            <c:numRef>
              <c:f>'2006 Sampling'!$BD$32:$BQ$32</c:f>
              <c:numCache>
                <c:formatCode>General</c:formatCode>
                <c:ptCount val="14"/>
              </c:numCache>
            </c:numRef>
          </c:val>
          <c:extLst>
            <c:ext xmlns:c16="http://schemas.microsoft.com/office/drawing/2014/chart" uri="{C3380CC4-5D6E-409C-BE32-E72D297353CC}">
              <c16:uniqueId val="{00000002-54E0-4703-90E9-97BC0BDB43E7}"/>
            </c:ext>
          </c:extLst>
        </c:ser>
        <c:ser>
          <c:idx val="3"/>
          <c:order val="3"/>
          <c:tx>
            <c:strRef>
              <c:f>'2006 Sampling'!$BC$34</c:f>
              <c:strCache>
                <c:ptCount val="1"/>
              </c:strCache>
            </c:strRef>
          </c:tx>
          <c:spPr>
            <a:solidFill>
              <a:srgbClr val="000080"/>
            </a:solidFill>
            <a:ln w="12700">
              <a:solidFill>
                <a:srgbClr val="000080"/>
              </a:solidFill>
              <a:prstDash val="solid"/>
            </a:ln>
          </c:spPr>
          <c:invertIfNegative val="0"/>
          <c:val>
            <c:numRef>
              <c:f>'2006 Sampling'!$BD$34:$BQ$34</c:f>
              <c:numCache>
                <c:formatCode>General</c:formatCode>
                <c:ptCount val="14"/>
              </c:numCache>
            </c:numRef>
          </c:val>
          <c:extLst>
            <c:ext xmlns:c16="http://schemas.microsoft.com/office/drawing/2014/chart" uri="{C3380CC4-5D6E-409C-BE32-E72D297353CC}">
              <c16:uniqueId val="{00000003-54E0-4703-90E9-97BC0BDB43E7}"/>
            </c:ext>
          </c:extLst>
        </c:ser>
        <c:ser>
          <c:idx val="4"/>
          <c:order val="4"/>
          <c:tx>
            <c:strRef>
              <c:f>'2006 Sampling'!$BC$35</c:f>
              <c:strCache>
                <c:ptCount val="1"/>
              </c:strCache>
            </c:strRef>
          </c:tx>
          <c:spPr>
            <a:solidFill>
              <a:srgbClr val="FF0000"/>
            </a:solidFill>
            <a:ln w="12700">
              <a:solidFill>
                <a:srgbClr val="FF0000"/>
              </a:solidFill>
              <a:prstDash val="solid"/>
            </a:ln>
          </c:spPr>
          <c:invertIfNegative val="0"/>
          <c:val>
            <c:numRef>
              <c:f>'2006 Sampling'!$BD$35:$BQ$35</c:f>
              <c:numCache>
                <c:formatCode>General</c:formatCode>
                <c:ptCount val="14"/>
              </c:numCache>
            </c:numRef>
          </c:val>
          <c:extLst>
            <c:ext xmlns:c16="http://schemas.microsoft.com/office/drawing/2014/chart" uri="{C3380CC4-5D6E-409C-BE32-E72D297353CC}">
              <c16:uniqueId val="{00000004-54E0-4703-90E9-97BC0BDB43E7}"/>
            </c:ext>
          </c:extLst>
        </c:ser>
        <c:dLbls>
          <c:showLegendKey val="0"/>
          <c:showVal val="0"/>
          <c:showCatName val="0"/>
          <c:showSerName val="0"/>
          <c:showPercent val="0"/>
          <c:showBubbleSize val="0"/>
        </c:dLbls>
        <c:gapWidth val="75"/>
        <c:axId val="496665808"/>
        <c:axId val="496675608"/>
      </c:barChart>
      <c:catAx>
        <c:axId val="496665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6675608"/>
        <c:crosses val="autoZero"/>
        <c:auto val="1"/>
        <c:lblAlgn val="ctr"/>
        <c:lblOffset val="100"/>
        <c:tickLblSkip val="2"/>
        <c:tickMarkSkip val="1"/>
        <c:noMultiLvlLbl val="0"/>
      </c:catAx>
      <c:valAx>
        <c:axId val="49667560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666580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Sampling'!$BI$2</c:f>
              <c:strCache>
                <c:ptCount val="1"/>
              </c:strCache>
            </c:strRef>
          </c:tx>
          <c:spPr>
            <a:solidFill>
              <a:srgbClr val="0000FF"/>
            </a:solidFill>
            <a:ln w="12700">
              <a:solidFill>
                <a:srgbClr val="0000FF"/>
              </a:solidFill>
              <a:prstDash val="solid"/>
            </a:ln>
          </c:spPr>
          <c:invertIfNegative val="0"/>
          <c:cat>
            <c:numRef>
              <c:f>'2006 Sampling'!$BH$3:$BH$8</c:f>
              <c:numCache>
                <c:formatCode>General</c:formatCode>
                <c:ptCount val="6"/>
              </c:numCache>
            </c:numRef>
          </c:cat>
          <c:val>
            <c:numRef>
              <c:f>'2006 Sampling'!$BI$3:$BI$8</c:f>
              <c:numCache>
                <c:formatCode>General</c:formatCode>
                <c:ptCount val="6"/>
              </c:numCache>
            </c:numRef>
          </c:val>
          <c:extLst>
            <c:ext xmlns:c16="http://schemas.microsoft.com/office/drawing/2014/chart" uri="{C3380CC4-5D6E-409C-BE32-E72D297353CC}">
              <c16:uniqueId val="{00000000-1D75-435B-981F-A08282980583}"/>
            </c:ext>
          </c:extLst>
        </c:ser>
        <c:ser>
          <c:idx val="1"/>
          <c:order val="1"/>
          <c:tx>
            <c:strRef>
              <c:f>'2006 Sampling'!$BJ$2</c:f>
              <c:strCache>
                <c:ptCount val="1"/>
              </c:strCache>
            </c:strRef>
          </c:tx>
          <c:spPr>
            <a:solidFill>
              <a:srgbClr val="FF0000"/>
            </a:solidFill>
            <a:ln w="12700">
              <a:solidFill>
                <a:srgbClr val="FF0000"/>
              </a:solidFill>
              <a:prstDash val="solid"/>
            </a:ln>
          </c:spPr>
          <c:invertIfNegative val="0"/>
          <c:val>
            <c:numRef>
              <c:f>'2006 Sampling'!$BJ$3:$BJ$8</c:f>
              <c:numCache>
                <c:formatCode>General</c:formatCode>
                <c:ptCount val="6"/>
              </c:numCache>
            </c:numRef>
          </c:val>
          <c:extLst>
            <c:ext xmlns:c16="http://schemas.microsoft.com/office/drawing/2014/chart" uri="{C3380CC4-5D6E-409C-BE32-E72D297353CC}">
              <c16:uniqueId val="{00000001-1D75-435B-981F-A08282980583}"/>
            </c:ext>
          </c:extLst>
        </c:ser>
        <c:dLbls>
          <c:showLegendKey val="0"/>
          <c:showVal val="0"/>
          <c:showCatName val="0"/>
          <c:showSerName val="0"/>
          <c:showPercent val="0"/>
          <c:showBubbleSize val="0"/>
        </c:dLbls>
        <c:gapWidth val="150"/>
        <c:axId val="496667376"/>
        <c:axId val="496666592"/>
      </c:barChart>
      <c:catAx>
        <c:axId val="4966673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6666592"/>
        <c:crosses val="autoZero"/>
        <c:auto val="1"/>
        <c:lblAlgn val="ctr"/>
        <c:lblOffset val="100"/>
        <c:tickLblSkip val="1"/>
        <c:tickMarkSkip val="1"/>
        <c:noMultiLvlLbl val="0"/>
      </c:catAx>
      <c:valAx>
        <c:axId val="49666659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6667376"/>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 b="0" i="0" u="none" strike="noStrike" baseline="0">
              <a:solidFill>
                <a:srgbClr val="000000"/>
              </a:solidFill>
              <a:latin typeface="Arial"/>
              <a:ea typeface="Arial"/>
              <a:cs typeface="Arial"/>
            </a:defRPr>
          </a:pPr>
          <a:endParaRPr lang="en-US"/>
        </a:p>
      </c:txPr>
    </c:title>
    <c:autoTitleDeleted val="0"/>
    <c:plotArea>
      <c:layout/>
      <c:barChart>
        <c:barDir val="col"/>
        <c:grouping val="clustered"/>
        <c:varyColors val="0"/>
        <c:ser>
          <c:idx val="0"/>
          <c:order val="0"/>
          <c:tx>
            <c:strRef>
              <c:f>'2006 Sampling'!$BR$27</c:f>
              <c:strCache>
                <c:ptCount val="1"/>
              </c:strCache>
            </c:strRef>
          </c:tx>
          <c:spPr>
            <a:solidFill>
              <a:srgbClr val="0000FF"/>
            </a:solidFill>
            <a:ln w="12700">
              <a:solidFill>
                <a:srgbClr val="0000FF"/>
              </a:solidFill>
              <a:prstDash val="solid"/>
            </a:ln>
          </c:spPr>
          <c:invertIfNegative val="0"/>
          <c:cat>
            <c:numRef>
              <c:f>'2006 Sampling'!$BC$29:$BC$35</c:f>
              <c:numCache>
                <c:formatCode>General</c:formatCode>
                <c:ptCount val="7"/>
              </c:numCache>
            </c:numRef>
          </c:cat>
          <c:val>
            <c:numRef>
              <c:f>'2006 Sampling'!$BR$29:$BR$35</c:f>
              <c:numCache>
                <c:formatCode>General</c:formatCode>
                <c:ptCount val="7"/>
              </c:numCache>
            </c:numRef>
          </c:val>
          <c:extLst>
            <c:ext xmlns:c16="http://schemas.microsoft.com/office/drawing/2014/chart" uri="{C3380CC4-5D6E-409C-BE32-E72D297353CC}">
              <c16:uniqueId val="{00000000-EC84-4158-8F82-898B2426BEF1}"/>
            </c:ext>
          </c:extLst>
        </c:ser>
        <c:dLbls>
          <c:showLegendKey val="0"/>
          <c:showVal val="0"/>
          <c:showCatName val="0"/>
          <c:showSerName val="0"/>
          <c:showPercent val="0"/>
          <c:showBubbleSize val="0"/>
        </c:dLbls>
        <c:gapWidth val="150"/>
        <c:axId val="496672472"/>
        <c:axId val="496670904"/>
      </c:barChart>
      <c:catAx>
        <c:axId val="4966724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6670904"/>
        <c:crosses val="autoZero"/>
        <c:auto val="1"/>
        <c:lblAlgn val="ctr"/>
        <c:lblOffset val="100"/>
        <c:tickLblSkip val="1"/>
        <c:tickMarkSkip val="1"/>
        <c:noMultiLvlLbl val="0"/>
      </c:catAx>
      <c:valAx>
        <c:axId val="49667090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966724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171745402832694"/>
          <c:y val="5.4237377908795535E-2"/>
          <c:w val="0.82155017221395632"/>
          <c:h val="0.75254361848453799"/>
        </c:manualLayout>
      </c:layout>
      <c:barChart>
        <c:barDir val="col"/>
        <c:grouping val="clustered"/>
        <c:varyColors val="0"/>
        <c:ser>
          <c:idx val="0"/>
          <c:order val="0"/>
          <c:tx>
            <c:v>Marked Catch</c:v>
          </c:tx>
          <c:spPr>
            <a:solidFill>
              <a:srgbClr val="9999FF"/>
            </a:solidFill>
            <a:ln w="12700">
              <a:solidFill>
                <a:srgbClr val="000000"/>
              </a:solidFill>
              <a:prstDash val="solid"/>
            </a:ln>
          </c:spPr>
          <c:invertIfNegative val="0"/>
          <c:cat>
            <c:numRef>
              <c:f>'Catch Summary by week and zone'!$A$5:$A$18</c:f>
              <c:numCache>
                <c:formatCode>General</c:formatCode>
                <c:ptCount val="14"/>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numCache>
            </c:numRef>
          </c:cat>
          <c:val>
            <c:numRef>
              <c:f>'Catch Summary by week and zone'!$P$5:$P$18</c:f>
              <c:numCache>
                <c:formatCode>#,##0</c:formatCode>
                <c:ptCount val="14"/>
                <c:pt idx="0">
                  <c:v>56.553045874284791</c:v>
                </c:pt>
                <c:pt idx="1">
                  <c:v>42.778763445181127</c:v>
                </c:pt>
                <c:pt idx="2">
                  <c:v>118.49915648924537</c:v>
                </c:pt>
                <c:pt idx="3">
                  <c:v>91.332394054308423</c:v>
                </c:pt>
                <c:pt idx="4">
                  <c:v>0</c:v>
                </c:pt>
                <c:pt idx="5">
                  <c:v>0</c:v>
                </c:pt>
                <c:pt idx="6">
                  <c:v>18369.823626805795</c:v>
                </c:pt>
                <c:pt idx="7">
                  <c:v>18902.585017546149</c:v>
                </c:pt>
                <c:pt idx="8">
                  <c:v>23701.907787534037</c:v>
                </c:pt>
                <c:pt idx="9">
                  <c:v>12471.472805993111</c:v>
                </c:pt>
                <c:pt idx="10">
                  <c:v>27809.680475719491</c:v>
                </c:pt>
                <c:pt idx="11">
                  <c:v>11959.379647642623</c:v>
                </c:pt>
                <c:pt idx="12">
                  <c:v>3141.4259638298959</c:v>
                </c:pt>
                <c:pt idx="13">
                  <c:v>52.344642596872596</c:v>
                </c:pt>
              </c:numCache>
            </c:numRef>
          </c:val>
          <c:extLst>
            <c:ext xmlns:c16="http://schemas.microsoft.com/office/drawing/2014/chart" uri="{C3380CC4-5D6E-409C-BE32-E72D297353CC}">
              <c16:uniqueId val="{00000000-BFB9-4999-84C0-F8061666BF30}"/>
            </c:ext>
          </c:extLst>
        </c:ser>
        <c:ser>
          <c:idx val="1"/>
          <c:order val="1"/>
          <c:tx>
            <c:v>Unmarked Catch</c:v>
          </c:tx>
          <c:spPr>
            <a:solidFill>
              <a:srgbClr val="993366"/>
            </a:solidFill>
            <a:ln w="12700">
              <a:solidFill>
                <a:srgbClr val="000000"/>
              </a:solidFill>
              <a:prstDash val="solid"/>
            </a:ln>
          </c:spPr>
          <c:invertIfNegative val="0"/>
          <c:val>
            <c:numRef>
              <c:f>'Catch Summary by week and zone'!$Q$5:$Q$18</c:f>
              <c:numCache>
                <c:formatCode>#,##0</c:formatCode>
                <c:ptCount val="14"/>
                <c:pt idx="0">
                  <c:v>4.6469541257152107</c:v>
                </c:pt>
                <c:pt idx="1">
                  <c:v>5.8212365548188734</c:v>
                </c:pt>
                <c:pt idx="2">
                  <c:v>18.300843510754643</c:v>
                </c:pt>
                <c:pt idx="3">
                  <c:v>19.867605945691587</c:v>
                </c:pt>
                <c:pt idx="4">
                  <c:v>0</c:v>
                </c:pt>
                <c:pt idx="5">
                  <c:v>0</c:v>
                </c:pt>
                <c:pt idx="6">
                  <c:v>2670.9763731942053</c:v>
                </c:pt>
                <c:pt idx="7">
                  <c:v>3718.014982453848</c:v>
                </c:pt>
                <c:pt idx="8">
                  <c:v>5107.6922124659623</c:v>
                </c:pt>
                <c:pt idx="9">
                  <c:v>3536.7271940068886</c:v>
                </c:pt>
                <c:pt idx="10">
                  <c:v>4190.7195242805101</c:v>
                </c:pt>
                <c:pt idx="11">
                  <c:v>1786.4203523573754</c:v>
                </c:pt>
                <c:pt idx="12">
                  <c:v>453.97403617010411</c:v>
                </c:pt>
                <c:pt idx="13">
                  <c:v>3.8553574031274067</c:v>
                </c:pt>
              </c:numCache>
            </c:numRef>
          </c:val>
          <c:extLst>
            <c:ext xmlns:c16="http://schemas.microsoft.com/office/drawing/2014/chart" uri="{C3380CC4-5D6E-409C-BE32-E72D297353CC}">
              <c16:uniqueId val="{00000001-BFB9-4999-84C0-F8061666BF30}"/>
            </c:ext>
          </c:extLst>
        </c:ser>
        <c:dLbls>
          <c:showLegendKey val="0"/>
          <c:showVal val="0"/>
          <c:showCatName val="0"/>
          <c:showSerName val="0"/>
          <c:showPercent val="0"/>
          <c:showBubbleSize val="0"/>
        </c:dLbls>
        <c:gapWidth val="150"/>
        <c:axId val="496673648"/>
        <c:axId val="496668552"/>
      </c:barChart>
      <c:catAx>
        <c:axId val="496673648"/>
        <c:scaling>
          <c:orientation val="minMax"/>
        </c:scaling>
        <c:delete val="0"/>
        <c:axPos val="b"/>
        <c:title>
          <c:tx>
            <c:rich>
              <a:bodyPr/>
              <a:lstStyle/>
              <a:p>
                <a:pPr>
                  <a:defRPr sz="925" b="0" i="0" u="none" strike="noStrike" baseline="0">
                    <a:solidFill>
                      <a:srgbClr val="000000"/>
                    </a:solidFill>
                    <a:latin typeface="Arial"/>
                    <a:ea typeface="Arial"/>
                    <a:cs typeface="Arial"/>
                  </a:defRPr>
                </a:pPr>
                <a:r>
                  <a:t>Statistical Week</a:t>
                </a:r>
              </a:p>
            </c:rich>
          </c:tx>
          <c:layout>
            <c:manualLayout>
              <c:xMode val="edge"/>
              <c:yMode val="edge"/>
              <c:x val="0.50673489046192466"/>
              <c:y val="0.9084759998220560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496668552"/>
        <c:crosses val="autoZero"/>
        <c:auto val="1"/>
        <c:lblAlgn val="ctr"/>
        <c:lblOffset val="100"/>
        <c:tickLblSkip val="1"/>
        <c:tickMarkSkip val="1"/>
        <c:noMultiLvlLbl val="0"/>
      </c:catAx>
      <c:valAx>
        <c:axId val="496668552"/>
        <c:scaling>
          <c:orientation val="minMax"/>
        </c:scaling>
        <c:delete val="0"/>
        <c:axPos val="l"/>
        <c:title>
          <c:tx>
            <c:rich>
              <a:bodyPr/>
              <a:lstStyle/>
              <a:p>
                <a:pPr>
                  <a:defRPr sz="925" b="0" i="0" u="none" strike="noStrike" baseline="0">
                    <a:solidFill>
                      <a:srgbClr val="000000"/>
                    </a:solidFill>
                    <a:latin typeface="Arial"/>
                    <a:ea typeface="Arial"/>
                    <a:cs typeface="Arial"/>
                  </a:defRPr>
                </a:pPr>
                <a:r>
                  <a:t>Number of Coho Caught</a:t>
                </a:r>
              </a:p>
            </c:rich>
          </c:tx>
          <c:layout>
            <c:manualLayout>
              <c:xMode val="edge"/>
              <c:yMode val="edge"/>
              <c:x val="5.0505050505050504E-2"/>
              <c:y val="0.19661052537924284"/>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496673648"/>
        <c:crosses val="autoZero"/>
        <c:crossBetween val="between"/>
      </c:valAx>
      <c:spPr>
        <a:noFill/>
        <a:ln w="3175">
          <a:solidFill>
            <a:srgbClr val="000000"/>
          </a:solidFill>
          <a:prstDash val="solid"/>
        </a:ln>
      </c:spPr>
    </c:plotArea>
    <c:legend>
      <c:legendPos val="r"/>
      <c:layout>
        <c:manualLayout>
          <c:xMode val="edge"/>
          <c:yMode val="edge"/>
          <c:wMode val="edge"/>
          <c:hMode val="edge"/>
          <c:x val="0.1649835184743321"/>
          <c:y val="4.7457627118644069E-2"/>
          <c:w val="0.35521956220118944"/>
          <c:h val="0.18644103385381913"/>
        </c:manualLayout>
      </c:layout>
      <c:overlay val="0"/>
      <c:spPr>
        <a:solidFill>
          <a:srgbClr val="FFFFFF"/>
        </a:solidFill>
        <a:ln w="3175">
          <a:solidFill>
            <a:srgbClr val="000000"/>
          </a:solidFill>
          <a:prstDash val="solid"/>
        </a:ln>
      </c:spPr>
      <c:txPr>
        <a:bodyPr/>
        <a:lstStyle/>
        <a:p>
          <a:pPr>
            <a:defRPr sz="7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92651757188496E-2"/>
          <c:y val="7.7319684932351571E-2"/>
          <c:w val="0.84025559105431313"/>
          <c:h val="0.84020724293155369"/>
        </c:manualLayout>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FFE2-4FBF-9393-5613C5CE9544}"/>
            </c:ext>
          </c:extLst>
        </c:ser>
        <c:ser>
          <c:idx val="1"/>
          <c:order val="1"/>
          <c:tx>
            <c:strRef>
              <c:f>'2006 Sampling'!$AN$18</c:f>
              <c:strCache>
                <c:ptCount val="1"/>
              </c:strCache>
            </c:strRef>
          </c:tx>
          <c:spPr>
            <a:solidFill>
              <a:srgbClr val="FF00FF"/>
            </a:solidFill>
            <a:ln w="12700">
              <a:solidFill>
                <a:srgbClr val="FF00FF"/>
              </a:solidFill>
              <a:prstDash val="solid"/>
            </a:ln>
          </c:spPr>
          <c:invertIfNegative val="0"/>
          <c:cat>
            <c:numRef>
              <c:f>'2006 Sampling'!$AO$10:$BB$10</c:f>
              <c:numCache>
                <c:formatCode>General</c:formatCode>
                <c:ptCount val="14"/>
              </c:numCache>
            </c:numRef>
          </c:cat>
          <c:val>
            <c:numRef>
              <c:f>'2006 Sampling'!$AO$18:$BB$18</c:f>
              <c:numCache>
                <c:formatCode>General</c:formatCode>
                <c:ptCount val="14"/>
              </c:numCache>
            </c:numRef>
          </c:val>
          <c:extLst>
            <c:ext xmlns:c16="http://schemas.microsoft.com/office/drawing/2014/chart" uri="{C3380CC4-5D6E-409C-BE32-E72D297353CC}">
              <c16:uniqueId val="{00000001-FFE2-4FBF-9393-5613C5CE9544}"/>
            </c:ext>
          </c:extLst>
        </c:ser>
        <c:ser>
          <c:idx val="2"/>
          <c:order val="2"/>
          <c:tx>
            <c:strRef>
              <c:f>'2006 Sampling'!$AN$19</c:f>
              <c:strCache>
                <c:ptCount val="1"/>
              </c:strCache>
            </c:strRef>
          </c:tx>
          <c:spPr>
            <a:solidFill>
              <a:srgbClr val="008000"/>
            </a:solidFill>
            <a:ln w="12700">
              <a:solidFill>
                <a:srgbClr val="008000"/>
              </a:solidFill>
              <a:prstDash val="solid"/>
            </a:ln>
          </c:spPr>
          <c:invertIfNegative val="0"/>
          <c:cat>
            <c:numRef>
              <c:f>'2006 Sampling'!$AO$10:$BB$10</c:f>
              <c:numCache>
                <c:formatCode>General</c:formatCode>
                <c:ptCount val="14"/>
              </c:numCache>
            </c:numRef>
          </c:cat>
          <c:val>
            <c:numRef>
              <c:f>'2006 Sampling'!$AO$19:$BB$19</c:f>
              <c:numCache>
                <c:formatCode>General</c:formatCode>
                <c:ptCount val="14"/>
              </c:numCache>
            </c:numRef>
          </c:val>
          <c:extLst>
            <c:ext xmlns:c16="http://schemas.microsoft.com/office/drawing/2014/chart" uri="{C3380CC4-5D6E-409C-BE32-E72D297353CC}">
              <c16:uniqueId val="{00000002-FFE2-4FBF-9393-5613C5CE9544}"/>
            </c:ext>
          </c:extLst>
        </c:ser>
        <c:ser>
          <c:idx val="3"/>
          <c:order val="3"/>
          <c:tx>
            <c:strRef>
              <c:f>'2006 Sampling'!$AN$20</c:f>
              <c:strCache>
                <c:ptCount val="1"/>
              </c:strCache>
            </c:strRef>
          </c:tx>
          <c:spPr>
            <a:solidFill>
              <a:srgbClr val="000080"/>
            </a:solidFill>
            <a:ln w="12700">
              <a:solidFill>
                <a:srgbClr val="000080"/>
              </a:solidFill>
              <a:prstDash val="solid"/>
            </a:ln>
          </c:spPr>
          <c:invertIfNegative val="0"/>
          <c:cat>
            <c:numRef>
              <c:f>'2006 Sampling'!$AO$10:$BB$10</c:f>
              <c:numCache>
                <c:formatCode>General</c:formatCode>
                <c:ptCount val="14"/>
              </c:numCache>
            </c:numRef>
          </c:cat>
          <c:val>
            <c:numRef>
              <c:f>'2006 Sampling'!$AO$20:$BB$20</c:f>
              <c:numCache>
                <c:formatCode>General</c:formatCode>
                <c:ptCount val="14"/>
              </c:numCache>
            </c:numRef>
          </c:val>
          <c:extLst>
            <c:ext xmlns:c16="http://schemas.microsoft.com/office/drawing/2014/chart" uri="{C3380CC4-5D6E-409C-BE32-E72D297353CC}">
              <c16:uniqueId val="{00000003-FFE2-4FBF-9393-5613C5CE9544}"/>
            </c:ext>
          </c:extLst>
        </c:ser>
        <c:ser>
          <c:idx val="4"/>
          <c:order val="4"/>
          <c:tx>
            <c:strRef>
              <c:f>'2006 Sampling'!$AN$21</c:f>
              <c:strCache>
                <c:ptCount val="1"/>
              </c:strCache>
            </c:strRef>
          </c:tx>
          <c:spPr>
            <a:solidFill>
              <a:srgbClr val="FF0000"/>
            </a:solidFill>
            <a:ln w="12700">
              <a:solidFill>
                <a:srgbClr val="FF0000"/>
              </a:solidFill>
              <a:prstDash val="solid"/>
            </a:ln>
          </c:spPr>
          <c:invertIfNegative val="0"/>
          <c:cat>
            <c:numRef>
              <c:f>'2006 Sampling'!$AO$10:$BB$10</c:f>
              <c:numCache>
                <c:formatCode>General</c:formatCode>
                <c:ptCount val="14"/>
              </c:numCache>
            </c:numRef>
          </c:cat>
          <c:val>
            <c:numRef>
              <c:f>'2006 Sampling'!$AO$21:$BB$21</c:f>
              <c:numCache>
                <c:formatCode>General</c:formatCode>
                <c:ptCount val="14"/>
              </c:numCache>
            </c:numRef>
          </c:val>
          <c:extLst>
            <c:ext xmlns:c16="http://schemas.microsoft.com/office/drawing/2014/chart" uri="{C3380CC4-5D6E-409C-BE32-E72D297353CC}">
              <c16:uniqueId val="{00000004-FFE2-4FBF-9393-5613C5CE9544}"/>
            </c:ext>
          </c:extLst>
        </c:ser>
        <c:dLbls>
          <c:showLegendKey val="0"/>
          <c:showVal val="0"/>
          <c:showCatName val="0"/>
          <c:showSerName val="0"/>
          <c:showPercent val="0"/>
          <c:showBubbleSize val="0"/>
        </c:dLbls>
        <c:gapWidth val="150"/>
        <c:axId val="496674040"/>
        <c:axId val="496676392"/>
      </c:barChart>
      <c:catAx>
        <c:axId val="4966740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96676392"/>
        <c:crosses val="autoZero"/>
        <c:auto val="1"/>
        <c:lblAlgn val="ctr"/>
        <c:lblOffset val="100"/>
        <c:tickLblSkip val="1"/>
        <c:tickMarkSkip val="1"/>
        <c:noMultiLvlLbl val="0"/>
      </c:catAx>
      <c:valAx>
        <c:axId val="49667639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96674040"/>
        <c:crosses val="autoZero"/>
        <c:crossBetween val="between"/>
      </c:valAx>
      <c:spPr>
        <a:noFill/>
        <a:ln w="25400">
          <a:noFill/>
        </a:ln>
      </c:spPr>
    </c:plotArea>
    <c:legend>
      <c:legendPos val="r"/>
      <c:layout>
        <c:manualLayout>
          <c:xMode val="edge"/>
          <c:yMode val="edge"/>
          <c:wMode val="edge"/>
          <c:hMode val="edge"/>
          <c:x val="0.92971246006389774"/>
          <c:y val="0.2835055247723664"/>
          <c:w val="0.98722044728434499"/>
          <c:h val="0.65721732931531707"/>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23529411764705E-2"/>
          <c:y val="8.8235575710962105E-2"/>
          <c:w val="0.87440381558028613"/>
          <c:h val="0.81372808711220612"/>
        </c:manualLayout>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82AB-40D2-B845-C956EBBFB70B}"/>
            </c:ext>
          </c:extLst>
        </c:ser>
        <c:ser>
          <c:idx val="1"/>
          <c:order val="1"/>
          <c:tx>
            <c:strRef>
              <c:f>'2006 Sampling'!$AN$18</c:f>
              <c:strCache>
                <c:ptCount val="1"/>
              </c:strCache>
            </c:strRef>
          </c:tx>
          <c:spPr>
            <a:solidFill>
              <a:srgbClr val="FF00FF"/>
            </a:solidFill>
            <a:ln w="12700">
              <a:solidFill>
                <a:srgbClr val="FF00FF"/>
              </a:solidFill>
              <a:prstDash val="solid"/>
            </a:ln>
          </c:spPr>
          <c:invertIfNegative val="0"/>
          <c:val>
            <c:numRef>
              <c:f>'2006 Sampling'!$AO$18:$BB$18</c:f>
              <c:numCache>
                <c:formatCode>General</c:formatCode>
                <c:ptCount val="14"/>
              </c:numCache>
            </c:numRef>
          </c:val>
          <c:extLst>
            <c:ext xmlns:c16="http://schemas.microsoft.com/office/drawing/2014/chart" uri="{C3380CC4-5D6E-409C-BE32-E72D297353CC}">
              <c16:uniqueId val="{00000001-82AB-40D2-B845-C956EBBFB70B}"/>
            </c:ext>
          </c:extLst>
        </c:ser>
        <c:ser>
          <c:idx val="2"/>
          <c:order val="2"/>
          <c:tx>
            <c:strRef>
              <c:f>'2006 Sampling'!$AN$19</c:f>
              <c:strCache>
                <c:ptCount val="1"/>
              </c:strCache>
            </c:strRef>
          </c:tx>
          <c:spPr>
            <a:solidFill>
              <a:srgbClr val="008000"/>
            </a:solidFill>
            <a:ln w="12700">
              <a:solidFill>
                <a:srgbClr val="008000"/>
              </a:solidFill>
              <a:prstDash val="solid"/>
            </a:ln>
          </c:spPr>
          <c:invertIfNegative val="0"/>
          <c:val>
            <c:numRef>
              <c:f>'2006 Sampling'!$AO$19:$BB$19</c:f>
              <c:numCache>
                <c:formatCode>General</c:formatCode>
                <c:ptCount val="14"/>
              </c:numCache>
            </c:numRef>
          </c:val>
          <c:extLst>
            <c:ext xmlns:c16="http://schemas.microsoft.com/office/drawing/2014/chart" uri="{C3380CC4-5D6E-409C-BE32-E72D297353CC}">
              <c16:uniqueId val="{00000002-82AB-40D2-B845-C956EBBFB70B}"/>
            </c:ext>
          </c:extLst>
        </c:ser>
        <c:dLbls>
          <c:showLegendKey val="0"/>
          <c:showVal val="0"/>
          <c:showCatName val="0"/>
          <c:showSerName val="0"/>
          <c:showPercent val="0"/>
          <c:showBubbleSize val="0"/>
        </c:dLbls>
        <c:gapWidth val="150"/>
        <c:axId val="496668944"/>
        <c:axId val="496669336"/>
      </c:barChart>
      <c:catAx>
        <c:axId val="496668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496669336"/>
        <c:crosses val="autoZero"/>
        <c:auto val="1"/>
        <c:lblAlgn val="ctr"/>
        <c:lblOffset val="100"/>
        <c:tickLblSkip val="1"/>
        <c:tickMarkSkip val="1"/>
        <c:noMultiLvlLbl val="0"/>
      </c:catAx>
      <c:valAx>
        <c:axId val="4966693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496668944"/>
        <c:crosses val="autoZero"/>
        <c:crossBetween val="between"/>
      </c:valAx>
      <c:spPr>
        <a:noFill/>
        <a:ln w="25400">
          <a:noFill/>
        </a:ln>
      </c:spPr>
    </c:plotArea>
    <c:legend>
      <c:legendPos val="r"/>
      <c:layout>
        <c:manualLayout>
          <c:xMode val="edge"/>
          <c:yMode val="edge"/>
          <c:wMode val="edge"/>
          <c:hMode val="edge"/>
          <c:x val="0.9507154213036566"/>
          <c:y val="0.38562228741015214"/>
          <c:w val="0.9872813990461049"/>
          <c:h val="0.60457722196490138"/>
        </c:manualLayout>
      </c:layout>
      <c:overlay val="0"/>
      <c:spPr>
        <a:solidFill>
          <a:srgbClr val="FFFFFF"/>
        </a:solidFill>
        <a:ln w="3175">
          <a:solidFill>
            <a:srgbClr val="000000"/>
          </a:solidFill>
          <a:prstDash val="solid"/>
        </a:ln>
      </c:spPr>
      <c:txPr>
        <a:bodyPr/>
        <a:lstStyle/>
        <a:p>
          <a:pPr>
            <a:defRPr sz="8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391491208996148E-2"/>
          <c:y val="8.860773185282933E-2"/>
          <c:w val="0.86529385500279732"/>
          <c:h val="0.81645695778678451"/>
        </c:manualLayout>
      </c:layout>
      <c:barChart>
        <c:barDir val="col"/>
        <c:grouping val="clustered"/>
        <c:varyColors val="0"/>
        <c:ser>
          <c:idx val="3"/>
          <c:order val="0"/>
          <c:tx>
            <c:strRef>
              <c:f>'2006 Sampling'!$AN$20</c:f>
              <c:strCache>
                <c:ptCount val="1"/>
              </c:strCache>
            </c:strRef>
          </c:tx>
          <c:spPr>
            <a:solidFill>
              <a:srgbClr val="000080"/>
            </a:solidFill>
            <a:ln w="12700">
              <a:solidFill>
                <a:srgbClr val="000080"/>
              </a:solidFill>
              <a:prstDash val="solid"/>
            </a:ln>
          </c:spPr>
          <c:invertIfNegative val="0"/>
          <c:cat>
            <c:numRef>
              <c:f>'2006 Sampling'!$AO$10:$BB$10</c:f>
              <c:numCache>
                <c:formatCode>General</c:formatCode>
                <c:ptCount val="14"/>
              </c:numCache>
            </c:numRef>
          </c:cat>
          <c:val>
            <c:numRef>
              <c:f>'2006 Sampling'!$AO$20:$BB$20</c:f>
              <c:numCache>
                <c:formatCode>General</c:formatCode>
                <c:ptCount val="14"/>
              </c:numCache>
            </c:numRef>
          </c:val>
          <c:extLst>
            <c:ext xmlns:c16="http://schemas.microsoft.com/office/drawing/2014/chart" uri="{C3380CC4-5D6E-409C-BE32-E72D297353CC}">
              <c16:uniqueId val="{00000000-052A-481D-8543-D497B45240E1}"/>
            </c:ext>
          </c:extLst>
        </c:ser>
        <c:ser>
          <c:idx val="4"/>
          <c:order val="1"/>
          <c:tx>
            <c:strRef>
              <c:f>'2006 Sampling'!$AN$21</c:f>
              <c:strCache>
                <c:ptCount val="1"/>
              </c:strCache>
            </c:strRef>
          </c:tx>
          <c:spPr>
            <a:solidFill>
              <a:srgbClr val="FF0000"/>
            </a:solidFill>
            <a:ln w="12700">
              <a:solidFill>
                <a:srgbClr val="FF0000"/>
              </a:solidFill>
              <a:prstDash val="solid"/>
            </a:ln>
          </c:spPr>
          <c:invertIfNegative val="0"/>
          <c:cat>
            <c:numRef>
              <c:f>'2006 Sampling'!$AO$10:$BB$10</c:f>
              <c:numCache>
                <c:formatCode>General</c:formatCode>
                <c:ptCount val="14"/>
              </c:numCache>
            </c:numRef>
          </c:cat>
          <c:val>
            <c:numRef>
              <c:f>'2006 Sampling'!$AO$21:$BB$21</c:f>
              <c:numCache>
                <c:formatCode>General</c:formatCode>
                <c:ptCount val="14"/>
              </c:numCache>
            </c:numRef>
          </c:val>
          <c:extLst>
            <c:ext xmlns:c16="http://schemas.microsoft.com/office/drawing/2014/chart" uri="{C3380CC4-5D6E-409C-BE32-E72D297353CC}">
              <c16:uniqueId val="{00000001-052A-481D-8543-D497B45240E1}"/>
            </c:ext>
          </c:extLst>
        </c:ser>
        <c:dLbls>
          <c:showLegendKey val="0"/>
          <c:showVal val="0"/>
          <c:showCatName val="0"/>
          <c:showSerName val="0"/>
          <c:showPercent val="0"/>
          <c:showBubbleSize val="0"/>
        </c:dLbls>
        <c:gapWidth val="150"/>
        <c:axId val="496671296"/>
        <c:axId val="496674432"/>
      </c:barChart>
      <c:catAx>
        <c:axId val="496671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496674432"/>
        <c:crosses val="autoZero"/>
        <c:auto val="1"/>
        <c:lblAlgn val="ctr"/>
        <c:lblOffset val="100"/>
        <c:tickLblSkip val="1"/>
        <c:tickMarkSkip val="1"/>
        <c:noMultiLvlLbl val="0"/>
      </c:catAx>
      <c:valAx>
        <c:axId val="49667443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496671296"/>
        <c:crosses val="autoZero"/>
        <c:crossBetween val="between"/>
      </c:valAx>
      <c:spPr>
        <a:noFill/>
        <a:ln w="25400">
          <a:noFill/>
        </a:ln>
      </c:spPr>
    </c:plotArea>
    <c:legend>
      <c:legendPos val="r"/>
      <c:layout>
        <c:manualLayout>
          <c:xMode val="edge"/>
          <c:yMode val="edge"/>
          <c:wMode val="edge"/>
          <c:hMode val="edge"/>
          <c:x val="0.94611793969493907"/>
          <c:y val="0.42405129738529518"/>
          <c:w val="0.98732237709588999"/>
          <c:h val="0.57278580683743641"/>
        </c:manualLayout>
      </c:layout>
      <c:overlay val="0"/>
      <c:spPr>
        <a:solidFill>
          <a:srgbClr val="FFFFFF"/>
        </a:solidFill>
        <a:ln w="3175">
          <a:solidFill>
            <a:srgbClr val="000000"/>
          </a:solidFill>
          <a:prstDash val="solid"/>
        </a:ln>
      </c:spPr>
      <c:txPr>
        <a:bodyPr/>
        <a:lstStyle/>
        <a:p>
          <a:pPr>
            <a:defRPr sz="9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4BC0-4EC3-9E2F-43606BBCC080}"/>
            </c:ext>
          </c:extLst>
        </c:ser>
        <c:ser>
          <c:idx val="1"/>
          <c:order val="1"/>
          <c:tx>
            <c:strRef>
              <c:f>'2006 Sampling'!$AN$18</c:f>
              <c:strCache>
                <c:ptCount val="1"/>
              </c:strCache>
            </c:strRef>
          </c:tx>
          <c:spPr>
            <a:solidFill>
              <a:srgbClr val="FF00FF"/>
            </a:solidFill>
            <a:ln w="12700">
              <a:solidFill>
                <a:srgbClr val="FF00FF"/>
              </a:solidFill>
              <a:prstDash val="solid"/>
            </a:ln>
          </c:spPr>
          <c:invertIfNegative val="0"/>
          <c:val>
            <c:numRef>
              <c:f>'2006 Sampling'!$AO$18:$BB$18</c:f>
              <c:numCache>
                <c:formatCode>General</c:formatCode>
                <c:ptCount val="14"/>
              </c:numCache>
            </c:numRef>
          </c:val>
          <c:extLst>
            <c:ext xmlns:c16="http://schemas.microsoft.com/office/drawing/2014/chart" uri="{C3380CC4-5D6E-409C-BE32-E72D297353CC}">
              <c16:uniqueId val="{00000001-4BC0-4EC3-9E2F-43606BBCC080}"/>
            </c:ext>
          </c:extLst>
        </c:ser>
        <c:ser>
          <c:idx val="2"/>
          <c:order val="2"/>
          <c:tx>
            <c:strRef>
              <c:f>'2006 Sampling'!$AN$19</c:f>
              <c:strCache>
                <c:ptCount val="1"/>
              </c:strCache>
            </c:strRef>
          </c:tx>
          <c:spPr>
            <a:solidFill>
              <a:srgbClr val="008000"/>
            </a:solidFill>
            <a:ln w="12700">
              <a:solidFill>
                <a:srgbClr val="008000"/>
              </a:solidFill>
              <a:prstDash val="solid"/>
            </a:ln>
          </c:spPr>
          <c:invertIfNegative val="0"/>
          <c:val>
            <c:numRef>
              <c:f>'2006 Sampling'!$AO$19:$BB$19</c:f>
              <c:numCache>
                <c:formatCode>General</c:formatCode>
                <c:ptCount val="14"/>
              </c:numCache>
            </c:numRef>
          </c:val>
          <c:extLst>
            <c:ext xmlns:c16="http://schemas.microsoft.com/office/drawing/2014/chart" uri="{C3380CC4-5D6E-409C-BE32-E72D297353CC}">
              <c16:uniqueId val="{00000002-4BC0-4EC3-9E2F-43606BBCC080}"/>
            </c:ext>
          </c:extLst>
        </c:ser>
        <c:dLbls>
          <c:showLegendKey val="0"/>
          <c:showVal val="0"/>
          <c:showCatName val="0"/>
          <c:showSerName val="0"/>
          <c:showPercent val="0"/>
          <c:showBubbleSize val="0"/>
        </c:dLbls>
        <c:gapWidth val="150"/>
        <c:axId val="494063632"/>
        <c:axId val="494062064"/>
      </c:barChart>
      <c:catAx>
        <c:axId val="49406363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4062064"/>
        <c:crosses val="autoZero"/>
        <c:auto val="1"/>
        <c:lblAlgn val="ctr"/>
        <c:lblOffset val="100"/>
        <c:tickLblSkip val="2"/>
        <c:tickMarkSkip val="1"/>
        <c:noMultiLvlLbl val="0"/>
      </c:catAx>
      <c:valAx>
        <c:axId val="494062064"/>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363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982615444448066E-2"/>
          <c:y val="7.7348066298342538E-2"/>
          <c:w val="0.82807159414678277"/>
          <c:h val="0.83977900552486184"/>
        </c:manualLayout>
      </c:layout>
      <c:barChart>
        <c:barDir val="col"/>
        <c:grouping val="clustered"/>
        <c:varyColors val="0"/>
        <c:ser>
          <c:idx val="0"/>
          <c:order val="0"/>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0-67B2-4E7D-B90D-C995BEF915B0}"/>
            </c:ext>
          </c:extLst>
        </c:ser>
        <c:ser>
          <c:idx val="1"/>
          <c:order val="1"/>
          <c:tx>
            <c:strRef>
              <c:f>'2006 Sampling'!$BC$31</c:f>
              <c:strCache>
                <c:ptCount val="1"/>
              </c:strCache>
            </c:strRef>
          </c:tx>
          <c:spPr>
            <a:solidFill>
              <a:srgbClr val="FF00FF"/>
            </a:solidFill>
            <a:ln w="12700">
              <a:solidFill>
                <a:srgbClr val="FF00FF"/>
              </a:solidFill>
              <a:prstDash val="solid"/>
            </a:ln>
          </c:spPr>
          <c:invertIfNegative val="0"/>
          <c:val>
            <c:numRef>
              <c:f>'2006 Sampling'!$BD$31:$BQ$31</c:f>
              <c:numCache>
                <c:formatCode>General</c:formatCode>
                <c:ptCount val="14"/>
              </c:numCache>
            </c:numRef>
          </c:val>
          <c:extLst>
            <c:ext xmlns:c16="http://schemas.microsoft.com/office/drawing/2014/chart" uri="{C3380CC4-5D6E-409C-BE32-E72D297353CC}">
              <c16:uniqueId val="{00000001-67B2-4E7D-B90D-C995BEF915B0}"/>
            </c:ext>
          </c:extLst>
        </c:ser>
        <c:ser>
          <c:idx val="2"/>
          <c:order val="2"/>
          <c:tx>
            <c:strRef>
              <c:f>'2006 Sampling'!$BC$32</c:f>
              <c:strCache>
                <c:ptCount val="1"/>
              </c:strCache>
            </c:strRef>
          </c:tx>
          <c:spPr>
            <a:solidFill>
              <a:srgbClr val="008000"/>
            </a:solidFill>
            <a:ln w="12700">
              <a:solidFill>
                <a:srgbClr val="008000"/>
              </a:solidFill>
              <a:prstDash val="solid"/>
            </a:ln>
          </c:spPr>
          <c:invertIfNegative val="0"/>
          <c:val>
            <c:numRef>
              <c:f>'2006 Sampling'!$BD$32:$BQ$32</c:f>
              <c:numCache>
                <c:formatCode>General</c:formatCode>
                <c:ptCount val="14"/>
              </c:numCache>
            </c:numRef>
          </c:val>
          <c:extLst>
            <c:ext xmlns:c16="http://schemas.microsoft.com/office/drawing/2014/chart" uri="{C3380CC4-5D6E-409C-BE32-E72D297353CC}">
              <c16:uniqueId val="{00000002-67B2-4E7D-B90D-C995BEF915B0}"/>
            </c:ext>
          </c:extLst>
        </c:ser>
        <c:ser>
          <c:idx val="3"/>
          <c:order val="3"/>
          <c:tx>
            <c:strRef>
              <c:f>'2006 Sampling'!$BC$34</c:f>
              <c:strCache>
                <c:ptCount val="1"/>
              </c:strCache>
            </c:strRef>
          </c:tx>
          <c:spPr>
            <a:solidFill>
              <a:srgbClr val="000080"/>
            </a:solidFill>
            <a:ln w="12700">
              <a:solidFill>
                <a:srgbClr val="000080"/>
              </a:solidFill>
              <a:prstDash val="solid"/>
            </a:ln>
          </c:spPr>
          <c:invertIfNegative val="0"/>
          <c:val>
            <c:numRef>
              <c:f>'2006 Sampling'!$BD$34:$BQ$34</c:f>
              <c:numCache>
                <c:formatCode>General</c:formatCode>
                <c:ptCount val="14"/>
              </c:numCache>
            </c:numRef>
          </c:val>
          <c:extLst>
            <c:ext xmlns:c16="http://schemas.microsoft.com/office/drawing/2014/chart" uri="{C3380CC4-5D6E-409C-BE32-E72D297353CC}">
              <c16:uniqueId val="{00000003-67B2-4E7D-B90D-C995BEF915B0}"/>
            </c:ext>
          </c:extLst>
        </c:ser>
        <c:ser>
          <c:idx val="4"/>
          <c:order val="4"/>
          <c:tx>
            <c:strRef>
              <c:f>'2006 Sampling'!$BC$35</c:f>
              <c:strCache>
                <c:ptCount val="1"/>
              </c:strCache>
            </c:strRef>
          </c:tx>
          <c:spPr>
            <a:solidFill>
              <a:srgbClr val="FF0000"/>
            </a:solidFill>
            <a:ln w="12700">
              <a:solidFill>
                <a:srgbClr val="FF0000"/>
              </a:solidFill>
              <a:prstDash val="solid"/>
            </a:ln>
          </c:spPr>
          <c:invertIfNegative val="0"/>
          <c:val>
            <c:numRef>
              <c:f>'2006 Sampling'!$BD$35:$BQ$35</c:f>
              <c:numCache>
                <c:formatCode>General</c:formatCode>
                <c:ptCount val="14"/>
              </c:numCache>
            </c:numRef>
          </c:val>
          <c:extLst>
            <c:ext xmlns:c16="http://schemas.microsoft.com/office/drawing/2014/chart" uri="{C3380CC4-5D6E-409C-BE32-E72D297353CC}">
              <c16:uniqueId val="{00000004-67B2-4E7D-B90D-C995BEF915B0}"/>
            </c:ext>
          </c:extLst>
        </c:ser>
        <c:dLbls>
          <c:showLegendKey val="0"/>
          <c:showVal val="0"/>
          <c:showCatName val="0"/>
          <c:showSerName val="0"/>
          <c:showPercent val="0"/>
          <c:showBubbleSize val="0"/>
        </c:dLbls>
        <c:gapWidth val="75"/>
        <c:axId val="496670120"/>
        <c:axId val="496670512"/>
      </c:barChart>
      <c:catAx>
        <c:axId val="4966701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496670512"/>
        <c:crosses val="autoZero"/>
        <c:auto val="1"/>
        <c:lblAlgn val="ctr"/>
        <c:lblOffset val="100"/>
        <c:tickLblSkip val="1"/>
        <c:tickMarkSkip val="1"/>
        <c:noMultiLvlLbl val="0"/>
      </c:catAx>
      <c:valAx>
        <c:axId val="49667051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496670120"/>
        <c:crosses val="autoZero"/>
        <c:crossBetween val="between"/>
      </c:valAx>
      <c:spPr>
        <a:noFill/>
        <a:ln w="25400">
          <a:noFill/>
        </a:ln>
      </c:spPr>
    </c:plotArea>
    <c:legend>
      <c:legendPos val="r"/>
      <c:layout>
        <c:manualLayout>
          <c:xMode val="edge"/>
          <c:yMode val="edge"/>
          <c:wMode val="edge"/>
          <c:hMode val="edge"/>
          <c:x val="0.94035253488050841"/>
          <c:y val="0.33701657458563539"/>
          <c:w val="0.98596656996822774"/>
          <c:h val="0.65745856353591159"/>
        </c:manualLayout>
      </c:layout>
      <c:overlay val="0"/>
      <c:spPr>
        <a:solidFill>
          <a:srgbClr val="FFFFFF"/>
        </a:solidFill>
        <a:ln w="3175">
          <a:solidFill>
            <a:srgbClr val="000000"/>
          </a:solidFill>
          <a:prstDash val="solid"/>
        </a:ln>
      </c:spPr>
      <c:txPr>
        <a:bodyPr/>
        <a:lstStyle/>
        <a:p>
          <a:pPr>
            <a:defRPr sz="9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819694084266643E-2"/>
          <c:y val="7.7135193739222133E-2"/>
          <c:w val="0.82837198682751167"/>
          <c:h val="0.84022264608795538"/>
        </c:manualLayout>
      </c:layout>
      <c:barChart>
        <c:barDir val="col"/>
        <c:grouping val="clustered"/>
        <c:varyColors val="0"/>
        <c:ser>
          <c:idx val="0"/>
          <c:order val="0"/>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0-006E-408E-A6C0-08E012207EDE}"/>
            </c:ext>
          </c:extLst>
        </c:ser>
        <c:ser>
          <c:idx val="1"/>
          <c:order val="1"/>
          <c:tx>
            <c:strRef>
              <c:f>'2006 Sampling'!$BC$31</c:f>
              <c:strCache>
                <c:ptCount val="1"/>
              </c:strCache>
            </c:strRef>
          </c:tx>
          <c:spPr>
            <a:solidFill>
              <a:srgbClr val="FF00FF"/>
            </a:solidFill>
            <a:ln w="12700">
              <a:solidFill>
                <a:srgbClr val="FF00FF"/>
              </a:solidFill>
              <a:prstDash val="solid"/>
            </a:ln>
          </c:spPr>
          <c:invertIfNegative val="0"/>
          <c:val>
            <c:numRef>
              <c:f>'2006 Sampling'!$BD$31:$BQ$31</c:f>
              <c:numCache>
                <c:formatCode>General</c:formatCode>
                <c:ptCount val="14"/>
              </c:numCache>
            </c:numRef>
          </c:val>
          <c:extLst>
            <c:ext xmlns:c16="http://schemas.microsoft.com/office/drawing/2014/chart" uri="{C3380CC4-5D6E-409C-BE32-E72D297353CC}">
              <c16:uniqueId val="{00000001-006E-408E-A6C0-08E012207EDE}"/>
            </c:ext>
          </c:extLst>
        </c:ser>
        <c:ser>
          <c:idx val="2"/>
          <c:order val="2"/>
          <c:tx>
            <c:strRef>
              <c:f>'2006 Sampling'!$BC$32</c:f>
              <c:strCache>
                <c:ptCount val="1"/>
              </c:strCache>
            </c:strRef>
          </c:tx>
          <c:spPr>
            <a:solidFill>
              <a:srgbClr val="008000"/>
            </a:solidFill>
            <a:ln w="12700">
              <a:solidFill>
                <a:srgbClr val="008000"/>
              </a:solidFill>
              <a:prstDash val="solid"/>
            </a:ln>
          </c:spPr>
          <c:invertIfNegative val="0"/>
          <c:val>
            <c:numRef>
              <c:f>'2006 Sampling'!$BD$32:$BQ$32</c:f>
              <c:numCache>
                <c:formatCode>General</c:formatCode>
                <c:ptCount val="14"/>
              </c:numCache>
            </c:numRef>
          </c:val>
          <c:extLst>
            <c:ext xmlns:c16="http://schemas.microsoft.com/office/drawing/2014/chart" uri="{C3380CC4-5D6E-409C-BE32-E72D297353CC}">
              <c16:uniqueId val="{00000002-006E-408E-A6C0-08E012207EDE}"/>
            </c:ext>
          </c:extLst>
        </c:ser>
        <c:dLbls>
          <c:showLegendKey val="0"/>
          <c:showVal val="0"/>
          <c:showCatName val="0"/>
          <c:showSerName val="0"/>
          <c:showPercent val="0"/>
          <c:showBubbleSize val="0"/>
        </c:dLbls>
        <c:gapWidth val="75"/>
        <c:axId val="496675216"/>
        <c:axId val="496676000"/>
      </c:barChart>
      <c:catAx>
        <c:axId val="4966752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496676000"/>
        <c:crosses val="autoZero"/>
        <c:auto val="1"/>
        <c:lblAlgn val="ctr"/>
        <c:lblOffset val="100"/>
        <c:tickLblSkip val="1"/>
        <c:tickMarkSkip val="1"/>
        <c:noMultiLvlLbl val="0"/>
      </c:catAx>
      <c:valAx>
        <c:axId val="49667600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496675216"/>
        <c:crosses val="autoZero"/>
        <c:crossBetween val="between"/>
      </c:valAx>
      <c:spPr>
        <a:noFill/>
        <a:ln w="25400">
          <a:noFill/>
        </a:ln>
      </c:spPr>
    </c:plotArea>
    <c:legend>
      <c:legendPos val="r"/>
      <c:layout>
        <c:manualLayout>
          <c:xMode val="edge"/>
          <c:yMode val="edge"/>
          <c:wMode val="edge"/>
          <c:hMode val="edge"/>
          <c:x val="0.94045607696586087"/>
          <c:y val="0.40220501362949468"/>
          <c:w val="0.9859902275788206"/>
          <c:h val="0.59504305763432463"/>
        </c:manualLayout>
      </c:layout>
      <c:overlay val="0"/>
      <c:spPr>
        <a:solidFill>
          <a:srgbClr val="FFFFFF"/>
        </a:solidFill>
        <a:ln w="3175">
          <a:solidFill>
            <a:srgbClr val="000000"/>
          </a:solidFill>
          <a:prstDash val="solid"/>
        </a:ln>
      </c:spPr>
      <c:txPr>
        <a:bodyPr/>
        <a:lstStyle/>
        <a:p>
          <a:pPr>
            <a:defRPr sz="9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819694084266643E-2"/>
          <c:y val="7.7135193739222133E-2"/>
          <c:w val="0.82837198682751167"/>
          <c:h val="0.84022264608795538"/>
        </c:manualLayout>
      </c:layout>
      <c:barChart>
        <c:barDir val="col"/>
        <c:grouping val="clustered"/>
        <c:varyColors val="0"/>
        <c:ser>
          <c:idx val="3"/>
          <c:order val="0"/>
          <c:tx>
            <c:strRef>
              <c:f>'2006 Sampling'!$BC$34</c:f>
              <c:strCache>
                <c:ptCount val="1"/>
              </c:strCache>
            </c:strRef>
          </c:tx>
          <c:spPr>
            <a:solidFill>
              <a:srgbClr val="000080"/>
            </a:solidFill>
            <a:ln w="12700">
              <a:solidFill>
                <a:srgbClr val="000080"/>
              </a:solidFill>
              <a:prstDash val="solid"/>
            </a:ln>
          </c:spPr>
          <c:invertIfNegative val="0"/>
          <c:cat>
            <c:numRef>
              <c:f>'2006 Sampling'!$BD$28:$BQ$28</c:f>
              <c:numCache>
                <c:formatCode>General</c:formatCode>
                <c:ptCount val="14"/>
              </c:numCache>
            </c:numRef>
          </c:cat>
          <c:val>
            <c:numRef>
              <c:f>'2006 Sampling'!$BD$34:$BQ$34</c:f>
              <c:numCache>
                <c:formatCode>General</c:formatCode>
                <c:ptCount val="14"/>
              </c:numCache>
            </c:numRef>
          </c:val>
          <c:extLst>
            <c:ext xmlns:c16="http://schemas.microsoft.com/office/drawing/2014/chart" uri="{C3380CC4-5D6E-409C-BE32-E72D297353CC}">
              <c16:uniqueId val="{00000000-86D1-49BD-8156-1C4D243F7CA9}"/>
            </c:ext>
          </c:extLst>
        </c:ser>
        <c:ser>
          <c:idx val="4"/>
          <c:order val="1"/>
          <c:tx>
            <c:strRef>
              <c:f>'2006 Sampling'!$BC$35</c:f>
              <c:strCache>
                <c:ptCount val="1"/>
              </c:strCache>
            </c:strRef>
          </c:tx>
          <c:spPr>
            <a:solidFill>
              <a:srgbClr val="FF0000"/>
            </a:solidFill>
            <a:ln w="12700">
              <a:solidFill>
                <a:srgbClr val="FF0000"/>
              </a:solidFill>
              <a:prstDash val="solid"/>
            </a:ln>
          </c:spPr>
          <c:invertIfNegative val="0"/>
          <c:cat>
            <c:numRef>
              <c:f>'2006 Sampling'!$BD$28:$BQ$28</c:f>
              <c:numCache>
                <c:formatCode>General</c:formatCode>
                <c:ptCount val="14"/>
              </c:numCache>
            </c:numRef>
          </c:cat>
          <c:val>
            <c:numRef>
              <c:f>'2006 Sampling'!$BD$35:$BQ$35</c:f>
              <c:numCache>
                <c:formatCode>General</c:formatCode>
                <c:ptCount val="14"/>
              </c:numCache>
            </c:numRef>
          </c:val>
          <c:extLst>
            <c:ext xmlns:c16="http://schemas.microsoft.com/office/drawing/2014/chart" uri="{C3380CC4-5D6E-409C-BE32-E72D297353CC}">
              <c16:uniqueId val="{00000001-86D1-49BD-8156-1C4D243F7CA9}"/>
            </c:ext>
          </c:extLst>
        </c:ser>
        <c:dLbls>
          <c:showLegendKey val="0"/>
          <c:showVal val="0"/>
          <c:showCatName val="0"/>
          <c:showSerName val="0"/>
          <c:showPercent val="0"/>
          <c:showBubbleSize val="0"/>
        </c:dLbls>
        <c:gapWidth val="75"/>
        <c:axId val="496664632"/>
        <c:axId val="496677568"/>
      </c:barChart>
      <c:catAx>
        <c:axId val="4966646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496677568"/>
        <c:crosses val="autoZero"/>
        <c:auto val="1"/>
        <c:lblAlgn val="ctr"/>
        <c:lblOffset val="100"/>
        <c:tickLblSkip val="1"/>
        <c:tickMarkSkip val="1"/>
        <c:noMultiLvlLbl val="0"/>
      </c:catAx>
      <c:valAx>
        <c:axId val="49667756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496664632"/>
        <c:crosses val="autoZero"/>
        <c:crossBetween val="between"/>
      </c:valAx>
      <c:spPr>
        <a:noFill/>
        <a:ln w="25400">
          <a:noFill/>
        </a:ln>
      </c:spPr>
    </c:plotArea>
    <c:legend>
      <c:legendPos val="r"/>
      <c:layout>
        <c:manualLayout>
          <c:xMode val="edge"/>
          <c:yMode val="edge"/>
          <c:wMode val="edge"/>
          <c:hMode val="edge"/>
          <c:x val="0.94045607696586087"/>
          <c:y val="0.43250804393252495"/>
          <c:w val="0.9859902275788206"/>
          <c:h val="0.5619849171746093"/>
        </c:manualLayout>
      </c:layout>
      <c:overlay val="0"/>
      <c:spPr>
        <a:solidFill>
          <a:srgbClr val="FFFFFF"/>
        </a:solidFill>
        <a:ln w="3175">
          <a:solidFill>
            <a:srgbClr val="000000"/>
          </a:solidFill>
          <a:prstDash val="solid"/>
        </a:ln>
      </c:spPr>
      <c:txPr>
        <a:bodyPr/>
        <a:lstStyle/>
        <a:p>
          <a:pPr>
            <a:defRPr sz="9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150247432146767E-2"/>
          <c:y val="5.9071851661086791E-2"/>
          <c:w val="0.75938629828343163"/>
          <c:h val="0.87763893896471801"/>
        </c:manualLayout>
      </c:layout>
      <c:barChart>
        <c:barDir val="col"/>
        <c:grouping val="clustered"/>
        <c:varyColors val="0"/>
        <c:ser>
          <c:idx val="0"/>
          <c:order val="0"/>
          <c:tx>
            <c:strRef>
              <c:f>'2006 Sampling'!$BD$10</c:f>
              <c:strCache>
                <c:ptCount val="1"/>
              </c:strCache>
            </c:strRef>
          </c:tx>
          <c:spPr>
            <a:solidFill>
              <a:srgbClr val="0000FF"/>
            </a:solidFill>
            <a:ln w="12700">
              <a:solidFill>
                <a:srgbClr val="0000FF"/>
              </a:solidFill>
              <a:prstDash val="solid"/>
            </a:ln>
          </c:spPr>
          <c:invertIfNegative val="0"/>
          <c:cat>
            <c:numRef>
              <c:f>'2006 Sampling'!$AN$16:$AN$21</c:f>
              <c:numCache>
                <c:formatCode>General</c:formatCode>
                <c:ptCount val="6"/>
              </c:numCache>
            </c:numRef>
          </c:cat>
          <c:val>
            <c:numRef>
              <c:f>'2006 Sampling'!$BD$16:$BD$21</c:f>
              <c:numCache>
                <c:formatCode>General</c:formatCode>
                <c:ptCount val="6"/>
              </c:numCache>
            </c:numRef>
          </c:val>
          <c:extLst>
            <c:ext xmlns:c16="http://schemas.microsoft.com/office/drawing/2014/chart" uri="{C3380CC4-5D6E-409C-BE32-E72D297353CC}">
              <c16:uniqueId val="{00000000-E0E8-496F-AC18-698721DE91A5}"/>
            </c:ext>
          </c:extLst>
        </c:ser>
        <c:ser>
          <c:idx val="1"/>
          <c:order val="1"/>
          <c:tx>
            <c:strRef>
              <c:f>'2006 Sampling'!$BE$10</c:f>
              <c:strCache>
                <c:ptCount val="1"/>
              </c:strCache>
            </c:strRef>
          </c:tx>
          <c:spPr>
            <a:solidFill>
              <a:srgbClr val="FF0000"/>
            </a:solidFill>
            <a:ln w="12700">
              <a:solidFill>
                <a:srgbClr val="FF0000"/>
              </a:solidFill>
              <a:prstDash val="solid"/>
            </a:ln>
          </c:spPr>
          <c:invertIfNegative val="0"/>
          <c:val>
            <c:numRef>
              <c:f>'2006 Sampling'!$BE$16:$BE$21</c:f>
              <c:numCache>
                <c:formatCode>General</c:formatCode>
                <c:ptCount val="6"/>
              </c:numCache>
            </c:numRef>
          </c:val>
          <c:extLst>
            <c:ext xmlns:c16="http://schemas.microsoft.com/office/drawing/2014/chart" uri="{C3380CC4-5D6E-409C-BE32-E72D297353CC}">
              <c16:uniqueId val="{00000001-E0E8-496F-AC18-698721DE91A5}"/>
            </c:ext>
          </c:extLst>
        </c:ser>
        <c:dLbls>
          <c:showLegendKey val="0"/>
          <c:showVal val="0"/>
          <c:showCatName val="0"/>
          <c:showSerName val="0"/>
          <c:showPercent val="0"/>
          <c:showBubbleSize val="0"/>
        </c:dLbls>
        <c:gapWidth val="150"/>
        <c:axId val="496677176"/>
        <c:axId val="496677960"/>
      </c:barChart>
      <c:catAx>
        <c:axId val="4966771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96677960"/>
        <c:crosses val="autoZero"/>
        <c:auto val="1"/>
        <c:lblAlgn val="ctr"/>
        <c:lblOffset val="100"/>
        <c:tickLblSkip val="1"/>
        <c:tickMarkSkip val="1"/>
        <c:noMultiLvlLbl val="0"/>
      </c:catAx>
      <c:valAx>
        <c:axId val="49667796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96677176"/>
        <c:crosses val="autoZero"/>
        <c:crossBetween val="between"/>
      </c:valAx>
      <c:spPr>
        <a:noFill/>
        <a:ln w="25400">
          <a:noFill/>
        </a:ln>
      </c:spPr>
    </c:plotArea>
    <c:legend>
      <c:legendPos val="r"/>
      <c:layout>
        <c:manualLayout>
          <c:xMode val="edge"/>
          <c:yMode val="edge"/>
          <c:wMode val="edge"/>
          <c:hMode val="edge"/>
          <c:x val="0.77815771322100091"/>
          <c:y val="0.38185742604959189"/>
          <c:w val="0.82252631390359476"/>
          <c:h val="0.48101376568435272"/>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678659182429121E-2"/>
          <c:y val="7.9096263396736505E-2"/>
          <c:w val="0.76649872848378098"/>
          <c:h val="0.8333356322156168"/>
        </c:manualLayout>
      </c:layout>
      <c:barChart>
        <c:barDir val="col"/>
        <c:grouping val="clustered"/>
        <c:varyColors val="0"/>
        <c:ser>
          <c:idx val="0"/>
          <c:order val="0"/>
          <c:tx>
            <c:strRef>
              <c:f>'2006 Sampling'!$BI$2</c:f>
              <c:strCache>
                <c:ptCount val="1"/>
              </c:strCache>
            </c:strRef>
          </c:tx>
          <c:spPr>
            <a:solidFill>
              <a:srgbClr val="0000FF"/>
            </a:solidFill>
            <a:ln w="12700">
              <a:solidFill>
                <a:srgbClr val="0000FF"/>
              </a:solidFill>
              <a:prstDash val="solid"/>
            </a:ln>
          </c:spPr>
          <c:invertIfNegative val="0"/>
          <c:cat>
            <c:numRef>
              <c:f>'2006 Sampling'!$BH$3:$BH$8</c:f>
              <c:numCache>
                <c:formatCode>General</c:formatCode>
                <c:ptCount val="6"/>
              </c:numCache>
            </c:numRef>
          </c:cat>
          <c:val>
            <c:numRef>
              <c:f>'2006 Sampling'!$BI$3:$BI$8</c:f>
              <c:numCache>
                <c:formatCode>General</c:formatCode>
                <c:ptCount val="6"/>
              </c:numCache>
            </c:numRef>
          </c:val>
          <c:extLst>
            <c:ext xmlns:c16="http://schemas.microsoft.com/office/drawing/2014/chart" uri="{C3380CC4-5D6E-409C-BE32-E72D297353CC}">
              <c16:uniqueId val="{00000000-81FA-4B9E-AF46-1D0A49E60D2A}"/>
            </c:ext>
          </c:extLst>
        </c:ser>
        <c:ser>
          <c:idx val="1"/>
          <c:order val="1"/>
          <c:tx>
            <c:strRef>
              <c:f>'2006 Sampling'!$BJ$2</c:f>
              <c:strCache>
                <c:ptCount val="1"/>
              </c:strCache>
            </c:strRef>
          </c:tx>
          <c:spPr>
            <a:solidFill>
              <a:srgbClr val="FF0000"/>
            </a:solidFill>
            <a:ln w="12700">
              <a:solidFill>
                <a:srgbClr val="FF0000"/>
              </a:solidFill>
              <a:prstDash val="solid"/>
            </a:ln>
          </c:spPr>
          <c:invertIfNegative val="0"/>
          <c:val>
            <c:numRef>
              <c:f>'2006 Sampling'!$BJ$3:$BJ$8</c:f>
              <c:numCache>
                <c:formatCode>General</c:formatCode>
                <c:ptCount val="6"/>
              </c:numCache>
            </c:numRef>
          </c:val>
          <c:extLst>
            <c:ext xmlns:c16="http://schemas.microsoft.com/office/drawing/2014/chart" uri="{C3380CC4-5D6E-409C-BE32-E72D297353CC}">
              <c16:uniqueId val="{00000001-81FA-4B9E-AF46-1D0A49E60D2A}"/>
            </c:ext>
          </c:extLst>
        </c:ser>
        <c:dLbls>
          <c:showLegendKey val="0"/>
          <c:showVal val="0"/>
          <c:showCatName val="0"/>
          <c:showSerName val="0"/>
          <c:showPercent val="0"/>
          <c:showBubbleSize val="0"/>
        </c:dLbls>
        <c:gapWidth val="150"/>
        <c:axId val="496679136"/>
        <c:axId val="496679920"/>
      </c:barChart>
      <c:catAx>
        <c:axId val="4966791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96679920"/>
        <c:crosses val="autoZero"/>
        <c:auto val="1"/>
        <c:lblAlgn val="ctr"/>
        <c:lblOffset val="100"/>
        <c:tickLblSkip val="1"/>
        <c:tickMarkSkip val="1"/>
        <c:noMultiLvlLbl val="0"/>
      </c:catAx>
      <c:valAx>
        <c:axId val="49667992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96679136"/>
        <c:crosses val="autoZero"/>
        <c:crossBetween val="between"/>
      </c:valAx>
      <c:spPr>
        <a:noFill/>
        <a:ln w="25400">
          <a:noFill/>
        </a:ln>
      </c:spPr>
    </c:plotArea>
    <c:legend>
      <c:legendPos val="r"/>
      <c:layout>
        <c:manualLayout>
          <c:xMode val="edge"/>
          <c:yMode val="edge"/>
          <c:wMode val="edge"/>
          <c:hMode val="edge"/>
          <c:x val="0.75973051591901264"/>
          <c:y val="0.2429385006119518"/>
          <c:w val="0.80372374772950328"/>
          <c:h val="0.37570728187278474"/>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84640632368889E-2"/>
          <c:y val="7.3446530296969612E-2"/>
          <c:w val="0.88130221243364526"/>
          <c:h val="0.84745996496503395"/>
        </c:manualLayout>
      </c:layout>
      <c:barChart>
        <c:barDir val="col"/>
        <c:grouping val="clustered"/>
        <c:varyColors val="0"/>
        <c:ser>
          <c:idx val="0"/>
          <c:order val="0"/>
          <c:tx>
            <c:strRef>
              <c:f>'2006 Sampling'!$AP$90:$AP$91</c:f>
              <c:strCache>
                <c:ptCount val="2"/>
              </c:strCache>
            </c:strRef>
          </c:tx>
          <c:spPr>
            <a:solidFill>
              <a:srgbClr val="0000FF"/>
            </a:solidFill>
            <a:ln w="12700">
              <a:solidFill>
                <a:srgbClr val="0000FF"/>
              </a:solidFill>
              <a:prstDash val="solid"/>
            </a:ln>
          </c:spPr>
          <c:invertIfNegative val="0"/>
          <c:cat>
            <c:numRef>
              <c:f>'2006 Sampling'!$AO$92:$AO$96</c:f>
              <c:numCache>
                <c:formatCode>General</c:formatCode>
                <c:ptCount val="5"/>
              </c:numCache>
            </c:numRef>
          </c:cat>
          <c:val>
            <c:numRef>
              <c:f>'2006 Sampling'!$AP$92:$AP$96</c:f>
              <c:numCache>
                <c:formatCode>General</c:formatCode>
                <c:ptCount val="5"/>
              </c:numCache>
            </c:numRef>
          </c:val>
          <c:extLst>
            <c:ext xmlns:c16="http://schemas.microsoft.com/office/drawing/2014/chart" uri="{C3380CC4-5D6E-409C-BE32-E72D297353CC}">
              <c16:uniqueId val="{00000000-F193-4DAE-83D0-7EF4BBD66BD8}"/>
            </c:ext>
          </c:extLst>
        </c:ser>
        <c:ser>
          <c:idx val="2"/>
          <c:order val="1"/>
          <c:tx>
            <c:strRef>
              <c:f>'2006 Sampling'!$AR$90:$AR$91</c:f>
              <c:strCache>
                <c:ptCount val="2"/>
              </c:strCache>
            </c:strRef>
          </c:tx>
          <c:spPr>
            <a:solidFill>
              <a:srgbClr val="FF00FF"/>
            </a:solidFill>
            <a:ln w="12700">
              <a:solidFill>
                <a:srgbClr val="FF00FF"/>
              </a:solidFill>
              <a:prstDash val="solid"/>
            </a:ln>
          </c:spPr>
          <c:invertIfNegative val="0"/>
          <c:val>
            <c:numRef>
              <c:f>'2006 Sampling'!$AR$92:$AR$96</c:f>
              <c:numCache>
                <c:formatCode>General</c:formatCode>
                <c:ptCount val="5"/>
              </c:numCache>
            </c:numRef>
          </c:val>
          <c:extLst>
            <c:ext xmlns:c16="http://schemas.microsoft.com/office/drawing/2014/chart" uri="{C3380CC4-5D6E-409C-BE32-E72D297353CC}">
              <c16:uniqueId val="{00000001-F193-4DAE-83D0-7EF4BBD66BD8}"/>
            </c:ext>
          </c:extLst>
        </c:ser>
        <c:ser>
          <c:idx val="4"/>
          <c:order val="2"/>
          <c:tx>
            <c:strRef>
              <c:f>'2006 Sampling'!$AT$90:$AT$91</c:f>
              <c:strCache>
                <c:ptCount val="2"/>
              </c:strCache>
            </c:strRef>
          </c:tx>
          <c:spPr>
            <a:solidFill>
              <a:srgbClr val="008000"/>
            </a:solidFill>
            <a:ln w="12700">
              <a:solidFill>
                <a:srgbClr val="008000"/>
              </a:solidFill>
              <a:prstDash val="solid"/>
            </a:ln>
          </c:spPr>
          <c:invertIfNegative val="0"/>
          <c:val>
            <c:numRef>
              <c:f>'2006 Sampling'!$AT$92:$AT$96</c:f>
              <c:numCache>
                <c:formatCode>General</c:formatCode>
                <c:ptCount val="5"/>
              </c:numCache>
            </c:numRef>
          </c:val>
          <c:extLst>
            <c:ext xmlns:c16="http://schemas.microsoft.com/office/drawing/2014/chart" uri="{C3380CC4-5D6E-409C-BE32-E72D297353CC}">
              <c16:uniqueId val="{00000002-F193-4DAE-83D0-7EF4BBD66BD8}"/>
            </c:ext>
          </c:extLst>
        </c:ser>
        <c:ser>
          <c:idx val="6"/>
          <c:order val="3"/>
          <c:tx>
            <c:strRef>
              <c:f>'2006 Sampling'!$AV$90:$AV$91</c:f>
              <c:strCache>
                <c:ptCount val="2"/>
              </c:strCache>
            </c:strRef>
          </c:tx>
          <c:spPr>
            <a:solidFill>
              <a:srgbClr val="000080"/>
            </a:solidFill>
            <a:ln w="12700">
              <a:solidFill>
                <a:srgbClr val="000080"/>
              </a:solidFill>
              <a:prstDash val="solid"/>
            </a:ln>
          </c:spPr>
          <c:invertIfNegative val="0"/>
          <c:val>
            <c:numRef>
              <c:f>'2006 Sampling'!$AV$92:$AV$96</c:f>
              <c:numCache>
                <c:formatCode>General</c:formatCode>
                <c:ptCount val="5"/>
              </c:numCache>
            </c:numRef>
          </c:val>
          <c:extLst>
            <c:ext xmlns:c16="http://schemas.microsoft.com/office/drawing/2014/chart" uri="{C3380CC4-5D6E-409C-BE32-E72D297353CC}">
              <c16:uniqueId val="{00000003-F193-4DAE-83D0-7EF4BBD66BD8}"/>
            </c:ext>
          </c:extLst>
        </c:ser>
        <c:ser>
          <c:idx val="8"/>
          <c:order val="4"/>
          <c:tx>
            <c:strRef>
              <c:f>'2006 Sampling'!$AX$90:$AX$91</c:f>
              <c:strCache>
                <c:ptCount val="2"/>
              </c:strCache>
            </c:strRef>
          </c:tx>
          <c:spPr>
            <a:solidFill>
              <a:srgbClr val="FF0000"/>
            </a:solidFill>
            <a:ln w="12700">
              <a:solidFill>
                <a:srgbClr val="FF0000"/>
              </a:solidFill>
              <a:prstDash val="solid"/>
            </a:ln>
          </c:spPr>
          <c:invertIfNegative val="0"/>
          <c:val>
            <c:numRef>
              <c:f>'2006 Sampling'!$AX$92:$AX$96</c:f>
              <c:numCache>
                <c:formatCode>General</c:formatCode>
                <c:ptCount val="5"/>
              </c:numCache>
            </c:numRef>
          </c:val>
          <c:extLst>
            <c:ext xmlns:c16="http://schemas.microsoft.com/office/drawing/2014/chart" uri="{C3380CC4-5D6E-409C-BE32-E72D297353CC}">
              <c16:uniqueId val="{00000004-F193-4DAE-83D0-7EF4BBD66BD8}"/>
            </c:ext>
          </c:extLst>
        </c:ser>
        <c:dLbls>
          <c:showLegendKey val="0"/>
          <c:showVal val="0"/>
          <c:showCatName val="0"/>
          <c:showSerName val="0"/>
          <c:showPercent val="0"/>
          <c:showBubbleSize val="0"/>
        </c:dLbls>
        <c:gapWidth val="150"/>
        <c:axId val="496678744"/>
        <c:axId val="500055760"/>
      </c:barChart>
      <c:catAx>
        <c:axId val="496678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500055760"/>
        <c:crosses val="autoZero"/>
        <c:auto val="1"/>
        <c:lblAlgn val="ctr"/>
        <c:lblOffset val="100"/>
        <c:tickLblSkip val="1"/>
        <c:tickMarkSkip val="1"/>
        <c:noMultiLvlLbl val="0"/>
      </c:catAx>
      <c:valAx>
        <c:axId val="50005576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496678744"/>
        <c:crosses val="autoZero"/>
        <c:crossBetween val="between"/>
      </c:valAx>
      <c:spPr>
        <a:noFill/>
        <a:ln w="25400">
          <a:noFill/>
        </a:ln>
      </c:spPr>
    </c:plotArea>
    <c:legend>
      <c:legendPos val="r"/>
      <c:layout>
        <c:manualLayout>
          <c:xMode val="edge"/>
          <c:yMode val="edge"/>
          <c:wMode val="edge"/>
          <c:hMode val="edge"/>
          <c:x val="0.95447308110876383"/>
          <c:y val="0.35593309310912408"/>
          <c:w val="0.98699340631201582"/>
          <c:h val="0.6412447172916945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10570097479143E-2"/>
          <c:y val="7.18232044198895E-2"/>
          <c:w val="0.87953937116364211"/>
          <c:h val="0.850828729281768"/>
        </c:manualLayout>
      </c:layout>
      <c:barChart>
        <c:barDir val="col"/>
        <c:grouping val="clustered"/>
        <c:varyColors val="0"/>
        <c:ser>
          <c:idx val="1"/>
          <c:order val="0"/>
          <c:tx>
            <c:strRef>
              <c:f>'2006 Sampling'!$AQ$90:$AQ$91</c:f>
              <c:strCache>
                <c:ptCount val="2"/>
              </c:strCache>
            </c:strRef>
          </c:tx>
          <c:spPr>
            <a:solidFill>
              <a:srgbClr val="0000FF"/>
            </a:solidFill>
            <a:ln w="12700">
              <a:solidFill>
                <a:srgbClr val="0000FF"/>
              </a:solidFill>
              <a:prstDash val="solid"/>
            </a:ln>
          </c:spPr>
          <c:invertIfNegative val="0"/>
          <c:cat>
            <c:numRef>
              <c:f>'2006 Sampling'!$AO$92:$AO$96</c:f>
              <c:numCache>
                <c:formatCode>General</c:formatCode>
                <c:ptCount val="5"/>
              </c:numCache>
            </c:numRef>
          </c:cat>
          <c:val>
            <c:numRef>
              <c:f>'2006 Sampling'!$AQ$92:$AQ$96</c:f>
              <c:numCache>
                <c:formatCode>General</c:formatCode>
                <c:ptCount val="5"/>
              </c:numCache>
            </c:numRef>
          </c:val>
          <c:extLst>
            <c:ext xmlns:c16="http://schemas.microsoft.com/office/drawing/2014/chart" uri="{C3380CC4-5D6E-409C-BE32-E72D297353CC}">
              <c16:uniqueId val="{00000000-4961-4915-9B99-3109D3B83338}"/>
            </c:ext>
          </c:extLst>
        </c:ser>
        <c:ser>
          <c:idx val="3"/>
          <c:order val="1"/>
          <c:tx>
            <c:strRef>
              <c:f>'2006 Sampling'!$AS$90:$AS$91</c:f>
              <c:strCache>
                <c:ptCount val="2"/>
              </c:strCache>
            </c:strRef>
          </c:tx>
          <c:spPr>
            <a:solidFill>
              <a:srgbClr val="FF00FF"/>
            </a:solidFill>
            <a:ln w="12700">
              <a:solidFill>
                <a:srgbClr val="FF00FF"/>
              </a:solidFill>
              <a:prstDash val="solid"/>
            </a:ln>
          </c:spPr>
          <c:invertIfNegative val="0"/>
          <c:cat>
            <c:numRef>
              <c:f>'2006 Sampling'!$AO$92:$AO$96</c:f>
              <c:numCache>
                <c:formatCode>General</c:formatCode>
                <c:ptCount val="5"/>
              </c:numCache>
            </c:numRef>
          </c:cat>
          <c:val>
            <c:numRef>
              <c:f>'2006 Sampling'!$AS$92:$AS$96</c:f>
              <c:numCache>
                <c:formatCode>General</c:formatCode>
                <c:ptCount val="5"/>
              </c:numCache>
            </c:numRef>
          </c:val>
          <c:extLst>
            <c:ext xmlns:c16="http://schemas.microsoft.com/office/drawing/2014/chart" uri="{C3380CC4-5D6E-409C-BE32-E72D297353CC}">
              <c16:uniqueId val="{00000001-4961-4915-9B99-3109D3B83338}"/>
            </c:ext>
          </c:extLst>
        </c:ser>
        <c:ser>
          <c:idx val="5"/>
          <c:order val="2"/>
          <c:tx>
            <c:strRef>
              <c:f>'2006 Sampling'!$AU$90:$AU$91</c:f>
              <c:strCache>
                <c:ptCount val="2"/>
              </c:strCache>
            </c:strRef>
          </c:tx>
          <c:spPr>
            <a:solidFill>
              <a:srgbClr val="008000"/>
            </a:solidFill>
            <a:ln w="12700">
              <a:solidFill>
                <a:srgbClr val="008000"/>
              </a:solidFill>
              <a:prstDash val="solid"/>
            </a:ln>
          </c:spPr>
          <c:invertIfNegative val="0"/>
          <c:cat>
            <c:numRef>
              <c:f>'2006 Sampling'!$AO$92:$AO$96</c:f>
              <c:numCache>
                <c:formatCode>General</c:formatCode>
                <c:ptCount val="5"/>
              </c:numCache>
            </c:numRef>
          </c:cat>
          <c:val>
            <c:numRef>
              <c:f>'2006 Sampling'!$AU$92:$AU$96</c:f>
              <c:numCache>
                <c:formatCode>General</c:formatCode>
                <c:ptCount val="5"/>
              </c:numCache>
            </c:numRef>
          </c:val>
          <c:extLst>
            <c:ext xmlns:c16="http://schemas.microsoft.com/office/drawing/2014/chart" uri="{C3380CC4-5D6E-409C-BE32-E72D297353CC}">
              <c16:uniqueId val="{00000002-4961-4915-9B99-3109D3B83338}"/>
            </c:ext>
          </c:extLst>
        </c:ser>
        <c:ser>
          <c:idx val="7"/>
          <c:order val="3"/>
          <c:tx>
            <c:strRef>
              <c:f>'2006 Sampling'!$AW$90:$AW$91</c:f>
              <c:strCache>
                <c:ptCount val="2"/>
              </c:strCache>
            </c:strRef>
          </c:tx>
          <c:spPr>
            <a:solidFill>
              <a:srgbClr val="000080"/>
            </a:solidFill>
            <a:ln w="12700">
              <a:solidFill>
                <a:srgbClr val="000080"/>
              </a:solidFill>
              <a:prstDash val="solid"/>
            </a:ln>
          </c:spPr>
          <c:invertIfNegative val="0"/>
          <c:cat>
            <c:numRef>
              <c:f>'2006 Sampling'!$AO$92:$AO$96</c:f>
              <c:numCache>
                <c:formatCode>General</c:formatCode>
                <c:ptCount val="5"/>
              </c:numCache>
            </c:numRef>
          </c:cat>
          <c:val>
            <c:numRef>
              <c:f>'2006 Sampling'!$AW$92:$AW$96</c:f>
              <c:numCache>
                <c:formatCode>General</c:formatCode>
                <c:ptCount val="5"/>
              </c:numCache>
            </c:numRef>
          </c:val>
          <c:extLst>
            <c:ext xmlns:c16="http://schemas.microsoft.com/office/drawing/2014/chart" uri="{C3380CC4-5D6E-409C-BE32-E72D297353CC}">
              <c16:uniqueId val="{00000003-4961-4915-9B99-3109D3B83338}"/>
            </c:ext>
          </c:extLst>
        </c:ser>
        <c:ser>
          <c:idx val="9"/>
          <c:order val="4"/>
          <c:tx>
            <c:strRef>
              <c:f>'2006 Sampling'!$AY$90:$AY$91</c:f>
              <c:strCache>
                <c:ptCount val="2"/>
              </c:strCache>
            </c:strRef>
          </c:tx>
          <c:spPr>
            <a:solidFill>
              <a:srgbClr val="FF0000"/>
            </a:solidFill>
            <a:ln w="12700">
              <a:solidFill>
                <a:srgbClr val="FF0000"/>
              </a:solidFill>
              <a:prstDash val="solid"/>
            </a:ln>
          </c:spPr>
          <c:invertIfNegative val="0"/>
          <c:cat>
            <c:numRef>
              <c:f>'2006 Sampling'!$AO$92:$AO$96</c:f>
              <c:numCache>
                <c:formatCode>General</c:formatCode>
                <c:ptCount val="5"/>
              </c:numCache>
            </c:numRef>
          </c:cat>
          <c:val>
            <c:numRef>
              <c:f>'2006 Sampling'!$AY$92:$AY$96</c:f>
              <c:numCache>
                <c:formatCode>General</c:formatCode>
                <c:ptCount val="5"/>
              </c:numCache>
            </c:numRef>
          </c:val>
          <c:extLst>
            <c:ext xmlns:c16="http://schemas.microsoft.com/office/drawing/2014/chart" uri="{C3380CC4-5D6E-409C-BE32-E72D297353CC}">
              <c16:uniqueId val="{00000004-4961-4915-9B99-3109D3B83338}"/>
            </c:ext>
          </c:extLst>
        </c:ser>
        <c:dLbls>
          <c:showLegendKey val="0"/>
          <c:showVal val="0"/>
          <c:showCatName val="0"/>
          <c:showSerName val="0"/>
          <c:showPercent val="0"/>
          <c:showBubbleSize val="0"/>
        </c:dLbls>
        <c:gapWidth val="150"/>
        <c:axId val="500058504"/>
        <c:axId val="500060072"/>
      </c:barChart>
      <c:catAx>
        <c:axId val="500058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500060072"/>
        <c:crosses val="autoZero"/>
        <c:auto val="1"/>
        <c:lblAlgn val="ctr"/>
        <c:lblOffset val="100"/>
        <c:tickLblSkip val="1"/>
        <c:tickMarkSkip val="1"/>
        <c:noMultiLvlLbl val="0"/>
      </c:catAx>
      <c:valAx>
        <c:axId val="500060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500058504"/>
        <c:crosses val="autoZero"/>
        <c:crossBetween val="between"/>
      </c:valAx>
      <c:spPr>
        <a:noFill/>
        <a:ln w="25400">
          <a:noFill/>
        </a:ln>
      </c:spPr>
    </c:plotArea>
    <c:legend>
      <c:legendPos val="r"/>
      <c:layout>
        <c:manualLayout>
          <c:xMode val="edge"/>
          <c:yMode val="edge"/>
          <c:wMode val="edge"/>
          <c:hMode val="edge"/>
          <c:x val="0.95379693874899296"/>
          <c:y val="0.36464088397790057"/>
          <c:w val="0.98680023907902592"/>
          <c:h val="0.62983425414364647"/>
        </c:manualLayout>
      </c:layout>
      <c:overlay val="0"/>
      <c:spPr>
        <a:solidFill>
          <a:srgbClr val="FFFFFF"/>
        </a:solidFill>
        <a:ln w="3175">
          <a:solidFill>
            <a:srgbClr val="000000"/>
          </a:solidFill>
          <a:prstDash val="solid"/>
        </a:ln>
      </c:spPr>
      <c:txPr>
        <a:bodyPr/>
        <a:lstStyle/>
        <a:p>
          <a:pPr>
            <a:defRPr sz="7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614436523840423E-2"/>
          <c:y val="7.6712328767123292E-2"/>
          <c:w val="0.75236364341221218"/>
          <c:h val="0.78630136986301369"/>
        </c:manualLayout>
      </c:layout>
      <c:barChart>
        <c:barDir val="col"/>
        <c:grouping val="clustered"/>
        <c:varyColors val="0"/>
        <c:ser>
          <c:idx val="0"/>
          <c:order val="0"/>
          <c:spPr>
            <a:solidFill>
              <a:srgbClr val="0000FF"/>
            </a:solidFill>
            <a:ln w="12700">
              <a:solidFill>
                <a:srgbClr val="0000FF"/>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7BC-4876-BA9C-86F13B22B158}"/>
            </c:ext>
          </c:extLst>
        </c:ser>
        <c:ser>
          <c:idx val="1"/>
          <c:order val="1"/>
          <c:spPr>
            <a:solidFill>
              <a:srgbClr val="FF0000"/>
            </a:solidFill>
            <a:ln w="12700">
              <a:solidFill>
                <a:srgbClr val="FF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1-27BC-4876-BA9C-86F13B22B158}"/>
            </c:ext>
          </c:extLst>
        </c:ser>
        <c:ser>
          <c:idx val="2"/>
          <c:order val="2"/>
          <c:spPr>
            <a:solidFill>
              <a:srgbClr val="008000"/>
            </a:solidFill>
            <a:ln w="12700">
              <a:solidFill>
                <a:srgbClr val="008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2-27BC-4876-BA9C-86F13B22B158}"/>
            </c:ext>
          </c:extLst>
        </c:ser>
        <c:ser>
          <c:idx val="3"/>
          <c:order val="3"/>
          <c:spPr>
            <a:solidFill>
              <a:srgbClr val="FF00FF"/>
            </a:solidFill>
            <a:ln w="12700">
              <a:solidFill>
                <a:srgbClr val="FF00FF"/>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3-27BC-4876-BA9C-86F13B22B158}"/>
            </c:ext>
          </c:extLst>
        </c:ser>
        <c:ser>
          <c:idx val="4"/>
          <c:order val="4"/>
          <c:spPr>
            <a:solidFill>
              <a:srgbClr val="6600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4-27BC-4876-BA9C-86F13B22B158}"/>
            </c:ext>
          </c:extLst>
        </c:ser>
        <c:dLbls>
          <c:showLegendKey val="0"/>
          <c:showVal val="0"/>
          <c:showCatName val="0"/>
          <c:showSerName val="0"/>
          <c:showPercent val="0"/>
          <c:showBubbleSize val="0"/>
        </c:dLbls>
        <c:gapWidth val="150"/>
        <c:axId val="500053800"/>
        <c:axId val="500052232"/>
      </c:barChart>
      <c:catAx>
        <c:axId val="500053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500052232"/>
        <c:crosses val="autoZero"/>
        <c:auto val="1"/>
        <c:lblAlgn val="ctr"/>
        <c:lblOffset val="100"/>
        <c:tickLblSkip val="1"/>
        <c:tickMarkSkip val="1"/>
        <c:noMultiLvlLbl val="0"/>
      </c:catAx>
      <c:valAx>
        <c:axId val="50005223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500053800"/>
        <c:crosses val="autoZero"/>
        <c:crossBetween val="between"/>
      </c:valAx>
      <c:spPr>
        <a:noFill/>
        <a:ln w="25400">
          <a:noFill/>
        </a:ln>
      </c:spPr>
    </c:plotArea>
    <c:legend>
      <c:legendPos val="r"/>
      <c:layout>
        <c:manualLayout>
          <c:xMode val="edge"/>
          <c:yMode val="edge"/>
          <c:wMode val="edge"/>
          <c:hMode val="edge"/>
          <c:x val="0.84877206039226194"/>
          <c:y val="0.30410958904109592"/>
          <c:w val="0.98487811896858823"/>
          <c:h val="0.63561643835616444"/>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92452830188678"/>
          <c:y val="7.6502936365843696E-2"/>
          <c:w val="0.660377358490566"/>
          <c:h val="0.78688734547724948"/>
        </c:manualLayout>
      </c:layout>
      <c:barChart>
        <c:barDir val="col"/>
        <c:grouping val="clustered"/>
        <c:varyColors val="0"/>
        <c:ser>
          <c:idx val="0"/>
          <c:order val="0"/>
          <c:spPr>
            <a:solidFill>
              <a:srgbClr val="0000FF"/>
            </a:solidFill>
            <a:ln w="12700">
              <a:solidFill>
                <a:srgbClr val="0000FF"/>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EFBB-43FE-8C57-45DA87CC3528}"/>
            </c:ext>
          </c:extLst>
        </c:ser>
        <c:ser>
          <c:idx val="1"/>
          <c:order val="1"/>
          <c:spPr>
            <a:solidFill>
              <a:srgbClr val="FF0000"/>
            </a:solidFill>
            <a:ln w="12700">
              <a:solidFill>
                <a:srgbClr val="FF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1-EFBB-43FE-8C57-45DA87CC3528}"/>
            </c:ext>
          </c:extLst>
        </c:ser>
        <c:ser>
          <c:idx val="2"/>
          <c:order val="2"/>
          <c:spPr>
            <a:solidFill>
              <a:srgbClr val="008000"/>
            </a:solidFill>
            <a:ln w="12700">
              <a:solidFill>
                <a:srgbClr val="008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2-EFBB-43FE-8C57-45DA87CC3528}"/>
            </c:ext>
          </c:extLst>
        </c:ser>
        <c:ser>
          <c:idx val="3"/>
          <c:order val="3"/>
          <c:spPr>
            <a:solidFill>
              <a:srgbClr val="FF00FF"/>
            </a:solidFill>
            <a:ln w="12700">
              <a:solidFill>
                <a:srgbClr val="FF00FF"/>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3-EFBB-43FE-8C57-45DA87CC3528}"/>
            </c:ext>
          </c:extLst>
        </c:ser>
        <c:ser>
          <c:idx val="4"/>
          <c:order val="4"/>
          <c:spPr>
            <a:solidFill>
              <a:srgbClr val="6600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4-EFBB-43FE-8C57-45DA87CC3528}"/>
            </c:ext>
          </c:extLst>
        </c:ser>
        <c:dLbls>
          <c:showLegendKey val="0"/>
          <c:showVal val="0"/>
          <c:showCatName val="0"/>
          <c:showSerName val="0"/>
          <c:showPercent val="0"/>
          <c:showBubbleSize val="0"/>
        </c:dLbls>
        <c:gapWidth val="150"/>
        <c:axId val="500059288"/>
        <c:axId val="500056936"/>
      </c:barChart>
      <c:catAx>
        <c:axId val="500059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500056936"/>
        <c:crosses val="autoZero"/>
        <c:auto val="1"/>
        <c:lblAlgn val="ctr"/>
        <c:lblOffset val="100"/>
        <c:tickLblSkip val="1"/>
        <c:tickMarkSkip val="1"/>
        <c:noMultiLvlLbl val="0"/>
      </c:catAx>
      <c:valAx>
        <c:axId val="500056936"/>
        <c:scaling>
          <c:orientation val="minMax"/>
          <c:max val="12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500059288"/>
        <c:crosses val="autoZero"/>
        <c:crossBetween val="between"/>
      </c:valAx>
      <c:spPr>
        <a:noFill/>
        <a:ln w="25400">
          <a:noFill/>
        </a:ln>
      </c:spPr>
    </c:plotArea>
    <c:legend>
      <c:legendPos val="r"/>
      <c:layout>
        <c:manualLayout>
          <c:xMode val="edge"/>
          <c:yMode val="edge"/>
          <c:wMode val="edge"/>
          <c:hMode val="edge"/>
          <c:x val="0.84905660377358494"/>
          <c:y val="0.30601178950991781"/>
          <c:w val="0.98490566037735849"/>
          <c:h val="0.63661374295426187"/>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5929203539823"/>
          <c:y val="6.7750856810152041E-2"/>
          <c:w val="0.77654867256637172"/>
          <c:h val="0.86179089862513403"/>
        </c:manualLayout>
      </c:layout>
      <c:barChart>
        <c:barDir val="col"/>
        <c:grouping val="clustered"/>
        <c:varyColors val="0"/>
        <c:ser>
          <c:idx val="0"/>
          <c:order val="0"/>
          <c:tx>
            <c:strRef>
              <c:f>'2006 Sampling'!$AP$90:$AP$91</c:f>
              <c:strCache>
                <c:ptCount val="2"/>
              </c:strCache>
            </c:strRef>
          </c:tx>
          <c:spPr>
            <a:solidFill>
              <a:srgbClr val="0000FF"/>
            </a:solidFill>
            <a:ln w="12700">
              <a:solidFill>
                <a:srgbClr val="0000FF"/>
              </a:solidFill>
              <a:prstDash val="solid"/>
            </a:ln>
          </c:spPr>
          <c:invertIfNegative val="0"/>
          <c:cat>
            <c:numRef>
              <c:f>'2006 Sampling'!$AO$92:$AO$96</c:f>
              <c:numCache>
                <c:formatCode>General</c:formatCode>
                <c:ptCount val="5"/>
              </c:numCache>
            </c:numRef>
          </c:cat>
          <c:val>
            <c:numRef>
              <c:f>'2006 Sampling'!$AP$92:$AP$96</c:f>
              <c:numCache>
                <c:formatCode>General</c:formatCode>
                <c:ptCount val="5"/>
              </c:numCache>
            </c:numRef>
          </c:val>
          <c:extLst>
            <c:ext xmlns:c16="http://schemas.microsoft.com/office/drawing/2014/chart" uri="{C3380CC4-5D6E-409C-BE32-E72D297353CC}">
              <c16:uniqueId val="{00000000-BBB9-48C0-B94B-83986573961D}"/>
            </c:ext>
          </c:extLst>
        </c:ser>
        <c:ser>
          <c:idx val="2"/>
          <c:order val="1"/>
          <c:tx>
            <c:strRef>
              <c:f>'2006 Sampling'!$AR$90:$AR$91</c:f>
              <c:strCache>
                <c:ptCount val="2"/>
              </c:strCache>
            </c:strRef>
          </c:tx>
          <c:spPr>
            <a:solidFill>
              <a:srgbClr val="FF00FF"/>
            </a:solidFill>
            <a:ln w="12700">
              <a:solidFill>
                <a:srgbClr val="FF00FF"/>
              </a:solidFill>
              <a:prstDash val="solid"/>
            </a:ln>
          </c:spPr>
          <c:invertIfNegative val="0"/>
          <c:cat>
            <c:numRef>
              <c:f>'2006 Sampling'!$AO$92:$AO$96</c:f>
              <c:numCache>
                <c:formatCode>General</c:formatCode>
                <c:ptCount val="5"/>
              </c:numCache>
            </c:numRef>
          </c:cat>
          <c:val>
            <c:numRef>
              <c:f>'2006 Sampling'!$AR$92:$AR$96</c:f>
              <c:numCache>
                <c:formatCode>General</c:formatCode>
                <c:ptCount val="5"/>
              </c:numCache>
            </c:numRef>
          </c:val>
          <c:extLst>
            <c:ext xmlns:c16="http://schemas.microsoft.com/office/drawing/2014/chart" uri="{C3380CC4-5D6E-409C-BE32-E72D297353CC}">
              <c16:uniqueId val="{00000001-BBB9-48C0-B94B-83986573961D}"/>
            </c:ext>
          </c:extLst>
        </c:ser>
        <c:ser>
          <c:idx val="4"/>
          <c:order val="2"/>
          <c:tx>
            <c:strRef>
              <c:f>'2006 Sampling'!$AT$90:$AT$91</c:f>
              <c:strCache>
                <c:ptCount val="2"/>
              </c:strCache>
            </c:strRef>
          </c:tx>
          <c:spPr>
            <a:solidFill>
              <a:srgbClr val="008000"/>
            </a:solidFill>
            <a:ln w="12700">
              <a:solidFill>
                <a:srgbClr val="008000"/>
              </a:solidFill>
              <a:prstDash val="solid"/>
            </a:ln>
          </c:spPr>
          <c:invertIfNegative val="0"/>
          <c:cat>
            <c:numRef>
              <c:f>'2006 Sampling'!$AO$92:$AO$96</c:f>
              <c:numCache>
                <c:formatCode>General</c:formatCode>
                <c:ptCount val="5"/>
              </c:numCache>
            </c:numRef>
          </c:cat>
          <c:val>
            <c:numRef>
              <c:f>'2006 Sampling'!$AT$92:$AT$96</c:f>
              <c:numCache>
                <c:formatCode>General</c:formatCode>
                <c:ptCount val="5"/>
              </c:numCache>
            </c:numRef>
          </c:val>
          <c:extLst>
            <c:ext xmlns:c16="http://schemas.microsoft.com/office/drawing/2014/chart" uri="{C3380CC4-5D6E-409C-BE32-E72D297353CC}">
              <c16:uniqueId val="{00000002-BBB9-48C0-B94B-83986573961D}"/>
            </c:ext>
          </c:extLst>
        </c:ser>
        <c:ser>
          <c:idx val="6"/>
          <c:order val="3"/>
          <c:tx>
            <c:strRef>
              <c:f>'2006 Sampling'!$AV$90:$AV$91</c:f>
              <c:strCache>
                <c:ptCount val="2"/>
              </c:strCache>
            </c:strRef>
          </c:tx>
          <c:spPr>
            <a:solidFill>
              <a:srgbClr val="000080"/>
            </a:solidFill>
            <a:ln w="12700">
              <a:solidFill>
                <a:srgbClr val="000080"/>
              </a:solidFill>
              <a:prstDash val="solid"/>
            </a:ln>
          </c:spPr>
          <c:invertIfNegative val="0"/>
          <c:cat>
            <c:numRef>
              <c:f>'2006 Sampling'!$AO$92:$AO$96</c:f>
              <c:numCache>
                <c:formatCode>General</c:formatCode>
                <c:ptCount val="5"/>
              </c:numCache>
            </c:numRef>
          </c:cat>
          <c:val>
            <c:numRef>
              <c:f>'2006 Sampling'!$AV$92:$AV$96</c:f>
              <c:numCache>
                <c:formatCode>General</c:formatCode>
                <c:ptCount val="5"/>
              </c:numCache>
            </c:numRef>
          </c:val>
          <c:extLst>
            <c:ext xmlns:c16="http://schemas.microsoft.com/office/drawing/2014/chart" uri="{C3380CC4-5D6E-409C-BE32-E72D297353CC}">
              <c16:uniqueId val="{00000003-BBB9-48C0-B94B-83986573961D}"/>
            </c:ext>
          </c:extLst>
        </c:ser>
        <c:ser>
          <c:idx val="8"/>
          <c:order val="4"/>
          <c:tx>
            <c:strRef>
              <c:f>'2006 Sampling'!$AX$90:$AX$91</c:f>
              <c:strCache>
                <c:ptCount val="2"/>
              </c:strCache>
            </c:strRef>
          </c:tx>
          <c:spPr>
            <a:solidFill>
              <a:srgbClr val="FF0000"/>
            </a:solidFill>
            <a:ln w="12700">
              <a:solidFill>
                <a:srgbClr val="FF0000"/>
              </a:solidFill>
              <a:prstDash val="solid"/>
            </a:ln>
          </c:spPr>
          <c:invertIfNegative val="0"/>
          <c:cat>
            <c:numRef>
              <c:f>'2006 Sampling'!$AO$92:$AO$96</c:f>
              <c:numCache>
                <c:formatCode>General</c:formatCode>
                <c:ptCount val="5"/>
              </c:numCache>
            </c:numRef>
          </c:cat>
          <c:val>
            <c:numRef>
              <c:f>'2006 Sampling'!$AX$92:$AX$96</c:f>
              <c:numCache>
                <c:formatCode>General</c:formatCode>
                <c:ptCount val="5"/>
              </c:numCache>
            </c:numRef>
          </c:val>
          <c:extLst>
            <c:ext xmlns:c16="http://schemas.microsoft.com/office/drawing/2014/chart" uri="{C3380CC4-5D6E-409C-BE32-E72D297353CC}">
              <c16:uniqueId val="{00000004-BBB9-48C0-B94B-83986573961D}"/>
            </c:ext>
          </c:extLst>
        </c:ser>
        <c:dLbls>
          <c:showLegendKey val="0"/>
          <c:showVal val="0"/>
          <c:showCatName val="0"/>
          <c:showSerName val="0"/>
          <c:showPercent val="0"/>
          <c:showBubbleSize val="0"/>
        </c:dLbls>
        <c:gapWidth val="150"/>
        <c:axId val="500052624"/>
        <c:axId val="500058112"/>
      </c:barChart>
      <c:catAx>
        <c:axId val="5000526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00058112"/>
        <c:crosses val="autoZero"/>
        <c:auto val="1"/>
        <c:lblAlgn val="ctr"/>
        <c:lblOffset val="100"/>
        <c:tickLblSkip val="1"/>
        <c:tickMarkSkip val="1"/>
        <c:noMultiLvlLbl val="0"/>
      </c:catAx>
      <c:valAx>
        <c:axId val="500058112"/>
        <c:scaling>
          <c:orientation val="minMax"/>
          <c:max val="14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00052624"/>
        <c:crosses val="autoZero"/>
        <c:crossBetween val="between"/>
      </c:valAx>
      <c:spPr>
        <a:noFill/>
        <a:ln w="25400">
          <a:noFill/>
        </a:ln>
      </c:spPr>
    </c:plotArea>
    <c:legend>
      <c:legendPos val="r"/>
      <c:layout>
        <c:manualLayout>
          <c:xMode val="edge"/>
          <c:yMode val="edge"/>
          <c:wMode val="edge"/>
          <c:hMode val="edge"/>
          <c:x val="0.94247787610619471"/>
          <c:y val="0.37669490500679287"/>
          <c:w val="0.98230088495575218"/>
          <c:h val="0.62330794016601587"/>
        </c:manualLayout>
      </c:layout>
      <c:overlay val="0"/>
      <c:spPr>
        <a:solidFill>
          <a:srgbClr val="FFFFFF"/>
        </a:solidFill>
        <a:ln w="3175">
          <a:solidFill>
            <a:srgbClr val="000000"/>
          </a:solidFill>
          <a:prstDash val="solid"/>
        </a:ln>
      </c:spPr>
      <c:txPr>
        <a:bodyPr/>
        <a:lstStyle/>
        <a:p>
          <a:pPr>
            <a:defRPr sz="6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0-DF68-48A9-A60B-2EB62A6F110E}"/>
            </c:ext>
          </c:extLst>
        </c:ser>
        <c:ser>
          <c:idx val="1"/>
          <c:order val="1"/>
          <c:tx>
            <c:strRef>
              <c:f>'2006 Sampling'!$BC$31</c:f>
              <c:strCache>
                <c:ptCount val="1"/>
              </c:strCache>
            </c:strRef>
          </c:tx>
          <c:spPr>
            <a:solidFill>
              <a:srgbClr val="FF00FF"/>
            </a:solidFill>
            <a:ln w="12700">
              <a:solidFill>
                <a:srgbClr val="FF00FF"/>
              </a:solidFill>
              <a:prstDash val="solid"/>
            </a:ln>
          </c:spPr>
          <c:invertIfNegative val="0"/>
          <c:val>
            <c:numRef>
              <c:f>'2006 Sampling'!$BD$31:$BQ$31</c:f>
              <c:numCache>
                <c:formatCode>General</c:formatCode>
                <c:ptCount val="14"/>
              </c:numCache>
            </c:numRef>
          </c:val>
          <c:extLst>
            <c:ext xmlns:c16="http://schemas.microsoft.com/office/drawing/2014/chart" uri="{C3380CC4-5D6E-409C-BE32-E72D297353CC}">
              <c16:uniqueId val="{00000001-DF68-48A9-A60B-2EB62A6F110E}"/>
            </c:ext>
          </c:extLst>
        </c:ser>
        <c:ser>
          <c:idx val="2"/>
          <c:order val="2"/>
          <c:tx>
            <c:strRef>
              <c:f>'2006 Sampling'!$BC$32</c:f>
              <c:strCache>
                <c:ptCount val="1"/>
              </c:strCache>
            </c:strRef>
          </c:tx>
          <c:spPr>
            <a:solidFill>
              <a:srgbClr val="008000"/>
            </a:solidFill>
            <a:ln w="12700">
              <a:solidFill>
                <a:srgbClr val="008000"/>
              </a:solidFill>
              <a:prstDash val="solid"/>
            </a:ln>
          </c:spPr>
          <c:invertIfNegative val="0"/>
          <c:val>
            <c:numRef>
              <c:f>'2006 Sampling'!$BD$32:$BQ$32</c:f>
              <c:numCache>
                <c:formatCode>General</c:formatCode>
                <c:ptCount val="14"/>
              </c:numCache>
            </c:numRef>
          </c:val>
          <c:extLst>
            <c:ext xmlns:c16="http://schemas.microsoft.com/office/drawing/2014/chart" uri="{C3380CC4-5D6E-409C-BE32-E72D297353CC}">
              <c16:uniqueId val="{00000002-DF68-48A9-A60B-2EB62A6F110E}"/>
            </c:ext>
          </c:extLst>
        </c:ser>
        <c:ser>
          <c:idx val="3"/>
          <c:order val="3"/>
          <c:tx>
            <c:strRef>
              <c:f>'2006 Sampling'!$BC$34</c:f>
              <c:strCache>
                <c:ptCount val="1"/>
              </c:strCache>
            </c:strRef>
          </c:tx>
          <c:spPr>
            <a:solidFill>
              <a:srgbClr val="000080"/>
            </a:solidFill>
            <a:ln w="12700">
              <a:solidFill>
                <a:srgbClr val="000080"/>
              </a:solidFill>
              <a:prstDash val="solid"/>
            </a:ln>
          </c:spPr>
          <c:invertIfNegative val="0"/>
          <c:val>
            <c:numRef>
              <c:f>'2006 Sampling'!$BD$34:$BQ$34</c:f>
              <c:numCache>
                <c:formatCode>General</c:formatCode>
                <c:ptCount val="14"/>
              </c:numCache>
            </c:numRef>
          </c:val>
          <c:extLst>
            <c:ext xmlns:c16="http://schemas.microsoft.com/office/drawing/2014/chart" uri="{C3380CC4-5D6E-409C-BE32-E72D297353CC}">
              <c16:uniqueId val="{00000003-DF68-48A9-A60B-2EB62A6F110E}"/>
            </c:ext>
          </c:extLst>
        </c:ser>
        <c:ser>
          <c:idx val="4"/>
          <c:order val="4"/>
          <c:tx>
            <c:strRef>
              <c:f>'2006 Sampling'!$BC$35</c:f>
              <c:strCache>
                <c:ptCount val="1"/>
              </c:strCache>
            </c:strRef>
          </c:tx>
          <c:spPr>
            <a:solidFill>
              <a:srgbClr val="FF0000"/>
            </a:solidFill>
            <a:ln w="12700">
              <a:solidFill>
                <a:srgbClr val="FF0000"/>
              </a:solidFill>
              <a:prstDash val="solid"/>
            </a:ln>
          </c:spPr>
          <c:invertIfNegative val="0"/>
          <c:val>
            <c:numRef>
              <c:f>'2006 Sampling'!$BD$35:$BQ$35</c:f>
              <c:numCache>
                <c:formatCode>General</c:formatCode>
                <c:ptCount val="14"/>
              </c:numCache>
            </c:numRef>
          </c:val>
          <c:extLst>
            <c:ext xmlns:c16="http://schemas.microsoft.com/office/drawing/2014/chart" uri="{C3380CC4-5D6E-409C-BE32-E72D297353CC}">
              <c16:uniqueId val="{00000004-DF68-48A9-A60B-2EB62A6F110E}"/>
            </c:ext>
          </c:extLst>
        </c:ser>
        <c:dLbls>
          <c:showLegendKey val="0"/>
          <c:showVal val="0"/>
          <c:showCatName val="0"/>
          <c:showSerName val="0"/>
          <c:showPercent val="0"/>
          <c:showBubbleSize val="0"/>
        </c:dLbls>
        <c:gapWidth val="75"/>
        <c:axId val="494065200"/>
        <c:axId val="494062848"/>
      </c:barChart>
      <c:catAx>
        <c:axId val="49406520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50" b="0" i="0" u="none" strike="noStrike" baseline="0">
                <a:solidFill>
                  <a:srgbClr val="000000"/>
                </a:solidFill>
                <a:latin typeface="Arial"/>
                <a:ea typeface="Arial"/>
                <a:cs typeface="Arial"/>
              </a:defRPr>
            </a:pPr>
            <a:endParaRPr lang="en-US"/>
          </a:p>
        </c:txPr>
        <c:crossAx val="494062848"/>
        <c:crosses val="autoZero"/>
        <c:auto val="1"/>
        <c:lblAlgn val="ctr"/>
        <c:lblOffset val="100"/>
        <c:tickLblSkip val="2"/>
        <c:tickMarkSkip val="1"/>
        <c:noMultiLvlLbl val="0"/>
      </c:catAx>
      <c:valAx>
        <c:axId val="49406284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5200"/>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60324344690124"/>
          <c:y val="6.3775510204081634E-2"/>
          <c:w val="0.72949081196604326"/>
          <c:h val="0.86989795918367352"/>
        </c:manualLayout>
      </c:layout>
      <c:barChart>
        <c:barDir val="col"/>
        <c:grouping val="clustered"/>
        <c:varyColors val="0"/>
        <c:ser>
          <c:idx val="1"/>
          <c:order val="0"/>
          <c:tx>
            <c:strRef>
              <c:f>'2006 Sampling'!#REF!</c:f>
            </c:strRef>
          </c:tx>
          <c:spPr>
            <a:solidFill>
              <a:srgbClr val="800080"/>
            </a:solidFill>
            <a:ln w="12700">
              <a:solidFill>
                <a:srgbClr val="800080"/>
              </a:solidFill>
              <a:prstDash val="solid"/>
            </a:ln>
          </c:spPr>
          <c:invertIfNegative val="0"/>
          <c:cat>
            <c:numRef>
              <c:f>('2006 Sampling'!$AP$90,'2006 Sampling'!$AR$90,'2006 Sampling'!$AT$90,'2006 Sampling'!$AV$90,'2006 Sampling'!$AX$90)</c:f>
              <c:numCache>
                <c:formatCode>General</c:formatCode>
                <c:ptCount val="5"/>
              </c:numCache>
            </c:numRef>
          </c:cat>
          <c:val>
            <c:numRef>
              <c:f>('2006 Sampling'!#REF!,'2006 Sampling'!#REF!,'2006 Sampling'!#REF!,'2006 Sampling'!#REF!,'2006 Sampling'!#REF!)</c:f>
              <c:numCache>
                <c:formatCode>General</c:formatCode>
                <c:ptCount val="1"/>
                <c:pt idx="0">
                  <c:v>1</c:v>
                </c:pt>
              </c:numCache>
            </c:numRef>
          </c:val>
          <c:extLst>
            <c:ext xmlns:c16="http://schemas.microsoft.com/office/drawing/2014/chart" uri="{C3380CC4-5D6E-409C-BE32-E72D297353CC}">
              <c16:uniqueId val="{00000000-A582-4037-9A9E-2C6ED8B69F5C}"/>
            </c:ext>
          </c:extLst>
        </c:ser>
        <c:ser>
          <c:idx val="3"/>
          <c:order val="1"/>
          <c:tx>
            <c:strRef>
              <c:f>'2006 Sampling'!$AO$92</c:f>
              <c:strCache>
                <c:ptCount val="1"/>
              </c:strCache>
            </c:strRef>
          </c:tx>
          <c:spPr>
            <a:solidFill>
              <a:srgbClr val="0000FF"/>
            </a:solidFill>
            <a:ln w="12700">
              <a:solidFill>
                <a:srgbClr val="0000FF"/>
              </a:solidFill>
              <a:prstDash val="solid"/>
            </a:ln>
          </c:spPr>
          <c:invertIfNegative val="0"/>
          <c:cat>
            <c:numRef>
              <c:f>('2006 Sampling'!$AP$90,'2006 Sampling'!$AR$90,'2006 Sampling'!$AT$90,'2006 Sampling'!$AV$90,'2006 Sampling'!$AX$90)</c:f>
              <c:numCache>
                <c:formatCode>General</c:formatCode>
                <c:ptCount val="5"/>
              </c:numCache>
            </c:numRef>
          </c:cat>
          <c:val>
            <c:numRef>
              <c:f>('2006 Sampling'!$AQ$92,'2006 Sampling'!$AS$92,'2006 Sampling'!$AU$92,'2006 Sampling'!$AW$92,'2006 Sampling'!$AY$92)</c:f>
              <c:numCache>
                <c:formatCode>General</c:formatCode>
                <c:ptCount val="5"/>
              </c:numCache>
            </c:numRef>
          </c:val>
          <c:extLst>
            <c:ext xmlns:c16="http://schemas.microsoft.com/office/drawing/2014/chart" uri="{C3380CC4-5D6E-409C-BE32-E72D297353CC}">
              <c16:uniqueId val="{00000001-A582-4037-9A9E-2C6ED8B69F5C}"/>
            </c:ext>
          </c:extLst>
        </c:ser>
        <c:ser>
          <c:idx val="5"/>
          <c:order val="2"/>
          <c:tx>
            <c:strRef>
              <c:f>'2006 Sampling'!$AO$93</c:f>
              <c:strCache>
                <c:ptCount val="1"/>
              </c:strCache>
            </c:strRef>
          </c:tx>
          <c:spPr>
            <a:solidFill>
              <a:srgbClr val="FF00FF"/>
            </a:solidFill>
            <a:ln w="12700">
              <a:solidFill>
                <a:srgbClr val="FF00FF"/>
              </a:solidFill>
              <a:prstDash val="solid"/>
            </a:ln>
          </c:spPr>
          <c:invertIfNegative val="0"/>
          <c:cat>
            <c:numRef>
              <c:f>('2006 Sampling'!$AP$90,'2006 Sampling'!$AR$90,'2006 Sampling'!$AT$90,'2006 Sampling'!$AV$90,'2006 Sampling'!$AX$90)</c:f>
              <c:numCache>
                <c:formatCode>General</c:formatCode>
                <c:ptCount val="5"/>
              </c:numCache>
            </c:numRef>
          </c:cat>
          <c:val>
            <c:numRef>
              <c:f>('2006 Sampling'!$AQ$93,'2006 Sampling'!$AS$93,'2006 Sampling'!$AU$93,'2006 Sampling'!$AW$93,'2006 Sampling'!$AY$93)</c:f>
              <c:numCache>
                <c:formatCode>General</c:formatCode>
                <c:ptCount val="5"/>
              </c:numCache>
            </c:numRef>
          </c:val>
          <c:extLst>
            <c:ext xmlns:c16="http://schemas.microsoft.com/office/drawing/2014/chart" uri="{C3380CC4-5D6E-409C-BE32-E72D297353CC}">
              <c16:uniqueId val="{00000002-A582-4037-9A9E-2C6ED8B69F5C}"/>
            </c:ext>
          </c:extLst>
        </c:ser>
        <c:ser>
          <c:idx val="7"/>
          <c:order val="3"/>
          <c:tx>
            <c:strRef>
              <c:f>'2006 Sampling'!$AO$94</c:f>
              <c:strCache>
                <c:ptCount val="1"/>
              </c:strCache>
            </c:strRef>
          </c:tx>
          <c:spPr>
            <a:solidFill>
              <a:srgbClr val="008000"/>
            </a:solidFill>
            <a:ln w="12700">
              <a:solidFill>
                <a:srgbClr val="008000"/>
              </a:solidFill>
              <a:prstDash val="solid"/>
            </a:ln>
          </c:spPr>
          <c:invertIfNegative val="0"/>
          <c:cat>
            <c:numRef>
              <c:f>('2006 Sampling'!$AP$90,'2006 Sampling'!$AR$90,'2006 Sampling'!$AT$90,'2006 Sampling'!$AV$90,'2006 Sampling'!$AX$90)</c:f>
              <c:numCache>
                <c:formatCode>General</c:formatCode>
                <c:ptCount val="5"/>
              </c:numCache>
            </c:numRef>
          </c:cat>
          <c:val>
            <c:numRef>
              <c:f>('2006 Sampling'!$AQ$94,'2006 Sampling'!$AS$94,'2006 Sampling'!$AU$94,'2006 Sampling'!$AW$94,'2006 Sampling'!$AY$94)</c:f>
              <c:numCache>
                <c:formatCode>General</c:formatCode>
                <c:ptCount val="5"/>
              </c:numCache>
            </c:numRef>
          </c:val>
          <c:extLst>
            <c:ext xmlns:c16="http://schemas.microsoft.com/office/drawing/2014/chart" uri="{C3380CC4-5D6E-409C-BE32-E72D297353CC}">
              <c16:uniqueId val="{00000003-A582-4037-9A9E-2C6ED8B69F5C}"/>
            </c:ext>
          </c:extLst>
        </c:ser>
        <c:ser>
          <c:idx val="9"/>
          <c:order val="4"/>
          <c:tx>
            <c:strRef>
              <c:f>'2006 Sampling'!$AO$95</c:f>
              <c:strCache>
                <c:ptCount val="1"/>
              </c:strCache>
            </c:strRef>
          </c:tx>
          <c:spPr>
            <a:solidFill>
              <a:srgbClr val="000080"/>
            </a:solidFill>
            <a:ln w="12700">
              <a:solidFill>
                <a:srgbClr val="000080"/>
              </a:solidFill>
              <a:prstDash val="solid"/>
            </a:ln>
          </c:spPr>
          <c:invertIfNegative val="0"/>
          <c:cat>
            <c:numRef>
              <c:f>('2006 Sampling'!$AP$90,'2006 Sampling'!$AR$90,'2006 Sampling'!$AT$90,'2006 Sampling'!$AV$90,'2006 Sampling'!$AX$90)</c:f>
              <c:numCache>
                <c:formatCode>General</c:formatCode>
                <c:ptCount val="5"/>
              </c:numCache>
            </c:numRef>
          </c:cat>
          <c:val>
            <c:numRef>
              <c:f>('2006 Sampling'!$AQ$95,'2006 Sampling'!$AS$95,'2006 Sampling'!$AU$95,'2006 Sampling'!$AW$95,'2006 Sampling'!$AY$95)</c:f>
              <c:numCache>
                <c:formatCode>General</c:formatCode>
                <c:ptCount val="5"/>
              </c:numCache>
            </c:numRef>
          </c:val>
          <c:extLst>
            <c:ext xmlns:c16="http://schemas.microsoft.com/office/drawing/2014/chart" uri="{C3380CC4-5D6E-409C-BE32-E72D297353CC}">
              <c16:uniqueId val="{00000004-A582-4037-9A9E-2C6ED8B69F5C}"/>
            </c:ext>
          </c:extLst>
        </c:ser>
        <c:ser>
          <c:idx val="0"/>
          <c:order val="5"/>
          <c:tx>
            <c:strRef>
              <c:f>'2006 Sampling'!$AO$96</c:f>
              <c:strCache>
                <c:ptCount val="1"/>
              </c:strCache>
            </c:strRef>
          </c:tx>
          <c:spPr>
            <a:solidFill>
              <a:srgbClr val="FF0000"/>
            </a:solidFill>
            <a:ln w="12700">
              <a:solidFill>
                <a:srgbClr val="FF0000"/>
              </a:solidFill>
              <a:prstDash val="solid"/>
            </a:ln>
          </c:spPr>
          <c:invertIfNegative val="0"/>
          <c:cat>
            <c:numRef>
              <c:f>('2006 Sampling'!$AP$90,'2006 Sampling'!$AR$90,'2006 Sampling'!$AT$90,'2006 Sampling'!$AV$90,'2006 Sampling'!$AX$90)</c:f>
              <c:numCache>
                <c:formatCode>General</c:formatCode>
                <c:ptCount val="5"/>
              </c:numCache>
            </c:numRef>
          </c:cat>
          <c:val>
            <c:numRef>
              <c:f>('2006 Sampling'!$AQ$96,'2006 Sampling'!$AS$96,'2006 Sampling'!$AU$96,'2006 Sampling'!$AW$96,'2006 Sampling'!$AY$96)</c:f>
              <c:numCache>
                <c:formatCode>General</c:formatCode>
                <c:ptCount val="5"/>
              </c:numCache>
            </c:numRef>
          </c:val>
          <c:extLst>
            <c:ext xmlns:c16="http://schemas.microsoft.com/office/drawing/2014/chart" uri="{C3380CC4-5D6E-409C-BE32-E72D297353CC}">
              <c16:uniqueId val="{00000005-A582-4037-9A9E-2C6ED8B69F5C}"/>
            </c:ext>
          </c:extLst>
        </c:ser>
        <c:dLbls>
          <c:showLegendKey val="0"/>
          <c:showVal val="0"/>
          <c:showCatName val="0"/>
          <c:showSerName val="0"/>
          <c:showPercent val="0"/>
          <c:showBubbleSize val="0"/>
        </c:dLbls>
        <c:gapWidth val="150"/>
        <c:axId val="500060464"/>
        <c:axId val="500060856"/>
      </c:barChart>
      <c:catAx>
        <c:axId val="500060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00060856"/>
        <c:crosses val="autoZero"/>
        <c:auto val="1"/>
        <c:lblAlgn val="ctr"/>
        <c:lblOffset val="100"/>
        <c:tickLblSkip val="1"/>
        <c:tickMarkSkip val="1"/>
        <c:noMultiLvlLbl val="0"/>
      </c:catAx>
      <c:valAx>
        <c:axId val="500060856"/>
        <c:scaling>
          <c:orientation val="minMax"/>
          <c:max val="25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00060464"/>
        <c:crosses val="autoZero"/>
        <c:crossBetween val="between"/>
      </c:valAx>
      <c:spPr>
        <a:noFill/>
        <a:ln w="25400">
          <a:noFill/>
        </a:ln>
      </c:spPr>
    </c:plotArea>
    <c:legend>
      <c:legendPos val="r"/>
      <c:layout>
        <c:manualLayout>
          <c:xMode val="edge"/>
          <c:yMode val="edge"/>
          <c:wMode val="edge"/>
          <c:hMode val="edge"/>
          <c:x val="0.88248430143571299"/>
          <c:y val="0.35204081632653061"/>
          <c:w val="0.98226257194569078"/>
          <c:h val="0.64540816326530615"/>
        </c:manualLayout>
      </c:layout>
      <c:overlay val="0"/>
      <c:spPr>
        <a:solidFill>
          <a:srgbClr val="FFFFFF"/>
        </a:solidFill>
        <a:ln w="3175">
          <a:solidFill>
            <a:srgbClr val="000000"/>
          </a:solidFill>
          <a:prstDash val="solid"/>
        </a:ln>
      </c:spPr>
      <c:txPr>
        <a:bodyPr/>
        <a:lstStyle/>
        <a:p>
          <a:pPr>
            <a:defRPr sz="6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394809629844132E-2"/>
          <c:y val="7.0621663747086172E-2"/>
          <c:w val="0.86094241465046384"/>
          <c:h val="0.85593456461468431"/>
        </c:manualLayout>
      </c:layout>
      <c:barChart>
        <c:barDir val="col"/>
        <c:grouping val="clustered"/>
        <c:varyColors val="0"/>
        <c:ser>
          <c:idx val="0"/>
          <c:order val="0"/>
          <c:tx>
            <c:strRef>
              <c:f>'2006 Sampling'!$AN$99</c:f>
              <c:strCache>
                <c:ptCount val="1"/>
              </c:strCache>
            </c:strRef>
          </c:tx>
          <c:spPr>
            <a:solidFill>
              <a:srgbClr val="0000FF"/>
            </a:solidFill>
            <a:ln w="12700">
              <a:solidFill>
                <a:srgbClr val="0000FF"/>
              </a:solidFill>
              <a:prstDash val="solid"/>
            </a:ln>
          </c:spPr>
          <c:invertIfNegative val="0"/>
          <c:cat>
            <c:numRef>
              <c:f>'2006 Sampling'!$AO$90:$AX$90</c:f>
              <c:numCache>
                <c:formatCode>General</c:formatCode>
                <c:ptCount val="10"/>
              </c:numCache>
            </c:numRef>
          </c:cat>
          <c:val>
            <c:numRef>
              <c:f>'2006 Sampling'!$AO$99:$AX$99</c:f>
              <c:numCache>
                <c:formatCode>General</c:formatCode>
                <c:ptCount val="10"/>
              </c:numCache>
            </c:numRef>
          </c:val>
          <c:extLst>
            <c:ext xmlns:c16="http://schemas.microsoft.com/office/drawing/2014/chart" uri="{C3380CC4-5D6E-409C-BE32-E72D297353CC}">
              <c16:uniqueId val="{00000000-35D4-49D6-B67F-265A734CEA97}"/>
            </c:ext>
          </c:extLst>
        </c:ser>
        <c:ser>
          <c:idx val="1"/>
          <c:order val="1"/>
          <c:tx>
            <c:strRef>
              <c:f>'2006 Sampling'!$AN$100</c:f>
              <c:strCache>
                <c:ptCount val="1"/>
              </c:strCache>
            </c:strRef>
          </c:tx>
          <c:spPr>
            <a:solidFill>
              <a:srgbClr val="FF0000"/>
            </a:solidFill>
            <a:ln w="12700">
              <a:solidFill>
                <a:srgbClr val="FF0000"/>
              </a:solidFill>
              <a:prstDash val="solid"/>
            </a:ln>
          </c:spPr>
          <c:invertIfNegative val="0"/>
          <c:cat>
            <c:numRef>
              <c:f>'2006 Sampling'!$AO$90:$AX$90</c:f>
              <c:numCache>
                <c:formatCode>General</c:formatCode>
                <c:ptCount val="10"/>
              </c:numCache>
            </c:numRef>
          </c:cat>
          <c:val>
            <c:numRef>
              <c:f>'2006 Sampling'!$AO$100:$AX$100</c:f>
              <c:numCache>
                <c:formatCode>General</c:formatCode>
                <c:ptCount val="10"/>
              </c:numCache>
            </c:numRef>
          </c:val>
          <c:extLst>
            <c:ext xmlns:c16="http://schemas.microsoft.com/office/drawing/2014/chart" uri="{C3380CC4-5D6E-409C-BE32-E72D297353CC}">
              <c16:uniqueId val="{00000001-35D4-49D6-B67F-265A734CEA97}"/>
            </c:ext>
          </c:extLst>
        </c:ser>
        <c:dLbls>
          <c:showLegendKey val="0"/>
          <c:showVal val="0"/>
          <c:showCatName val="0"/>
          <c:showSerName val="0"/>
          <c:showPercent val="0"/>
          <c:showBubbleSize val="0"/>
        </c:dLbls>
        <c:gapWidth val="10"/>
        <c:axId val="500050664"/>
        <c:axId val="500053016"/>
      </c:barChart>
      <c:catAx>
        <c:axId val="5000506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00053016"/>
        <c:crosses val="autoZero"/>
        <c:auto val="1"/>
        <c:lblAlgn val="ctr"/>
        <c:lblOffset val="100"/>
        <c:tickLblSkip val="1"/>
        <c:tickMarkSkip val="1"/>
        <c:noMultiLvlLbl val="0"/>
      </c:catAx>
      <c:valAx>
        <c:axId val="50005301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00050664"/>
        <c:crosses val="autoZero"/>
        <c:crossBetween val="between"/>
      </c:valAx>
      <c:spPr>
        <a:noFill/>
        <a:ln w="25400">
          <a:noFill/>
        </a:ln>
      </c:spPr>
    </c:plotArea>
    <c:legend>
      <c:legendPos val="r"/>
      <c:layout>
        <c:manualLayout>
          <c:xMode val="edge"/>
          <c:yMode val="edge"/>
          <c:wMode val="edge"/>
          <c:hMode val="edge"/>
          <c:x val="0.94683219812247399"/>
          <c:y val="0.44632886990821063"/>
          <c:w val="0.98364201407339424"/>
          <c:h val="0.55084894049260791"/>
        </c:manualLayout>
      </c:layout>
      <c:overlay val="0"/>
      <c:spPr>
        <a:solidFill>
          <a:srgbClr val="FFFFFF"/>
        </a:solidFill>
        <a:ln w="3175">
          <a:solidFill>
            <a:srgbClr val="000000"/>
          </a:solidFill>
          <a:prstDash val="solid"/>
        </a:ln>
      </c:spPr>
      <c:txPr>
        <a:bodyPr/>
        <a:lstStyle/>
        <a:p>
          <a:pPr>
            <a:defRPr sz="6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2068965517241378E-2"/>
          <c:y val="7.3239537356317885E-2"/>
          <c:w val="0.88413793103448279"/>
          <c:h val="0.8478884901635263"/>
        </c:manualLayout>
      </c:layout>
      <c:barChart>
        <c:barDir val="col"/>
        <c:grouping val="clustered"/>
        <c:varyColors val="0"/>
        <c:ser>
          <c:idx val="0"/>
          <c:order val="0"/>
          <c:tx>
            <c:strRef>
              <c:f>'2006 Sampling'!$BC$29</c:f>
              <c:strCache>
                <c:ptCount val="1"/>
              </c:strCache>
            </c:strRef>
          </c:tx>
          <c:spPr>
            <a:solidFill>
              <a:srgbClr val="800080"/>
            </a:solidFill>
            <a:ln w="12700">
              <a:solidFill>
                <a:srgbClr val="800080"/>
              </a:solidFill>
              <a:prstDash val="solid"/>
            </a:ln>
          </c:spPr>
          <c:invertIfNegative val="0"/>
          <c:cat>
            <c:numRef>
              <c:f>'2006 Sampling'!$BD$28:$BQ$28</c:f>
              <c:numCache>
                <c:formatCode>General</c:formatCode>
                <c:ptCount val="14"/>
              </c:numCache>
            </c:numRef>
          </c:cat>
          <c:val>
            <c:numRef>
              <c:f>'2006 Sampling'!$BD$29:$BQ$29</c:f>
              <c:numCache>
                <c:formatCode>General</c:formatCode>
                <c:ptCount val="14"/>
              </c:numCache>
            </c:numRef>
          </c:val>
          <c:extLst>
            <c:ext xmlns:c16="http://schemas.microsoft.com/office/drawing/2014/chart" uri="{C3380CC4-5D6E-409C-BE32-E72D297353CC}">
              <c16:uniqueId val="{00000000-81BE-4DB0-BFAF-49A4958B012A}"/>
            </c:ext>
          </c:extLst>
        </c:ser>
        <c:ser>
          <c:idx val="1"/>
          <c:order val="1"/>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1-81BE-4DB0-BFAF-49A4958B012A}"/>
            </c:ext>
          </c:extLst>
        </c:ser>
        <c:ser>
          <c:idx val="2"/>
          <c:order val="2"/>
          <c:tx>
            <c:strRef>
              <c:f>'2006 Sampling'!$BC$31</c:f>
              <c:strCache>
                <c:ptCount val="1"/>
              </c:strCache>
            </c:strRef>
          </c:tx>
          <c:spPr>
            <a:solidFill>
              <a:srgbClr val="FF00FF"/>
            </a:solidFill>
            <a:ln w="12700">
              <a:solidFill>
                <a:srgbClr val="FF00FF"/>
              </a:solidFill>
              <a:prstDash val="solid"/>
            </a:ln>
          </c:spPr>
          <c:invertIfNegative val="0"/>
          <c:cat>
            <c:numRef>
              <c:f>'2006 Sampling'!$BD$28:$BQ$28</c:f>
              <c:numCache>
                <c:formatCode>General</c:formatCode>
                <c:ptCount val="14"/>
              </c:numCache>
            </c:numRef>
          </c:cat>
          <c:val>
            <c:numRef>
              <c:f>'2006 Sampling'!$BD$31:$BQ$31</c:f>
              <c:numCache>
                <c:formatCode>General</c:formatCode>
                <c:ptCount val="14"/>
              </c:numCache>
            </c:numRef>
          </c:val>
          <c:extLst>
            <c:ext xmlns:c16="http://schemas.microsoft.com/office/drawing/2014/chart" uri="{C3380CC4-5D6E-409C-BE32-E72D297353CC}">
              <c16:uniqueId val="{00000002-81BE-4DB0-BFAF-49A4958B012A}"/>
            </c:ext>
          </c:extLst>
        </c:ser>
        <c:ser>
          <c:idx val="3"/>
          <c:order val="3"/>
          <c:tx>
            <c:strRef>
              <c:f>'2006 Sampling'!$BC$32</c:f>
              <c:strCache>
                <c:ptCount val="1"/>
              </c:strCache>
            </c:strRef>
          </c:tx>
          <c:spPr>
            <a:solidFill>
              <a:srgbClr val="008000"/>
            </a:solidFill>
            <a:ln w="12700">
              <a:solidFill>
                <a:srgbClr val="008000"/>
              </a:solidFill>
              <a:prstDash val="solid"/>
            </a:ln>
          </c:spPr>
          <c:invertIfNegative val="0"/>
          <c:cat>
            <c:numRef>
              <c:f>'2006 Sampling'!$BD$28:$BQ$28</c:f>
              <c:numCache>
                <c:formatCode>General</c:formatCode>
                <c:ptCount val="14"/>
              </c:numCache>
            </c:numRef>
          </c:cat>
          <c:val>
            <c:numRef>
              <c:f>'2006 Sampling'!$BD$32:$BQ$32</c:f>
              <c:numCache>
                <c:formatCode>General</c:formatCode>
                <c:ptCount val="14"/>
              </c:numCache>
            </c:numRef>
          </c:val>
          <c:extLst>
            <c:ext xmlns:c16="http://schemas.microsoft.com/office/drawing/2014/chart" uri="{C3380CC4-5D6E-409C-BE32-E72D297353CC}">
              <c16:uniqueId val="{00000003-81BE-4DB0-BFAF-49A4958B012A}"/>
            </c:ext>
          </c:extLst>
        </c:ser>
        <c:ser>
          <c:idx val="4"/>
          <c:order val="4"/>
          <c:tx>
            <c:strRef>
              <c:f>'2006 Sampling'!$BC$34</c:f>
              <c:strCache>
                <c:ptCount val="1"/>
              </c:strCache>
            </c:strRef>
          </c:tx>
          <c:spPr>
            <a:solidFill>
              <a:srgbClr val="000080"/>
            </a:solidFill>
            <a:ln w="12700">
              <a:solidFill>
                <a:srgbClr val="000080"/>
              </a:solidFill>
              <a:prstDash val="solid"/>
            </a:ln>
          </c:spPr>
          <c:invertIfNegative val="0"/>
          <c:cat>
            <c:numRef>
              <c:f>'2006 Sampling'!$BD$28:$BQ$28</c:f>
              <c:numCache>
                <c:formatCode>General</c:formatCode>
                <c:ptCount val="14"/>
              </c:numCache>
            </c:numRef>
          </c:cat>
          <c:val>
            <c:numRef>
              <c:f>'2006 Sampling'!$BD$34:$BQ$34</c:f>
              <c:numCache>
                <c:formatCode>General</c:formatCode>
                <c:ptCount val="14"/>
              </c:numCache>
            </c:numRef>
          </c:val>
          <c:extLst>
            <c:ext xmlns:c16="http://schemas.microsoft.com/office/drawing/2014/chart" uri="{C3380CC4-5D6E-409C-BE32-E72D297353CC}">
              <c16:uniqueId val="{00000004-81BE-4DB0-BFAF-49A4958B012A}"/>
            </c:ext>
          </c:extLst>
        </c:ser>
        <c:ser>
          <c:idx val="5"/>
          <c:order val="5"/>
          <c:tx>
            <c:strRef>
              <c:f>'2006 Sampling'!$BC$35</c:f>
              <c:strCache>
                <c:ptCount val="1"/>
              </c:strCache>
            </c:strRef>
          </c:tx>
          <c:spPr>
            <a:solidFill>
              <a:srgbClr val="FF0000"/>
            </a:solidFill>
            <a:ln w="12700">
              <a:solidFill>
                <a:srgbClr val="FF0000"/>
              </a:solidFill>
              <a:prstDash val="solid"/>
            </a:ln>
          </c:spPr>
          <c:invertIfNegative val="0"/>
          <c:cat>
            <c:numRef>
              <c:f>'2006 Sampling'!$BD$28:$BQ$28</c:f>
              <c:numCache>
                <c:formatCode>General</c:formatCode>
                <c:ptCount val="14"/>
              </c:numCache>
            </c:numRef>
          </c:cat>
          <c:val>
            <c:numRef>
              <c:f>'2006 Sampling'!$BD$35:$BQ$35</c:f>
              <c:numCache>
                <c:formatCode>General</c:formatCode>
                <c:ptCount val="14"/>
              </c:numCache>
            </c:numRef>
          </c:val>
          <c:extLst>
            <c:ext xmlns:c16="http://schemas.microsoft.com/office/drawing/2014/chart" uri="{C3380CC4-5D6E-409C-BE32-E72D297353CC}">
              <c16:uniqueId val="{00000005-81BE-4DB0-BFAF-49A4958B012A}"/>
            </c:ext>
          </c:extLst>
        </c:ser>
        <c:dLbls>
          <c:showLegendKey val="0"/>
          <c:showVal val="0"/>
          <c:showCatName val="0"/>
          <c:showSerName val="0"/>
          <c:showPercent val="0"/>
          <c:showBubbleSize val="0"/>
        </c:dLbls>
        <c:gapWidth val="25"/>
        <c:axId val="500054192"/>
        <c:axId val="500061248"/>
      </c:barChart>
      <c:catAx>
        <c:axId val="500054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500061248"/>
        <c:crosses val="autoZero"/>
        <c:auto val="1"/>
        <c:lblAlgn val="ctr"/>
        <c:lblOffset val="100"/>
        <c:tickLblSkip val="1"/>
        <c:tickMarkSkip val="1"/>
        <c:noMultiLvlLbl val="0"/>
      </c:catAx>
      <c:valAx>
        <c:axId val="50006124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500054192"/>
        <c:crosses val="autoZero"/>
        <c:crossBetween val="between"/>
      </c:valAx>
      <c:spPr>
        <a:noFill/>
        <a:ln w="25400">
          <a:noFill/>
        </a:ln>
      </c:spPr>
    </c:plotArea>
    <c:legend>
      <c:legendPos val="r"/>
      <c:layout>
        <c:manualLayout>
          <c:xMode val="edge"/>
          <c:yMode val="edge"/>
          <c:wMode val="edge"/>
          <c:hMode val="edge"/>
          <c:x val="0.9613793103448276"/>
          <c:y val="0.326761154855643"/>
          <c:w val="0.98896551724137938"/>
          <c:h val="0.6676068167535395"/>
        </c:manualLayout>
      </c:layout>
      <c:overlay val="0"/>
      <c:spPr>
        <a:solidFill>
          <a:srgbClr val="FFFFFF"/>
        </a:solidFill>
        <a:ln w="3175">
          <a:solidFill>
            <a:srgbClr val="000000"/>
          </a:solidFill>
          <a:prstDash val="solid"/>
        </a:ln>
      </c:spPr>
      <c:txPr>
        <a:bodyPr/>
        <a:lstStyle/>
        <a:p>
          <a:pPr>
            <a:defRPr sz="7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14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4.5824870036074154E-2"/>
          <c:y val="5.0583705640223776E-2"/>
          <c:w val="0.93991900096214331"/>
          <c:h val="0.89494248440395907"/>
        </c:manualLayout>
      </c:layout>
      <c:barChart>
        <c:barDir val="col"/>
        <c:grouping val="clustered"/>
        <c:varyColors val="0"/>
        <c:ser>
          <c:idx val="0"/>
          <c:order val="0"/>
          <c:tx>
            <c:strRef>
              <c:f>'2006 Sampling'!$BR$27</c:f>
              <c:strCache>
                <c:ptCount val="1"/>
              </c:strCache>
            </c:strRef>
          </c:tx>
          <c:spPr>
            <a:solidFill>
              <a:srgbClr val="0000FF"/>
            </a:solidFill>
            <a:ln w="12700">
              <a:solidFill>
                <a:srgbClr val="0000FF"/>
              </a:solidFill>
              <a:prstDash val="solid"/>
            </a:ln>
          </c:spPr>
          <c:invertIfNegative val="0"/>
          <c:cat>
            <c:numRef>
              <c:f>'2006 Sampling'!$BC$29:$BC$35</c:f>
              <c:numCache>
                <c:formatCode>General</c:formatCode>
                <c:ptCount val="7"/>
              </c:numCache>
            </c:numRef>
          </c:cat>
          <c:val>
            <c:numRef>
              <c:f>'2006 Sampling'!$BR$29:$BR$35</c:f>
              <c:numCache>
                <c:formatCode>General</c:formatCode>
                <c:ptCount val="7"/>
              </c:numCache>
            </c:numRef>
          </c:val>
          <c:extLst>
            <c:ext xmlns:c16="http://schemas.microsoft.com/office/drawing/2014/chart" uri="{C3380CC4-5D6E-409C-BE32-E72D297353CC}">
              <c16:uniqueId val="{00000000-22C8-418A-9F75-A232ECE7CCAD}"/>
            </c:ext>
          </c:extLst>
        </c:ser>
        <c:dLbls>
          <c:showLegendKey val="0"/>
          <c:showVal val="0"/>
          <c:showCatName val="0"/>
          <c:showSerName val="0"/>
          <c:showPercent val="0"/>
          <c:showBubbleSize val="0"/>
        </c:dLbls>
        <c:gapWidth val="150"/>
        <c:axId val="500054584"/>
        <c:axId val="500050272"/>
      </c:barChart>
      <c:catAx>
        <c:axId val="5000545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500050272"/>
        <c:crosses val="autoZero"/>
        <c:auto val="1"/>
        <c:lblAlgn val="ctr"/>
        <c:lblOffset val="100"/>
        <c:tickLblSkip val="1"/>
        <c:tickMarkSkip val="1"/>
        <c:noMultiLvlLbl val="0"/>
      </c:catAx>
      <c:valAx>
        <c:axId val="50005027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500054584"/>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92651757188496E-2"/>
          <c:y val="7.7319684932351571E-2"/>
          <c:w val="0.84025559105431313"/>
          <c:h val="0.84020724293155369"/>
        </c:manualLayout>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138A-44E0-A8C1-80CA2C863D46}"/>
            </c:ext>
          </c:extLst>
        </c:ser>
        <c:ser>
          <c:idx val="1"/>
          <c:order val="1"/>
          <c:tx>
            <c:strRef>
              <c:f>'2006 Sampling'!$AN$18</c:f>
              <c:strCache>
                <c:ptCount val="1"/>
              </c:strCache>
            </c:strRef>
          </c:tx>
          <c:spPr>
            <a:solidFill>
              <a:srgbClr val="FF00FF"/>
            </a:solidFill>
            <a:ln w="12700">
              <a:solidFill>
                <a:srgbClr val="FF00FF"/>
              </a:solidFill>
              <a:prstDash val="solid"/>
            </a:ln>
          </c:spPr>
          <c:invertIfNegative val="0"/>
          <c:cat>
            <c:numRef>
              <c:f>'2006 Sampling'!$AO$10:$BB$10</c:f>
              <c:numCache>
                <c:formatCode>General</c:formatCode>
                <c:ptCount val="14"/>
              </c:numCache>
            </c:numRef>
          </c:cat>
          <c:val>
            <c:numRef>
              <c:f>'2006 Sampling'!$AO$18:$BB$18</c:f>
              <c:numCache>
                <c:formatCode>General</c:formatCode>
                <c:ptCount val="14"/>
              </c:numCache>
            </c:numRef>
          </c:val>
          <c:extLst>
            <c:ext xmlns:c16="http://schemas.microsoft.com/office/drawing/2014/chart" uri="{C3380CC4-5D6E-409C-BE32-E72D297353CC}">
              <c16:uniqueId val="{00000001-138A-44E0-A8C1-80CA2C863D46}"/>
            </c:ext>
          </c:extLst>
        </c:ser>
        <c:ser>
          <c:idx val="2"/>
          <c:order val="2"/>
          <c:tx>
            <c:strRef>
              <c:f>'2006 Sampling'!$AN$19</c:f>
              <c:strCache>
                <c:ptCount val="1"/>
              </c:strCache>
            </c:strRef>
          </c:tx>
          <c:spPr>
            <a:solidFill>
              <a:srgbClr val="008000"/>
            </a:solidFill>
            <a:ln w="12700">
              <a:solidFill>
                <a:srgbClr val="008000"/>
              </a:solidFill>
              <a:prstDash val="solid"/>
            </a:ln>
          </c:spPr>
          <c:invertIfNegative val="0"/>
          <c:cat>
            <c:numRef>
              <c:f>'2006 Sampling'!$AO$10:$BB$10</c:f>
              <c:numCache>
                <c:formatCode>General</c:formatCode>
                <c:ptCount val="14"/>
              </c:numCache>
            </c:numRef>
          </c:cat>
          <c:val>
            <c:numRef>
              <c:f>'2006 Sampling'!$AO$19:$BB$19</c:f>
              <c:numCache>
                <c:formatCode>General</c:formatCode>
                <c:ptCount val="14"/>
              </c:numCache>
            </c:numRef>
          </c:val>
          <c:extLst>
            <c:ext xmlns:c16="http://schemas.microsoft.com/office/drawing/2014/chart" uri="{C3380CC4-5D6E-409C-BE32-E72D297353CC}">
              <c16:uniqueId val="{00000002-138A-44E0-A8C1-80CA2C863D46}"/>
            </c:ext>
          </c:extLst>
        </c:ser>
        <c:ser>
          <c:idx val="3"/>
          <c:order val="3"/>
          <c:tx>
            <c:strRef>
              <c:f>'2006 Sampling'!$AN$20</c:f>
              <c:strCache>
                <c:ptCount val="1"/>
              </c:strCache>
            </c:strRef>
          </c:tx>
          <c:spPr>
            <a:solidFill>
              <a:srgbClr val="000080"/>
            </a:solidFill>
            <a:ln w="12700">
              <a:solidFill>
                <a:srgbClr val="000080"/>
              </a:solidFill>
              <a:prstDash val="solid"/>
            </a:ln>
          </c:spPr>
          <c:invertIfNegative val="0"/>
          <c:cat>
            <c:numRef>
              <c:f>'2006 Sampling'!$AO$10:$BB$10</c:f>
              <c:numCache>
                <c:formatCode>General</c:formatCode>
                <c:ptCount val="14"/>
              </c:numCache>
            </c:numRef>
          </c:cat>
          <c:val>
            <c:numRef>
              <c:f>'2006 Sampling'!$AO$20:$BB$20</c:f>
              <c:numCache>
                <c:formatCode>General</c:formatCode>
                <c:ptCount val="14"/>
              </c:numCache>
            </c:numRef>
          </c:val>
          <c:extLst>
            <c:ext xmlns:c16="http://schemas.microsoft.com/office/drawing/2014/chart" uri="{C3380CC4-5D6E-409C-BE32-E72D297353CC}">
              <c16:uniqueId val="{00000003-138A-44E0-A8C1-80CA2C863D46}"/>
            </c:ext>
          </c:extLst>
        </c:ser>
        <c:ser>
          <c:idx val="4"/>
          <c:order val="4"/>
          <c:tx>
            <c:strRef>
              <c:f>'2006 Sampling'!$AN$21</c:f>
              <c:strCache>
                <c:ptCount val="1"/>
              </c:strCache>
            </c:strRef>
          </c:tx>
          <c:spPr>
            <a:solidFill>
              <a:srgbClr val="FF0000"/>
            </a:solidFill>
            <a:ln w="12700">
              <a:solidFill>
                <a:srgbClr val="FF0000"/>
              </a:solidFill>
              <a:prstDash val="solid"/>
            </a:ln>
          </c:spPr>
          <c:invertIfNegative val="0"/>
          <c:cat>
            <c:numRef>
              <c:f>'2006 Sampling'!$AO$10:$BB$10</c:f>
              <c:numCache>
                <c:formatCode>General</c:formatCode>
                <c:ptCount val="14"/>
              </c:numCache>
            </c:numRef>
          </c:cat>
          <c:val>
            <c:numRef>
              <c:f>'2006 Sampling'!$AO$21:$BB$21</c:f>
              <c:numCache>
                <c:formatCode>General</c:formatCode>
                <c:ptCount val="14"/>
              </c:numCache>
            </c:numRef>
          </c:val>
          <c:extLst>
            <c:ext xmlns:c16="http://schemas.microsoft.com/office/drawing/2014/chart" uri="{C3380CC4-5D6E-409C-BE32-E72D297353CC}">
              <c16:uniqueId val="{00000004-138A-44E0-A8C1-80CA2C863D46}"/>
            </c:ext>
          </c:extLst>
        </c:ser>
        <c:dLbls>
          <c:showLegendKey val="0"/>
          <c:showVal val="0"/>
          <c:showCatName val="0"/>
          <c:showSerName val="0"/>
          <c:showPercent val="0"/>
          <c:showBubbleSize val="0"/>
        </c:dLbls>
        <c:gapWidth val="150"/>
        <c:axId val="500054976"/>
        <c:axId val="500055368"/>
      </c:barChart>
      <c:catAx>
        <c:axId val="5000549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500055368"/>
        <c:crosses val="autoZero"/>
        <c:auto val="1"/>
        <c:lblAlgn val="ctr"/>
        <c:lblOffset val="100"/>
        <c:tickLblSkip val="1"/>
        <c:tickMarkSkip val="1"/>
        <c:noMultiLvlLbl val="0"/>
      </c:catAx>
      <c:valAx>
        <c:axId val="500055368"/>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500054976"/>
        <c:crosses val="autoZero"/>
        <c:crossBetween val="between"/>
      </c:valAx>
      <c:spPr>
        <a:noFill/>
        <a:ln w="25400">
          <a:noFill/>
        </a:ln>
      </c:spPr>
    </c:plotArea>
    <c:legend>
      <c:legendPos val="r"/>
      <c:layout>
        <c:manualLayout>
          <c:xMode val="edge"/>
          <c:yMode val="edge"/>
          <c:wMode val="edge"/>
          <c:hMode val="edge"/>
          <c:x val="0.92971246006389774"/>
          <c:y val="0.28350542522390887"/>
          <c:w val="0.98722044728434499"/>
          <c:h val="0.65721730659956168"/>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23529411764705E-2"/>
          <c:y val="8.8235575710962105E-2"/>
          <c:w val="0.87440381558028613"/>
          <c:h val="0.81372808711220612"/>
        </c:manualLayout>
      </c:layout>
      <c:barChart>
        <c:barDir val="col"/>
        <c:grouping val="clustered"/>
        <c:varyColors val="0"/>
        <c:ser>
          <c:idx val="0"/>
          <c:order val="0"/>
          <c:tx>
            <c:strRef>
              <c:f>'2006 Sampling'!$AN$16</c:f>
              <c:strCache>
                <c:ptCount val="1"/>
              </c:strCache>
            </c:strRef>
          </c:tx>
          <c:spPr>
            <a:solidFill>
              <a:srgbClr val="0000FF"/>
            </a:solidFill>
            <a:ln w="12700">
              <a:solidFill>
                <a:srgbClr val="0000FF"/>
              </a:solidFill>
              <a:prstDash val="solid"/>
            </a:ln>
          </c:spPr>
          <c:invertIfNegative val="0"/>
          <c:cat>
            <c:numRef>
              <c:f>'2006 Sampling'!$AO$10:$BB$10</c:f>
              <c:numCache>
                <c:formatCode>General</c:formatCode>
                <c:ptCount val="14"/>
              </c:numCache>
            </c:numRef>
          </c:cat>
          <c:val>
            <c:numRef>
              <c:f>'2006 Sampling'!$AO$16:$BB$16</c:f>
              <c:numCache>
                <c:formatCode>General</c:formatCode>
                <c:ptCount val="14"/>
              </c:numCache>
            </c:numRef>
          </c:val>
          <c:extLst>
            <c:ext xmlns:c16="http://schemas.microsoft.com/office/drawing/2014/chart" uri="{C3380CC4-5D6E-409C-BE32-E72D297353CC}">
              <c16:uniqueId val="{00000000-8A91-45A6-9373-44DC2A608F03}"/>
            </c:ext>
          </c:extLst>
        </c:ser>
        <c:ser>
          <c:idx val="1"/>
          <c:order val="1"/>
          <c:tx>
            <c:strRef>
              <c:f>'2006 Sampling'!$AN$18</c:f>
              <c:strCache>
                <c:ptCount val="1"/>
              </c:strCache>
            </c:strRef>
          </c:tx>
          <c:spPr>
            <a:solidFill>
              <a:srgbClr val="FF00FF"/>
            </a:solidFill>
            <a:ln w="12700">
              <a:solidFill>
                <a:srgbClr val="FF00FF"/>
              </a:solidFill>
              <a:prstDash val="solid"/>
            </a:ln>
          </c:spPr>
          <c:invertIfNegative val="0"/>
          <c:val>
            <c:numRef>
              <c:f>'2006 Sampling'!$AO$18:$BB$18</c:f>
              <c:numCache>
                <c:formatCode>General</c:formatCode>
                <c:ptCount val="14"/>
              </c:numCache>
            </c:numRef>
          </c:val>
          <c:extLst>
            <c:ext xmlns:c16="http://schemas.microsoft.com/office/drawing/2014/chart" uri="{C3380CC4-5D6E-409C-BE32-E72D297353CC}">
              <c16:uniqueId val="{00000001-8A91-45A6-9373-44DC2A608F03}"/>
            </c:ext>
          </c:extLst>
        </c:ser>
        <c:ser>
          <c:idx val="2"/>
          <c:order val="2"/>
          <c:tx>
            <c:strRef>
              <c:f>'2006 Sampling'!$AN$19</c:f>
              <c:strCache>
                <c:ptCount val="1"/>
              </c:strCache>
            </c:strRef>
          </c:tx>
          <c:spPr>
            <a:solidFill>
              <a:srgbClr val="008000"/>
            </a:solidFill>
            <a:ln w="12700">
              <a:solidFill>
                <a:srgbClr val="008000"/>
              </a:solidFill>
              <a:prstDash val="solid"/>
            </a:ln>
          </c:spPr>
          <c:invertIfNegative val="0"/>
          <c:val>
            <c:numRef>
              <c:f>'2006 Sampling'!$AO$19:$BB$19</c:f>
              <c:numCache>
                <c:formatCode>General</c:formatCode>
                <c:ptCount val="14"/>
              </c:numCache>
            </c:numRef>
          </c:val>
          <c:extLst>
            <c:ext xmlns:c16="http://schemas.microsoft.com/office/drawing/2014/chart" uri="{C3380CC4-5D6E-409C-BE32-E72D297353CC}">
              <c16:uniqueId val="{00000002-8A91-45A6-9373-44DC2A608F03}"/>
            </c:ext>
          </c:extLst>
        </c:ser>
        <c:dLbls>
          <c:showLegendKey val="0"/>
          <c:showVal val="0"/>
          <c:showCatName val="0"/>
          <c:showSerName val="0"/>
          <c:showPercent val="0"/>
          <c:showBubbleSize val="0"/>
        </c:dLbls>
        <c:gapWidth val="150"/>
        <c:axId val="500056544"/>
        <c:axId val="500057720"/>
      </c:barChart>
      <c:catAx>
        <c:axId val="5000565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500057720"/>
        <c:crosses val="autoZero"/>
        <c:auto val="1"/>
        <c:lblAlgn val="ctr"/>
        <c:lblOffset val="100"/>
        <c:tickLblSkip val="1"/>
        <c:tickMarkSkip val="1"/>
        <c:noMultiLvlLbl val="0"/>
      </c:catAx>
      <c:valAx>
        <c:axId val="50005772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500056544"/>
        <c:crosses val="autoZero"/>
        <c:crossBetween val="between"/>
      </c:valAx>
      <c:spPr>
        <a:noFill/>
        <a:ln w="25400">
          <a:noFill/>
        </a:ln>
      </c:spPr>
    </c:plotArea>
    <c:legend>
      <c:legendPos val="r"/>
      <c:layout>
        <c:manualLayout>
          <c:xMode val="edge"/>
          <c:yMode val="edge"/>
          <c:wMode val="edge"/>
          <c:hMode val="edge"/>
          <c:x val="0.9507154213036566"/>
          <c:y val="0.38562228741015214"/>
          <c:w val="0.9872813990461049"/>
          <c:h val="0.60457722196490138"/>
        </c:manualLayout>
      </c:layout>
      <c:overlay val="0"/>
      <c:spPr>
        <a:solidFill>
          <a:srgbClr val="FFFFFF"/>
        </a:solidFill>
        <a:ln w="3175">
          <a:solidFill>
            <a:srgbClr val="000000"/>
          </a:solidFill>
          <a:prstDash val="solid"/>
        </a:ln>
      </c:spPr>
      <c:txPr>
        <a:bodyPr/>
        <a:lstStyle/>
        <a:p>
          <a:pPr>
            <a:defRPr sz="8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391491208996148E-2"/>
          <c:y val="8.860773185282933E-2"/>
          <c:w val="0.86529385500279732"/>
          <c:h val="0.81645695778678451"/>
        </c:manualLayout>
      </c:layout>
      <c:barChart>
        <c:barDir val="col"/>
        <c:grouping val="clustered"/>
        <c:varyColors val="0"/>
        <c:ser>
          <c:idx val="3"/>
          <c:order val="0"/>
          <c:tx>
            <c:strRef>
              <c:f>'2006 Sampling'!$AN$20</c:f>
              <c:strCache>
                <c:ptCount val="1"/>
              </c:strCache>
            </c:strRef>
          </c:tx>
          <c:spPr>
            <a:solidFill>
              <a:srgbClr val="000080"/>
            </a:solidFill>
            <a:ln w="12700">
              <a:solidFill>
                <a:srgbClr val="000080"/>
              </a:solidFill>
              <a:prstDash val="solid"/>
            </a:ln>
          </c:spPr>
          <c:invertIfNegative val="0"/>
          <c:cat>
            <c:numRef>
              <c:f>'2006 Sampling'!$AO$10:$BB$10</c:f>
              <c:numCache>
                <c:formatCode>General</c:formatCode>
                <c:ptCount val="14"/>
              </c:numCache>
            </c:numRef>
          </c:cat>
          <c:val>
            <c:numRef>
              <c:f>'2006 Sampling'!$AO$20:$BB$20</c:f>
              <c:numCache>
                <c:formatCode>General</c:formatCode>
                <c:ptCount val="14"/>
              </c:numCache>
            </c:numRef>
          </c:val>
          <c:extLst>
            <c:ext xmlns:c16="http://schemas.microsoft.com/office/drawing/2014/chart" uri="{C3380CC4-5D6E-409C-BE32-E72D297353CC}">
              <c16:uniqueId val="{00000000-19C0-453E-B1F1-2C7272D340ED}"/>
            </c:ext>
          </c:extLst>
        </c:ser>
        <c:ser>
          <c:idx val="4"/>
          <c:order val="1"/>
          <c:tx>
            <c:strRef>
              <c:f>'2006 Sampling'!$AN$21</c:f>
              <c:strCache>
                <c:ptCount val="1"/>
              </c:strCache>
            </c:strRef>
          </c:tx>
          <c:spPr>
            <a:solidFill>
              <a:srgbClr val="FF0000"/>
            </a:solidFill>
            <a:ln w="12700">
              <a:solidFill>
                <a:srgbClr val="FF0000"/>
              </a:solidFill>
              <a:prstDash val="solid"/>
            </a:ln>
          </c:spPr>
          <c:invertIfNegative val="0"/>
          <c:cat>
            <c:numRef>
              <c:f>'2006 Sampling'!$AO$10:$BB$10</c:f>
              <c:numCache>
                <c:formatCode>General</c:formatCode>
                <c:ptCount val="14"/>
              </c:numCache>
            </c:numRef>
          </c:cat>
          <c:val>
            <c:numRef>
              <c:f>'2006 Sampling'!$AO$21:$BB$21</c:f>
              <c:numCache>
                <c:formatCode>General</c:formatCode>
                <c:ptCount val="14"/>
              </c:numCache>
            </c:numRef>
          </c:val>
          <c:extLst>
            <c:ext xmlns:c16="http://schemas.microsoft.com/office/drawing/2014/chart" uri="{C3380CC4-5D6E-409C-BE32-E72D297353CC}">
              <c16:uniqueId val="{00000001-19C0-453E-B1F1-2C7272D340ED}"/>
            </c:ext>
          </c:extLst>
        </c:ser>
        <c:dLbls>
          <c:showLegendKey val="0"/>
          <c:showVal val="0"/>
          <c:showCatName val="0"/>
          <c:showSerName val="0"/>
          <c:showPercent val="0"/>
          <c:showBubbleSize val="0"/>
        </c:dLbls>
        <c:gapWidth val="150"/>
        <c:axId val="500063208"/>
        <c:axId val="500063600"/>
      </c:barChart>
      <c:catAx>
        <c:axId val="500063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500063600"/>
        <c:crosses val="autoZero"/>
        <c:auto val="1"/>
        <c:lblAlgn val="ctr"/>
        <c:lblOffset val="100"/>
        <c:tickLblSkip val="1"/>
        <c:tickMarkSkip val="1"/>
        <c:noMultiLvlLbl val="0"/>
      </c:catAx>
      <c:valAx>
        <c:axId val="50006360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500063208"/>
        <c:crosses val="autoZero"/>
        <c:crossBetween val="between"/>
      </c:valAx>
      <c:spPr>
        <a:noFill/>
        <a:ln w="25400">
          <a:noFill/>
        </a:ln>
      </c:spPr>
    </c:plotArea>
    <c:legend>
      <c:legendPos val="r"/>
      <c:layout>
        <c:manualLayout>
          <c:xMode val="edge"/>
          <c:yMode val="edge"/>
          <c:wMode val="edge"/>
          <c:hMode val="edge"/>
          <c:x val="0.94611793969493907"/>
          <c:y val="0.42405129738529518"/>
          <c:w val="0.98732237709588999"/>
          <c:h val="0.57278580683743641"/>
        </c:manualLayout>
      </c:layout>
      <c:overlay val="0"/>
      <c:spPr>
        <a:solidFill>
          <a:srgbClr val="FFFFFF"/>
        </a:solidFill>
        <a:ln w="3175">
          <a:solidFill>
            <a:srgbClr val="000000"/>
          </a:solidFill>
          <a:prstDash val="solid"/>
        </a:ln>
      </c:spPr>
      <c:txPr>
        <a:bodyPr/>
        <a:lstStyle/>
        <a:p>
          <a:pPr>
            <a:defRPr sz="9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982615444448066E-2"/>
          <c:y val="7.7348066298342538E-2"/>
          <c:w val="0.82807159414678277"/>
          <c:h val="0.83977900552486184"/>
        </c:manualLayout>
      </c:layout>
      <c:barChart>
        <c:barDir val="col"/>
        <c:grouping val="clustered"/>
        <c:varyColors val="0"/>
        <c:ser>
          <c:idx val="0"/>
          <c:order val="0"/>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0-5001-4B67-8892-F1FD2F977814}"/>
            </c:ext>
          </c:extLst>
        </c:ser>
        <c:ser>
          <c:idx val="1"/>
          <c:order val="1"/>
          <c:tx>
            <c:strRef>
              <c:f>'2006 Sampling'!$BC$31</c:f>
              <c:strCache>
                <c:ptCount val="1"/>
              </c:strCache>
            </c:strRef>
          </c:tx>
          <c:spPr>
            <a:solidFill>
              <a:srgbClr val="FF00FF"/>
            </a:solidFill>
            <a:ln w="12700">
              <a:solidFill>
                <a:srgbClr val="FF00FF"/>
              </a:solidFill>
              <a:prstDash val="solid"/>
            </a:ln>
          </c:spPr>
          <c:invertIfNegative val="0"/>
          <c:val>
            <c:numRef>
              <c:f>'2006 Sampling'!$BD$31:$BQ$31</c:f>
              <c:numCache>
                <c:formatCode>General</c:formatCode>
                <c:ptCount val="14"/>
              </c:numCache>
            </c:numRef>
          </c:val>
          <c:extLst>
            <c:ext xmlns:c16="http://schemas.microsoft.com/office/drawing/2014/chart" uri="{C3380CC4-5D6E-409C-BE32-E72D297353CC}">
              <c16:uniqueId val="{00000001-5001-4B67-8892-F1FD2F977814}"/>
            </c:ext>
          </c:extLst>
        </c:ser>
        <c:ser>
          <c:idx val="2"/>
          <c:order val="2"/>
          <c:tx>
            <c:strRef>
              <c:f>'2006 Sampling'!$BC$32</c:f>
              <c:strCache>
                <c:ptCount val="1"/>
              </c:strCache>
            </c:strRef>
          </c:tx>
          <c:spPr>
            <a:solidFill>
              <a:srgbClr val="008000"/>
            </a:solidFill>
            <a:ln w="12700">
              <a:solidFill>
                <a:srgbClr val="008000"/>
              </a:solidFill>
              <a:prstDash val="solid"/>
            </a:ln>
          </c:spPr>
          <c:invertIfNegative val="0"/>
          <c:val>
            <c:numRef>
              <c:f>'2006 Sampling'!$BD$32:$BQ$32</c:f>
              <c:numCache>
                <c:formatCode>General</c:formatCode>
                <c:ptCount val="14"/>
              </c:numCache>
            </c:numRef>
          </c:val>
          <c:extLst>
            <c:ext xmlns:c16="http://schemas.microsoft.com/office/drawing/2014/chart" uri="{C3380CC4-5D6E-409C-BE32-E72D297353CC}">
              <c16:uniqueId val="{00000002-5001-4B67-8892-F1FD2F977814}"/>
            </c:ext>
          </c:extLst>
        </c:ser>
        <c:ser>
          <c:idx val="3"/>
          <c:order val="3"/>
          <c:tx>
            <c:strRef>
              <c:f>'2006 Sampling'!$BC$34</c:f>
              <c:strCache>
                <c:ptCount val="1"/>
              </c:strCache>
            </c:strRef>
          </c:tx>
          <c:spPr>
            <a:solidFill>
              <a:srgbClr val="000080"/>
            </a:solidFill>
            <a:ln w="12700">
              <a:solidFill>
                <a:srgbClr val="000080"/>
              </a:solidFill>
              <a:prstDash val="solid"/>
            </a:ln>
          </c:spPr>
          <c:invertIfNegative val="0"/>
          <c:val>
            <c:numRef>
              <c:f>'2006 Sampling'!$BD$34:$BQ$34</c:f>
              <c:numCache>
                <c:formatCode>General</c:formatCode>
                <c:ptCount val="14"/>
              </c:numCache>
            </c:numRef>
          </c:val>
          <c:extLst>
            <c:ext xmlns:c16="http://schemas.microsoft.com/office/drawing/2014/chart" uri="{C3380CC4-5D6E-409C-BE32-E72D297353CC}">
              <c16:uniqueId val="{00000003-5001-4B67-8892-F1FD2F977814}"/>
            </c:ext>
          </c:extLst>
        </c:ser>
        <c:ser>
          <c:idx val="4"/>
          <c:order val="4"/>
          <c:tx>
            <c:strRef>
              <c:f>'2006 Sampling'!$BC$35</c:f>
              <c:strCache>
                <c:ptCount val="1"/>
              </c:strCache>
            </c:strRef>
          </c:tx>
          <c:spPr>
            <a:solidFill>
              <a:srgbClr val="FF0000"/>
            </a:solidFill>
            <a:ln w="12700">
              <a:solidFill>
                <a:srgbClr val="FF0000"/>
              </a:solidFill>
              <a:prstDash val="solid"/>
            </a:ln>
          </c:spPr>
          <c:invertIfNegative val="0"/>
          <c:val>
            <c:numRef>
              <c:f>'2006 Sampling'!$BD$35:$BQ$35</c:f>
              <c:numCache>
                <c:formatCode>General</c:formatCode>
                <c:ptCount val="14"/>
              </c:numCache>
            </c:numRef>
          </c:val>
          <c:extLst>
            <c:ext xmlns:c16="http://schemas.microsoft.com/office/drawing/2014/chart" uri="{C3380CC4-5D6E-409C-BE32-E72D297353CC}">
              <c16:uniqueId val="{00000004-5001-4B67-8892-F1FD2F977814}"/>
            </c:ext>
          </c:extLst>
        </c:ser>
        <c:dLbls>
          <c:showLegendKey val="0"/>
          <c:showVal val="0"/>
          <c:showCatName val="0"/>
          <c:showSerName val="0"/>
          <c:showPercent val="0"/>
          <c:showBubbleSize val="0"/>
        </c:dLbls>
        <c:gapWidth val="75"/>
        <c:axId val="500064776"/>
        <c:axId val="500063992"/>
      </c:barChart>
      <c:catAx>
        <c:axId val="500064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500063992"/>
        <c:crosses val="autoZero"/>
        <c:auto val="1"/>
        <c:lblAlgn val="ctr"/>
        <c:lblOffset val="100"/>
        <c:tickLblSkip val="1"/>
        <c:tickMarkSkip val="1"/>
        <c:noMultiLvlLbl val="0"/>
      </c:catAx>
      <c:valAx>
        <c:axId val="50006399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500064776"/>
        <c:crosses val="autoZero"/>
        <c:crossBetween val="between"/>
      </c:valAx>
      <c:spPr>
        <a:noFill/>
        <a:ln w="25400">
          <a:noFill/>
        </a:ln>
      </c:spPr>
    </c:plotArea>
    <c:legend>
      <c:legendPos val="r"/>
      <c:layout>
        <c:manualLayout>
          <c:xMode val="edge"/>
          <c:yMode val="edge"/>
          <c:wMode val="edge"/>
          <c:hMode val="edge"/>
          <c:x val="0.94035253488050841"/>
          <c:y val="0.33701657458563539"/>
          <c:w val="0.98596656996822774"/>
          <c:h val="0.65745856353591159"/>
        </c:manualLayout>
      </c:layout>
      <c:overlay val="0"/>
      <c:spPr>
        <a:solidFill>
          <a:srgbClr val="FFFFFF"/>
        </a:solidFill>
        <a:ln w="3175">
          <a:solidFill>
            <a:srgbClr val="000000"/>
          </a:solidFill>
          <a:prstDash val="solid"/>
        </a:ln>
      </c:spPr>
      <c:txPr>
        <a:bodyPr/>
        <a:lstStyle/>
        <a:p>
          <a:pPr>
            <a:defRPr sz="9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819694084266643E-2"/>
          <c:y val="7.7135193739222133E-2"/>
          <c:w val="0.82837198682751167"/>
          <c:h val="0.84022264608795538"/>
        </c:manualLayout>
      </c:layout>
      <c:barChart>
        <c:barDir val="col"/>
        <c:grouping val="clustered"/>
        <c:varyColors val="0"/>
        <c:ser>
          <c:idx val="0"/>
          <c:order val="0"/>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0-1CAD-4362-A640-69215F24C8B0}"/>
            </c:ext>
          </c:extLst>
        </c:ser>
        <c:ser>
          <c:idx val="1"/>
          <c:order val="1"/>
          <c:tx>
            <c:strRef>
              <c:f>'2006 Sampling'!$BC$31</c:f>
              <c:strCache>
                <c:ptCount val="1"/>
              </c:strCache>
            </c:strRef>
          </c:tx>
          <c:spPr>
            <a:solidFill>
              <a:srgbClr val="FF00FF"/>
            </a:solidFill>
            <a:ln w="12700">
              <a:solidFill>
                <a:srgbClr val="FF00FF"/>
              </a:solidFill>
              <a:prstDash val="solid"/>
            </a:ln>
          </c:spPr>
          <c:invertIfNegative val="0"/>
          <c:val>
            <c:numRef>
              <c:f>'2006 Sampling'!$BD$31:$BQ$31</c:f>
              <c:numCache>
                <c:formatCode>General</c:formatCode>
                <c:ptCount val="14"/>
              </c:numCache>
            </c:numRef>
          </c:val>
          <c:extLst>
            <c:ext xmlns:c16="http://schemas.microsoft.com/office/drawing/2014/chart" uri="{C3380CC4-5D6E-409C-BE32-E72D297353CC}">
              <c16:uniqueId val="{00000001-1CAD-4362-A640-69215F24C8B0}"/>
            </c:ext>
          </c:extLst>
        </c:ser>
        <c:ser>
          <c:idx val="2"/>
          <c:order val="2"/>
          <c:tx>
            <c:strRef>
              <c:f>'2006 Sampling'!$BC$32</c:f>
              <c:strCache>
                <c:ptCount val="1"/>
              </c:strCache>
            </c:strRef>
          </c:tx>
          <c:spPr>
            <a:solidFill>
              <a:srgbClr val="008000"/>
            </a:solidFill>
            <a:ln w="12700">
              <a:solidFill>
                <a:srgbClr val="008000"/>
              </a:solidFill>
              <a:prstDash val="solid"/>
            </a:ln>
          </c:spPr>
          <c:invertIfNegative val="0"/>
          <c:val>
            <c:numRef>
              <c:f>'2006 Sampling'!$BD$32:$BQ$32</c:f>
              <c:numCache>
                <c:formatCode>General</c:formatCode>
                <c:ptCount val="14"/>
              </c:numCache>
            </c:numRef>
          </c:val>
          <c:extLst>
            <c:ext xmlns:c16="http://schemas.microsoft.com/office/drawing/2014/chart" uri="{C3380CC4-5D6E-409C-BE32-E72D297353CC}">
              <c16:uniqueId val="{00000002-1CAD-4362-A640-69215F24C8B0}"/>
            </c:ext>
          </c:extLst>
        </c:ser>
        <c:dLbls>
          <c:showLegendKey val="0"/>
          <c:showVal val="0"/>
          <c:showCatName val="0"/>
          <c:showSerName val="0"/>
          <c:showPercent val="0"/>
          <c:showBubbleSize val="0"/>
        </c:dLbls>
        <c:gapWidth val="75"/>
        <c:axId val="500062816"/>
        <c:axId val="500062424"/>
      </c:barChart>
      <c:catAx>
        <c:axId val="5000628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500062424"/>
        <c:crosses val="autoZero"/>
        <c:auto val="1"/>
        <c:lblAlgn val="ctr"/>
        <c:lblOffset val="100"/>
        <c:tickLblSkip val="1"/>
        <c:tickMarkSkip val="1"/>
        <c:noMultiLvlLbl val="0"/>
      </c:catAx>
      <c:valAx>
        <c:axId val="50006242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500062816"/>
        <c:crosses val="autoZero"/>
        <c:crossBetween val="between"/>
      </c:valAx>
      <c:spPr>
        <a:noFill/>
        <a:ln w="25400">
          <a:noFill/>
        </a:ln>
      </c:spPr>
    </c:plotArea>
    <c:legend>
      <c:legendPos val="r"/>
      <c:layout>
        <c:manualLayout>
          <c:xMode val="edge"/>
          <c:yMode val="edge"/>
          <c:wMode val="edge"/>
          <c:hMode val="edge"/>
          <c:x val="0.94045607696586087"/>
          <c:y val="0.40220501362949468"/>
          <c:w val="0.9859902275788206"/>
          <c:h val="0.59504305763432463"/>
        </c:manualLayout>
      </c:layout>
      <c:overlay val="0"/>
      <c:spPr>
        <a:solidFill>
          <a:srgbClr val="FFFFFF"/>
        </a:solidFill>
        <a:ln w="3175">
          <a:solidFill>
            <a:srgbClr val="000000"/>
          </a:solidFill>
          <a:prstDash val="solid"/>
        </a:ln>
      </c:spPr>
      <c:txPr>
        <a:bodyPr/>
        <a:lstStyle/>
        <a:p>
          <a:pPr>
            <a:defRPr sz="9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819694084266643E-2"/>
          <c:y val="7.7135193739222133E-2"/>
          <c:w val="0.82837198682751167"/>
          <c:h val="0.84022264608795538"/>
        </c:manualLayout>
      </c:layout>
      <c:barChart>
        <c:barDir val="col"/>
        <c:grouping val="clustered"/>
        <c:varyColors val="0"/>
        <c:ser>
          <c:idx val="3"/>
          <c:order val="0"/>
          <c:tx>
            <c:strRef>
              <c:f>'2006 Sampling'!$BC$34</c:f>
              <c:strCache>
                <c:ptCount val="1"/>
              </c:strCache>
            </c:strRef>
          </c:tx>
          <c:spPr>
            <a:solidFill>
              <a:srgbClr val="000080"/>
            </a:solidFill>
            <a:ln w="12700">
              <a:solidFill>
                <a:srgbClr val="000080"/>
              </a:solidFill>
              <a:prstDash val="solid"/>
            </a:ln>
          </c:spPr>
          <c:invertIfNegative val="0"/>
          <c:cat>
            <c:numRef>
              <c:f>'2006 Sampling'!$BD$28:$BQ$28</c:f>
              <c:numCache>
                <c:formatCode>General</c:formatCode>
                <c:ptCount val="14"/>
              </c:numCache>
            </c:numRef>
          </c:cat>
          <c:val>
            <c:numRef>
              <c:f>'2006 Sampling'!$BD$34:$BQ$34</c:f>
              <c:numCache>
                <c:formatCode>General</c:formatCode>
                <c:ptCount val="14"/>
              </c:numCache>
            </c:numRef>
          </c:val>
          <c:extLst>
            <c:ext xmlns:c16="http://schemas.microsoft.com/office/drawing/2014/chart" uri="{C3380CC4-5D6E-409C-BE32-E72D297353CC}">
              <c16:uniqueId val="{00000000-CEB6-4CB1-99D8-0F9189F06100}"/>
            </c:ext>
          </c:extLst>
        </c:ser>
        <c:ser>
          <c:idx val="4"/>
          <c:order val="1"/>
          <c:tx>
            <c:strRef>
              <c:f>'2006 Sampling'!$BC$35</c:f>
              <c:strCache>
                <c:ptCount val="1"/>
              </c:strCache>
            </c:strRef>
          </c:tx>
          <c:spPr>
            <a:solidFill>
              <a:srgbClr val="FF0000"/>
            </a:solidFill>
            <a:ln w="12700">
              <a:solidFill>
                <a:srgbClr val="FF0000"/>
              </a:solidFill>
              <a:prstDash val="solid"/>
            </a:ln>
          </c:spPr>
          <c:invertIfNegative val="0"/>
          <c:cat>
            <c:numRef>
              <c:f>'2006 Sampling'!$BD$28:$BQ$28</c:f>
              <c:numCache>
                <c:formatCode>General</c:formatCode>
                <c:ptCount val="14"/>
              </c:numCache>
            </c:numRef>
          </c:cat>
          <c:val>
            <c:numRef>
              <c:f>'2006 Sampling'!$BD$35:$BQ$35</c:f>
              <c:numCache>
                <c:formatCode>General</c:formatCode>
                <c:ptCount val="14"/>
              </c:numCache>
            </c:numRef>
          </c:val>
          <c:extLst>
            <c:ext xmlns:c16="http://schemas.microsoft.com/office/drawing/2014/chart" uri="{C3380CC4-5D6E-409C-BE32-E72D297353CC}">
              <c16:uniqueId val="{00000001-CEB6-4CB1-99D8-0F9189F06100}"/>
            </c:ext>
          </c:extLst>
        </c:ser>
        <c:dLbls>
          <c:showLegendKey val="0"/>
          <c:showVal val="0"/>
          <c:showCatName val="0"/>
          <c:showSerName val="0"/>
          <c:showPercent val="0"/>
          <c:showBubbleSize val="0"/>
        </c:dLbls>
        <c:gapWidth val="75"/>
        <c:axId val="506003512"/>
        <c:axId val="506014880"/>
      </c:barChart>
      <c:catAx>
        <c:axId val="506003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506014880"/>
        <c:crosses val="autoZero"/>
        <c:auto val="1"/>
        <c:lblAlgn val="ctr"/>
        <c:lblOffset val="100"/>
        <c:tickLblSkip val="1"/>
        <c:tickMarkSkip val="1"/>
        <c:noMultiLvlLbl val="0"/>
      </c:catAx>
      <c:valAx>
        <c:axId val="50601488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506003512"/>
        <c:crosses val="autoZero"/>
        <c:crossBetween val="between"/>
      </c:valAx>
      <c:spPr>
        <a:noFill/>
        <a:ln w="25400">
          <a:noFill/>
        </a:ln>
      </c:spPr>
    </c:plotArea>
    <c:legend>
      <c:legendPos val="r"/>
      <c:layout>
        <c:manualLayout>
          <c:xMode val="edge"/>
          <c:yMode val="edge"/>
          <c:wMode val="edge"/>
          <c:hMode val="edge"/>
          <c:x val="0.94045607696586087"/>
          <c:y val="0.43250804393252495"/>
          <c:w val="0.9859902275788206"/>
          <c:h val="0.5619849171746093"/>
        </c:manualLayout>
      </c:layout>
      <c:overlay val="0"/>
      <c:spPr>
        <a:solidFill>
          <a:srgbClr val="FFFFFF"/>
        </a:solidFill>
        <a:ln w="3175">
          <a:solidFill>
            <a:srgbClr val="000000"/>
          </a:solidFill>
          <a:prstDash val="solid"/>
        </a:ln>
      </c:spPr>
      <c:txPr>
        <a:bodyPr/>
        <a:lstStyle/>
        <a:p>
          <a:pPr>
            <a:defRPr sz="9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'2006 Sampling'!$BI$2</c:f>
              <c:strCache>
                <c:ptCount val="1"/>
              </c:strCache>
            </c:strRef>
          </c:tx>
          <c:spPr>
            <a:solidFill>
              <a:srgbClr val="0000FF"/>
            </a:solidFill>
            <a:ln w="12700">
              <a:solidFill>
                <a:srgbClr val="0000FF"/>
              </a:solidFill>
              <a:prstDash val="solid"/>
            </a:ln>
          </c:spPr>
          <c:invertIfNegative val="0"/>
          <c:cat>
            <c:numRef>
              <c:f>'2006 Sampling'!$BH$3:$BH$8</c:f>
              <c:numCache>
                <c:formatCode>General</c:formatCode>
                <c:ptCount val="6"/>
              </c:numCache>
            </c:numRef>
          </c:cat>
          <c:val>
            <c:numRef>
              <c:f>'2006 Sampling'!$BI$3:$BI$8</c:f>
              <c:numCache>
                <c:formatCode>General</c:formatCode>
                <c:ptCount val="6"/>
              </c:numCache>
            </c:numRef>
          </c:val>
          <c:extLst>
            <c:ext xmlns:c16="http://schemas.microsoft.com/office/drawing/2014/chart" uri="{C3380CC4-5D6E-409C-BE32-E72D297353CC}">
              <c16:uniqueId val="{00000000-F378-4E46-9A5B-C8BB48D8091C}"/>
            </c:ext>
          </c:extLst>
        </c:ser>
        <c:ser>
          <c:idx val="1"/>
          <c:order val="1"/>
          <c:tx>
            <c:strRef>
              <c:f>'2006 Sampling'!$BJ$2</c:f>
              <c:strCache>
                <c:ptCount val="1"/>
              </c:strCache>
            </c:strRef>
          </c:tx>
          <c:spPr>
            <a:solidFill>
              <a:srgbClr val="FF0000"/>
            </a:solidFill>
            <a:ln w="12700">
              <a:solidFill>
                <a:srgbClr val="FF0000"/>
              </a:solidFill>
              <a:prstDash val="solid"/>
            </a:ln>
          </c:spPr>
          <c:invertIfNegative val="0"/>
          <c:val>
            <c:numRef>
              <c:f>'2006 Sampling'!$BJ$3:$BJ$8</c:f>
              <c:numCache>
                <c:formatCode>General</c:formatCode>
                <c:ptCount val="6"/>
              </c:numCache>
            </c:numRef>
          </c:val>
          <c:extLst>
            <c:ext xmlns:c16="http://schemas.microsoft.com/office/drawing/2014/chart" uri="{C3380CC4-5D6E-409C-BE32-E72D297353CC}">
              <c16:uniqueId val="{00000001-F378-4E46-9A5B-C8BB48D8091C}"/>
            </c:ext>
          </c:extLst>
        </c:ser>
        <c:dLbls>
          <c:showLegendKey val="0"/>
          <c:showVal val="0"/>
          <c:showCatName val="0"/>
          <c:showSerName val="0"/>
          <c:showPercent val="0"/>
          <c:showBubbleSize val="0"/>
        </c:dLbls>
        <c:gapWidth val="150"/>
        <c:axId val="494064024"/>
        <c:axId val="494069512"/>
      </c:barChart>
      <c:catAx>
        <c:axId val="4940640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9512"/>
        <c:crosses val="autoZero"/>
        <c:auto val="1"/>
        <c:lblAlgn val="ctr"/>
        <c:lblOffset val="100"/>
        <c:tickLblSkip val="1"/>
        <c:tickMarkSkip val="1"/>
        <c:noMultiLvlLbl val="0"/>
      </c:catAx>
      <c:valAx>
        <c:axId val="49406951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406402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678659182429121E-2"/>
          <c:y val="7.9096263396736505E-2"/>
          <c:w val="0.76649872848378098"/>
          <c:h val="0.8333356322156168"/>
        </c:manualLayout>
      </c:layout>
      <c:barChart>
        <c:barDir val="col"/>
        <c:grouping val="clustered"/>
        <c:varyColors val="0"/>
        <c:ser>
          <c:idx val="0"/>
          <c:order val="0"/>
          <c:tx>
            <c:strRef>
              <c:f>'2006 Sampling'!$BI$2</c:f>
              <c:strCache>
                <c:ptCount val="1"/>
              </c:strCache>
            </c:strRef>
          </c:tx>
          <c:spPr>
            <a:solidFill>
              <a:srgbClr val="0000FF"/>
            </a:solidFill>
            <a:ln w="12700">
              <a:solidFill>
                <a:srgbClr val="0000FF"/>
              </a:solidFill>
              <a:prstDash val="solid"/>
            </a:ln>
          </c:spPr>
          <c:invertIfNegative val="0"/>
          <c:cat>
            <c:numRef>
              <c:f>'2006 Sampling'!$BH$3:$BH$8</c:f>
              <c:numCache>
                <c:formatCode>General</c:formatCode>
                <c:ptCount val="6"/>
              </c:numCache>
            </c:numRef>
          </c:cat>
          <c:val>
            <c:numRef>
              <c:f>'2006 Sampling'!$BI$3:$BI$8</c:f>
              <c:numCache>
                <c:formatCode>General</c:formatCode>
                <c:ptCount val="6"/>
              </c:numCache>
            </c:numRef>
          </c:val>
          <c:extLst>
            <c:ext xmlns:c16="http://schemas.microsoft.com/office/drawing/2014/chart" uri="{C3380CC4-5D6E-409C-BE32-E72D297353CC}">
              <c16:uniqueId val="{00000000-5FDD-4203-8455-F8AFA9736D16}"/>
            </c:ext>
          </c:extLst>
        </c:ser>
        <c:ser>
          <c:idx val="1"/>
          <c:order val="1"/>
          <c:tx>
            <c:strRef>
              <c:f>'2006 Sampling'!$BJ$2</c:f>
              <c:strCache>
                <c:ptCount val="1"/>
              </c:strCache>
            </c:strRef>
          </c:tx>
          <c:spPr>
            <a:solidFill>
              <a:srgbClr val="FF0000"/>
            </a:solidFill>
            <a:ln w="12700">
              <a:solidFill>
                <a:srgbClr val="FF0000"/>
              </a:solidFill>
              <a:prstDash val="solid"/>
            </a:ln>
          </c:spPr>
          <c:invertIfNegative val="0"/>
          <c:val>
            <c:numRef>
              <c:f>'2006 Sampling'!$BJ$3:$BJ$8</c:f>
              <c:numCache>
                <c:formatCode>General</c:formatCode>
                <c:ptCount val="6"/>
              </c:numCache>
            </c:numRef>
          </c:val>
          <c:extLst>
            <c:ext xmlns:c16="http://schemas.microsoft.com/office/drawing/2014/chart" uri="{C3380CC4-5D6E-409C-BE32-E72D297353CC}">
              <c16:uniqueId val="{00000001-5FDD-4203-8455-F8AFA9736D16}"/>
            </c:ext>
          </c:extLst>
        </c:ser>
        <c:dLbls>
          <c:showLegendKey val="0"/>
          <c:showVal val="0"/>
          <c:showCatName val="0"/>
          <c:showSerName val="0"/>
          <c:showPercent val="0"/>
          <c:showBubbleSize val="0"/>
        </c:dLbls>
        <c:gapWidth val="150"/>
        <c:axId val="506009784"/>
        <c:axId val="506010960"/>
      </c:barChart>
      <c:catAx>
        <c:axId val="5060097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506010960"/>
        <c:crosses val="autoZero"/>
        <c:auto val="1"/>
        <c:lblAlgn val="ctr"/>
        <c:lblOffset val="100"/>
        <c:tickLblSkip val="1"/>
        <c:tickMarkSkip val="1"/>
        <c:noMultiLvlLbl val="0"/>
      </c:catAx>
      <c:valAx>
        <c:axId val="50601096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506009784"/>
        <c:crosses val="autoZero"/>
        <c:crossBetween val="between"/>
      </c:valAx>
      <c:spPr>
        <a:noFill/>
        <a:ln w="25400">
          <a:noFill/>
        </a:ln>
      </c:spPr>
    </c:plotArea>
    <c:legend>
      <c:legendPos val="r"/>
      <c:layout>
        <c:manualLayout>
          <c:xMode val="edge"/>
          <c:yMode val="edge"/>
          <c:wMode val="edge"/>
          <c:hMode val="edge"/>
          <c:x val="0.75973051591901264"/>
          <c:y val="0.2429384462535403"/>
          <c:w val="0.80372374772950328"/>
          <c:h val="0.37570710440855903"/>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84640632368889E-2"/>
          <c:y val="7.3446530296969612E-2"/>
          <c:w val="0.88130221243364526"/>
          <c:h val="0.84745996496503395"/>
        </c:manualLayout>
      </c:layout>
      <c:barChart>
        <c:barDir val="col"/>
        <c:grouping val="clustered"/>
        <c:varyColors val="0"/>
        <c:ser>
          <c:idx val="0"/>
          <c:order val="0"/>
          <c:tx>
            <c:strRef>
              <c:f>'2006 Sampling'!$AP$90:$AP$91</c:f>
              <c:strCache>
                <c:ptCount val="2"/>
              </c:strCache>
            </c:strRef>
          </c:tx>
          <c:spPr>
            <a:solidFill>
              <a:srgbClr val="0000FF"/>
            </a:solidFill>
            <a:ln w="12700">
              <a:solidFill>
                <a:srgbClr val="0000FF"/>
              </a:solidFill>
              <a:prstDash val="solid"/>
            </a:ln>
          </c:spPr>
          <c:invertIfNegative val="0"/>
          <c:cat>
            <c:numRef>
              <c:f>'2006 Sampling'!$AO$92:$AO$96</c:f>
              <c:numCache>
                <c:formatCode>General</c:formatCode>
                <c:ptCount val="5"/>
              </c:numCache>
            </c:numRef>
          </c:cat>
          <c:val>
            <c:numRef>
              <c:f>'2006 Sampling'!$AP$92:$AP$96</c:f>
              <c:numCache>
                <c:formatCode>General</c:formatCode>
                <c:ptCount val="5"/>
              </c:numCache>
            </c:numRef>
          </c:val>
          <c:extLst>
            <c:ext xmlns:c16="http://schemas.microsoft.com/office/drawing/2014/chart" uri="{C3380CC4-5D6E-409C-BE32-E72D297353CC}">
              <c16:uniqueId val="{00000000-C29D-4006-9339-4E9123E8849E}"/>
            </c:ext>
          </c:extLst>
        </c:ser>
        <c:ser>
          <c:idx val="2"/>
          <c:order val="1"/>
          <c:tx>
            <c:strRef>
              <c:f>'2006 Sampling'!$AR$90:$AR$91</c:f>
              <c:strCache>
                <c:ptCount val="2"/>
              </c:strCache>
            </c:strRef>
          </c:tx>
          <c:spPr>
            <a:solidFill>
              <a:srgbClr val="FF00FF"/>
            </a:solidFill>
            <a:ln w="12700">
              <a:solidFill>
                <a:srgbClr val="FF00FF"/>
              </a:solidFill>
              <a:prstDash val="solid"/>
            </a:ln>
          </c:spPr>
          <c:invertIfNegative val="0"/>
          <c:val>
            <c:numRef>
              <c:f>'2006 Sampling'!$AR$92:$AR$96</c:f>
              <c:numCache>
                <c:formatCode>General</c:formatCode>
                <c:ptCount val="5"/>
              </c:numCache>
            </c:numRef>
          </c:val>
          <c:extLst>
            <c:ext xmlns:c16="http://schemas.microsoft.com/office/drawing/2014/chart" uri="{C3380CC4-5D6E-409C-BE32-E72D297353CC}">
              <c16:uniqueId val="{00000001-C29D-4006-9339-4E9123E8849E}"/>
            </c:ext>
          </c:extLst>
        </c:ser>
        <c:ser>
          <c:idx val="4"/>
          <c:order val="2"/>
          <c:tx>
            <c:strRef>
              <c:f>'2006 Sampling'!$AT$90:$AT$91</c:f>
              <c:strCache>
                <c:ptCount val="2"/>
              </c:strCache>
            </c:strRef>
          </c:tx>
          <c:spPr>
            <a:solidFill>
              <a:srgbClr val="008000"/>
            </a:solidFill>
            <a:ln w="12700">
              <a:solidFill>
                <a:srgbClr val="008000"/>
              </a:solidFill>
              <a:prstDash val="solid"/>
            </a:ln>
          </c:spPr>
          <c:invertIfNegative val="0"/>
          <c:val>
            <c:numRef>
              <c:f>'2006 Sampling'!$AT$92:$AT$96</c:f>
              <c:numCache>
                <c:formatCode>General</c:formatCode>
                <c:ptCount val="5"/>
              </c:numCache>
            </c:numRef>
          </c:val>
          <c:extLst>
            <c:ext xmlns:c16="http://schemas.microsoft.com/office/drawing/2014/chart" uri="{C3380CC4-5D6E-409C-BE32-E72D297353CC}">
              <c16:uniqueId val="{00000002-C29D-4006-9339-4E9123E8849E}"/>
            </c:ext>
          </c:extLst>
        </c:ser>
        <c:ser>
          <c:idx val="6"/>
          <c:order val="3"/>
          <c:tx>
            <c:strRef>
              <c:f>'2006 Sampling'!$AV$90:$AV$91</c:f>
              <c:strCache>
                <c:ptCount val="2"/>
              </c:strCache>
            </c:strRef>
          </c:tx>
          <c:spPr>
            <a:solidFill>
              <a:srgbClr val="000080"/>
            </a:solidFill>
            <a:ln w="12700">
              <a:solidFill>
                <a:srgbClr val="000080"/>
              </a:solidFill>
              <a:prstDash val="solid"/>
            </a:ln>
          </c:spPr>
          <c:invertIfNegative val="0"/>
          <c:val>
            <c:numRef>
              <c:f>'2006 Sampling'!$AV$92:$AV$96</c:f>
              <c:numCache>
                <c:formatCode>General</c:formatCode>
                <c:ptCount val="5"/>
              </c:numCache>
            </c:numRef>
          </c:val>
          <c:extLst>
            <c:ext xmlns:c16="http://schemas.microsoft.com/office/drawing/2014/chart" uri="{C3380CC4-5D6E-409C-BE32-E72D297353CC}">
              <c16:uniqueId val="{00000003-C29D-4006-9339-4E9123E8849E}"/>
            </c:ext>
          </c:extLst>
        </c:ser>
        <c:ser>
          <c:idx val="8"/>
          <c:order val="4"/>
          <c:tx>
            <c:strRef>
              <c:f>'2006 Sampling'!$AX$90:$AX$91</c:f>
              <c:strCache>
                <c:ptCount val="2"/>
              </c:strCache>
            </c:strRef>
          </c:tx>
          <c:spPr>
            <a:solidFill>
              <a:srgbClr val="FF0000"/>
            </a:solidFill>
            <a:ln w="12700">
              <a:solidFill>
                <a:srgbClr val="FF0000"/>
              </a:solidFill>
              <a:prstDash val="solid"/>
            </a:ln>
          </c:spPr>
          <c:invertIfNegative val="0"/>
          <c:val>
            <c:numRef>
              <c:f>'2006 Sampling'!$AX$92:$AX$96</c:f>
              <c:numCache>
                <c:formatCode>General</c:formatCode>
                <c:ptCount val="5"/>
              </c:numCache>
            </c:numRef>
          </c:val>
          <c:extLst>
            <c:ext xmlns:c16="http://schemas.microsoft.com/office/drawing/2014/chart" uri="{C3380CC4-5D6E-409C-BE32-E72D297353CC}">
              <c16:uniqueId val="{00000004-C29D-4006-9339-4E9123E8849E}"/>
            </c:ext>
          </c:extLst>
        </c:ser>
        <c:dLbls>
          <c:showLegendKey val="0"/>
          <c:showVal val="0"/>
          <c:showCatName val="0"/>
          <c:showSerName val="0"/>
          <c:showPercent val="0"/>
          <c:showBubbleSize val="0"/>
        </c:dLbls>
        <c:gapWidth val="150"/>
        <c:axId val="506004296"/>
        <c:axId val="506015272"/>
      </c:barChart>
      <c:catAx>
        <c:axId val="506004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506015272"/>
        <c:crosses val="autoZero"/>
        <c:auto val="1"/>
        <c:lblAlgn val="ctr"/>
        <c:lblOffset val="100"/>
        <c:tickLblSkip val="1"/>
        <c:tickMarkSkip val="1"/>
        <c:noMultiLvlLbl val="0"/>
      </c:catAx>
      <c:valAx>
        <c:axId val="5060152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506004296"/>
        <c:crosses val="autoZero"/>
        <c:crossBetween val="between"/>
      </c:valAx>
      <c:spPr>
        <a:noFill/>
        <a:ln w="25400">
          <a:noFill/>
        </a:ln>
      </c:spPr>
    </c:plotArea>
    <c:legend>
      <c:legendPos val="r"/>
      <c:layout>
        <c:manualLayout>
          <c:xMode val="edge"/>
          <c:yMode val="edge"/>
          <c:wMode val="edge"/>
          <c:hMode val="edge"/>
          <c:x val="0.95447308110876383"/>
          <c:y val="0.35593309310912408"/>
          <c:w val="0.98699340631201582"/>
          <c:h val="0.6412447172916945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10570097479143E-2"/>
          <c:y val="7.18232044198895E-2"/>
          <c:w val="0.87953937116364211"/>
          <c:h val="0.850828729281768"/>
        </c:manualLayout>
      </c:layout>
      <c:barChart>
        <c:barDir val="col"/>
        <c:grouping val="clustered"/>
        <c:varyColors val="0"/>
        <c:ser>
          <c:idx val="1"/>
          <c:order val="0"/>
          <c:tx>
            <c:strRef>
              <c:f>'2006 Sampling'!$AQ$90:$AQ$91</c:f>
              <c:strCache>
                <c:ptCount val="2"/>
              </c:strCache>
            </c:strRef>
          </c:tx>
          <c:spPr>
            <a:solidFill>
              <a:srgbClr val="0000FF"/>
            </a:solidFill>
            <a:ln w="12700">
              <a:solidFill>
                <a:srgbClr val="0000FF"/>
              </a:solidFill>
              <a:prstDash val="solid"/>
            </a:ln>
          </c:spPr>
          <c:invertIfNegative val="0"/>
          <c:cat>
            <c:numRef>
              <c:f>'2006 Sampling'!$AO$92:$AO$96</c:f>
              <c:numCache>
                <c:formatCode>General</c:formatCode>
                <c:ptCount val="5"/>
              </c:numCache>
            </c:numRef>
          </c:cat>
          <c:val>
            <c:numRef>
              <c:f>'2006 Sampling'!$AQ$92:$AQ$96</c:f>
              <c:numCache>
                <c:formatCode>General</c:formatCode>
                <c:ptCount val="5"/>
              </c:numCache>
            </c:numRef>
          </c:val>
          <c:extLst>
            <c:ext xmlns:c16="http://schemas.microsoft.com/office/drawing/2014/chart" uri="{C3380CC4-5D6E-409C-BE32-E72D297353CC}">
              <c16:uniqueId val="{00000000-C633-4E8D-A4B5-46369945F98D}"/>
            </c:ext>
          </c:extLst>
        </c:ser>
        <c:ser>
          <c:idx val="3"/>
          <c:order val="1"/>
          <c:tx>
            <c:strRef>
              <c:f>'2006 Sampling'!$AS$90:$AS$91</c:f>
              <c:strCache>
                <c:ptCount val="2"/>
              </c:strCache>
            </c:strRef>
          </c:tx>
          <c:spPr>
            <a:solidFill>
              <a:srgbClr val="FF00FF"/>
            </a:solidFill>
            <a:ln w="12700">
              <a:solidFill>
                <a:srgbClr val="FF00FF"/>
              </a:solidFill>
              <a:prstDash val="solid"/>
            </a:ln>
          </c:spPr>
          <c:invertIfNegative val="0"/>
          <c:cat>
            <c:numRef>
              <c:f>'2006 Sampling'!$AO$92:$AO$96</c:f>
              <c:numCache>
                <c:formatCode>General</c:formatCode>
                <c:ptCount val="5"/>
              </c:numCache>
            </c:numRef>
          </c:cat>
          <c:val>
            <c:numRef>
              <c:f>'2006 Sampling'!$AS$92:$AS$96</c:f>
              <c:numCache>
                <c:formatCode>General</c:formatCode>
                <c:ptCount val="5"/>
              </c:numCache>
            </c:numRef>
          </c:val>
          <c:extLst>
            <c:ext xmlns:c16="http://schemas.microsoft.com/office/drawing/2014/chart" uri="{C3380CC4-5D6E-409C-BE32-E72D297353CC}">
              <c16:uniqueId val="{00000001-C633-4E8D-A4B5-46369945F98D}"/>
            </c:ext>
          </c:extLst>
        </c:ser>
        <c:ser>
          <c:idx val="5"/>
          <c:order val="2"/>
          <c:tx>
            <c:strRef>
              <c:f>'2006 Sampling'!$AU$90:$AU$91</c:f>
              <c:strCache>
                <c:ptCount val="2"/>
              </c:strCache>
            </c:strRef>
          </c:tx>
          <c:spPr>
            <a:solidFill>
              <a:srgbClr val="008000"/>
            </a:solidFill>
            <a:ln w="12700">
              <a:solidFill>
                <a:srgbClr val="008000"/>
              </a:solidFill>
              <a:prstDash val="solid"/>
            </a:ln>
          </c:spPr>
          <c:invertIfNegative val="0"/>
          <c:cat>
            <c:numRef>
              <c:f>'2006 Sampling'!$AO$92:$AO$96</c:f>
              <c:numCache>
                <c:formatCode>General</c:formatCode>
                <c:ptCount val="5"/>
              </c:numCache>
            </c:numRef>
          </c:cat>
          <c:val>
            <c:numRef>
              <c:f>'2006 Sampling'!$AU$92:$AU$96</c:f>
              <c:numCache>
                <c:formatCode>General</c:formatCode>
                <c:ptCount val="5"/>
              </c:numCache>
            </c:numRef>
          </c:val>
          <c:extLst>
            <c:ext xmlns:c16="http://schemas.microsoft.com/office/drawing/2014/chart" uri="{C3380CC4-5D6E-409C-BE32-E72D297353CC}">
              <c16:uniqueId val="{00000002-C633-4E8D-A4B5-46369945F98D}"/>
            </c:ext>
          </c:extLst>
        </c:ser>
        <c:ser>
          <c:idx val="7"/>
          <c:order val="3"/>
          <c:tx>
            <c:strRef>
              <c:f>'2006 Sampling'!$AW$90:$AW$91</c:f>
              <c:strCache>
                <c:ptCount val="2"/>
              </c:strCache>
            </c:strRef>
          </c:tx>
          <c:spPr>
            <a:solidFill>
              <a:srgbClr val="000080"/>
            </a:solidFill>
            <a:ln w="12700">
              <a:solidFill>
                <a:srgbClr val="000080"/>
              </a:solidFill>
              <a:prstDash val="solid"/>
            </a:ln>
          </c:spPr>
          <c:invertIfNegative val="0"/>
          <c:cat>
            <c:numRef>
              <c:f>'2006 Sampling'!$AO$92:$AO$96</c:f>
              <c:numCache>
                <c:formatCode>General</c:formatCode>
                <c:ptCount val="5"/>
              </c:numCache>
            </c:numRef>
          </c:cat>
          <c:val>
            <c:numRef>
              <c:f>'2006 Sampling'!$AW$92:$AW$96</c:f>
              <c:numCache>
                <c:formatCode>General</c:formatCode>
                <c:ptCount val="5"/>
              </c:numCache>
            </c:numRef>
          </c:val>
          <c:extLst>
            <c:ext xmlns:c16="http://schemas.microsoft.com/office/drawing/2014/chart" uri="{C3380CC4-5D6E-409C-BE32-E72D297353CC}">
              <c16:uniqueId val="{00000003-C633-4E8D-A4B5-46369945F98D}"/>
            </c:ext>
          </c:extLst>
        </c:ser>
        <c:ser>
          <c:idx val="9"/>
          <c:order val="4"/>
          <c:tx>
            <c:strRef>
              <c:f>'2006 Sampling'!$AY$90:$AY$91</c:f>
              <c:strCache>
                <c:ptCount val="2"/>
              </c:strCache>
            </c:strRef>
          </c:tx>
          <c:spPr>
            <a:solidFill>
              <a:srgbClr val="FF0000"/>
            </a:solidFill>
            <a:ln w="12700">
              <a:solidFill>
                <a:srgbClr val="FF0000"/>
              </a:solidFill>
              <a:prstDash val="solid"/>
            </a:ln>
          </c:spPr>
          <c:invertIfNegative val="0"/>
          <c:cat>
            <c:numRef>
              <c:f>'2006 Sampling'!$AO$92:$AO$96</c:f>
              <c:numCache>
                <c:formatCode>General</c:formatCode>
                <c:ptCount val="5"/>
              </c:numCache>
            </c:numRef>
          </c:cat>
          <c:val>
            <c:numRef>
              <c:f>'2006 Sampling'!$AY$92:$AY$96</c:f>
              <c:numCache>
                <c:formatCode>General</c:formatCode>
                <c:ptCount val="5"/>
              </c:numCache>
            </c:numRef>
          </c:val>
          <c:extLst>
            <c:ext xmlns:c16="http://schemas.microsoft.com/office/drawing/2014/chart" uri="{C3380CC4-5D6E-409C-BE32-E72D297353CC}">
              <c16:uniqueId val="{00000004-C633-4E8D-A4B5-46369945F98D}"/>
            </c:ext>
          </c:extLst>
        </c:ser>
        <c:dLbls>
          <c:showLegendKey val="0"/>
          <c:showVal val="0"/>
          <c:showCatName val="0"/>
          <c:showSerName val="0"/>
          <c:showPercent val="0"/>
          <c:showBubbleSize val="0"/>
        </c:dLbls>
        <c:gapWidth val="150"/>
        <c:axId val="506006648"/>
        <c:axId val="506004688"/>
      </c:barChart>
      <c:catAx>
        <c:axId val="5060066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506004688"/>
        <c:crosses val="autoZero"/>
        <c:auto val="1"/>
        <c:lblAlgn val="ctr"/>
        <c:lblOffset val="100"/>
        <c:tickLblSkip val="1"/>
        <c:tickMarkSkip val="1"/>
        <c:noMultiLvlLbl val="0"/>
      </c:catAx>
      <c:valAx>
        <c:axId val="506004688"/>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506006648"/>
        <c:crosses val="autoZero"/>
        <c:crossBetween val="between"/>
      </c:valAx>
      <c:spPr>
        <a:noFill/>
        <a:ln w="25400">
          <a:noFill/>
        </a:ln>
      </c:spPr>
    </c:plotArea>
    <c:legend>
      <c:legendPos val="r"/>
      <c:layout>
        <c:manualLayout>
          <c:xMode val="edge"/>
          <c:yMode val="edge"/>
          <c:wMode val="edge"/>
          <c:hMode val="edge"/>
          <c:x val="0.95379693874899296"/>
          <c:y val="0.36464088397790057"/>
          <c:w val="0.98680023907902592"/>
          <c:h val="0.62983425414364647"/>
        </c:manualLayout>
      </c:layout>
      <c:overlay val="0"/>
      <c:spPr>
        <a:solidFill>
          <a:srgbClr val="FFFFFF"/>
        </a:solidFill>
        <a:ln w="3175">
          <a:solidFill>
            <a:srgbClr val="000000"/>
          </a:solidFill>
          <a:prstDash val="solid"/>
        </a:ln>
      </c:spPr>
      <c:txPr>
        <a:bodyPr/>
        <a:lstStyle/>
        <a:p>
          <a:pPr>
            <a:defRPr sz="7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614436523840423E-2"/>
          <c:y val="7.6712328767123292E-2"/>
          <c:w val="0.75236364341221218"/>
          <c:h val="0.78630136986301369"/>
        </c:manualLayout>
      </c:layout>
      <c:barChart>
        <c:barDir val="col"/>
        <c:grouping val="clustered"/>
        <c:varyColors val="0"/>
        <c:ser>
          <c:idx val="0"/>
          <c:order val="0"/>
          <c:spPr>
            <a:solidFill>
              <a:srgbClr val="0000FF"/>
            </a:solidFill>
            <a:ln w="12700">
              <a:solidFill>
                <a:srgbClr val="0000FF"/>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EA5F-453A-A0A5-2767D215D9E8}"/>
            </c:ext>
          </c:extLst>
        </c:ser>
        <c:ser>
          <c:idx val="1"/>
          <c:order val="1"/>
          <c:spPr>
            <a:solidFill>
              <a:srgbClr val="FF0000"/>
            </a:solidFill>
            <a:ln w="12700">
              <a:solidFill>
                <a:srgbClr val="FF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1-EA5F-453A-A0A5-2767D215D9E8}"/>
            </c:ext>
          </c:extLst>
        </c:ser>
        <c:ser>
          <c:idx val="2"/>
          <c:order val="2"/>
          <c:spPr>
            <a:solidFill>
              <a:srgbClr val="008000"/>
            </a:solidFill>
            <a:ln w="12700">
              <a:solidFill>
                <a:srgbClr val="008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2-EA5F-453A-A0A5-2767D215D9E8}"/>
            </c:ext>
          </c:extLst>
        </c:ser>
        <c:ser>
          <c:idx val="3"/>
          <c:order val="3"/>
          <c:spPr>
            <a:solidFill>
              <a:srgbClr val="FF00FF"/>
            </a:solidFill>
            <a:ln w="12700">
              <a:solidFill>
                <a:srgbClr val="FF00FF"/>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3-EA5F-453A-A0A5-2767D215D9E8}"/>
            </c:ext>
          </c:extLst>
        </c:ser>
        <c:ser>
          <c:idx val="4"/>
          <c:order val="4"/>
          <c:spPr>
            <a:solidFill>
              <a:srgbClr val="6600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4-EA5F-453A-A0A5-2767D215D9E8}"/>
            </c:ext>
          </c:extLst>
        </c:ser>
        <c:dLbls>
          <c:showLegendKey val="0"/>
          <c:showVal val="0"/>
          <c:showCatName val="0"/>
          <c:showSerName val="0"/>
          <c:showPercent val="0"/>
          <c:showBubbleSize val="0"/>
        </c:dLbls>
        <c:gapWidth val="150"/>
        <c:axId val="506005472"/>
        <c:axId val="506010568"/>
      </c:barChart>
      <c:catAx>
        <c:axId val="5060054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506010568"/>
        <c:crosses val="autoZero"/>
        <c:auto val="1"/>
        <c:lblAlgn val="ctr"/>
        <c:lblOffset val="100"/>
        <c:tickLblSkip val="1"/>
        <c:tickMarkSkip val="1"/>
        <c:noMultiLvlLbl val="0"/>
      </c:catAx>
      <c:valAx>
        <c:axId val="506010568"/>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506005472"/>
        <c:crosses val="autoZero"/>
        <c:crossBetween val="between"/>
      </c:valAx>
      <c:spPr>
        <a:noFill/>
        <a:ln w="25400">
          <a:noFill/>
        </a:ln>
      </c:spPr>
    </c:plotArea>
    <c:legend>
      <c:legendPos val="r"/>
      <c:layout>
        <c:manualLayout>
          <c:xMode val="edge"/>
          <c:yMode val="edge"/>
          <c:wMode val="edge"/>
          <c:hMode val="edge"/>
          <c:x val="0.84877206039226194"/>
          <c:y val="0.30410958904109592"/>
          <c:w val="0.98487811896858823"/>
          <c:h val="0.63561643835616444"/>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92452830188678"/>
          <c:y val="7.6502936365843696E-2"/>
          <c:w val="0.660377358490566"/>
          <c:h val="0.78688734547724948"/>
        </c:manualLayout>
      </c:layout>
      <c:barChart>
        <c:barDir val="col"/>
        <c:grouping val="clustered"/>
        <c:varyColors val="0"/>
        <c:ser>
          <c:idx val="0"/>
          <c:order val="0"/>
          <c:spPr>
            <a:solidFill>
              <a:srgbClr val="0000FF"/>
            </a:solidFill>
            <a:ln w="12700">
              <a:solidFill>
                <a:srgbClr val="0000FF"/>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54BD-4916-98CB-D0339EFCC10B}"/>
            </c:ext>
          </c:extLst>
        </c:ser>
        <c:ser>
          <c:idx val="1"/>
          <c:order val="1"/>
          <c:spPr>
            <a:solidFill>
              <a:srgbClr val="FF0000"/>
            </a:solidFill>
            <a:ln w="12700">
              <a:solidFill>
                <a:srgbClr val="FF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1-54BD-4916-98CB-D0339EFCC10B}"/>
            </c:ext>
          </c:extLst>
        </c:ser>
        <c:ser>
          <c:idx val="2"/>
          <c:order val="2"/>
          <c:spPr>
            <a:solidFill>
              <a:srgbClr val="008000"/>
            </a:solidFill>
            <a:ln w="12700">
              <a:solidFill>
                <a:srgbClr val="008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2-54BD-4916-98CB-D0339EFCC10B}"/>
            </c:ext>
          </c:extLst>
        </c:ser>
        <c:ser>
          <c:idx val="3"/>
          <c:order val="3"/>
          <c:spPr>
            <a:solidFill>
              <a:srgbClr val="FF00FF"/>
            </a:solidFill>
            <a:ln w="12700">
              <a:solidFill>
                <a:srgbClr val="FF00FF"/>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3-54BD-4916-98CB-D0339EFCC10B}"/>
            </c:ext>
          </c:extLst>
        </c:ser>
        <c:ser>
          <c:idx val="4"/>
          <c:order val="4"/>
          <c:spPr>
            <a:solidFill>
              <a:srgbClr val="6600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6="http://schemas.microsoft.com/office/drawing/2014/chart" uri="{C3380CC4-5D6E-409C-BE32-E72D297353CC}">
              <c16:uniqueId val="{00000004-54BD-4916-98CB-D0339EFCC10B}"/>
            </c:ext>
          </c:extLst>
        </c:ser>
        <c:dLbls>
          <c:showLegendKey val="0"/>
          <c:showVal val="0"/>
          <c:showCatName val="0"/>
          <c:showSerName val="0"/>
          <c:showPercent val="0"/>
          <c:showBubbleSize val="0"/>
        </c:dLbls>
        <c:gapWidth val="150"/>
        <c:axId val="506009000"/>
        <c:axId val="506012136"/>
      </c:barChart>
      <c:catAx>
        <c:axId val="5060090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506012136"/>
        <c:crosses val="autoZero"/>
        <c:auto val="1"/>
        <c:lblAlgn val="ctr"/>
        <c:lblOffset val="100"/>
        <c:tickLblSkip val="1"/>
        <c:tickMarkSkip val="1"/>
        <c:noMultiLvlLbl val="0"/>
      </c:catAx>
      <c:valAx>
        <c:axId val="506012136"/>
        <c:scaling>
          <c:orientation val="minMax"/>
          <c:max val="12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506009000"/>
        <c:crosses val="autoZero"/>
        <c:crossBetween val="between"/>
      </c:valAx>
      <c:spPr>
        <a:noFill/>
        <a:ln w="25400">
          <a:noFill/>
        </a:ln>
      </c:spPr>
    </c:plotArea>
    <c:legend>
      <c:legendPos val="r"/>
      <c:layout>
        <c:manualLayout>
          <c:xMode val="edge"/>
          <c:yMode val="edge"/>
          <c:wMode val="edge"/>
          <c:hMode val="edge"/>
          <c:x val="0.84905660377358494"/>
          <c:y val="0.30601178950991781"/>
          <c:w val="0.98490566037735849"/>
          <c:h val="0.63661374295426187"/>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5929203539823"/>
          <c:y val="6.7750856810152041E-2"/>
          <c:w val="0.77654867256637172"/>
          <c:h val="0.86179089862513403"/>
        </c:manualLayout>
      </c:layout>
      <c:barChart>
        <c:barDir val="col"/>
        <c:grouping val="clustered"/>
        <c:varyColors val="0"/>
        <c:ser>
          <c:idx val="0"/>
          <c:order val="0"/>
          <c:tx>
            <c:strRef>
              <c:f>'2006 Sampling'!$AP$90:$AP$91</c:f>
              <c:strCache>
                <c:ptCount val="2"/>
              </c:strCache>
            </c:strRef>
          </c:tx>
          <c:spPr>
            <a:solidFill>
              <a:srgbClr val="0000FF"/>
            </a:solidFill>
            <a:ln w="12700">
              <a:solidFill>
                <a:srgbClr val="0000FF"/>
              </a:solidFill>
              <a:prstDash val="solid"/>
            </a:ln>
          </c:spPr>
          <c:invertIfNegative val="0"/>
          <c:cat>
            <c:numRef>
              <c:f>'2006 Sampling'!$AO$92:$AO$96</c:f>
              <c:numCache>
                <c:formatCode>General</c:formatCode>
                <c:ptCount val="5"/>
              </c:numCache>
            </c:numRef>
          </c:cat>
          <c:val>
            <c:numRef>
              <c:f>'2006 Sampling'!$AP$92:$AP$96</c:f>
              <c:numCache>
                <c:formatCode>General</c:formatCode>
                <c:ptCount val="5"/>
              </c:numCache>
            </c:numRef>
          </c:val>
          <c:extLst>
            <c:ext xmlns:c16="http://schemas.microsoft.com/office/drawing/2014/chart" uri="{C3380CC4-5D6E-409C-BE32-E72D297353CC}">
              <c16:uniqueId val="{00000000-0B0F-4601-9F57-976B62CC0548}"/>
            </c:ext>
          </c:extLst>
        </c:ser>
        <c:ser>
          <c:idx val="2"/>
          <c:order val="1"/>
          <c:tx>
            <c:strRef>
              <c:f>'2006 Sampling'!$AR$90:$AR$91</c:f>
              <c:strCache>
                <c:ptCount val="2"/>
              </c:strCache>
            </c:strRef>
          </c:tx>
          <c:spPr>
            <a:solidFill>
              <a:srgbClr val="FF00FF"/>
            </a:solidFill>
            <a:ln w="12700">
              <a:solidFill>
                <a:srgbClr val="FF00FF"/>
              </a:solidFill>
              <a:prstDash val="solid"/>
            </a:ln>
          </c:spPr>
          <c:invertIfNegative val="0"/>
          <c:cat>
            <c:numRef>
              <c:f>'2006 Sampling'!$AO$92:$AO$96</c:f>
              <c:numCache>
                <c:formatCode>General</c:formatCode>
                <c:ptCount val="5"/>
              </c:numCache>
            </c:numRef>
          </c:cat>
          <c:val>
            <c:numRef>
              <c:f>'2006 Sampling'!$AR$92:$AR$96</c:f>
              <c:numCache>
                <c:formatCode>General</c:formatCode>
                <c:ptCount val="5"/>
              </c:numCache>
            </c:numRef>
          </c:val>
          <c:extLst>
            <c:ext xmlns:c16="http://schemas.microsoft.com/office/drawing/2014/chart" uri="{C3380CC4-5D6E-409C-BE32-E72D297353CC}">
              <c16:uniqueId val="{00000001-0B0F-4601-9F57-976B62CC0548}"/>
            </c:ext>
          </c:extLst>
        </c:ser>
        <c:ser>
          <c:idx val="4"/>
          <c:order val="2"/>
          <c:tx>
            <c:strRef>
              <c:f>'2006 Sampling'!$AT$90:$AT$91</c:f>
              <c:strCache>
                <c:ptCount val="2"/>
              </c:strCache>
            </c:strRef>
          </c:tx>
          <c:spPr>
            <a:solidFill>
              <a:srgbClr val="008000"/>
            </a:solidFill>
            <a:ln w="12700">
              <a:solidFill>
                <a:srgbClr val="008000"/>
              </a:solidFill>
              <a:prstDash val="solid"/>
            </a:ln>
          </c:spPr>
          <c:invertIfNegative val="0"/>
          <c:cat>
            <c:numRef>
              <c:f>'2006 Sampling'!$AO$92:$AO$96</c:f>
              <c:numCache>
                <c:formatCode>General</c:formatCode>
                <c:ptCount val="5"/>
              </c:numCache>
            </c:numRef>
          </c:cat>
          <c:val>
            <c:numRef>
              <c:f>'2006 Sampling'!$AT$92:$AT$96</c:f>
              <c:numCache>
                <c:formatCode>General</c:formatCode>
                <c:ptCount val="5"/>
              </c:numCache>
            </c:numRef>
          </c:val>
          <c:extLst>
            <c:ext xmlns:c16="http://schemas.microsoft.com/office/drawing/2014/chart" uri="{C3380CC4-5D6E-409C-BE32-E72D297353CC}">
              <c16:uniqueId val="{00000002-0B0F-4601-9F57-976B62CC0548}"/>
            </c:ext>
          </c:extLst>
        </c:ser>
        <c:ser>
          <c:idx val="6"/>
          <c:order val="3"/>
          <c:tx>
            <c:strRef>
              <c:f>'2006 Sampling'!$AV$90:$AV$91</c:f>
              <c:strCache>
                <c:ptCount val="2"/>
              </c:strCache>
            </c:strRef>
          </c:tx>
          <c:spPr>
            <a:solidFill>
              <a:srgbClr val="000080"/>
            </a:solidFill>
            <a:ln w="12700">
              <a:solidFill>
                <a:srgbClr val="000080"/>
              </a:solidFill>
              <a:prstDash val="solid"/>
            </a:ln>
          </c:spPr>
          <c:invertIfNegative val="0"/>
          <c:cat>
            <c:numRef>
              <c:f>'2006 Sampling'!$AO$92:$AO$96</c:f>
              <c:numCache>
                <c:formatCode>General</c:formatCode>
                <c:ptCount val="5"/>
              </c:numCache>
            </c:numRef>
          </c:cat>
          <c:val>
            <c:numRef>
              <c:f>'2006 Sampling'!$AV$92:$AV$96</c:f>
              <c:numCache>
                <c:formatCode>General</c:formatCode>
                <c:ptCount val="5"/>
              </c:numCache>
            </c:numRef>
          </c:val>
          <c:extLst>
            <c:ext xmlns:c16="http://schemas.microsoft.com/office/drawing/2014/chart" uri="{C3380CC4-5D6E-409C-BE32-E72D297353CC}">
              <c16:uniqueId val="{00000003-0B0F-4601-9F57-976B62CC0548}"/>
            </c:ext>
          </c:extLst>
        </c:ser>
        <c:ser>
          <c:idx val="8"/>
          <c:order val="4"/>
          <c:tx>
            <c:strRef>
              <c:f>'2006 Sampling'!$AX$90:$AX$91</c:f>
              <c:strCache>
                <c:ptCount val="2"/>
              </c:strCache>
            </c:strRef>
          </c:tx>
          <c:spPr>
            <a:solidFill>
              <a:srgbClr val="FF0000"/>
            </a:solidFill>
            <a:ln w="12700">
              <a:solidFill>
                <a:srgbClr val="FF0000"/>
              </a:solidFill>
              <a:prstDash val="solid"/>
            </a:ln>
          </c:spPr>
          <c:invertIfNegative val="0"/>
          <c:cat>
            <c:numRef>
              <c:f>'2006 Sampling'!$AO$92:$AO$96</c:f>
              <c:numCache>
                <c:formatCode>General</c:formatCode>
                <c:ptCount val="5"/>
              </c:numCache>
            </c:numRef>
          </c:cat>
          <c:val>
            <c:numRef>
              <c:f>'2006 Sampling'!$AX$92:$AX$96</c:f>
              <c:numCache>
                <c:formatCode>General</c:formatCode>
                <c:ptCount val="5"/>
              </c:numCache>
            </c:numRef>
          </c:val>
          <c:extLst>
            <c:ext xmlns:c16="http://schemas.microsoft.com/office/drawing/2014/chart" uri="{C3380CC4-5D6E-409C-BE32-E72D297353CC}">
              <c16:uniqueId val="{00000004-0B0F-4601-9F57-976B62CC0548}"/>
            </c:ext>
          </c:extLst>
        </c:ser>
        <c:dLbls>
          <c:showLegendKey val="0"/>
          <c:showVal val="0"/>
          <c:showCatName val="0"/>
          <c:showSerName val="0"/>
          <c:showPercent val="0"/>
          <c:showBubbleSize val="0"/>
        </c:dLbls>
        <c:gapWidth val="150"/>
        <c:axId val="506012920"/>
        <c:axId val="506013312"/>
      </c:barChart>
      <c:catAx>
        <c:axId val="5060129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06013312"/>
        <c:crosses val="autoZero"/>
        <c:auto val="1"/>
        <c:lblAlgn val="ctr"/>
        <c:lblOffset val="100"/>
        <c:tickLblSkip val="1"/>
        <c:tickMarkSkip val="1"/>
        <c:noMultiLvlLbl val="0"/>
      </c:catAx>
      <c:valAx>
        <c:axId val="506013312"/>
        <c:scaling>
          <c:orientation val="minMax"/>
          <c:max val="14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06012920"/>
        <c:crosses val="autoZero"/>
        <c:crossBetween val="between"/>
      </c:valAx>
      <c:spPr>
        <a:noFill/>
        <a:ln w="25400">
          <a:noFill/>
        </a:ln>
      </c:spPr>
    </c:plotArea>
    <c:legend>
      <c:legendPos val="r"/>
      <c:layout>
        <c:manualLayout>
          <c:xMode val="edge"/>
          <c:yMode val="edge"/>
          <c:wMode val="edge"/>
          <c:hMode val="edge"/>
          <c:x val="0.94247787610619471"/>
          <c:y val="0.37669490500679287"/>
          <c:w val="0.98230088495575218"/>
          <c:h val="0.62330794016601587"/>
        </c:manualLayout>
      </c:layout>
      <c:overlay val="0"/>
      <c:spPr>
        <a:solidFill>
          <a:srgbClr val="FFFFFF"/>
        </a:solidFill>
        <a:ln w="3175">
          <a:solidFill>
            <a:srgbClr val="000000"/>
          </a:solidFill>
          <a:prstDash val="solid"/>
        </a:ln>
      </c:spPr>
      <c:txPr>
        <a:bodyPr/>
        <a:lstStyle/>
        <a:p>
          <a:pPr>
            <a:defRPr sz="6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60324344690124"/>
          <c:y val="6.3775510204081634E-2"/>
          <c:w val="0.72949081196604326"/>
          <c:h val="0.86989795918367352"/>
        </c:manualLayout>
      </c:layout>
      <c:barChart>
        <c:barDir val="col"/>
        <c:grouping val="clustered"/>
        <c:varyColors val="0"/>
        <c:ser>
          <c:idx val="1"/>
          <c:order val="0"/>
          <c:tx>
            <c:strRef>
              <c:f>'2006 Sampling'!#REF!</c:f>
            </c:strRef>
          </c:tx>
          <c:spPr>
            <a:solidFill>
              <a:srgbClr val="800080"/>
            </a:solidFill>
            <a:ln w="12700">
              <a:solidFill>
                <a:srgbClr val="800080"/>
              </a:solidFill>
              <a:prstDash val="solid"/>
            </a:ln>
          </c:spPr>
          <c:invertIfNegative val="0"/>
          <c:cat>
            <c:numRef>
              <c:f>('2006 Sampling'!$AP$90,'2006 Sampling'!$AR$90,'2006 Sampling'!$AT$90,'2006 Sampling'!$AV$90,'2006 Sampling'!$AX$90)</c:f>
              <c:numCache>
                <c:formatCode>General</c:formatCode>
                <c:ptCount val="5"/>
              </c:numCache>
            </c:numRef>
          </c:cat>
          <c:val>
            <c:numRef>
              <c:f>('2006 Sampling'!#REF!,'2006 Sampling'!#REF!,'2006 Sampling'!#REF!,'2006 Sampling'!#REF!,'2006 Sampling'!#REF!)</c:f>
              <c:numCache>
                <c:formatCode>General</c:formatCode>
                <c:ptCount val="1"/>
                <c:pt idx="0">
                  <c:v>1</c:v>
                </c:pt>
              </c:numCache>
            </c:numRef>
          </c:val>
          <c:extLst>
            <c:ext xmlns:c16="http://schemas.microsoft.com/office/drawing/2014/chart" uri="{C3380CC4-5D6E-409C-BE32-E72D297353CC}">
              <c16:uniqueId val="{00000000-9FD1-493A-826A-2C111A58B204}"/>
            </c:ext>
          </c:extLst>
        </c:ser>
        <c:ser>
          <c:idx val="3"/>
          <c:order val="1"/>
          <c:tx>
            <c:strRef>
              <c:f>'2006 Sampling'!$AO$92</c:f>
              <c:strCache>
                <c:ptCount val="1"/>
              </c:strCache>
            </c:strRef>
          </c:tx>
          <c:spPr>
            <a:solidFill>
              <a:srgbClr val="0000FF"/>
            </a:solidFill>
            <a:ln w="12700">
              <a:solidFill>
                <a:srgbClr val="0000FF"/>
              </a:solidFill>
              <a:prstDash val="solid"/>
            </a:ln>
          </c:spPr>
          <c:invertIfNegative val="0"/>
          <c:cat>
            <c:numRef>
              <c:f>('2006 Sampling'!$AP$90,'2006 Sampling'!$AR$90,'2006 Sampling'!$AT$90,'2006 Sampling'!$AV$90,'2006 Sampling'!$AX$90)</c:f>
              <c:numCache>
                <c:formatCode>General</c:formatCode>
                <c:ptCount val="5"/>
              </c:numCache>
            </c:numRef>
          </c:cat>
          <c:val>
            <c:numRef>
              <c:f>('2006 Sampling'!$AQ$92,'2006 Sampling'!$AS$92,'2006 Sampling'!$AU$92,'2006 Sampling'!$AW$92,'2006 Sampling'!$AY$92)</c:f>
              <c:numCache>
                <c:formatCode>General</c:formatCode>
                <c:ptCount val="5"/>
              </c:numCache>
            </c:numRef>
          </c:val>
          <c:extLst>
            <c:ext xmlns:c16="http://schemas.microsoft.com/office/drawing/2014/chart" uri="{C3380CC4-5D6E-409C-BE32-E72D297353CC}">
              <c16:uniqueId val="{00000001-9FD1-493A-826A-2C111A58B204}"/>
            </c:ext>
          </c:extLst>
        </c:ser>
        <c:ser>
          <c:idx val="5"/>
          <c:order val="2"/>
          <c:tx>
            <c:strRef>
              <c:f>'2006 Sampling'!$AO$93</c:f>
              <c:strCache>
                <c:ptCount val="1"/>
              </c:strCache>
            </c:strRef>
          </c:tx>
          <c:spPr>
            <a:solidFill>
              <a:srgbClr val="FF00FF"/>
            </a:solidFill>
            <a:ln w="12700">
              <a:solidFill>
                <a:srgbClr val="FF00FF"/>
              </a:solidFill>
              <a:prstDash val="solid"/>
            </a:ln>
          </c:spPr>
          <c:invertIfNegative val="0"/>
          <c:cat>
            <c:numRef>
              <c:f>('2006 Sampling'!$AP$90,'2006 Sampling'!$AR$90,'2006 Sampling'!$AT$90,'2006 Sampling'!$AV$90,'2006 Sampling'!$AX$90)</c:f>
              <c:numCache>
                <c:formatCode>General</c:formatCode>
                <c:ptCount val="5"/>
              </c:numCache>
            </c:numRef>
          </c:cat>
          <c:val>
            <c:numRef>
              <c:f>('2006 Sampling'!$AQ$93,'2006 Sampling'!$AS$93,'2006 Sampling'!$AU$93,'2006 Sampling'!$AW$93,'2006 Sampling'!$AY$93)</c:f>
              <c:numCache>
                <c:formatCode>General</c:formatCode>
                <c:ptCount val="5"/>
              </c:numCache>
            </c:numRef>
          </c:val>
          <c:extLst>
            <c:ext xmlns:c16="http://schemas.microsoft.com/office/drawing/2014/chart" uri="{C3380CC4-5D6E-409C-BE32-E72D297353CC}">
              <c16:uniqueId val="{00000002-9FD1-493A-826A-2C111A58B204}"/>
            </c:ext>
          </c:extLst>
        </c:ser>
        <c:ser>
          <c:idx val="7"/>
          <c:order val="3"/>
          <c:tx>
            <c:strRef>
              <c:f>'2006 Sampling'!$AO$94</c:f>
              <c:strCache>
                <c:ptCount val="1"/>
              </c:strCache>
            </c:strRef>
          </c:tx>
          <c:spPr>
            <a:solidFill>
              <a:srgbClr val="008000"/>
            </a:solidFill>
            <a:ln w="12700">
              <a:solidFill>
                <a:srgbClr val="008000"/>
              </a:solidFill>
              <a:prstDash val="solid"/>
            </a:ln>
          </c:spPr>
          <c:invertIfNegative val="0"/>
          <c:cat>
            <c:numRef>
              <c:f>('2006 Sampling'!$AP$90,'2006 Sampling'!$AR$90,'2006 Sampling'!$AT$90,'2006 Sampling'!$AV$90,'2006 Sampling'!$AX$90)</c:f>
              <c:numCache>
                <c:formatCode>General</c:formatCode>
                <c:ptCount val="5"/>
              </c:numCache>
            </c:numRef>
          </c:cat>
          <c:val>
            <c:numRef>
              <c:f>('2006 Sampling'!$AQ$94,'2006 Sampling'!$AS$94,'2006 Sampling'!$AU$94,'2006 Sampling'!$AW$94,'2006 Sampling'!$AY$94)</c:f>
              <c:numCache>
                <c:formatCode>General</c:formatCode>
                <c:ptCount val="5"/>
              </c:numCache>
            </c:numRef>
          </c:val>
          <c:extLst>
            <c:ext xmlns:c16="http://schemas.microsoft.com/office/drawing/2014/chart" uri="{C3380CC4-5D6E-409C-BE32-E72D297353CC}">
              <c16:uniqueId val="{00000003-9FD1-493A-826A-2C111A58B204}"/>
            </c:ext>
          </c:extLst>
        </c:ser>
        <c:ser>
          <c:idx val="9"/>
          <c:order val="4"/>
          <c:tx>
            <c:strRef>
              <c:f>'2006 Sampling'!$AO$95</c:f>
              <c:strCache>
                <c:ptCount val="1"/>
              </c:strCache>
            </c:strRef>
          </c:tx>
          <c:spPr>
            <a:solidFill>
              <a:srgbClr val="000080"/>
            </a:solidFill>
            <a:ln w="12700">
              <a:solidFill>
                <a:srgbClr val="000080"/>
              </a:solidFill>
              <a:prstDash val="solid"/>
            </a:ln>
          </c:spPr>
          <c:invertIfNegative val="0"/>
          <c:cat>
            <c:numRef>
              <c:f>('2006 Sampling'!$AP$90,'2006 Sampling'!$AR$90,'2006 Sampling'!$AT$90,'2006 Sampling'!$AV$90,'2006 Sampling'!$AX$90)</c:f>
              <c:numCache>
                <c:formatCode>General</c:formatCode>
                <c:ptCount val="5"/>
              </c:numCache>
            </c:numRef>
          </c:cat>
          <c:val>
            <c:numRef>
              <c:f>('2006 Sampling'!$AQ$95,'2006 Sampling'!$AS$95,'2006 Sampling'!$AU$95,'2006 Sampling'!$AW$95,'2006 Sampling'!$AY$95)</c:f>
              <c:numCache>
                <c:formatCode>General</c:formatCode>
                <c:ptCount val="5"/>
              </c:numCache>
            </c:numRef>
          </c:val>
          <c:extLst>
            <c:ext xmlns:c16="http://schemas.microsoft.com/office/drawing/2014/chart" uri="{C3380CC4-5D6E-409C-BE32-E72D297353CC}">
              <c16:uniqueId val="{00000004-9FD1-493A-826A-2C111A58B204}"/>
            </c:ext>
          </c:extLst>
        </c:ser>
        <c:ser>
          <c:idx val="0"/>
          <c:order val="5"/>
          <c:tx>
            <c:strRef>
              <c:f>'2006 Sampling'!$AO$96</c:f>
              <c:strCache>
                <c:ptCount val="1"/>
              </c:strCache>
            </c:strRef>
          </c:tx>
          <c:spPr>
            <a:solidFill>
              <a:srgbClr val="FF0000"/>
            </a:solidFill>
            <a:ln w="12700">
              <a:solidFill>
                <a:srgbClr val="FF0000"/>
              </a:solidFill>
              <a:prstDash val="solid"/>
            </a:ln>
          </c:spPr>
          <c:invertIfNegative val="0"/>
          <c:cat>
            <c:numRef>
              <c:f>('2006 Sampling'!$AP$90,'2006 Sampling'!$AR$90,'2006 Sampling'!$AT$90,'2006 Sampling'!$AV$90,'2006 Sampling'!$AX$90)</c:f>
              <c:numCache>
                <c:formatCode>General</c:formatCode>
                <c:ptCount val="5"/>
              </c:numCache>
            </c:numRef>
          </c:cat>
          <c:val>
            <c:numRef>
              <c:f>('2006 Sampling'!$AQ$96,'2006 Sampling'!$AS$96,'2006 Sampling'!$AU$96,'2006 Sampling'!$AW$96,'2006 Sampling'!$AY$96)</c:f>
              <c:numCache>
                <c:formatCode>General</c:formatCode>
                <c:ptCount val="5"/>
              </c:numCache>
            </c:numRef>
          </c:val>
          <c:extLst>
            <c:ext xmlns:c16="http://schemas.microsoft.com/office/drawing/2014/chart" uri="{C3380CC4-5D6E-409C-BE32-E72D297353CC}">
              <c16:uniqueId val="{00000005-9FD1-493A-826A-2C111A58B204}"/>
            </c:ext>
          </c:extLst>
        </c:ser>
        <c:dLbls>
          <c:showLegendKey val="0"/>
          <c:showVal val="0"/>
          <c:showCatName val="0"/>
          <c:showSerName val="0"/>
          <c:showPercent val="0"/>
          <c:showBubbleSize val="0"/>
        </c:dLbls>
        <c:gapWidth val="150"/>
        <c:axId val="506013704"/>
        <c:axId val="506006256"/>
      </c:barChart>
      <c:catAx>
        <c:axId val="5060137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06006256"/>
        <c:crosses val="autoZero"/>
        <c:auto val="1"/>
        <c:lblAlgn val="ctr"/>
        <c:lblOffset val="100"/>
        <c:tickLblSkip val="1"/>
        <c:tickMarkSkip val="1"/>
        <c:noMultiLvlLbl val="0"/>
      </c:catAx>
      <c:valAx>
        <c:axId val="506006256"/>
        <c:scaling>
          <c:orientation val="minMax"/>
          <c:max val="25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06013704"/>
        <c:crosses val="autoZero"/>
        <c:crossBetween val="between"/>
      </c:valAx>
      <c:spPr>
        <a:noFill/>
        <a:ln w="25400">
          <a:noFill/>
        </a:ln>
      </c:spPr>
    </c:plotArea>
    <c:legend>
      <c:legendPos val="r"/>
      <c:layout>
        <c:manualLayout>
          <c:xMode val="edge"/>
          <c:yMode val="edge"/>
          <c:wMode val="edge"/>
          <c:hMode val="edge"/>
          <c:x val="0.88248430143571299"/>
          <c:y val="0.35204081632653061"/>
          <c:w val="0.98226257194569078"/>
          <c:h val="0.64540816326530615"/>
        </c:manualLayout>
      </c:layout>
      <c:overlay val="0"/>
      <c:spPr>
        <a:solidFill>
          <a:srgbClr val="FFFFFF"/>
        </a:solidFill>
        <a:ln w="3175">
          <a:solidFill>
            <a:srgbClr val="000000"/>
          </a:solidFill>
          <a:prstDash val="solid"/>
        </a:ln>
      </c:spPr>
      <c:txPr>
        <a:bodyPr/>
        <a:lstStyle/>
        <a:p>
          <a:pPr>
            <a:defRPr sz="6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394809629844132E-2"/>
          <c:y val="7.0621663747086172E-2"/>
          <c:w val="0.86094241465046384"/>
          <c:h val="0.85593456461468431"/>
        </c:manualLayout>
      </c:layout>
      <c:barChart>
        <c:barDir val="col"/>
        <c:grouping val="clustered"/>
        <c:varyColors val="0"/>
        <c:ser>
          <c:idx val="0"/>
          <c:order val="0"/>
          <c:tx>
            <c:strRef>
              <c:f>'2006 Sampling'!$AN$99</c:f>
              <c:strCache>
                <c:ptCount val="1"/>
              </c:strCache>
            </c:strRef>
          </c:tx>
          <c:spPr>
            <a:solidFill>
              <a:srgbClr val="0000FF"/>
            </a:solidFill>
            <a:ln w="12700">
              <a:solidFill>
                <a:srgbClr val="0000FF"/>
              </a:solidFill>
              <a:prstDash val="solid"/>
            </a:ln>
          </c:spPr>
          <c:invertIfNegative val="0"/>
          <c:cat>
            <c:numRef>
              <c:f>'2006 Sampling'!$AO$90:$AX$90</c:f>
              <c:numCache>
                <c:formatCode>General</c:formatCode>
                <c:ptCount val="10"/>
              </c:numCache>
            </c:numRef>
          </c:cat>
          <c:val>
            <c:numRef>
              <c:f>'2006 Sampling'!$AO$99:$AX$99</c:f>
              <c:numCache>
                <c:formatCode>General</c:formatCode>
                <c:ptCount val="10"/>
              </c:numCache>
            </c:numRef>
          </c:val>
          <c:extLst>
            <c:ext xmlns:c16="http://schemas.microsoft.com/office/drawing/2014/chart" uri="{C3380CC4-5D6E-409C-BE32-E72D297353CC}">
              <c16:uniqueId val="{00000000-6808-44C6-B985-49EE0B8888F9}"/>
            </c:ext>
          </c:extLst>
        </c:ser>
        <c:ser>
          <c:idx val="1"/>
          <c:order val="1"/>
          <c:tx>
            <c:strRef>
              <c:f>'2006 Sampling'!$AN$100</c:f>
              <c:strCache>
                <c:ptCount val="1"/>
              </c:strCache>
            </c:strRef>
          </c:tx>
          <c:spPr>
            <a:solidFill>
              <a:srgbClr val="FF0000"/>
            </a:solidFill>
            <a:ln w="12700">
              <a:solidFill>
                <a:srgbClr val="FF0000"/>
              </a:solidFill>
              <a:prstDash val="solid"/>
            </a:ln>
          </c:spPr>
          <c:invertIfNegative val="0"/>
          <c:cat>
            <c:numRef>
              <c:f>'2006 Sampling'!$AO$90:$AX$90</c:f>
              <c:numCache>
                <c:formatCode>General</c:formatCode>
                <c:ptCount val="10"/>
              </c:numCache>
            </c:numRef>
          </c:cat>
          <c:val>
            <c:numRef>
              <c:f>'2006 Sampling'!$AO$100:$AX$100</c:f>
              <c:numCache>
                <c:formatCode>General</c:formatCode>
                <c:ptCount val="10"/>
              </c:numCache>
            </c:numRef>
          </c:val>
          <c:extLst>
            <c:ext xmlns:c16="http://schemas.microsoft.com/office/drawing/2014/chart" uri="{C3380CC4-5D6E-409C-BE32-E72D297353CC}">
              <c16:uniqueId val="{00000001-6808-44C6-B985-49EE0B8888F9}"/>
            </c:ext>
          </c:extLst>
        </c:ser>
        <c:dLbls>
          <c:showLegendKey val="0"/>
          <c:showVal val="0"/>
          <c:showCatName val="0"/>
          <c:showSerName val="0"/>
          <c:showPercent val="0"/>
          <c:showBubbleSize val="0"/>
        </c:dLbls>
        <c:gapWidth val="10"/>
        <c:axId val="506007040"/>
        <c:axId val="506014488"/>
      </c:barChart>
      <c:catAx>
        <c:axId val="5060070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06014488"/>
        <c:crosses val="autoZero"/>
        <c:auto val="1"/>
        <c:lblAlgn val="ctr"/>
        <c:lblOffset val="100"/>
        <c:tickLblSkip val="1"/>
        <c:tickMarkSkip val="1"/>
        <c:noMultiLvlLbl val="0"/>
      </c:catAx>
      <c:valAx>
        <c:axId val="506014488"/>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06007040"/>
        <c:crosses val="autoZero"/>
        <c:crossBetween val="between"/>
      </c:valAx>
      <c:spPr>
        <a:noFill/>
        <a:ln w="25400">
          <a:noFill/>
        </a:ln>
      </c:spPr>
    </c:plotArea>
    <c:legend>
      <c:legendPos val="r"/>
      <c:layout>
        <c:manualLayout>
          <c:xMode val="edge"/>
          <c:yMode val="edge"/>
          <c:wMode val="edge"/>
          <c:hMode val="edge"/>
          <c:x val="0.94683219812247399"/>
          <c:y val="0.44632886990821063"/>
          <c:w val="0.98364201407339424"/>
          <c:h val="0.55084894049260791"/>
        </c:manualLayout>
      </c:layout>
      <c:overlay val="0"/>
      <c:spPr>
        <a:solidFill>
          <a:srgbClr val="FFFFFF"/>
        </a:solidFill>
        <a:ln w="3175">
          <a:solidFill>
            <a:srgbClr val="000000"/>
          </a:solidFill>
          <a:prstDash val="solid"/>
        </a:ln>
      </c:spPr>
      <c:txPr>
        <a:bodyPr/>
        <a:lstStyle/>
        <a:p>
          <a:pPr>
            <a:defRPr sz="6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2068965517241378E-2"/>
          <c:y val="7.3239537356317885E-2"/>
          <c:w val="0.88413793103448279"/>
          <c:h val="0.8478884901635263"/>
        </c:manualLayout>
      </c:layout>
      <c:barChart>
        <c:barDir val="col"/>
        <c:grouping val="clustered"/>
        <c:varyColors val="0"/>
        <c:ser>
          <c:idx val="0"/>
          <c:order val="0"/>
          <c:tx>
            <c:strRef>
              <c:f>'2006 Sampling'!$BC$29</c:f>
              <c:strCache>
                <c:ptCount val="1"/>
              </c:strCache>
            </c:strRef>
          </c:tx>
          <c:spPr>
            <a:solidFill>
              <a:srgbClr val="800080"/>
            </a:solidFill>
            <a:ln w="12700">
              <a:solidFill>
                <a:srgbClr val="800080"/>
              </a:solidFill>
              <a:prstDash val="solid"/>
            </a:ln>
          </c:spPr>
          <c:invertIfNegative val="0"/>
          <c:cat>
            <c:numRef>
              <c:f>'2006 Sampling'!$BD$28:$BQ$28</c:f>
              <c:numCache>
                <c:formatCode>General</c:formatCode>
                <c:ptCount val="14"/>
              </c:numCache>
            </c:numRef>
          </c:cat>
          <c:val>
            <c:numRef>
              <c:f>'2006 Sampling'!$BD$29:$BQ$29</c:f>
              <c:numCache>
                <c:formatCode>General</c:formatCode>
                <c:ptCount val="14"/>
              </c:numCache>
            </c:numRef>
          </c:val>
          <c:extLst>
            <c:ext xmlns:c16="http://schemas.microsoft.com/office/drawing/2014/chart" uri="{C3380CC4-5D6E-409C-BE32-E72D297353CC}">
              <c16:uniqueId val="{00000000-171B-4383-BE51-60DE4803A23B}"/>
            </c:ext>
          </c:extLst>
        </c:ser>
        <c:ser>
          <c:idx val="1"/>
          <c:order val="1"/>
          <c:tx>
            <c:strRef>
              <c:f>'2006 Sampling'!$BC$30</c:f>
              <c:strCache>
                <c:ptCount val="1"/>
              </c:strCache>
            </c:strRef>
          </c:tx>
          <c:spPr>
            <a:solidFill>
              <a:srgbClr val="0000FF"/>
            </a:solidFill>
            <a:ln w="12700">
              <a:solidFill>
                <a:srgbClr val="0000FF"/>
              </a:solidFill>
              <a:prstDash val="solid"/>
            </a:ln>
          </c:spPr>
          <c:invertIfNegative val="0"/>
          <c:cat>
            <c:numRef>
              <c:f>'2006 Sampling'!$BD$28:$BQ$28</c:f>
              <c:numCache>
                <c:formatCode>General</c:formatCode>
                <c:ptCount val="14"/>
              </c:numCache>
            </c:numRef>
          </c:cat>
          <c:val>
            <c:numRef>
              <c:f>'2006 Sampling'!$BD$30:$BQ$30</c:f>
              <c:numCache>
                <c:formatCode>General</c:formatCode>
                <c:ptCount val="14"/>
              </c:numCache>
            </c:numRef>
          </c:val>
          <c:extLst>
            <c:ext xmlns:c16="http://schemas.microsoft.com/office/drawing/2014/chart" uri="{C3380CC4-5D6E-409C-BE32-E72D297353CC}">
              <c16:uniqueId val="{00000001-171B-4383-BE51-60DE4803A23B}"/>
            </c:ext>
          </c:extLst>
        </c:ser>
        <c:ser>
          <c:idx val="2"/>
          <c:order val="2"/>
          <c:tx>
            <c:strRef>
              <c:f>'2006 Sampling'!$BC$31</c:f>
              <c:strCache>
                <c:ptCount val="1"/>
              </c:strCache>
            </c:strRef>
          </c:tx>
          <c:spPr>
            <a:solidFill>
              <a:srgbClr val="FF00FF"/>
            </a:solidFill>
            <a:ln w="12700">
              <a:solidFill>
                <a:srgbClr val="FF00FF"/>
              </a:solidFill>
              <a:prstDash val="solid"/>
            </a:ln>
          </c:spPr>
          <c:invertIfNegative val="0"/>
          <c:cat>
            <c:numRef>
              <c:f>'2006 Sampling'!$BD$28:$BQ$28</c:f>
              <c:numCache>
                <c:formatCode>General</c:formatCode>
                <c:ptCount val="14"/>
              </c:numCache>
            </c:numRef>
          </c:cat>
          <c:val>
            <c:numRef>
              <c:f>'2006 Sampling'!$BD$31:$BQ$31</c:f>
              <c:numCache>
                <c:formatCode>General</c:formatCode>
                <c:ptCount val="14"/>
              </c:numCache>
            </c:numRef>
          </c:val>
          <c:extLst>
            <c:ext xmlns:c16="http://schemas.microsoft.com/office/drawing/2014/chart" uri="{C3380CC4-5D6E-409C-BE32-E72D297353CC}">
              <c16:uniqueId val="{00000002-171B-4383-BE51-60DE4803A23B}"/>
            </c:ext>
          </c:extLst>
        </c:ser>
        <c:ser>
          <c:idx val="3"/>
          <c:order val="3"/>
          <c:tx>
            <c:strRef>
              <c:f>'2006 Sampling'!$BC$32</c:f>
              <c:strCache>
                <c:ptCount val="1"/>
              </c:strCache>
            </c:strRef>
          </c:tx>
          <c:spPr>
            <a:solidFill>
              <a:srgbClr val="008000"/>
            </a:solidFill>
            <a:ln w="12700">
              <a:solidFill>
                <a:srgbClr val="008000"/>
              </a:solidFill>
              <a:prstDash val="solid"/>
            </a:ln>
          </c:spPr>
          <c:invertIfNegative val="0"/>
          <c:cat>
            <c:numRef>
              <c:f>'2006 Sampling'!$BD$28:$BQ$28</c:f>
              <c:numCache>
                <c:formatCode>General</c:formatCode>
                <c:ptCount val="14"/>
              </c:numCache>
            </c:numRef>
          </c:cat>
          <c:val>
            <c:numRef>
              <c:f>'2006 Sampling'!$BD$32:$BQ$32</c:f>
              <c:numCache>
                <c:formatCode>General</c:formatCode>
                <c:ptCount val="14"/>
              </c:numCache>
            </c:numRef>
          </c:val>
          <c:extLst>
            <c:ext xmlns:c16="http://schemas.microsoft.com/office/drawing/2014/chart" uri="{C3380CC4-5D6E-409C-BE32-E72D297353CC}">
              <c16:uniqueId val="{00000003-171B-4383-BE51-60DE4803A23B}"/>
            </c:ext>
          </c:extLst>
        </c:ser>
        <c:ser>
          <c:idx val="4"/>
          <c:order val="4"/>
          <c:tx>
            <c:strRef>
              <c:f>'2006 Sampling'!$BC$34</c:f>
              <c:strCache>
                <c:ptCount val="1"/>
              </c:strCache>
            </c:strRef>
          </c:tx>
          <c:spPr>
            <a:solidFill>
              <a:srgbClr val="000080"/>
            </a:solidFill>
            <a:ln w="12700">
              <a:solidFill>
                <a:srgbClr val="000080"/>
              </a:solidFill>
              <a:prstDash val="solid"/>
            </a:ln>
          </c:spPr>
          <c:invertIfNegative val="0"/>
          <c:cat>
            <c:numRef>
              <c:f>'2006 Sampling'!$BD$28:$BQ$28</c:f>
              <c:numCache>
                <c:formatCode>General</c:formatCode>
                <c:ptCount val="14"/>
              </c:numCache>
            </c:numRef>
          </c:cat>
          <c:val>
            <c:numRef>
              <c:f>'2006 Sampling'!$BD$34:$BQ$34</c:f>
              <c:numCache>
                <c:formatCode>General</c:formatCode>
                <c:ptCount val="14"/>
              </c:numCache>
            </c:numRef>
          </c:val>
          <c:extLst>
            <c:ext xmlns:c16="http://schemas.microsoft.com/office/drawing/2014/chart" uri="{C3380CC4-5D6E-409C-BE32-E72D297353CC}">
              <c16:uniqueId val="{00000004-171B-4383-BE51-60DE4803A23B}"/>
            </c:ext>
          </c:extLst>
        </c:ser>
        <c:ser>
          <c:idx val="5"/>
          <c:order val="5"/>
          <c:tx>
            <c:strRef>
              <c:f>'2006 Sampling'!$BC$35</c:f>
              <c:strCache>
                <c:ptCount val="1"/>
              </c:strCache>
            </c:strRef>
          </c:tx>
          <c:spPr>
            <a:solidFill>
              <a:srgbClr val="FF0000"/>
            </a:solidFill>
            <a:ln w="12700">
              <a:solidFill>
                <a:srgbClr val="FF0000"/>
              </a:solidFill>
              <a:prstDash val="solid"/>
            </a:ln>
          </c:spPr>
          <c:invertIfNegative val="0"/>
          <c:cat>
            <c:numRef>
              <c:f>'2006 Sampling'!$BD$28:$BQ$28</c:f>
              <c:numCache>
                <c:formatCode>General</c:formatCode>
                <c:ptCount val="14"/>
              </c:numCache>
            </c:numRef>
          </c:cat>
          <c:val>
            <c:numRef>
              <c:f>'2006 Sampling'!$BD$35:$BQ$35</c:f>
              <c:numCache>
                <c:formatCode>General</c:formatCode>
                <c:ptCount val="14"/>
              </c:numCache>
            </c:numRef>
          </c:val>
          <c:extLst>
            <c:ext xmlns:c16="http://schemas.microsoft.com/office/drawing/2014/chart" uri="{C3380CC4-5D6E-409C-BE32-E72D297353CC}">
              <c16:uniqueId val="{00000005-171B-4383-BE51-60DE4803A23B}"/>
            </c:ext>
          </c:extLst>
        </c:ser>
        <c:dLbls>
          <c:showLegendKey val="0"/>
          <c:showVal val="0"/>
          <c:showCatName val="0"/>
          <c:showSerName val="0"/>
          <c:showPercent val="0"/>
          <c:showBubbleSize val="0"/>
        </c:dLbls>
        <c:gapWidth val="25"/>
        <c:axId val="506015664"/>
        <c:axId val="506007432"/>
      </c:barChart>
      <c:catAx>
        <c:axId val="5060156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506007432"/>
        <c:crosses val="autoZero"/>
        <c:auto val="1"/>
        <c:lblAlgn val="ctr"/>
        <c:lblOffset val="100"/>
        <c:tickLblSkip val="1"/>
        <c:tickMarkSkip val="1"/>
        <c:noMultiLvlLbl val="0"/>
      </c:catAx>
      <c:valAx>
        <c:axId val="50600743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506015664"/>
        <c:crosses val="autoZero"/>
        <c:crossBetween val="between"/>
      </c:valAx>
      <c:spPr>
        <a:noFill/>
        <a:ln w="25400">
          <a:noFill/>
        </a:ln>
      </c:spPr>
    </c:plotArea>
    <c:legend>
      <c:legendPos val="r"/>
      <c:layout>
        <c:manualLayout>
          <c:xMode val="edge"/>
          <c:yMode val="edge"/>
          <c:wMode val="edge"/>
          <c:hMode val="edge"/>
          <c:x val="0.9613793103448276"/>
          <c:y val="0.326761154855643"/>
          <c:w val="0.98896551724137938"/>
          <c:h val="0.6676068167535395"/>
        </c:manualLayout>
      </c:layout>
      <c:overlay val="0"/>
      <c:spPr>
        <a:solidFill>
          <a:srgbClr val="FFFFFF"/>
        </a:solidFill>
        <a:ln w="3175">
          <a:solidFill>
            <a:srgbClr val="000000"/>
          </a:solidFill>
          <a:prstDash val="solid"/>
        </a:ln>
      </c:spPr>
      <c:txPr>
        <a:bodyPr/>
        <a:lstStyle/>
        <a:p>
          <a:pPr>
            <a:defRPr sz="7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14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4.5824870036074154E-2"/>
          <c:y val="5.0583705640223776E-2"/>
          <c:w val="0.93991900096214331"/>
          <c:h val="0.89494248440395907"/>
        </c:manualLayout>
      </c:layout>
      <c:barChart>
        <c:barDir val="col"/>
        <c:grouping val="clustered"/>
        <c:varyColors val="0"/>
        <c:ser>
          <c:idx val="0"/>
          <c:order val="0"/>
          <c:tx>
            <c:strRef>
              <c:f>'2006 Sampling'!$BR$27</c:f>
              <c:strCache>
                <c:ptCount val="1"/>
              </c:strCache>
            </c:strRef>
          </c:tx>
          <c:spPr>
            <a:solidFill>
              <a:srgbClr val="0000FF"/>
            </a:solidFill>
            <a:ln w="12700">
              <a:solidFill>
                <a:srgbClr val="0000FF"/>
              </a:solidFill>
              <a:prstDash val="solid"/>
            </a:ln>
          </c:spPr>
          <c:invertIfNegative val="0"/>
          <c:cat>
            <c:numRef>
              <c:f>'2006 Sampling'!$BC$29:$BC$35</c:f>
              <c:numCache>
                <c:formatCode>General</c:formatCode>
                <c:ptCount val="7"/>
              </c:numCache>
            </c:numRef>
          </c:cat>
          <c:val>
            <c:numRef>
              <c:f>'2006 Sampling'!$BR$29:$BR$35</c:f>
              <c:numCache>
                <c:formatCode>General</c:formatCode>
                <c:ptCount val="7"/>
              </c:numCache>
            </c:numRef>
          </c:val>
          <c:extLst>
            <c:ext xmlns:c16="http://schemas.microsoft.com/office/drawing/2014/chart" uri="{C3380CC4-5D6E-409C-BE32-E72D297353CC}">
              <c16:uniqueId val="{00000000-99A4-47B2-B7EF-847351F5267C}"/>
            </c:ext>
          </c:extLst>
        </c:ser>
        <c:dLbls>
          <c:showLegendKey val="0"/>
          <c:showVal val="0"/>
          <c:showCatName val="0"/>
          <c:showSerName val="0"/>
          <c:showPercent val="0"/>
          <c:showBubbleSize val="0"/>
        </c:dLbls>
        <c:gapWidth val="150"/>
        <c:axId val="506008608"/>
        <c:axId val="506018800"/>
      </c:barChart>
      <c:catAx>
        <c:axId val="5060086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506018800"/>
        <c:crosses val="autoZero"/>
        <c:auto val="1"/>
        <c:lblAlgn val="ctr"/>
        <c:lblOffset val="100"/>
        <c:tickLblSkip val="1"/>
        <c:tickMarkSkip val="1"/>
        <c:noMultiLvlLbl val="0"/>
      </c:catAx>
      <c:valAx>
        <c:axId val="50601880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506008608"/>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48.xml"/><Relationship Id="rId2" Type="http://schemas.openxmlformats.org/officeDocument/2006/relationships/chart" Target="../charts/chart47.xml"/><Relationship Id="rId1" Type="http://schemas.openxmlformats.org/officeDocument/2006/relationships/chart" Target="../charts/chart46.xml"/><Relationship Id="rId5" Type="http://schemas.openxmlformats.org/officeDocument/2006/relationships/chart" Target="../charts/chart50.xml"/><Relationship Id="rId4" Type="http://schemas.openxmlformats.org/officeDocument/2006/relationships/chart" Target="../charts/chart49.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 Id="rId5" Type="http://schemas.openxmlformats.org/officeDocument/2006/relationships/chart" Target="../charts/chart55.xml"/><Relationship Id="rId4" Type="http://schemas.openxmlformats.org/officeDocument/2006/relationships/chart" Target="../charts/chart5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 Id="rId5" Type="http://schemas.openxmlformats.org/officeDocument/2006/relationships/chart" Target="../charts/chart60.xml"/><Relationship Id="rId4" Type="http://schemas.openxmlformats.org/officeDocument/2006/relationships/chart" Target="../charts/chart59.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63.xml"/><Relationship Id="rId2" Type="http://schemas.openxmlformats.org/officeDocument/2006/relationships/chart" Target="../charts/chart62.xml"/><Relationship Id="rId1" Type="http://schemas.openxmlformats.org/officeDocument/2006/relationships/chart" Target="../charts/chart61.xml"/><Relationship Id="rId5" Type="http://schemas.openxmlformats.org/officeDocument/2006/relationships/chart" Target="../charts/chart65.xml"/><Relationship Id="rId4" Type="http://schemas.openxmlformats.org/officeDocument/2006/relationships/chart" Target="../charts/chart6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15.xml.rels><?xml version="1.0" encoding="UTF-8" standalone="yes"?>
<Relationships xmlns="http://schemas.openxmlformats.org/package/2006/relationships"><Relationship Id="rId8" Type="http://schemas.openxmlformats.org/officeDocument/2006/relationships/chart" Target="../charts/chart74.xml"/><Relationship Id="rId13" Type="http://schemas.openxmlformats.org/officeDocument/2006/relationships/chart" Target="../charts/chart79.xml"/><Relationship Id="rId3" Type="http://schemas.openxmlformats.org/officeDocument/2006/relationships/chart" Target="../charts/chart69.xml"/><Relationship Id="rId7" Type="http://schemas.openxmlformats.org/officeDocument/2006/relationships/chart" Target="../charts/chart73.xml"/><Relationship Id="rId12" Type="http://schemas.openxmlformats.org/officeDocument/2006/relationships/chart" Target="../charts/chart78.xml"/><Relationship Id="rId17" Type="http://schemas.openxmlformats.org/officeDocument/2006/relationships/chart" Target="../charts/chart83.xml"/><Relationship Id="rId2" Type="http://schemas.openxmlformats.org/officeDocument/2006/relationships/chart" Target="../charts/chart68.xml"/><Relationship Id="rId16" Type="http://schemas.openxmlformats.org/officeDocument/2006/relationships/chart" Target="../charts/chart82.xml"/><Relationship Id="rId1" Type="http://schemas.openxmlformats.org/officeDocument/2006/relationships/chart" Target="../charts/chart67.xml"/><Relationship Id="rId6" Type="http://schemas.openxmlformats.org/officeDocument/2006/relationships/chart" Target="../charts/chart72.xml"/><Relationship Id="rId11" Type="http://schemas.openxmlformats.org/officeDocument/2006/relationships/chart" Target="../charts/chart77.xml"/><Relationship Id="rId5" Type="http://schemas.openxmlformats.org/officeDocument/2006/relationships/chart" Target="../charts/chart71.xml"/><Relationship Id="rId15" Type="http://schemas.openxmlformats.org/officeDocument/2006/relationships/chart" Target="../charts/chart81.xml"/><Relationship Id="rId10" Type="http://schemas.openxmlformats.org/officeDocument/2006/relationships/chart" Target="../charts/chart76.xml"/><Relationship Id="rId4" Type="http://schemas.openxmlformats.org/officeDocument/2006/relationships/chart" Target="../charts/chart70.xml"/><Relationship Id="rId9" Type="http://schemas.openxmlformats.org/officeDocument/2006/relationships/chart" Target="../charts/chart75.xml"/><Relationship Id="rId14" Type="http://schemas.openxmlformats.org/officeDocument/2006/relationships/chart" Target="../charts/chart80.xml"/></Relationships>
</file>

<file path=xl/drawings/_rels/drawing16.xml.rels><?xml version="1.0" encoding="UTF-8" standalone="yes"?>
<Relationships xmlns="http://schemas.openxmlformats.org/package/2006/relationships"><Relationship Id="rId8" Type="http://schemas.openxmlformats.org/officeDocument/2006/relationships/chart" Target="../charts/chart91.xml"/><Relationship Id="rId13" Type="http://schemas.openxmlformats.org/officeDocument/2006/relationships/chart" Target="../charts/chart96.xml"/><Relationship Id="rId3" Type="http://schemas.openxmlformats.org/officeDocument/2006/relationships/chart" Target="../charts/chart86.xml"/><Relationship Id="rId7" Type="http://schemas.openxmlformats.org/officeDocument/2006/relationships/chart" Target="../charts/chart90.xml"/><Relationship Id="rId12" Type="http://schemas.openxmlformats.org/officeDocument/2006/relationships/chart" Target="../charts/chart95.xml"/><Relationship Id="rId2" Type="http://schemas.openxmlformats.org/officeDocument/2006/relationships/chart" Target="../charts/chart85.xml"/><Relationship Id="rId16" Type="http://schemas.openxmlformats.org/officeDocument/2006/relationships/chart" Target="../charts/chart99.xml"/><Relationship Id="rId1" Type="http://schemas.openxmlformats.org/officeDocument/2006/relationships/chart" Target="../charts/chart84.xml"/><Relationship Id="rId6" Type="http://schemas.openxmlformats.org/officeDocument/2006/relationships/chart" Target="../charts/chart89.xml"/><Relationship Id="rId11" Type="http://schemas.openxmlformats.org/officeDocument/2006/relationships/chart" Target="../charts/chart94.xml"/><Relationship Id="rId5" Type="http://schemas.openxmlformats.org/officeDocument/2006/relationships/chart" Target="../charts/chart88.xml"/><Relationship Id="rId15" Type="http://schemas.openxmlformats.org/officeDocument/2006/relationships/chart" Target="../charts/chart98.xml"/><Relationship Id="rId10" Type="http://schemas.openxmlformats.org/officeDocument/2006/relationships/chart" Target="../charts/chart93.xml"/><Relationship Id="rId4" Type="http://schemas.openxmlformats.org/officeDocument/2006/relationships/chart" Target="../charts/chart87.xml"/><Relationship Id="rId9" Type="http://schemas.openxmlformats.org/officeDocument/2006/relationships/chart" Target="../charts/chart92.xml"/><Relationship Id="rId14" Type="http://schemas.openxmlformats.org/officeDocument/2006/relationships/chart" Target="../charts/chart97.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102.xml"/><Relationship Id="rId2" Type="http://schemas.openxmlformats.org/officeDocument/2006/relationships/chart" Target="../charts/chart101.xml"/><Relationship Id="rId1" Type="http://schemas.openxmlformats.org/officeDocument/2006/relationships/chart" Target="../charts/chart100.xml"/><Relationship Id="rId5" Type="http://schemas.openxmlformats.org/officeDocument/2006/relationships/chart" Target="../charts/chart104.xml"/><Relationship Id="rId4" Type="http://schemas.openxmlformats.org/officeDocument/2006/relationships/chart" Target="../charts/chart103.xml"/></Relationships>
</file>

<file path=xl/drawings/_rels/drawing18.xml.rels><?xml version="1.0" encoding="UTF-8" standalone="yes"?>
<Relationships xmlns="http://schemas.openxmlformats.org/package/2006/relationships"><Relationship Id="rId8" Type="http://schemas.openxmlformats.org/officeDocument/2006/relationships/chart" Target="../charts/chart112.xml"/><Relationship Id="rId13" Type="http://schemas.openxmlformats.org/officeDocument/2006/relationships/chart" Target="../charts/chart117.xml"/><Relationship Id="rId3" Type="http://schemas.openxmlformats.org/officeDocument/2006/relationships/chart" Target="../charts/chart107.xml"/><Relationship Id="rId7" Type="http://schemas.openxmlformats.org/officeDocument/2006/relationships/chart" Target="../charts/chart111.xml"/><Relationship Id="rId12" Type="http://schemas.openxmlformats.org/officeDocument/2006/relationships/chart" Target="../charts/chart116.xml"/><Relationship Id="rId2" Type="http://schemas.openxmlformats.org/officeDocument/2006/relationships/chart" Target="../charts/chart106.xml"/><Relationship Id="rId16" Type="http://schemas.openxmlformats.org/officeDocument/2006/relationships/chart" Target="../charts/chart120.xml"/><Relationship Id="rId1" Type="http://schemas.openxmlformats.org/officeDocument/2006/relationships/chart" Target="../charts/chart105.xml"/><Relationship Id="rId6" Type="http://schemas.openxmlformats.org/officeDocument/2006/relationships/chart" Target="../charts/chart110.xml"/><Relationship Id="rId11" Type="http://schemas.openxmlformats.org/officeDocument/2006/relationships/chart" Target="../charts/chart115.xml"/><Relationship Id="rId5" Type="http://schemas.openxmlformats.org/officeDocument/2006/relationships/chart" Target="../charts/chart109.xml"/><Relationship Id="rId15" Type="http://schemas.openxmlformats.org/officeDocument/2006/relationships/chart" Target="../charts/chart119.xml"/><Relationship Id="rId10" Type="http://schemas.openxmlformats.org/officeDocument/2006/relationships/chart" Target="../charts/chart114.xml"/><Relationship Id="rId4" Type="http://schemas.openxmlformats.org/officeDocument/2006/relationships/chart" Target="../charts/chart108.xml"/><Relationship Id="rId9" Type="http://schemas.openxmlformats.org/officeDocument/2006/relationships/chart" Target="../charts/chart113.xml"/><Relationship Id="rId14" Type="http://schemas.openxmlformats.org/officeDocument/2006/relationships/chart" Target="../charts/chart118.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123.xml"/><Relationship Id="rId2" Type="http://schemas.openxmlformats.org/officeDocument/2006/relationships/chart" Target="../charts/chart122.xml"/><Relationship Id="rId1" Type="http://schemas.openxmlformats.org/officeDocument/2006/relationships/chart" Target="../charts/chart121.xml"/><Relationship Id="rId5" Type="http://schemas.openxmlformats.org/officeDocument/2006/relationships/chart" Target="../charts/chart125.xml"/><Relationship Id="rId4" Type="http://schemas.openxmlformats.org/officeDocument/2006/relationships/chart" Target="../charts/chart12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5" Type="http://schemas.openxmlformats.org/officeDocument/2006/relationships/chart" Target="../charts/chart35.xml"/><Relationship Id="rId4" Type="http://schemas.openxmlformats.org/officeDocument/2006/relationships/chart" Target="../charts/chart3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 Id="rId5" Type="http://schemas.openxmlformats.org/officeDocument/2006/relationships/chart" Target="../charts/chart40.xml"/><Relationship Id="rId4" Type="http://schemas.openxmlformats.org/officeDocument/2006/relationships/chart" Target="../charts/chart3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 Id="rId5" Type="http://schemas.openxmlformats.org/officeDocument/2006/relationships/chart" Target="../charts/chart45.xml"/><Relationship Id="rId4" Type="http://schemas.openxmlformats.org/officeDocument/2006/relationships/chart" Target="../charts/chart44.xml"/></Relationships>
</file>

<file path=xl/drawings/drawing1.xml><?xml version="1.0" encoding="utf-8"?>
<xdr:wsDr xmlns:xdr="http://schemas.openxmlformats.org/drawingml/2006/spreadsheetDrawing" xmlns:a="http://schemas.openxmlformats.org/drawingml/2006/main">
  <xdr:twoCellAnchor>
    <xdr:from>
      <xdr:col>19</xdr:col>
      <xdr:colOff>0</xdr:colOff>
      <xdr:row>26</xdr:row>
      <xdr:rowOff>95250</xdr:rowOff>
    </xdr:from>
    <xdr:to>
      <xdr:col>19</xdr:col>
      <xdr:colOff>0</xdr:colOff>
      <xdr:row>50</xdr:row>
      <xdr:rowOff>28575</xdr:rowOff>
    </xdr:to>
    <xdr:graphicFrame macro="">
      <xdr:nvGraphicFramePr>
        <xdr:cNvPr id="2" name="Chart 1">
          <a:extLst>
            <a:ext uri="{FF2B5EF4-FFF2-40B4-BE49-F238E27FC236}">
              <a16:creationId xmlns:a16="http://schemas.microsoft.com/office/drawing/2014/main" id="{F9CD32D1-0530-46F3-B6CD-9CBBA47E1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51</xdr:row>
      <xdr:rowOff>57150</xdr:rowOff>
    </xdr:from>
    <xdr:to>
      <xdr:col>19</xdr:col>
      <xdr:colOff>0</xdr:colOff>
      <xdr:row>69</xdr:row>
      <xdr:rowOff>57150</xdr:rowOff>
    </xdr:to>
    <xdr:graphicFrame macro="">
      <xdr:nvGraphicFramePr>
        <xdr:cNvPr id="3" name="Chart 2">
          <a:extLst>
            <a:ext uri="{FF2B5EF4-FFF2-40B4-BE49-F238E27FC236}">
              <a16:creationId xmlns:a16="http://schemas.microsoft.com/office/drawing/2014/main" id="{4C63EDF4-1365-4812-BE19-DB97D4380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42</xdr:row>
      <xdr:rowOff>9525</xdr:rowOff>
    </xdr:from>
    <xdr:to>
      <xdr:col>19</xdr:col>
      <xdr:colOff>0</xdr:colOff>
      <xdr:row>63</xdr:row>
      <xdr:rowOff>57150</xdr:rowOff>
    </xdr:to>
    <xdr:graphicFrame macro="">
      <xdr:nvGraphicFramePr>
        <xdr:cNvPr id="4" name="Chart 3">
          <a:extLst>
            <a:ext uri="{FF2B5EF4-FFF2-40B4-BE49-F238E27FC236}">
              <a16:creationId xmlns:a16="http://schemas.microsoft.com/office/drawing/2014/main" id="{233E50BF-F4F6-4434-86ED-66CA11B62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33</xdr:row>
      <xdr:rowOff>133350</xdr:rowOff>
    </xdr:from>
    <xdr:to>
      <xdr:col>19</xdr:col>
      <xdr:colOff>0</xdr:colOff>
      <xdr:row>54</xdr:row>
      <xdr:rowOff>66675</xdr:rowOff>
    </xdr:to>
    <xdr:graphicFrame macro="">
      <xdr:nvGraphicFramePr>
        <xdr:cNvPr id="5" name="Chart 4">
          <a:extLst>
            <a:ext uri="{FF2B5EF4-FFF2-40B4-BE49-F238E27FC236}">
              <a16:creationId xmlns:a16="http://schemas.microsoft.com/office/drawing/2014/main" id="{DFC5AF32-C3FB-47E6-A936-4B5E05E60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59</xdr:row>
      <xdr:rowOff>76200</xdr:rowOff>
    </xdr:from>
    <xdr:to>
      <xdr:col>19</xdr:col>
      <xdr:colOff>0</xdr:colOff>
      <xdr:row>89</xdr:row>
      <xdr:rowOff>114300</xdr:rowOff>
    </xdr:to>
    <xdr:graphicFrame macro="">
      <xdr:nvGraphicFramePr>
        <xdr:cNvPr id="6" name="Chart 5">
          <a:extLst>
            <a:ext uri="{FF2B5EF4-FFF2-40B4-BE49-F238E27FC236}">
              <a16:creationId xmlns:a16="http://schemas.microsoft.com/office/drawing/2014/main" id="{08CFF897-B520-4AD8-BD63-A1016CED9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19</xdr:col>
      <xdr:colOff>0</xdr:colOff>
      <xdr:row>23</xdr:row>
      <xdr:rowOff>95250</xdr:rowOff>
    </xdr:from>
    <xdr:to>
      <xdr:col>19</xdr:col>
      <xdr:colOff>0</xdr:colOff>
      <xdr:row>49</xdr:row>
      <xdr:rowOff>28575</xdr:rowOff>
    </xdr:to>
    <xdr:graphicFrame macro="">
      <xdr:nvGraphicFramePr>
        <xdr:cNvPr id="5764621" name="Chart 1">
          <a:extLst>
            <a:ext uri="{FF2B5EF4-FFF2-40B4-BE49-F238E27FC236}">
              <a16:creationId xmlns:a16="http://schemas.microsoft.com/office/drawing/2014/main" id="{00000000-0008-0000-1100-00000DF65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50</xdr:row>
      <xdr:rowOff>57150</xdr:rowOff>
    </xdr:from>
    <xdr:to>
      <xdr:col>19</xdr:col>
      <xdr:colOff>0</xdr:colOff>
      <xdr:row>68</xdr:row>
      <xdr:rowOff>57150</xdr:rowOff>
    </xdr:to>
    <xdr:graphicFrame macro="">
      <xdr:nvGraphicFramePr>
        <xdr:cNvPr id="5764622" name="Chart 2">
          <a:extLst>
            <a:ext uri="{FF2B5EF4-FFF2-40B4-BE49-F238E27FC236}">
              <a16:creationId xmlns:a16="http://schemas.microsoft.com/office/drawing/2014/main" id="{00000000-0008-0000-1100-00000EF65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41</xdr:row>
      <xdr:rowOff>9525</xdr:rowOff>
    </xdr:from>
    <xdr:to>
      <xdr:col>19</xdr:col>
      <xdr:colOff>0</xdr:colOff>
      <xdr:row>62</xdr:row>
      <xdr:rowOff>57150</xdr:rowOff>
    </xdr:to>
    <xdr:graphicFrame macro="">
      <xdr:nvGraphicFramePr>
        <xdr:cNvPr id="5764623" name="Chart 3">
          <a:extLst>
            <a:ext uri="{FF2B5EF4-FFF2-40B4-BE49-F238E27FC236}">
              <a16:creationId xmlns:a16="http://schemas.microsoft.com/office/drawing/2014/main" id="{00000000-0008-0000-1100-00000FF65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30</xdr:row>
      <xdr:rowOff>133350</xdr:rowOff>
    </xdr:from>
    <xdr:to>
      <xdr:col>19</xdr:col>
      <xdr:colOff>0</xdr:colOff>
      <xdr:row>53</xdr:row>
      <xdr:rowOff>66675</xdr:rowOff>
    </xdr:to>
    <xdr:graphicFrame macro="">
      <xdr:nvGraphicFramePr>
        <xdr:cNvPr id="5764624" name="Chart 4">
          <a:extLst>
            <a:ext uri="{FF2B5EF4-FFF2-40B4-BE49-F238E27FC236}">
              <a16:creationId xmlns:a16="http://schemas.microsoft.com/office/drawing/2014/main" id="{00000000-0008-0000-1100-000010F65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58</xdr:row>
      <xdr:rowOff>76200</xdr:rowOff>
    </xdr:from>
    <xdr:to>
      <xdr:col>19</xdr:col>
      <xdr:colOff>0</xdr:colOff>
      <xdr:row>88</xdr:row>
      <xdr:rowOff>114300</xdr:rowOff>
    </xdr:to>
    <xdr:graphicFrame macro="">
      <xdr:nvGraphicFramePr>
        <xdr:cNvPr id="5764625" name="Chart 5">
          <a:extLst>
            <a:ext uri="{FF2B5EF4-FFF2-40B4-BE49-F238E27FC236}">
              <a16:creationId xmlns:a16="http://schemas.microsoft.com/office/drawing/2014/main" id="{00000000-0008-0000-1100-000011F65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18</xdr:col>
      <xdr:colOff>0</xdr:colOff>
      <xdr:row>22</xdr:row>
      <xdr:rowOff>95250</xdr:rowOff>
    </xdr:from>
    <xdr:to>
      <xdr:col>18</xdr:col>
      <xdr:colOff>0</xdr:colOff>
      <xdr:row>46</xdr:row>
      <xdr:rowOff>28575</xdr:rowOff>
    </xdr:to>
    <xdr:graphicFrame macro="">
      <xdr:nvGraphicFramePr>
        <xdr:cNvPr id="612186" name="Chart 1">
          <a:extLst>
            <a:ext uri="{FF2B5EF4-FFF2-40B4-BE49-F238E27FC236}">
              <a16:creationId xmlns:a16="http://schemas.microsoft.com/office/drawing/2014/main" id="{00000000-0008-0000-1300-00005A57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47</xdr:row>
      <xdr:rowOff>57150</xdr:rowOff>
    </xdr:from>
    <xdr:to>
      <xdr:col>18</xdr:col>
      <xdr:colOff>0</xdr:colOff>
      <xdr:row>65</xdr:row>
      <xdr:rowOff>57150</xdr:rowOff>
    </xdr:to>
    <xdr:graphicFrame macro="">
      <xdr:nvGraphicFramePr>
        <xdr:cNvPr id="612187" name="Chart 2">
          <a:extLst>
            <a:ext uri="{FF2B5EF4-FFF2-40B4-BE49-F238E27FC236}">
              <a16:creationId xmlns:a16="http://schemas.microsoft.com/office/drawing/2014/main" id="{00000000-0008-0000-1300-00005B57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38</xdr:row>
      <xdr:rowOff>9525</xdr:rowOff>
    </xdr:from>
    <xdr:to>
      <xdr:col>18</xdr:col>
      <xdr:colOff>0</xdr:colOff>
      <xdr:row>59</xdr:row>
      <xdr:rowOff>57150</xdr:rowOff>
    </xdr:to>
    <xdr:graphicFrame macro="">
      <xdr:nvGraphicFramePr>
        <xdr:cNvPr id="612188" name="Chart 3">
          <a:extLst>
            <a:ext uri="{FF2B5EF4-FFF2-40B4-BE49-F238E27FC236}">
              <a16:creationId xmlns:a16="http://schemas.microsoft.com/office/drawing/2014/main" id="{00000000-0008-0000-1300-00005C57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29</xdr:row>
      <xdr:rowOff>133350</xdr:rowOff>
    </xdr:from>
    <xdr:to>
      <xdr:col>18</xdr:col>
      <xdr:colOff>0</xdr:colOff>
      <xdr:row>50</xdr:row>
      <xdr:rowOff>66675</xdr:rowOff>
    </xdr:to>
    <xdr:graphicFrame macro="">
      <xdr:nvGraphicFramePr>
        <xdr:cNvPr id="612189" name="Chart 4">
          <a:extLst>
            <a:ext uri="{FF2B5EF4-FFF2-40B4-BE49-F238E27FC236}">
              <a16:creationId xmlns:a16="http://schemas.microsoft.com/office/drawing/2014/main" id="{00000000-0008-0000-1300-00005D57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55</xdr:row>
      <xdr:rowOff>76200</xdr:rowOff>
    </xdr:from>
    <xdr:to>
      <xdr:col>18</xdr:col>
      <xdr:colOff>0</xdr:colOff>
      <xdr:row>85</xdr:row>
      <xdr:rowOff>114300</xdr:rowOff>
    </xdr:to>
    <xdr:graphicFrame macro="">
      <xdr:nvGraphicFramePr>
        <xdr:cNvPr id="612190" name="Chart 5">
          <a:extLst>
            <a:ext uri="{FF2B5EF4-FFF2-40B4-BE49-F238E27FC236}">
              <a16:creationId xmlns:a16="http://schemas.microsoft.com/office/drawing/2014/main" id="{00000000-0008-0000-1300-00005E57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18</xdr:col>
      <xdr:colOff>0</xdr:colOff>
      <xdr:row>22</xdr:row>
      <xdr:rowOff>95250</xdr:rowOff>
    </xdr:from>
    <xdr:to>
      <xdr:col>18</xdr:col>
      <xdr:colOff>0</xdr:colOff>
      <xdr:row>46</xdr:row>
      <xdr:rowOff>28575</xdr:rowOff>
    </xdr:to>
    <xdr:graphicFrame macro="">
      <xdr:nvGraphicFramePr>
        <xdr:cNvPr id="35702" name="Chart 1">
          <a:extLst>
            <a:ext uri="{FF2B5EF4-FFF2-40B4-BE49-F238E27FC236}">
              <a16:creationId xmlns:a16="http://schemas.microsoft.com/office/drawing/2014/main" id="{00000000-0008-0000-1500-0000768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47</xdr:row>
      <xdr:rowOff>57150</xdr:rowOff>
    </xdr:from>
    <xdr:to>
      <xdr:col>18</xdr:col>
      <xdr:colOff>0</xdr:colOff>
      <xdr:row>65</xdr:row>
      <xdr:rowOff>57150</xdr:rowOff>
    </xdr:to>
    <xdr:graphicFrame macro="">
      <xdr:nvGraphicFramePr>
        <xdr:cNvPr id="35703" name="Chart 2">
          <a:extLst>
            <a:ext uri="{FF2B5EF4-FFF2-40B4-BE49-F238E27FC236}">
              <a16:creationId xmlns:a16="http://schemas.microsoft.com/office/drawing/2014/main" id="{00000000-0008-0000-1500-0000778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38</xdr:row>
      <xdr:rowOff>9525</xdr:rowOff>
    </xdr:from>
    <xdr:to>
      <xdr:col>18</xdr:col>
      <xdr:colOff>0</xdr:colOff>
      <xdr:row>59</xdr:row>
      <xdr:rowOff>57150</xdr:rowOff>
    </xdr:to>
    <xdr:graphicFrame macro="">
      <xdr:nvGraphicFramePr>
        <xdr:cNvPr id="35704" name="Chart 3">
          <a:extLst>
            <a:ext uri="{FF2B5EF4-FFF2-40B4-BE49-F238E27FC236}">
              <a16:creationId xmlns:a16="http://schemas.microsoft.com/office/drawing/2014/main" id="{00000000-0008-0000-1500-0000788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29</xdr:row>
      <xdr:rowOff>133350</xdr:rowOff>
    </xdr:from>
    <xdr:to>
      <xdr:col>18</xdr:col>
      <xdr:colOff>0</xdr:colOff>
      <xdr:row>50</xdr:row>
      <xdr:rowOff>66675</xdr:rowOff>
    </xdr:to>
    <xdr:graphicFrame macro="">
      <xdr:nvGraphicFramePr>
        <xdr:cNvPr id="35705" name="Chart 4">
          <a:extLst>
            <a:ext uri="{FF2B5EF4-FFF2-40B4-BE49-F238E27FC236}">
              <a16:creationId xmlns:a16="http://schemas.microsoft.com/office/drawing/2014/main" id="{00000000-0008-0000-1500-0000798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55</xdr:row>
      <xdr:rowOff>76200</xdr:rowOff>
    </xdr:from>
    <xdr:to>
      <xdr:col>18</xdr:col>
      <xdr:colOff>0</xdr:colOff>
      <xdr:row>85</xdr:row>
      <xdr:rowOff>114300</xdr:rowOff>
    </xdr:to>
    <xdr:graphicFrame macro="">
      <xdr:nvGraphicFramePr>
        <xdr:cNvPr id="35706" name="Chart 5">
          <a:extLst>
            <a:ext uri="{FF2B5EF4-FFF2-40B4-BE49-F238E27FC236}">
              <a16:creationId xmlns:a16="http://schemas.microsoft.com/office/drawing/2014/main" id="{00000000-0008-0000-1500-00007A8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18</xdr:col>
      <xdr:colOff>0</xdr:colOff>
      <xdr:row>22</xdr:row>
      <xdr:rowOff>95250</xdr:rowOff>
    </xdr:from>
    <xdr:to>
      <xdr:col>18</xdr:col>
      <xdr:colOff>0</xdr:colOff>
      <xdr:row>46</xdr:row>
      <xdr:rowOff>28575</xdr:rowOff>
    </xdr:to>
    <xdr:graphicFrame macro="">
      <xdr:nvGraphicFramePr>
        <xdr:cNvPr id="32626" name="Chart 1">
          <a:extLst>
            <a:ext uri="{FF2B5EF4-FFF2-40B4-BE49-F238E27FC236}">
              <a16:creationId xmlns:a16="http://schemas.microsoft.com/office/drawing/2014/main" id="{00000000-0008-0000-1800-0000727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47</xdr:row>
      <xdr:rowOff>57150</xdr:rowOff>
    </xdr:from>
    <xdr:to>
      <xdr:col>18</xdr:col>
      <xdr:colOff>0</xdr:colOff>
      <xdr:row>65</xdr:row>
      <xdr:rowOff>57150</xdr:rowOff>
    </xdr:to>
    <xdr:graphicFrame macro="">
      <xdr:nvGraphicFramePr>
        <xdr:cNvPr id="32627" name="Chart 2">
          <a:extLst>
            <a:ext uri="{FF2B5EF4-FFF2-40B4-BE49-F238E27FC236}">
              <a16:creationId xmlns:a16="http://schemas.microsoft.com/office/drawing/2014/main" id="{00000000-0008-0000-1800-0000737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38</xdr:row>
      <xdr:rowOff>9525</xdr:rowOff>
    </xdr:from>
    <xdr:to>
      <xdr:col>18</xdr:col>
      <xdr:colOff>0</xdr:colOff>
      <xdr:row>59</xdr:row>
      <xdr:rowOff>57150</xdr:rowOff>
    </xdr:to>
    <xdr:graphicFrame macro="">
      <xdr:nvGraphicFramePr>
        <xdr:cNvPr id="32628" name="Chart 3">
          <a:extLst>
            <a:ext uri="{FF2B5EF4-FFF2-40B4-BE49-F238E27FC236}">
              <a16:creationId xmlns:a16="http://schemas.microsoft.com/office/drawing/2014/main" id="{00000000-0008-0000-1800-0000747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29</xdr:row>
      <xdr:rowOff>133350</xdr:rowOff>
    </xdr:from>
    <xdr:to>
      <xdr:col>18</xdr:col>
      <xdr:colOff>0</xdr:colOff>
      <xdr:row>50</xdr:row>
      <xdr:rowOff>66675</xdr:rowOff>
    </xdr:to>
    <xdr:graphicFrame macro="">
      <xdr:nvGraphicFramePr>
        <xdr:cNvPr id="32629" name="Chart 4">
          <a:extLst>
            <a:ext uri="{FF2B5EF4-FFF2-40B4-BE49-F238E27FC236}">
              <a16:creationId xmlns:a16="http://schemas.microsoft.com/office/drawing/2014/main" id="{00000000-0008-0000-1800-0000757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55</xdr:row>
      <xdr:rowOff>76200</xdr:rowOff>
    </xdr:from>
    <xdr:to>
      <xdr:col>18</xdr:col>
      <xdr:colOff>0</xdr:colOff>
      <xdr:row>85</xdr:row>
      <xdr:rowOff>114300</xdr:rowOff>
    </xdr:to>
    <xdr:graphicFrame macro="">
      <xdr:nvGraphicFramePr>
        <xdr:cNvPr id="32630" name="Chart 5">
          <a:extLst>
            <a:ext uri="{FF2B5EF4-FFF2-40B4-BE49-F238E27FC236}">
              <a16:creationId xmlns:a16="http://schemas.microsoft.com/office/drawing/2014/main" id="{00000000-0008-0000-1800-0000767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28575</xdr:colOff>
      <xdr:row>20</xdr:row>
      <xdr:rowOff>85725</xdr:rowOff>
    </xdr:from>
    <xdr:to>
      <xdr:col>8</xdr:col>
      <xdr:colOff>200025</xdr:colOff>
      <xdr:row>37</xdr:row>
      <xdr:rowOff>142875</xdr:rowOff>
    </xdr:to>
    <xdr:graphicFrame macro="">
      <xdr:nvGraphicFramePr>
        <xdr:cNvPr id="10425" name="Chart 9">
          <a:extLst>
            <a:ext uri="{FF2B5EF4-FFF2-40B4-BE49-F238E27FC236}">
              <a16:creationId xmlns:a16="http://schemas.microsoft.com/office/drawing/2014/main" id="{00000000-0008-0000-1A00-0000B92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39</xdr:col>
      <xdr:colOff>590550</xdr:colOff>
      <xdr:row>23</xdr:row>
      <xdr:rowOff>95250</xdr:rowOff>
    </xdr:from>
    <xdr:to>
      <xdr:col>49</xdr:col>
      <xdr:colOff>190500</xdr:colOff>
      <xdr:row>47</xdr:row>
      <xdr:rowOff>28575</xdr:rowOff>
    </xdr:to>
    <xdr:graphicFrame macro="">
      <xdr:nvGraphicFramePr>
        <xdr:cNvPr id="9407402" name="Chart 1">
          <a:extLst>
            <a:ext uri="{FF2B5EF4-FFF2-40B4-BE49-F238E27FC236}">
              <a16:creationId xmlns:a16="http://schemas.microsoft.com/office/drawing/2014/main" id="{00000000-0008-0000-2B00-0000AA8B8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600075</xdr:colOff>
      <xdr:row>48</xdr:row>
      <xdr:rowOff>57150</xdr:rowOff>
    </xdr:from>
    <xdr:to>
      <xdr:col>49</xdr:col>
      <xdr:colOff>219075</xdr:colOff>
      <xdr:row>66</xdr:row>
      <xdr:rowOff>57150</xdr:rowOff>
    </xdr:to>
    <xdr:graphicFrame macro="">
      <xdr:nvGraphicFramePr>
        <xdr:cNvPr id="9407403" name="Chart 2">
          <a:extLst>
            <a:ext uri="{FF2B5EF4-FFF2-40B4-BE49-F238E27FC236}">
              <a16:creationId xmlns:a16="http://schemas.microsoft.com/office/drawing/2014/main" id="{00000000-0008-0000-2B00-0000AB8B8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40</xdr:col>
      <xdr:colOff>0</xdr:colOff>
      <xdr:row>67</xdr:row>
      <xdr:rowOff>152400</xdr:rowOff>
    </xdr:from>
    <xdr:to>
      <xdr:col>49</xdr:col>
      <xdr:colOff>238125</xdr:colOff>
      <xdr:row>86</xdr:row>
      <xdr:rowOff>85725</xdr:rowOff>
    </xdr:to>
    <xdr:graphicFrame macro="">
      <xdr:nvGraphicFramePr>
        <xdr:cNvPr id="9407404" name="Chart 3">
          <a:extLst>
            <a:ext uri="{FF2B5EF4-FFF2-40B4-BE49-F238E27FC236}">
              <a16:creationId xmlns:a16="http://schemas.microsoft.com/office/drawing/2014/main" id="{00000000-0008-0000-2B00-0000AC8B8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54</xdr:col>
      <xdr:colOff>28575</xdr:colOff>
      <xdr:row>39</xdr:row>
      <xdr:rowOff>9525</xdr:rowOff>
    </xdr:from>
    <xdr:to>
      <xdr:col>62</xdr:col>
      <xdr:colOff>361950</xdr:colOff>
      <xdr:row>60</xdr:row>
      <xdr:rowOff>57150</xdr:rowOff>
    </xdr:to>
    <xdr:graphicFrame macro="">
      <xdr:nvGraphicFramePr>
        <xdr:cNvPr id="9407405" name="Chart 5">
          <a:extLst>
            <a:ext uri="{FF2B5EF4-FFF2-40B4-BE49-F238E27FC236}">
              <a16:creationId xmlns:a16="http://schemas.microsoft.com/office/drawing/2014/main" id="{00000000-0008-0000-2B00-0000AD8B8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54</xdr:col>
      <xdr:colOff>0</xdr:colOff>
      <xdr:row>62</xdr:row>
      <xdr:rowOff>0</xdr:rowOff>
    </xdr:from>
    <xdr:to>
      <xdr:col>62</xdr:col>
      <xdr:colOff>342900</xdr:colOff>
      <xdr:row>83</xdr:row>
      <xdr:rowOff>57150</xdr:rowOff>
    </xdr:to>
    <xdr:graphicFrame macro="">
      <xdr:nvGraphicFramePr>
        <xdr:cNvPr id="9407406" name="Chart 10">
          <a:extLst>
            <a:ext uri="{FF2B5EF4-FFF2-40B4-BE49-F238E27FC236}">
              <a16:creationId xmlns:a16="http://schemas.microsoft.com/office/drawing/2014/main" id="{00000000-0008-0000-2B00-0000AE8B8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54</xdr:col>
      <xdr:colOff>0</xdr:colOff>
      <xdr:row>85</xdr:row>
      <xdr:rowOff>0</xdr:rowOff>
    </xdr:from>
    <xdr:to>
      <xdr:col>62</xdr:col>
      <xdr:colOff>342900</xdr:colOff>
      <xdr:row>106</xdr:row>
      <xdr:rowOff>57150</xdr:rowOff>
    </xdr:to>
    <xdr:graphicFrame macro="">
      <xdr:nvGraphicFramePr>
        <xdr:cNvPr id="9407407" name="Chart 11">
          <a:extLst>
            <a:ext uri="{FF2B5EF4-FFF2-40B4-BE49-F238E27FC236}">
              <a16:creationId xmlns:a16="http://schemas.microsoft.com/office/drawing/2014/main" id="{00000000-0008-0000-2B00-0000AF8B8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70</xdr:col>
      <xdr:colOff>514350</xdr:colOff>
      <xdr:row>0</xdr:row>
      <xdr:rowOff>66675</xdr:rowOff>
    </xdr:from>
    <xdr:to>
      <xdr:col>80</xdr:col>
      <xdr:colOff>0</xdr:colOff>
      <xdr:row>28</xdr:row>
      <xdr:rowOff>9525</xdr:rowOff>
    </xdr:to>
    <xdr:graphicFrame macro="">
      <xdr:nvGraphicFramePr>
        <xdr:cNvPr id="9407408" name="Chart 13">
          <a:extLst>
            <a:ext uri="{FF2B5EF4-FFF2-40B4-BE49-F238E27FC236}">
              <a16:creationId xmlns:a16="http://schemas.microsoft.com/office/drawing/2014/main" id="{00000000-0008-0000-2B00-0000B08B8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70</xdr:col>
      <xdr:colOff>485775</xdr:colOff>
      <xdr:row>29</xdr:row>
      <xdr:rowOff>133350</xdr:rowOff>
    </xdr:from>
    <xdr:to>
      <xdr:col>80</xdr:col>
      <xdr:colOff>19050</xdr:colOff>
      <xdr:row>51</xdr:row>
      <xdr:rowOff>66675</xdr:rowOff>
    </xdr:to>
    <xdr:graphicFrame macro="">
      <xdr:nvGraphicFramePr>
        <xdr:cNvPr id="9407409" name="Chart 14">
          <a:extLst>
            <a:ext uri="{FF2B5EF4-FFF2-40B4-BE49-F238E27FC236}">
              <a16:creationId xmlns:a16="http://schemas.microsoft.com/office/drawing/2014/main" id="{00000000-0008-0000-2B00-0000B18B8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314325</xdr:colOff>
      <xdr:row>111</xdr:row>
      <xdr:rowOff>85725</xdr:rowOff>
    </xdr:from>
    <xdr:to>
      <xdr:col>52</xdr:col>
      <xdr:colOff>581025</xdr:colOff>
      <xdr:row>132</xdr:row>
      <xdr:rowOff>57150</xdr:rowOff>
    </xdr:to>
    <xdr:graphicFrame macro="">
      <xdr:nvGraphicFramePr>
        <xdr:cNvPr id="9407410" name="Chart 16">
          <a:extLst>
            <a:ext uri="{FF2B5EF4-FFF2-40B4-BE49-F238E27FC236}">
              <a16:creationId xmlns:a16="http://schemas.microsoft.com/office/drawing/2014/main" id="{00000000-0008-0000-2B00-0000B28B8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43</xdr:col>
      <xdr:colOff>381000</xdr:colOff>
      <xdr:row>134</xdr:row>
      <xdr:rowOff>104775</xdr:rowOff>
    </xdr:from>
    <xdr:to>
      <xdr:col>52</xdr:col>
      <xdr:colOff>561975</xdr:colOff>
      <xdr:row>155</xdr:row>
      <xdr:rowOff>152400</xdr:rowOff>
    </xdr:to>
    <xdr:graphicFrame macro="">
      <xdr:nvGraphicFramePr>
        <xdr:cNvPr id="9407411" name="Chart 17">
          <a:extLst>
            <a:ext uri="{FF2B5EF4-FFF2-40B4-BE49-F238E27FC236}">
              <a16:creationId xmlns:a16="http://schemas.microsoft.com/office/drawing/2014/main" id="{00000000-0008-0000-2B00-0000B38B8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53</xdr:col>
      <xdr:colOff>171450</xdr:colOff>
      <xdr:row>111</xdr:row>
      <xdr:rowOff>85725</xdr:rowOff>
    </xdr:from>
    <xdr:to>
      <xdr:col>61</xdr:col>
      <xdr:colOff>114300</xdr:colOff>
      <xdr:row>133</xdr:row>
      <xdr:rowOff>0</xdr:rowOff>
    </xdr:to>
    <xdr:graphicFrame macro="">
      <xdr:nvGraphicFramePr>
        <xdr:cNvPr id="9407412" name="Chart 18">
          <a:extLst>
            <a:ext uri="{FF2B5EF4-FFF2-40B4-BE49-F238E27FC236}">
              <a16:creationId xmlns:a16="http://schemas.microsoft.com/office/drawing/2014/main" id="{00000000-0008-0000-2B00-0000B48B8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53</xdr:col>
      <xdr:colOff>171450</xdr:colOff>
      <xdr:row>134</xdr:row>
      <xdr:rowOff>85725</xdr:rowOff>
    </xdr:from>
    <xdr:to>
      <xdr:col>61</xdr:col>
      <xdr:colOff>123825</xdr:colOff>
      <xdr:row>156</xdr:row>
      <xdr:rowOff>9525</xdr:rowOff>
    </xdr:to>
    <xdr:graphicFrame macro="">
      <xdr:nvGraphicFramePr>
        <xdr:cNvPr id="9407413" name="Chart 19">
          <a:extLst>
            <a:ext uri="{FF2B5EF4-FFF2-40B4-BE49-F238E27FC236}">
              <a16:creationId xmlns:a16="http://schemas.microsoft.com/office/drawing/2014/main" id="{00000000-0008-0000-2B00-0000B58B8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34</xdr:col>
      <xdr:colOff>695325</xdr:colOff>
      <xdr:row>111</xdr:row>
      <xdr:rowOff>47625</xdr:rowOff>
    </xdr:from>
    <xdr:to>
      <xdr:col>42</xdr:col>
      <xdr:colOff>428625</xdr:colOff>
      <xdr:row>133</xdr:row>
      <xdr:rowOff>0</xdr:rowOff>
    </xdr:to>
    <xdr:graphicFrame macro="">
      <xdr:nvGraphicFramePr>
        <xdr:cNvPr id="9407414" name="Chart 20">
          <a:extLst>
            <a:ext uri="{FF2B5EF4-FFF2-40B4-BE49-F238E27FC236}">
              <a16:creationId xmlns:a16="http://schemas.microsoft.com/office/drawing/2014/main" id="{00000000-0008-0000-2B00-0000B68B8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34</xdr:col>
      <xdr:colOff>676275</xdr:colOff>
      <xdr:row>133</xdr:row>
      <xdr:rowOff>123825</xdr:rowOff>
    </xdr:from>
    <xdr:to>
      <xdr:col>42</xdr:col>
      <xdr:colOff>419100</xdr:colOff>
      <xdr:row>156</xdr:row>
      <xdr:rowOff>133350</xdr:rowOff>
    </xdr:to>
    <xdr:graphicFrame macro="">
      <xdr:nvGraphicFramePr>
        <xdr:cNvPr id="9407415" name="Chart 21">
          <a:extLst>
            <a:ext uri="{FF2B5EF4-FFF2-40B4-BE49-F238E27FC236}">
              <a16:creationId xmlns:a16="http://schemas.microsoft.com/office/drawing/2014/main" id="{00000000-0008-0000-2B00-0000B78B8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34</xdr:col>
      <xdr:colOff>561975</xdr:colOff>
      <xdr:row>162</xdr:row>
      <xdr:rowOff>104775</xdr:rowOff>
    </xdr:from>
    <xdr:to>
      <xdr:col>43</xdr:col>
      <xdr:colOff>123825</xdr:colOff>
      <xdr:row>183</xdr:row>
      <xdr:rowOff>76200</xdr:rowOff>
    </xdr:to>
    <xdr:graphicFrame macro="">
      <xdr:nvGraphicFramePr>
        <xdr:cNvPr id="9407416" name="Chart 22">
          <a:extLst>
            <a:ext uri="{FF2B5EF4-FFF2-40B4-BE49-F238E27FC236}">
              <a16:creationId xmlns:a16="http://schemas.microsoft.com/office/drawing/2014/main" id="{00000000-0008-0000-2B00-0000B88B8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571500</xdr:colOff>
      <xdr:row>148</xdr:row>
      <xdr:rowOff>66675</xdr:rowOff>
    </xdr:from>
    <xdr:to>
      <xdr:col>33</xdr:col>
      <xdr:colOff>504825</xdr:colOff>
      <xdr:row>169</xdr:row>
      <xdr:rowOff>47625</xdr:rowOff>
    </xdr:to>
    <xdr:graphicFrame macro="">
      <xdr:nvGraphicFramePr>
        <xdr:cNvPr id="9407417" name="Chart 24">
          <a:extLst>
            <a:ext uri="{FF2B5EF4-FFF2-40B4-BE49-F238E27FC236}">
              <a16:creationId xmlns:a16="http://schemas.microsoft.com/office/drawing/2014/main" id="{00000000-0008-0000-2B00-0000B98B8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67</xdr:col>
      <xdr:colOff>247650</xdr:colOff>
      <xdr:row>56</xdr:row>
      <xdr:rowOff>76200</xdr:rowOff>
    </xdr:from>
    <xdr:to>
      <xdr:col>82</xdr:col>
      <xdr:colOff>457200</xdr:colOff>
      <xdr:row>86</xdr:row>
      <xdr:rowOff>114300</xdr:rowOff>
    </xdr:to>
    <xdr:graphicFrame macro="">
      <xdr:nvGraphicFramePr>
        <xdr:cNvPr id="9407418" name="Chart 25">
          <a:extLst>
            <a:ext uri="{FF2B5EF4-FFF2-40B4-BE49-F238E27FC236}">
              <a16:creationId xmlns:a16="http://schemas.microsoft.com/office/drawing/2014/main" id="{00000000-0008-0000-2B00-0000BA8B8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39</xdr:col>
      <xdr:colOff>590550</xdr:colOff>
      <xdr:row>23</xdr:row>
      <xdr:rowOff>95250</xdr:rowOff>
    </xdr:from>
    <xdr:to>
      <xdr:col>49</xdr:col>
      <xdr:colOff>190500</xdr:colOff>
      <xdr:row>46</xdr:row>
      <xdr:rowOff>28575</xdr:rowOff>
    </xdr:to>
    <xdr:graphicFrame macro="">
      <xdr:nvGraphicFramePr>
        <xdr:cNvPr id="10081010" name="Chart 1">
          <a:extLst>
            <a:ext uri="{FF2B5EF4-FFF2-40B4-BE49-F238E27FC236}">
              <a16:creationId xmlns:a16="http://schemas.microsoft.com/office/drawing/2014/main" id="{00000000-0008-0000-2E00-0000F2D29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600075</xdr:colOff>
      <xdr:row>47</xdr:row>
      <xdr:rowOff>57150</xdr:rowOff>
    </xdr:from>
    <xdr:to>
      <xdr:col>49</xdr:col>
      <xdr:colOff>219075</xdr:colOff>
      <xdr:row>65</xdr:row>
      <xdr:rowOff>57150</xdr:rowOff>
    </xdr:to>
    <xdr:graphicFrame macro="">
      <xdr:nvGraphicFramePr>
        <xdr:cNvPr id="10081011" name="Chart 2">
          <a:extLst>
            <a:ext uri="{FF2B5EF4-FFF2-40B4-BE49-F238E27FC236}">
              <a16:creationId xmlns:a16="http://schemas.microsoft.com/office/drawing/2014/main" id="{00000000-0008-0000-2E00-0000F3D29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40</xdr:col>
      <xdr:colOff>0</xdr:colOff>
      <xdr:row>66</xdr:row>
      <xdr:rowOff>152400</xdr:rowOff>
    </xdr:from>
    <xdr:to>
      <xdr:col>49</xdr:col>
      <xdr:colOff>238125</xdr:colOff>
      <xdr:row>85</xdr:row>
      <xdr:rowOff>85725</xdr:rowOff>
    </xdr:to>
    <xdr:graphicFrame macro="">
      <xdr:nvGraphicFramePr>
        <xdr:cNvPr id="10081012" name="Chart 3">
          <a:extLst>
            <a:ext uri="{FF2B5EF4-FFF2-40B4-BE49-F238E27FC236}">
              <a16:creationId xmlns:a16="http://schemas.microsoft.com/office/drawing/2014/main" id="{00000000-0008-0000-2E00-0000F4D29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54</xdr:col>
      <xdr:colOff>28575</xdr:colOff>
      <xdr:row>38</xdr:row>
      <xdr:rowOff>9525</xdr:rowOff>
    </xdr:from>
    <xdr:to>
      <xdr:col>62</xdr:col>
      <xdr:colOff>361950</xdr:colOff>
      <xdr:row>59</xdr:row>
      <xdr:rowOff>57150</xdr:rowOff>
    </xdr:to>
    <xdr:graphicFrame macro="">
      <xdr:nvGraphicFramePr>
        <xdr:cNvPr id="10081013" name="Chart 4">
          <a:extLst>
            <a:ext uri="{FF2B5EF4-FFF2-40B4-BE49-F238E27FC236}">
              <a16:creationId xmlns:a16="http://schemas.microsoft.com/office/drawing/2014/main" id="{00000000-0008-0000-2E00-0000F5D29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54</xdr:col>
      <xdr:colOff>0</xdr:colOff>
      <xdr:row>61</xdr:row>
      <xdr:rowOff>0</xdr:rowOff>
    </xdr:from>
    <xdr:to>
      <xdr:col>62</xdr:col>
      <xdr:colOff>342900</xdr:colOff>
      <xdr:row>82</xdr:row>
      <xdr:rowOff>57150</xdr:rowOff>
    </xdr:to>
    <xdr:graphicFrame macro="">
      <xdr:nvGraphicFramePr>
        <xdr:cNvPr id="10081014" name="Chart 5">
          <a:extLst>
            <a:ext uri="{FF2B5EF4-FFF2-40B4-BE49-F238E27FC236}">
              <a16:creationId xmlns:a16="http://schemas.microsoft.com/office/drawing/2014/main" id="{00000000-0008-0000-2E00-0000F6D29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54</xdr:col>
      <xdr:colOff>0</xdr:colOff>
      <xdr:row>84</xdr:row>
      <xdr:rowOff>0</xdr:rowOff>
    </xdr:from>
    <xdr:to>
      <xdr:col>62</xdr:col>
      <xdr:colOff>342900</xdr:colOff>
      <xdr:row>105</xdr:row>
      <xdr:rowOff>57150</xdr:rowOff>
    </xdr:to>
    <xdr:graphicFrame macro="">
      <xdr:nvGraphicFramePr>
        <xdr:cNvPr id="10081015" name="Chart 6">
          <a:extLst>
            <a:ext uri="{FF2B5EF4-FFF2-40B4-BE49-F238E27FC236}">
              <a16:creationId xmlns:a16="http://schemas.microsoft.com/office/drawing/2014/main" id="{00000000-0008-0000-2E00-0000F7D29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70</xdr:col>
      <xdr:colOff>485775</xdr:colOff>
      <xdr:row>29</xdr:row>
      <xdr:rowOff>133350</xdr:rowOff>
    </xdr:from>
    <xdr:to>
      <xdr:col>80</xdr:col>
      <xdr:colOff>19050</xdr:colOff>
      <xdr:row>50</xdr:row>
      <xdr:rowOff>66675</xdr:rowOff>
    </xdr:to>
    <xdr:graphicFrame macro="">
      <xdr:nvGraphicFramePr>
        <xdr:cNvPr id="10081016" name="Chart 8">
          <a:extLst>
            <a:ext uri="{FF2B5EF4-FFF2-40B4-BE49-F238E27FC236}">
              <a16:creationId xmlns:a16="http://schemas.microsoft.com/office/drawing/2014/main" id="{00000000-0008-0000-2E00-0000F8D29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314325</xdr:colOff>
      <xdr:row>110</xdr:row>
      <xdr:rowOff>85725</xdr:rowOff>
    </xdr:from>
    <xdr:to>
      <xdr:col>52</xdr:col>
      <xdr:colOff>581025</xdr:colOff>
      <xdr:row>131</xdr:row>
      <xdr:rowOff>57150</xdr:rowOff>
    </xdr:to>
    <xdr:graphicFrame macro="">
      <xdr:nvGraphicFramePr>
        <xdr:cNvPr id="10081017" name="Chart 9">
          <a:extLst>
            <a:ext uri="{FF2B5EF4-FFF2-40B4-BE49-F238E27FC236}">
              <a16:creationId xmlns:a16="http://schemas.microsoft.com/office/drawing/2014/main" id="{00000000-0008-0000-2E00-0000F9D29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381000</xdr:colOff>
      <xdr:row>133</xdr:row>
      <xdr:rowOff>104775</xdr:rowOff>
    </xdr:from>
    <xdr:to>
      <xdr:col>52</xdr:col>
      <xdr:colOff>561975</xdr:colOff>
      <xdr:row>154</xdr:row>
      <xdr:rowOff>152400</xdr:rowOff>
    </xdr:to>
    <xdr:graphicFrame macro="">
      <xdr:nvGraphicFramePr>
        <xdr:cNvPr id="10081018" name="Chart 10">
          <a:extLst>
            <a:ext uri="{FF2B5EF4-FFF2-40B4-BE49-F238E27FC236}">
              <a16:creationId xmlns:a16="http://schemas.microsoft.com/office/drawing/2014/main" id="{00000000-0008-0000-2E00-0000FAD29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53</xdr:col>
      <xdr:colOff>171450</xdr:colOff>
      <xdr:row>110</xdr:row>
      <xdr:rowOff>85725</xdr:rowOff>
    </xdr:from>
    <xdr:to>
      <xdr:col>61</xdr:col>
      <xdr:colOff>114300</xdr:colOff>
      <xdr:row>132</xdr:row>
      <xdr:rowOff>0</xdr:rowOff>
    </xdr:to>
    <xdr:graphicFrame macro="">
      <xdr:nvGraphicFramePr>
        <xdr:cNvPr id="10081019" name="Chart 11">
          <a:extLst>
            <a:ext uri="{FF2B5EF4-FFF2-40B4-BE49-F238E27FC236}">
              <a16:creationId xmlns:a16="http://schemas.microsoft.com/office/drawing/2014/main" id="{00000000-0008-0000-2E00-0000FBD29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53</xdr:col>
      <xdr:colOff>171450</xdr:colOff>
      <xdr:row>133</xdr:row>
      <xdr:rowOff>85725</xdr:rowOff>
    </xdr:from>
    <xdr:to>
      <xdr:col>61</xdr:col>
      <xdr:colOff>123825</xdr:colOff>
      <xdr:row>155</xdr:row>
      <xdr:rowOff>9525</xdr:rowOff>
    </xdr:to>
    <xdr:graphicFrame macro="">
      <xdr:nvGraphicFramePr>
        <xdr:cNvPr id="10081020" name="Chart 12">
          <a:extLst>
            <a:ext uri="{FF2B5EF4-FFF2-40B4-BE49-F238E27FC236}">
              <a16:creationId xmlns:a16="http://schemas.microsoft.com/office/drawing/2014/main" id="{00000000-0008-0000-2E00-0000FCD29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34</xdr:col>
      <xdr:colOff>695325</xdr:colOff>
      <xdr:row>110</xdr:row>
      <xdr:rowOff>47625</xdr:rowOff>
    </xdr:from>
    <xdr:to>
      <xdr:col>42</xdr:col>
      <xdr:colOff>428625</xdr:colOff>
      <xdr:row>132</xdr:row>
      <xdr:rowOff>0</xdr:rowOff>
    </xdr:to>
    <xdr:graphicFrame macro="">
      <xdr:nvGraphicFramePr>
        <xdr:cNvPr id="10081021" name="Chart 13">
          <a:extLst>
            <a:ext uri="{FF2B5EF4-FFF2-40B4-BE49-F238E27FC236}">
              <a16:creationId xmlns:a16="http://schemas.microsoft.com/office/drawing/2014/main" id="{00000000-0008-0000-2E00-0000FDD29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34</xdr:col>
      <xdr:colOff>676275</xdr:colOff>
      <xdr:row>132</xdr:row>
      <xdr:rowOff>123825</xdr:rowOff>
    </xdr:from>
    <xdr:to>
      <xdr:col>42</xdr:col>
      <xdr:colOff>419100</xdr:colOff>
      <xdr:row>155</xdr:row>
      <xdr:rowOff>133350</xdr:rowOff>
    </xdr:to>
    <xdr:graphicFrame macro="">
      <xdr:nvGraphicFramePr>
        <xdr:cNvPr id="10081022" name="Chart 14">
          <a:extLst>
            <a:ext uri="{FF2B5EF4-FFF2-40B4-BE49-F238E27FC236}">
              <a16:creationId xmlns:a16="http://schemas.microsoft.com/office/drawing/2014/main" id="{00000000-0008-0000-2E00-0000FED29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34</xdr:col>
      <xdr:colOff>561975</xdr:colOff>
      <xdr:row>161</xdr:row>
      <xdr:rowOff>104775</xdr:rowOff>
    </xdr:from>
    <xdr:to>
      <xdr:col>43</xdr:col>
      <xdr:colOff>123825</xdr:colOff>
      <xdr:row>182</xdr:row>
      <xdr:rowOff>76200</xdr:rowOff>
    </xdr:to>
    <xdr:graphicFrame macro="">
      <xdr:nvGraphicFramePr>
        <xdr:cNvPr id="10081023" name="Chart 15">
          <a:extLst>
            <a:ext uri="{FF2B5EF4-FFF2-40B4-BE49-F238E27FC236}">
              <a16:creationId xmlns:a16="http://schemas.microsoft.com/office/drawing/2014/main" id="{00000000-0008-0000-2E00-0000FFD29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571500</xdr:colOff>
      <xdr:row>147</xdr:row>
      <xdr:rowOff>66675</xdr:rowOff>
    </xdr:from>
    <xdr:to>
      <xdr:col>33</xdr:col>
      <xdr:colOff>504825</xdr:colOff>
      <xdr:row>168</xdr:row>
      <xdr:rowOff>47625</xdr:rowOff>
    </xdr:to>
    <xdr:graphicFrame macro="">
      <xdr:nvGraphicFramePr>
        <xdr:cNvPr id="10081024" name="Chart 16">
          <a:extLst>
            <a:ext uri="{FF2B5EF4-FFF2-40B4-BE49-F238E27FC236}">
              <a16:creationId xmlns:a16="http://schemas.microsoft.com/office/drawing/2014/main" id="{00000000-0008-0000-2E00-000000D39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67</xdr:col>
      <xdr:colOff>247650</xdr:colOff>
      <xdr:row>55</xdr:row>
      <xdr:rowOff>76200</xdr:rowOff>
    </xdr:from>
    <xdr:to>
      <xdr:col>82</xdr:col>
      <xdr:colOff>457200</xdr:colOff>
      <xdr:row>85</xdr:row>
      <xdr:rowOff>114300</xdr:rowOff>
    </xdr:to>
    <xdr:graphicFrame macro="">
      <xdr:nvGraphicFramePr>
        <xdr:cNvPr id="10081025" name="Chart 17">
          <a:extLst>
            <a:ext uri="{FF2B5EF4-FFF2-40B4-BE49-F238E27FC236}">
              <a16:creationId xmlns:a16="http://schemas.microsoft.com/office/drawing/2014/main" id="{00000000-0008-0000-2E00-000001D39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52</xdr:col>
      <xdr:colOff>0</xdr:colOff>
      <xdr:row>22</xdr:row>
      <xdr:rowOff>95250</xdr:rowOff>
    </xdr:from>
    <xdr:to>
      <xdr:col>52</xdr:col>
      <xdr:colOff>0</xdr:colOff>
      <xdr:row>46</xdr:row>
      <xdr:rowOff>28575</xdr:rowOff>
    </xdr:to>
    <xdr:graphicFrame macro="">
      <xdr:nvGraphicFramePr>
        <xdr:cNvPr id="22384" name="Chart 1">
          <a:extLst>
            <a:ext uri="{FF2B5EF4-FFF2-40B4-BE49-F238E27FC236}">
              <a16:creationId xmlns:a16="http://schemas.microsoft.com/office/drawing/2014/main" id="{00000000-0008-0000-3200-0000705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52</xdr:col>
      <xdr:colOff>0</xdr:colOff>
      <xdr:row>47</xdr:row>
      <xdr:rowOff>57150</xdr:rowOff>
    </xdr:from>
    <xdr:to>
      <xdr:col>52</xdr:col>
      <xdr:colOff>0</xdr:colOff>
      <xdr:row>65</xdr:row>
      <xdr:rowOff>57150</xdr:rowOff>
    </xdr:to>
    <xdr:graphicFrame macro="">
      <xdr:nvGraphicFramePr>
        <xdr:cNvPr id="22385" name="Chart 2">
          <a:extLst>
            <a:ext uri="{FF2B5EF4-FFF2-40B4-BE49-F238E27FC236}">
              <a16:creationId xmlns:a16="http://schemas.microsoft.com/office/drawing/2014/main" id="{00000000-0008-0000-3200-0000715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52</xdr:col>
      <xdr:colOff>0</xdr:colOff>
      <xdr:row>38</xdr:row>
      <xdr:rowOff>9525</xdr:rowOff>
    </xdr:from>
    <xdr:to>
      <xdr:col>52</xdr:col>
      <xdr:colOff>0</xdr:colOff>
      <xdr:row>59</xdr:row>
      <xdr:rowOff>57150</xdr:rowOff>
    </xdr:to>
    <xdr:graphicFrame macro="">
      <xdr:nvGraphicFramePr>
        <xdr:cNvPr id="22386" name="Chart 3">
          <a:extLst>
            <a:ext uri="{FF2B5EF4-FFF2-40B4-BE49-F238E27FC236}">
              <a16:creationId xmlns:a16="http://schemas.microsoft.com/office/drawing/2014/main" id="{00000000-0008-0000-3200-0000725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52</xdr:col>
      <xdr:colOff>0</xdr:colOff>
      <xdr:row>29</xdr:row>
      <xdr:rowOff>133350</xdr:rowOff>
    </xdr:from>
    <xdr:to>
      <xdr:col>52</xdr:col>
      <xdr:colOff>0</xdr:colOff>
      <xdr:row>50</xdr:row>
      <xdr:rowOff>66675</xdr:rowOff>
    </xdr:to>
    <xdr:graphicFrame macro="">
      <xdr:nvGraphicFramePr>
        <xdr:cNvPr id="22387" name="Chart 4">
          <a:extLst>
            <a:ext uri="{FF2B5EF4-FFF2-40B4-BE49-F238E27FC236}">
              <a16:creationId xmlns:a16="http://schemas.microsoft.com/office/drawing/2014/main" id="{00000000-0008-0000-3200-0000735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52</xdr:col>
      <xdr:colOff>0</xdr:colOff>
      <xdr:row>55</xdr:row>
      <xdr:rowOff>76200</xdr:rowOff>
    </xdr:from>
    <xdr:to>
      <xdr:col>52</xdr:col>
      <xdr:colOff>0</xdr:colOff>
      <xdr:row>85</xdr:row>
      <xdr:rowOff>114300</xdr:rowOff>
    </xdr:to>
    <xdr:graphicFrame macro="">
      <xdr:nvGraphicFramePr>
        <xdr:cNvPr id="22388" name="Chart 5">
          <a:extLst>
            <a:ext uri="{FF2B5EF4-FFF2-40B4-BE49-F238E27FC236}">
              <a16:creationId xmlns:a16="http://schemas.microsoft.com/office/drawing/2014/main" id="{00000000-0008-0000-3200-0000745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33</xdr:col>
      <xdr:colOff>0</xdr:colOff>
      <xdr:row>23</xdr:row>
      <xdr:rowOff>95250</xdr:rowOff>
    </xdr:from>
    <xdr:to>
      <xdr:col>33</xdr:col>
      <xdr:colOff>0</xdr:colOff>
      <xdr:row>46</xdr:row>
      <xdr:rowOff>28575</xdr:rowOff>
    </xdr:to>
    <xdr:graphicFrame macro="">
      <xdr:nvGraphicFramePr>
        <xdr:cNvPr id="10104561" name="Chart 1">
          <a:extLst>
            <a:ext uri="{FF2B5EF4-FFF2-40B4-BE49-F238E27FC236}">
              <a16:creationId xmlns:a16="http://schemas.microsoft.com/office/drawing/2014/main" id="{00000000-0008-0000-3700-0000F12E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0</xdr:colOff>
      <xdr:row>47</xdr:row>
      <xdr:rowOff>57150</xdr:rowOff>
    </xdr:from>
    <xdr:to>
      <xdr:col>33</xdr:col>
      <xdr:colOff>0</xdr:colOff>
      <xdr:row>65</xdr:row>
      <xdr:rowOff>57150</xdr:rowOff>
    </xdr:to>
    <xdr:graphicFrame macro="">
      <xdr:nvGraphicFramePr>
        <xdr:cNvPr id="10104562" name="Chart 2">
          <a:extLst>
            <a:ext uri="{FF2B5EF4-FFF2-40B4-BE49-F238E27FC236}">
              <a16:creationId xmlns:a16="http://schemas.microsoft.com/office/drawing/2014/main" id="{00000000-0008-0000-3700-0000F22E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67</xdr:row>
      <xdr:rowOff>152400</xdr:rowOff>
    </xdr:from>
    <xdr:to>
      <xdr:col>0</xdr:col>
      <xdr:colOff>0</xdr:colOff>
      <xdr:row>86</xdr:row>
      <xdr:rowOff>85725</xdr:rowOff>
    </xdr:to>
    <xdr:graphicFrame macro="">
      <xdr:nvGraphicFramePr>
        <xdr:cNvPr id="10104563" name="Chart 3">
          <a:extLst>
            <a:ext uri="{FF2B5EF4-FFF2-40B4-BE49-F238E27FC236}">
              <a16:creationId xmlns:a16="http://schemas.microsoft.com/office/drawing/2014/main" id="{00000000-0008-0000-3700-0000F32E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0</xdr:colOff>
      <xdr:row>38</xdr:row>
      <xdr:rowOff>9525</xdr:rowOff>
    </xdr:from>
    <xdr:to>
      <xdr:col>33</xdr:col>
      <xdr:colOff>0</xdr:colOff>
      <xdr:row>59</xdr:row>
      <xdr:rowOff>57150</xdr:rowOff>
    </xdr:to>
    <xdr:graphicFrame macro="">
      <xdr:nvGraphicFramePr>
        <xdr:cNvPr id="10104564" name="Chart 4">
          <a:extLst>
            <a:ext uri="{FF2B5EF4-FFF2-40B4-BE49-F238E27FC236}">
              <a16:creationId xmlns:a16="http://schemas.microsoft.com/office/drawing/2014/main" id="{00000000-0008-0000-3700-0000F42E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62</xdr:row>
      <xdr:rowOff>0</xdr:rowOff>
    </xdr:from>
    <xdr:to>
      <xdr:col>0</xdr:col>
      <xdr:colOff>0</xdr:colOff>
      <xdr:row>83</xdr:row>
      <xdr:rowOff>57150</xdr:rowOff>
    </xdr:to>
    <xdr:graphicFrame macro="">
      <xdr:nvGraphicFramePr>
        <xdr:cNvPr id="10104565" name="Chart 5">
          <a:extLst>
            <a:ext uri="{FF2B5EF4-FFF2-40B4-BE49-F238E27FC236}">
              <a16:creationId xmlns:a16="http://schemas.microsoft.com/office/drawing/2014/main" id="{00000000-0008-0000-3700-0000F52E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85</xdr:row>
      <xdr:rowOff>0</xdr:rowOff>
    </xdr:from>
    <xdr:to>
      <xdr:col>0</xdr:col>
      <xdr:colOff>0</xdr:colOff>
      <xdr:row>106</xdr:row>
      <xdr:rowOff>57150</xdr:rowOff>
    </xdr:to>
    <xdr:graphicFrame macro="">
      <xdr:nvGraphicFramePr>
        <xdr:cNvPr id="10104566" name="Chart 6">
          <a:extLst>
            <a:ext uri="{FF2B5EF4-FFF2-40B4-BE49-F238E27FC236}">
              <a16:creationId xmlns:a16="http://schemas.microsoft.com/office/drawing/2014/main" id="{00000000-0008-0000-3700-0000F62E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0</xdr:colOff>
      <xdr:row>29</xdr:row>
      <xdr:rowOff>133350</xdr:rowOff>
    </xdr:from>
    <xdr:to>
      <xdr:col>33</xdr:col>
      <xdr:colOff>0</xdr:colOff>
      <xdr:row>50</xdr:row>
      <xdr:rowOff>66675</xdr:rowOff>
    </xdr:to>
    <xdr:graphicFrame macro="">
      <xdr:nvGraphicFramePr>
        <xdr:cNvPr id="10104567" name="Chart 7">
          <a:extLst>
            <a:ext uri="{FF2B5EF4-FFF2-40B4-BE49-F238E27FC236}">
              <a16:creationId xmlns:a16="http://schemas.microsoft.com/office/drawing/2014/main" id="{00000000-0008-0000-3700-0000F72E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111</xdr:row>
      <xdr:rowOff>85725</xdr:rowOff>
    </xdr:from>
    <xdr:to>
      <xdr:col>0</xdr:col>
      <xdr:colOff>0</xdr:colOff>
      <xdr:row>132</xdr:row>
      <xdr:rowOff>57150</xdr:rowOff>
    </xdr:to>
    <xdr:graphicFrame macro="">
      <xdr:nvGraphicFramePr>
        <xdr:cNvPr id="10104568" name="Chart 8">
          <a:extLst>
            <a:ext uri="{FF2B5EF4-FFF2-40B4-BE49-F238E27FC236}">
              <a16:creationId xmlns:a16="http://schemas.microsoft.com/office/drawing/2014/main" id="{00000000-0008-0000-3700-0000F82E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134</xdr:row>
      <xdr:rowOff>104775</xdr:rowOff>
    </xdr:from>
    <xdr:to>
      <xdr:col>0</xdr:col>
      <xdr:colOff>0</xdr:colOff>
      <xdr:row>155</xdr:row>
      <xdr:rowOff>152400</xdr:rowOff>
    </xdr:to>
    <xdr:graphicFrame macro="">
      <xdr:nvGraphicFramePr>
        <xdr:cNvPr id="10104569" name="Chart 9">
          <a:extLst>
            <a:ext uri="{FF2B5EF4-FFF2-40B4-BE49-F238E27FC236}">
              <a16:creationId xmlns:a16="http://schemas.microsoft.com/office/drawing/2014/main" id="{00000000-0008-0000-3700-0000F92E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111</xdr:row>
      <xdr:rowOff>85725</xdr:rowOff>
    </xdr:from>
    <xdr:to>
      <xdr:col>0</xdr:col>
      <xdr:colOff>0</xdr:colOff>
      <xdr:row>133</xdr:row>
      <xdr:rowOff>0</xdr:rowOff>
    </xdr:to>
    <xdr:graphicFrame macro="">
      <xdr:nvGraphicFramePr>
        <xdr:cNvPr id="10104570" name="Chart 10">
          <a:extLst>
            <a:ext uri="{FF2B5EF4-FFF2-40B4-BE49-F238E27FC236}">
              <a16:creationId xmlns:a16="http://schemas.microsoft.com/office/drawing/2014/main" id="{00000000-0008-0000-3700-0000FA2E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134</xdr:row>
      <xdr:rowOff>85725</xdr:rowOff>
    </xdr:from>
    <xdr:to>
      <xdr:col>0</xdr:col>
      <xdr:colOff>0</xdr:colOff>
      <xdr:row>156</xdr:row>
      <xdr:rowOff>9525</xdr:rowOff>
    </xdr:to>
    <xdr:graphicFrame macro="">
      <xdr:nvGraphicFramePr>
        <xdr:cNvPr id="10104571" name="Chart 11">
          <a:extLst>
            <a:ext uri="{FF2B5EF4-FFF2-40B4-BE49-F238E27FC236}">
              <a16:creationId xmlns:a16="http://schemas.microsoft.com/office/drawing/2014/main" id="{00000000-0008-0000-3700-0000FB2E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111</xdr:row>
      <xdr:rowOff>47625</xdr:rowOff>
    </xdr:from>
    <xdr:to>
      <xdr:col>0</xdr:col>
      <xdr:colOff>0</xdr:colOff>
      <xdr:row>133</xdr:row>
      <xdr:rowOff>0</xdr:rowOff>
    </xdr:to>
    <xdr:graphicFrame macro="">
      <xdr:nvGraphicFramePr>
        <xdr:cNvPr id="10104572" name="Chart 12">
          <a:extLst>
            <a:ext uri="{FF2B5EF4-FFF2-40B4-BE49-F238E27FC236}">
              <a16:creationId xmlns:a16="http://schemas.microsoft.com/office/drawing/2014/main" id="{00000000-0008-0000-3700-0000FC2E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133</xdr:row>
      <xdr:rowOff>123825</xdr:rowOff>
    </xdr:from>
    <xdr:to>
      <xdr:col>0</xdr:col>
      <xdr:colOff>0</xdr:colOff>
      <xdr:row>156</xdr:row>
      <xdr:rowOff>133350</xdr:rowOff>
    </xdr:to>
    <xdr:graphicFrame macro="">
      <xdr:nvGraphicFramePr>
        <xdr:cNvPr id="10104573" name="Chart 13">
          <a:extLst>
            <a:ext uri="{FF2B5EF4-FFF2-40B4-BE49-F238E27FC236}">
              <a16:creationId xmlns:a16="http://schemas.microsoft.com/office/drawing/2014/main" id="{00000000-0008-0000-3700-0000FD2E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162</xdr:row>
      <xdr:rowOff>104775</xdr:rowOff>
    </xdr:from>
    <xdr:to>
      <xdr:col>0</xdr:col>
      <xdr:colOff>0</xdr:colOff>
      <xdr:row>183</xdr:row>
      <xdr:rowOff>76200</xdr:rowOff>
    </xdr:to>
    <xdr:graphicFrame macro="">
      <xdr:nvGraphicFramePr>
        <xdr:cNvPr id="10104574" name="Chart 14">
          <a:extLst>
            <a:ext uri="{FF2B5EF4-FFF2-40B4-BE49-F238E27FC236}">
              <a16:creationId xmlns:a16="http://schemas.microsoft.com/office/drawing/2014/main" id="{00000000-0008-0000-3700-0000FE2E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148</xdr:row>
      <xdr:rowOff>66675</xdr:rowOff>
    </xdr:from>
    <xdr:to>
      <xdr:col>0</xdr:col>
      <xdr:colOff>0</xdr:colOff>
      <xdr:row>169</xdr:row>
      <xdr:rowOff>47625</xdr:rowOff>
    </xdr:to>
    <xdr:graphicFrame macro="">
      <xdr:nvGraphicFramePr>
        <xdr:cNvPr id="10104575" name="Chart 15">
          <a:extLst>
            <a:ext uri="{FF2B5EF4-FFF2-40B4-BE49-F238E27FC236}">
              <a16:creationId xmlns:a16="http://schemas.microsoft.com/office/drawing/2014/main" id="{00000000-0008-0000-3700-0000FF2E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33</xdr:col>
      <xdr:colOff>0</xdr:colOff>
      <xdr:row>55</xdr:row>
      <xdr:rowOff>76200</xdr:rowOff>
    </xdr:from>
    <xdr:to>
      <xdr:col>33</xdr:col>
      <xdr:colOff>0</xdr:colOff>
      <xdr:row>85</xdr:row>
      <xdr:rowOff>114300</xdr:rowOff>
    </xdr:to>
    <xdr:graphicFrame macro="">
      <xdr:nvGraphicFramePr>
        <xdr:cNvPr id="10104576" name="Chart 16">
          <a:extLst>
            <a:ext uri="{FF2B5EF4-FFF2-40B4-BE49-F238E27FC236}">
              <a16:creationId xmlns:a16="http://schemas.microsoft.com/office/drawing/2014/main" id="{00000000-0008-0000-3700-0000002F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18</xdr:col>
      <xdr:colOff>0</xdr:colOff>
      <xdr:row>22</xdr:row>
      <xdr:rowOff>95250</xdr:rowOff>
    </xdr:from>
    <xdr:to>
      <xdr:col>18</xdr:col>
      <xdr:colOff>0</xdr:colOff>
      <xdr:row>46</xdr:row>
      <xdr:rowOff>28575</xdr:rowOff>
    </xdr:to>
    <xdr:graphicFrame macro="">
      <xdr:nvGraphicFramePr>
        <xdr:cNvPr id="28524" name="Chart 1">
          <a:extLst>
            <a:ext uri="{FF2B5EF4-FFF2-40B4-BE49-F238E27FC236}">
              <a16:creationId xmlns:a16="http://schemas.microsoft.com/office/drawing/2014/main" id="{00000000-0008-0000-3900-00006C6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47</xdr:row>
      <xdr:rowOff>57150</xdr:rowOff>
    </xdr:from>
    <xdr:to>
      <xdr:col>18</xdr:col>
      <xdr:colOff>0</xdr:colOff>
      <xdr:row>65</xdr:row>
      <xdr:rowOff>57150</xdr:rowOff>
    </xdr:to>
    <xdr:graphicFrame macro="">
      <xdr:nvGraphicFramePr>
        <xdr:cNvPr id="28525" name="Chart 2">
          <a:extLst>
            <a:ext uri="{FF2B5EF4-FFF2-40B4-BE49-F238E27FC236}">
              <a16:creationId xmlns:a16="http://schemas.microsoft.com/office/drawing/2014/main" id="{00000000-0008-0000-3900-00006D6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38</xdr:row>
      <xdr:rowOff>9525</xdr:rowOff>
    </xdr:from>
    <xdr:to>
      <xdr:col>18</xdr:col>
      <xdr:colOff>0</xdr:colOff>
      <xdr:row>59</xdr:row>
      <xdr:rowOff>57150</xdr:rowOff>
    </xdr:to>
    <xdr:graphicFrame macro="">
      <xdr:nvGraphicFramePr>
        <xdr:cNvPr id="28526" name="Chart 3">
          <a:extLst>
            <a:ext uri="{FF2B5EF4-FFF2-40B4-BE49-F238E27FC236}">
              <a16:creationId xmlns:a16="http://schemas.microsoft.com/office/drawing/2014/main" id="{00000000-0008-0000-3900-00006E6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29</xdr:row>
      <xdr:rowOff>133350</xdr:rowOff>
    </xdr:from>
    <xdr:to>
      <xdr:col>18</xdr:col>
      <xdr:colOff>0</xdr:colOff>
      <xdr:row>50</xdr:row>
      <xdr:rowOff>66675</xdr:rowOff>
    </xdr:to>
    <xdr:graphicFrame macro="">
      <xdr:nvGraphicFramePr>
        <xdr:cNvPr id="28527" name="Chart 4">
          <a:extLst>
            <a:ext uri="{FF2B5EF4-FFF2-40B4-BE49-F238E27FC236}">
              <a16:creationId xmlns:a16="http://schemas.microsoft.com/office/drawing/2014/main" id="{00000000-0008-0000-3900-00006F6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55</xdr:row>
      <xdr:rowOff>76200</xdr:rowOff>
    </xdr:from>
    <xdr:to>
      <xdr:col>18</xdr:col>
      <xdr:colOff>0</xdr:colOff>
      <xdr:row>85</xdr:row>
      <xdr:rowOff>114300</xdr:rowOff>
    </xdr:to>
    <xdr:graphicFrame macro="">
      <xdr:nvGraphicFramePr>
        <xdr:cNvPr id="28528" name="Chart 5">
          <a:extLst>
            <a:ext uri="{FF2B5EF4-FFF2-40B4-BE49-F238E27FC236}">
              <a16:creationId xmlns:a16="http://schemas.microsoft.com/office/drawing/2014/main" id="{00000000-0008-0000-3900-0000706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0</xdr:colOff>
      <xdr:row>26</xdr:row>
      <xdr:rowOff>95250</xdr:rowOff>
    </xdr:from>
    <xdr:to>
      <xdr:col>19</xdr:col>
      <xdr:colOff>0</xdr:colOff>
      <xdr:row>50</xdr:row>
      <xdr:rowOff>28575</xdr:rowOff>
    </xdr:to>
    <xdr:graphicFrame macro="">
      <xdr:nvGraphicFramePr>
        <xdr:cNvPr id="2" name="Chart 1">
          <a:extLst>
            <a:ext uri="{FF2B5EF4-FFF2-40B4-BE49-F238E27FC236}">
              <a16:creationId xmlns:a16="http://schemas.microsoft.com/office/drawing/2014/main" id="{5CC0658A-05B2-4A64-AA3D-A61EDCC9C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51</xdr:row>
      <xdr:rowOff>57150</xdr:rowOff>
    </xdr:from>
    <xdr:to>
      <xdr:col>19</xdr:col>
      <xdr:colOff>0</xdr:colOff>
      <xdr:row>69</xdr:row>
      <xdr:rowOff>57150</xdr:rowOff>
    </xdr:to>
    <xdr:graphicFrame macro="">
      <xdr:nvGraphicFramePr>
        <xdr:cNvPr id="3" name="Chart 2">
          <a:extLst>
            <a:ext uri="{FF2B5EF4-FFF2-40B4-BE49-F238E27FC236}">
              <a16:creationId xmlns:a16="http://schemas.microsoft.com/office/drawing/2014/main" id="{3DA32249-0EEF-487C-9D93-D1F676993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42</xdr:row>
      <xdr:rowOff>9525</xdr:rowOff>
    </xdr:from>
    <xdr:to>
      <xdr:col>19</xdr:col>
      <xdr:colOff>0</xdr:colOff>
      <xdr:row>63</xdr:row>
      <xdr:rowOff>57150</xdr:rowOff>
    </xdr:to>
    <xdr:graphicFrame macro="">
      <xdr:nvGraphicFramePr>
        <xdr:cNvPr id="4" name="Chart 3">
          <a:extLst>
            <a:ext uri="{FF2B5EF4-FFF2-40B4-BE49-F238E27FC236}">
              <a16:creationId xmlns:a16="http://schemas.microsoft.com/office/drawing/2014/main" id="{C820BDFB-90E1-45B6-9C44-3E71C6757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33</xdr:row>
      <xdr:rowOff>133350</xdr:rowOff>
    </xdr:from>
    <xdr:to>
      <xdr:col>19</xdr:col>
      <xdr:colOff>0</xdr:colOff>
      <xdr:row>54</xdr:row>
      <xdr:rowOff>66675</xdr:rowOff>
    </xdr:to>
    <xdr:graphicFrame macro="">
      <xdr:nvGraphicFramePr>
        <xdr:cNvPr id="5" name="Chart 4">
          <a:extLst>
            <a:ext uri="{FF2B5EF4-FFF2-40B4-BE49-F238E27FC236}">
              <a16:creationId xmlns:a16="http://schemas.microsoft.com/office/drawing/2014/main" id="{B872985D-E3E1-4F7E-8FBA-B6FA73396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59</xdr:row>
      <xdr:rowOff>76200</xdr:rowOff>
    </xdr:from>
    <xdr:to>
      <xdr:col>19</xdr:col>
      <xdr:colOff>0</xdr:colOff>
      <xdr:row>89</xdr:row>
      <xdr:rowOff>114300</xdr:rowOff>
    </xdr:to>
    <xdr:graphicFrame macro="">
      <xdr:nvGraphicFramePr>
        <xdr:cNvPr id="6" name="Chart 5">
          <a:extLst>
            <a:ext uri="{FF2B5EF4-FFF2-40B4-BE49-F238E27FC236}">
              <a16:creationId xmlns:a16="http://schemas.microsoft.com/office/drawing/2014/main" id="{CB76A7FA-7915-48BA-A431-6F8C8DFC7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0</xdr:colOff>
      <xdr:row>26</xdr:row>
      <xdr:rowOff>95250</xdr:rowOff>
    </xdr:from>
    <xdr:to>
      <xdr:col>19</xdr:col>
      <xdr:colOff>0</xdr:colOff>
      <xdr:row>50</xdr:row>
      <xdr:rowOff>28575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51</xdr:row>
      <xdr:rowOff>57150</xdr:rowOff>
    </xdr:from>
    <xdr:to>
      <xdr:col>19</xdr:col>
      <xdr:colOff>0</xdr:colOff>
      <xdr:row>69</xdr:row>
      <xdr:rowOff>57150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42</xdr:row>
      <xdr:rowOff>9525</xdr:rowOff>
    </xdr:from>
    <xdr:to>
      <xdr:col>19</xdr:col>
      <xdr:colOff>0</xdr:colOff>
      <xdr:row>63</xdr:row>
      <xdr:rowOff>57150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33</xdr:row>
      <xdr:rowOff>133350</xdr:rowOff>
    </xdr:from>
    <xdr:to>
      <xdr:col>19</xdr:col>
      <xdr:colOff>0</xdr:colOff>
      <xdr:row>54</xdr:row>
      <xdr:rowOff>66675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59</xdr:row>
      <xdr:rowOff>76200</xdr:rowOff>
    </xdr:from>
    <xdr:to>
      <xdr:col>19</xdr:col>
      <xdr:colOff>0</xdr:colOff>
      <xdr:row>89</xdr:row>
      <xdr:rowOff>114300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0</xdr:colOff>
      <xdr:row>24</xdr:row>
      <xdr:rowOff>95250</xdr:rowOff>
    </xdr:from>
    <xdr:to>
      <xdr:col>19</xdr:col>
      <xdr:colOff>0</xdr:colOff>
      <xdr:row>48</xdr:row>
      <xdr:rowOff>28575</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49</xdr:row>
      <xdr:rowOff>57150</xdr:rowOff>
    </xdr:from>
    <xdr:to>
      <xdr:col>19</xdr:col>
      <xdr:colOff>0</xdr:colOff>
      <xdr:row>67</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40</xdr:row>
      <xdr:rowOff>9525</xdr:rowOff>
    </xdr:from>
    <xdr:to>
      <xdr:col>19</xdr:col>
      <xdr:colOff>0</xdr:colOff>
      <xdr:row>61</xdr:row>
      <xdr:rowOff>57150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31</xdr:row>
      <xdr:rowOff>133350</xdr:rowOff>
    </xdr:from>
    <xdr:to>
      <xdr:col>19</xdr:col>
      <xdr:colOff>0</xdr:colOff>
      <xdr:row>52</xdr:row>
      <xdr:rowOff>66675</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57</xdr:row>
      <xdr:rowOff>76200</xdr:rowOff>
    </xdr:from>
    <xdr:to>
      <xdr:col>19</xdr:col>
      <xdr:colOff>0</xdr:colOff>
      <xdr:row>87</xdr:row>
      <xdr:rowOff>114300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0</xdr:colOff>
      <xdr:row>24</xdr:row>
      <xdr:rowOff>95250</xdr:rowOff>
    </xdr:from>
    <xdr:to>
      <xdr:col>19</xdr:col>
      <xdr:colOff>0</xdr:colOff>
      <xdr:row>49</xdr:row>
      <xdr:rowOff>28575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50</xdr:row>
      <xdr:rowOff>57150</xdr:rowOff>
    </xdr:from>
    <xdr:to>
      <xdr:col>19</xdr:col>
      <xdr:colOff>0</xdr:colOff>
      <xdr:row>68</xdr:row>
      <xdr:rowOff>57150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41</xdr:row>
      <xdr:rowOff>9525</xdr:rowOff>
    </xdr:from>
    <xdr:to>
      <xdr:col>19</xdr:col>
      <xdr:colOff>0</xdr:colOff>
      <xdr:row>62</xdr:row>
      <xdr:rowOff>57150</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31</xdr:row>
      <xdr:rowOff>133350</xdr:rowOff>
    </xdr:from>
    <xdr:to>
      <xdr:col>19</xdr:col>
      <xdr:colOff>0</xdr:colOff>
      <xdr:row>53</xdr:row>
      <xdr:rowOff>66675</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58</xdr:row>
      <xdr:rowOff>76200</xdr:rowOff>
    </xdr:from>
    <xdr:to>
      <xdr:col>19</xdr:col>
      <xdr:colOff>0</xdr:colOff>
      <xdr:row>88</xdr:row>
      <xdr:rowOff>114300</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0</xdr:colOff>
      <xdr:row>23</xdr:row>
      <xdr:rowOff>95250</xdr:rowOff>
    </xdr:from>
    <xdr:to>
      <xdr:col>19</xdr:col>
      <xdr:colOff>0</xdr:colOff>
      <xdr:row>48</xdr:row>
      <xdr:rowOff>28575</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49</xdr:row>
      <xdr:rowOff>57150</xdr:rowOff>
    </xdr:from>
    <xdr:to>
      <xdr:col>19</xdr:col>
      <xdr:colOff>0</xdr:colOff>
      <xdr:row>67</xdr:row>
      <xdr:rowOff>57150</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40</xdr:row>
      <xdr:rowOff>9525</xdr:rowOff>
    </xdr:from>
    <xdr:to>
      <xdr:col>19</xdr:col>
      <xdr:colOff>0</xdr:colOff>
      <xdr:row>61</xdr:row>
      <xdr:rowOff>57150</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30</xdr:row>
      <xdr:rowOff>133350</xdr:rowOff>
    </xdr:from>
    <xdr:to>
      <xdr:col>19</xdr:col>
      <xdr:colOff>0</xdr:colOff>
      <xdr:row>52</xdr:row>
      <xdr:rowOff>66675</xdr:rowOff>
    </xdr:to>
    <xdr:graphicFrame macro="">
      <xdr:nvGraphicFramePr>
        <xdr:cNvPr id="5" name="Chart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57</xdr:row>
      <xdr:rowOff>76200</xdr:rowOff>
    </xdr:from>
    <xdr:to>
      <xdr:col>19</xdr:col>
      <xdr:colOff>0</xdr:colOff>
      <xdr:row>87</xdr:row>
      <xdr:rowOff>114300</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0</xdr:colOff>
      <xdr:row>23</xdr:row>
      <xdr:rowOff>95250</xdr:rowOff>
    </xdr:from>
    <xdr:to>
      <xdr:col>19</xdr:col>
      <xdr:colOff>0</xdr:colOff>
      <xdr:row>48</xdr:row>
      <xdr:rowOff>28575</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49</xdr:row>
      <xdr:rowOff>57150</xdr:rowOff>
    </xdr:from>
    <xdr:to>
      <xdr:col>19</xdr:col>
      <xdr:colOff>0</xdr:colOff>
      <xdr:row>67</xdr:row>
      <xdr:rowOff>57150</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40</xdr:row>
      <xdr:rowOff>9525</xdr:rowOff>
    </xdr:from>
    <xdr:to>
      <xdr:col>19</xdr:col>
      <xdr:colOff>0</xdr:colOff>
      <xdr:row>61</xdr:row>
      <xdr:rowOff>57150</xdr:rowOff>
    </xdr:to>
    <xdr:graphicFrame macro="">
      <xdr:nvGraphicFramePr>
        <xdr:cNvPr id="4" name="Chart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30</xdr:row>
      <xdr:rowOff>133350</xdr:rowOff>
    </xdr:from>
    <xdr:to>
      <xdr:col>19</xdr:col>
      <xdr:colOff>0</xdr:colOff>
      <xdr:row>52</xdr:row>
      <xdr:rowOff>66675</xdr:rowOff>
    </xdr:to>
    <xdr:graphicFrame macro="">
      <xdr:nvGraphicFramePr>
        <xdr:cNvPr id="5" name="Chart 4">
          <a:extLst>
            <a:ext uri="{FF2B5EF4-FFF2-40B4-BE49-F238E27FC236}">
              <a16:creationId xmlns:a16="http://schemas.microsoft.com/office/drawing/2014/main" id="{00000000-0008-0000-0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57</xdr:row>
      <xdr:rowOff>76200</xdr:rowOff>
    </xdr:from>
    <xdr:to>
      <xdr:col>19</xdr:col>
      <xdr:colOff>0</xdr:colOff>
      <xdr:row>87</xdr:row>
      <xdr:rowOff>114300</xdr:rowOff>
    </xdr:to>
    <xdr:graphicFrame macro="">
      <xdr:nvGraphicFramePr>
        <xdr:cNvPr id="6" name="Chart 5">
          <a:extLst>
            <a:ext uri="{FF2B5EF4-FFF2-40B4-BE49-F238E27FC236}">
              <a16:creationId xmlns:a16="http://schemas.microsoft.com/office/drawing/2014/main" id="{00000000-0008-0000-0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0</xdr:colOff>
      <xdr:row>23</xdr:row>
      <xdr:rowOff>95250</xdr:rowOff>
    </xdr:from>
    <xdr:to>
      <xdr:col>19</xdr:col>
      <xdr:colOff>0</xdr:colOff>
      <xdr:row>48</xdr:row>
      <xdr:rowOff>28575</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49</xdr:row>
      <xdr:rowOff>57150</xdr:rowOff>
    </xdr:from>
    <xdr:to>
      <xdr:col>19</xdr:col>
      <xdr:colOff>0</xdr:colOff>
      <xdr:row>67</xdr:row>
      <xdr:rowOff>57150</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40</xdr:row>
      <xdr:rowOff>9525</xdr:rowOff>
    </xdr:from>
    <xdr:to>
      <xdr:col>19</xdr:col>
      <xdr:colOff>0</xdr:colOff>
      <xdr:row>61</xdr:row>
      <xdr:rowOff>57150</xdr:rowOff>
    </xdr:to>
    <xdr:graphicFrame macro="">
      <xdr:nvGraphicFramePr>
        <xdr:cNvPr id="4" name="Chart 3">
          <a:extLst>
            <a:ext uri="{FF2B5EF4-FFF2-40B4-BE49-F238E27FC236}">
              <a16:creationId xmlns:a16="http://schemas.microsoft.com/office/drawing/2014/main" i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30</xdr:row>
      <xdr:rowOff>133350</xdr:rowOff>
    </xdr:from>
    <xdr:to>
      <xdr:col>19</xdr:col>
      <xdr:colOff>0</xdr:colOff>
      <xdr:row>52</xdr:row>
      <xdr:rowOff>66675</xdr:rowOff>
    </xdr:to>
    <xdr:graphicFrame macro="">
      <xdr:nvGraphicFramePr>
        <xdr:cNvPr id="5" name="Chart 4">
          <a:extLst>
            <a:ext uri="{FF2B5EF4-FFF2-40B4-BE49-F238E27FC236}">
              <a16:creationId xmlns:a16="http://schemas.microsoft.com/office/drawing/2014/main" id="{00000000-0008-0000-0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57</xdr:row>
      <xdr:rowOff>76200</xdr:rowOff>
    </xdr:from>
    <xdr:to>
      <xdr:col>19</xdr:col>
      <xdr:colOff>0</xdr:colOff>
      <xdr:row>87</xdr:row>
      <xdr:rowOff>114300</xdr:rowOff>
    </xdr:to>
    <xdr:graphicFrame macro="">
      <xdr:nvGraphicFramePr>
        <xdr:cNvPr id="6" name="Chart 5">
          <a:extLst>
            <a:ext uri="{FF2B5EF4-FFF2-40B4-BE49-F238E27FC236}">
              <a16:creationId xmlns:a16="http://schemas.microsoft.com/office/drawing/2014/main" id="{00000000-0008-0000-0C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0</xdr:colOff>
      <xdr:row>23</xdr:row>
      <xdr:rowOff>95250</xdr:rowOff>
    </xdr:from>
    <xdr:to>
      <xdr:col>19</xdr:col>
      <xdr:colOff>0</xdr:colOff>
      <xdr:row>50</xdr:row>
      <xdr:rowOff>28575</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51</xdr:row>
      <xdr:rowOff>57150</xdr:rowOff>
    </xdr:from>
    <xdr:to>
      <xdr:col>19</xdr:col>
      <xdr:colOff>0</xdr:colOff>
      <xdr:row>69</xdr:row>
      <xdr:rowOff>57150</xdr:rowOff>
    </xdr:to>
    <xdr:graphicFrame macro="">
      <xdr:nvGraphicFramePr>
        <xdr:cNvPr id="3" name="Chart 2">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42</xdr:row>
      <xdr:rowOff>9525</xdr:rowOff>
    </xdr:from>
    <xdr:to>
      <xdr:col>19</xdr:col>
      <xdr:colOff>0</xdr:colOff>
      <xdr:row>63</xdr:row>
      <xdr:rowOff>57150</xdr:rowOff>
    </xdr:to>
    <xdr:graphicFrame macro="">
      <xdr:nvGraphicFramePr>
        <xdr:cNvPr id="4" name="Chart 3">
          <a:extLst>
            <a:ext uri="{FF2B5EF4-FFF2-40B4-BE49-F238E27FC236}">
              <a16:creationId xmlns:a16="http://schemas.microsoft.com/office/drawing/2014/main" id="{00000000-0008-0000-0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30</xdr:row>
      <xdr:rowOff>133350</xdr:rowOff>
    </xdr:from>
    <xdr:to>
      <xdr:col>19</xdr:col>
      <xdr:colOff>0</xdr:colOff>
      <xdr:row>54</xdr:row>
      <xdr:rowOff>66675</xdr:rowOff>
    </xdr:to>
    <xdr:graphicFrame macro="">
      <xdr:nvGraphicFramePr>
        <xdr:cNvPr id="5" name="Chart 4">
          <a:extLst>
            <a:ext uri="{FF2B5EF4-FFF2-40B4-BE49-F238E27FC236}">
              <a16:creationId xmlns:a16="http://schemas.microsoft.com/office/drawing/2014/main"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59</xdr:row>
      <xdr:rowOff>76200</xdr:rowOff>
    </xdr:from>
    <xdr:to>
      <xdr:col>19</xdr:col>
      <xdr:colOff>0</xdr:colOff>
      <xdr:row>89</xdr:row>
      <xdr:rowOff>114300</xdr:rowOff>
    </xdr:to>
    <xdr:graphicFrame macro="">
      <xdr:nvGraphicFramePr>
        <xdr:cNvPr id="6" name="Chart 5">
          <a:extLst>
            <a:ext uri="{FF2B5EF4-FFF2-40B4-BE49-F238E27FC236}">
              <a16:creationId xmlns:a16="http://schemas.microsoft.com/office/drawing/2014/main" id="{00000000-0008-0000-0E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eff Whisler" id="{74682167-2824-4864-A16B-19FE7B053FDF}" userId="Jeff Whisler"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rnc" refreshedDate="41156.419496180555" createdVersion="1" refreshedVersion="3" recordCount="168" upgradeOnRefresh="1" xr:uid="{00000000-000A-0000-FFFF-FFFF01000000}">
  <cacheSource type="worksheet">
    <worksheetSource ref="A2:T170" sheet="sampling pivot"/>
  </cacheSource>
  <cacheFields count="20">
    <cacheField name="Year" numFmtId="0">
      <sharedItems containsSemiMixedTypes="0" containsString="0" containsNumber="1" containsInteger="1" minValue="2000" maxValue="2011" count="12">
        <n v="2000"/>
        <n v="2001"/>
        <n v="2002"/>
        <n v="2003"/>
        <n v="2004"/>
        <n v="2005"/>
        <n v="2006"/>
        <n v="2007"/>
        <n v="2008"/>
        <n v="2009"/>
        <n v="2010"/>
        <n v="2011"/>
      </sharedItems>
    </cacheField>
    <cacheField name="Week" numFmtId="0">
      <sharedItems containsSemiMixedTypes="0" containsString="0" containsNumber="1" containsInteger="1" minValue="32" maxValue="45" count="14">
        <n v="32"/>
        <n v="33"/>
        <n v="34"/>
        <n v="35"/>
        <n v="36"/>
        <n v="37"/>
        <n v="38"/>
        <n v="39"/>
        <n v="40"/>
        <n v="41"/>
        <n v="42"/>
        <n v="43"/>
        <n v="44"/>
        <n v="45"/>
      </sharedItems>
    </cacheField>
    <cacheField name="Youngs Bay" numFmtId="0">
      <sharedItems containsSemiMixedTypes="0" containsString="0" containsNumber="1" containsInteger="1" minValue="0" maxValue="4307" count="93">
        <n v="0"/>
        <n v="2"/>
        <n v="1"/>
        <n v="8"/>
        <n v="54"/>
        <n v="102"/>
        <n v="131"/>
        <n v="90"/>
        <n v="64"/>
        <n v="17"/>
        <n v="51"/>
        <n v="4"/>
        <n v="43"/>
        <n v="53"/>
        <n v="151"/>
        <n v="101"/>
        <n v="123"/>
        <n v="21"/>
        <n v="170"/>
        <n v="16"/>
        <n v="48"/>
        <n v="221"/>
        <n v="340"/>
        <n v="299"/>
        <n v="126"/>
        <n v="377"/>
        <n v="7"/>
        <n v="87"/>
        <n v="71"/>
        <n v="341"/>
        <n v="197"/>
        <n v="96"/>
        <n v="179"/>
        <n v="15"/>
        <n v="38"/>
        <n v="224"/>
        <n v="99"/>
        <n v="454"/>
        <n v="82"/>
        <n v="105"/>
        <n v="36"/>
        <n v="5"/>
        <n v="6"/>
        <n v="158"/>
        <n v="235"/>
        <n v="114"/>
        <n v="68"/>
        <n v="225"/>
        <n v="108"/>
        <n v="110"/>
        <n v="122"/>
        <n v="129"/>
        <n v="147"/>
        <n v="62"/>
        <n v="41"/>
        <n v="66"/>
        <n v="46"/>
        <n v="104"/>
        <n v="527"/>
        <n v="455"/>
        <n v="57"/>
        <n v="39"/>
        <n v="19"/>
        <n v="1647"/>
        <n v="1267"/>
        <n v="4307"/>
        <n v="449"/>
        <n v="736"/>
        <n v="121"/>
        <n v="117"/>
        <n v="79"/>
        <n v="971"/>
        <n v="2372"/>
        <n v="2073"/>
        <n v="2231"/>
        <n v="1652"/>
        <n v="274"/>
        <n v="296"/>
        <n v="148"/>
        <n v="370"/>
        <n v="2663"/>
        <n v="2650"/>
        <n v="939"/>
        <n v="924"/>
        <n v="124"/>
        <n v="11"/>
        <n v="45"/>
        <n v="726"/>
        <n v="779"/>
        <n v="1724"/>
        <n v="1280"/>
        <n v="1203"/>
        <n v="76"/>
      </sharedItems>
    </cacheField>
    <cacheField name="Tongue Pt" numFmtId="0">
      <sharedItems containsSemiMixedTypes="0" containsString="0" containsNumber="1" containsInteger="1" minValue="0" maxValue="3190" count="54">
        <n v="0"/>
        <n v="130"/>
        <n v="122"/>
        <n v="49"/>
        <n v="26"/>
        <n v="92"/>
        <n v="78"/>
        <n v="17"/>
        <n v="187"/>
        <n v="57"/>
        <n v="144"/>
        <n v="13"/>
        <n v="106"/>
        <n v="69"/>
        <n v="9"/>
        <n v="151"/>
        <n v="190"/>
        <n v="87"/>
        <n v="27"/>
        <n v="140"/>
        <n v="81"/>
        <n v="90"/>
        <n v="77"/>
        <n v="58"/>
        <n v="61"/>
        <n v="197"/>
        <n v="95"/>
        <n v="45"/>
        <n v="23"/>
        <n v="19"/>
        <n v="653"/>
        <n v="1035"/>
        <n v="366"/>
        <n v="14"/>
        <n v="827"/>
        <n v="85"/>
        <n v="3190"/>
        <n v="1139"/>
        <n v="516"/>
        <n v="74"/>
        <n v="2"/>
        <n v="205"/>
        <n v="7"/>
        <n v="211"/>
        <n v="132"/>
        <n v="379"/>
        <n v="96"/>
        <n v="20"/>
        <n v="347"/>
        <n v="476"/>
        <n v="166"/>
        <n v="124"/>
        <n v="33"/>
        <n v="230"/>
      </sharedItems>
    </cacheField>
    <cacheField name="Blind Sl" numFmtId="0">
      <sharedItems containsSemiMixedTypes="0" containsString="0" containsNumber="1" containsInteger="1" minValue="0" maxValue="1144" count="72">
        <n v="0"/>
        <n v="50"/>
        <n v="24"/>
        <n v="52"/>
        <n v="36"/>
        <n v="51"/>
        <n v="42"/>
        <n v="19"/>
        <n v="21"/>
        <n v="23"/>
        <n v="150"/>
        <n v="106"/>
        <n v="251"/>
        <n v="86"/>
        <n v="17"/>
        <n v="6"/>
        <n v="35"/>
        <n v="53"/>
        <n v="105"/>
        <n v="5"/>
        <n v="48"/>
        <n v="39"/>
        <n v="88"/>
        <n v="90"/>
        <n v="71"/>
        <n v="4"/>
        <n v="15"/>
        <n v="10"/>
        <n v="160"/>
        <n v="80"/>
        <n v="25"/>
        <n v="98"/>
        <n v="89"/>
        <n v="49"/>
        <n v="119"/>
        <n v="60"/>
        <n v="65"/>
        <n v="20"/>
        <n v="185"/>
        <n v="553"/>
        <n v="161"/>
        <n v="54"/>
        <n v="202"/>
        <n v="115"/>
        <n v="575"/>
        <n v="739"/>
        <n v="426"/>
        <n v="460"/>
        <n v="298"/>
        <n v="174"/>
        <n v="14"/>
        <n v="16"/>
        <n v="420"/>
        <n v="896"/>
        <n v="719"/>
        <n v="751"/>
        <n v="529"/>
        <n v="1144"/>
        <n v="273"/>
        <n v="94"/>
        <n v="247"/>
        <n v="524"/>
        <n v="212"/>
        <n v="253"/>
        <n v="31"/>
        <n v="66"/>
        <n v="154"/>
        <n v="2"/>
        <n v="30"/>
        <n v="136"/>
        <n v="143"/>
        <n v="57"/>
      </sharedItems>
    </cacheField>
    <cacheField name="Deep R" numFmtId="0">
      <sharedItems containsString="0" containsBlank="1" containsNumber="1" containsInteger="1" minValue="0" maxValue="3332"/>
    </cacheField>
    <cacheField name="Youngs Bay2" numFmtId="0">
      <sharedItems containsSemiMixedTypes="0" containsString="0" containsNumber="1" containsInteger="1" minValue="0" maxValue="132"/>
    </cacheField>
    <cacheField name="Tongue Pt2" numFmtId="0">
      <sharedItems containsSemiMixedTypes="0" containsString="0" containsNumber="1" containsInteger="1" minValue="0" maxValue="513"/>
    </cacheField>
    <cacheField name="Blind Sl2" numFmtId="0">
      <sharedItems containsSemiMixedTypes="0" containsString="0" containsNumber="1" containsInteger="1" minValue="0" maxValue="56"/>
    </cacheField>
    <cacheField name="Deep R2" numFmtId="0">
      <sharedItems containsString="0" containsBlank="1" containsNumber="1" containsInteger="1" minValue="0" maxValue="106" count="23">
        <m/>
        <n v="0"/>
        <n v="1"/>
        <n v="7"/>
        <n v="4"/>
        <n v="51"/>
        <n v="48"/>
        <n v="106"/>
        <n v="87"/>
        <n v="95"/>
        <n v="55"/>
        <n v="5"/>
        <n v="19"/>
        <n v="23"/>
        <n v="24"/>
        <n v="35"/>
        <n v="14"/>
        <n v="17"/>
        <n v="9"/>
        <n v="32"/>
        <n v="2"/>
        <n v="22"/>
        <n v="3"/>
      </sharedItems>
    </cacheField>
    <cacheField name="1" numFmtId="0">
      <sharedItems containsSemiMixedTypes="0" containsString="0" containsNumber="1" containsInteger="1" minValue="0" maxValue="1657"/>
    </cacheField>
    <cacheField name="2" numFmtId="0">
      <sharedItems containsSemiMixedTypes="0" containsString="0" containsNumber="1" containsInteger="1" minValue="0" maxValue="9003"/>
    </cacheField>
    <cacheField name="3" numFmtId="0">
      <sharedItems containsSemiMixedTypes="0" containsString="0" containsNumber="1" containsInteger="1" minValue="0" maxValue="2390"/>
    </cacheField>
    <cacheField name="4" numFmtId="0">
      <sharedItems containsSemiMixedTypes="0" containsString="0" containsNumber="1" containsInteger="1" minValue="0" maxValue="289"/>
    </cacheField>
    <cacheField name="5" numFmtId="0">
      <sharedItems containsSemiMixedTypes="0" containsString="0" containsNumber="1" containsInteger="1" minValue="0" maxValue="583"/>
    </cacheField>
    <cacheField name="12" numFmtId="0">
      <sharedItems containsSemiMixedTypes="0" containsString="0" containsNumber="1" containsInteger="1" minValue="0" maxValue="447"/>
    </cacheField>
    <cacheField name="22" numFmtId="0">
      <sharedItems containsSemiMixedTypes="0" containsString="0" containsNumber="1" containsInteger="1" minValue="0" maxValue="2816"/>
    </cacheField>
    <cacheField name="32" numFmtId="0">
      <sharedItems containsSemiMixedTypes="0" containsString="0" containsNumber="1" containsInteger="1" minValue="0" maxValue="472"/>
    </cacheField>
    <cacheField name="42" numFmtId="0">
      <sharedItems containsSemiMixedTypes="0" containsString="0" containsNumber="1" containsInteger="1" minValue="0" maxValue="193"/>
    </cacheField>
    <cacheField name="52" numFmtId="0">
      <sharedItems containsSemiMixedTypes="0" containsString="0" containsNumber="1" containsInteger="1" minValue="0" maxValue="2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8">
  <r>
    <x v="0"/>
    <x v="0"/>
    <x v="0"/>
    <x v="0"/>
    <x v="0"/>
    <m/>
    <n v="0"/>
    <n v="0"/>
    <n v="0"/>
    <x v="0"/>
    <n v="0"/>
    <n v="0"/>
    <n v="0"/>
    <n v="0"/>
    <n v="0"/>
    <n v="0"/>
    <n v="0"/>
    <n v="0"/>
    <n v="0"/>
    <n v="0"/>
  </r>
  <r>
    <x v="0"/>
    <x v="1"/>
    <x v="1"/>
    <x v="0"/>
    <x v="0"/>
    <m/>
    <n v="1"/>
    <n v="0"/>
    <n v="0"/>
    <x v="0"/>
    <n v="0"/>
    <n v="0"/>
    <n v="0"/>
    <n v="0"/>
    <n v="0"/>
    <n v="0"/>
    <n v="0"/>
    <n v="0"/>
    <n v="0"/>
    <n v="0"/>
  </r>
  <r>
    <x v="0"/>
    <x v="2"/>
    <x v="2"/>
    <x v="0"/>
    <x v="0"/>
    <m/>
    <n v="0"/>
    <n v="0"/>
    <n v="0"/>
    <x v="0"/>
    <n v="0"/>
    <n v="0"/>
    <n v="0"/>
    <n v="0"/>
    <n v="0"/>
    <n v="0"/>
    <n v="0"/>
    <n v="0"/>
    <n v="0"/>
    <n v="0"/>
  </r>
  <r>
    <x v="0"/>
    <x v="3"/>
    <x v="3"/>
    <x v="0"/>
    <x v="0"/>
    <m/>
    <n v="0"/>
    <n v="0"/>
    <n v="0"/>
    <x v="0"/>
    <n v="0"/>
    <n v="0"/>
    <n v="0"/>
    <n v="0"/>
    <n v="0"/>
    <n v="0"/>
    <n v="0"/>
    <n v="0"/>
    <n v="0"/>
    <n v="0"/>
  </r>
  <r>
    <x v="0"/>
    <x v="4"/>
    <x v="4"/>
    <x v="0"/>
    <x v="0"/>
    <m/>
    <n v="1"/>
    <n v="0"/>
    <n v="0"/>
    <x v="0"/>
    <n v="0"/>
    <n v="0"/>
    <n v="0"/>
    <n v="0"/>
    <n v="0"/>
    <n v="0"/>
    <n v="0"/>
    <n v="0"/>
    <n v="0"/>
    <n v="0"/>
  </r>
  <r>
    <x v="0"/>
    <x v="5"/>
    <x v="5"/>
    <x v="1"/>
    <x v="1"/>
    <m/>
    <n v="1"/>
    <n v="4"/>
    <n v="0"/>
    <x v="0"/>
    <n v="0"/>
    <n v="0"/>
    <n v="0"/>
    <n v="0"/>
    <n v="0"/>
    <n v="0"/>
    <n v="0"/>
    <n v="0"/>
    <n v="0"/>
    <n v="0"/>
  </r>
  <r>
    <x v="0"/>
    <x v="6"/>
    <x v="6"/>
    <x v="2"/>
    <x v="2"/>
    <m/>
    <n v="4"/>
    <n v="3"/>
    <n v="0"/>
    <x v="0"/>
    <n v="0"/>
    <n v="0"/>
    <n v="0"/>
    <n v="0"/>
    <n v="0"/>
    <n v="0"/>
    <n v="0"/>
    <n v="0"/>
    <n v="0"/>
    <n v="0"/>
  </r>
  <r>
    <x v="0"/>
    <x v="7"/>
    <x v="7"/>
    <x v="3"/>
    <x v="3"/>
    <m/>
    <n v="3"/>
    <n v="0"/>
    <n v="5"/>
    <x v="0"/>
    <n v="54"/>
    <n v="88"/>
    <n v="0"/>
    <n v="0"/>
    <n v="0"/>
    <n v="7"/>
    <n v="14"/>
    <n v="0"/>
    <n v="0"/>
    <n v="0"/>
  </r>
  <r>
    <x v="0"/>
    <x v="8"/>
    <x v="5"/>
    <x v="4"/>
    <x v="4"/>
    <m/>
    <n v="0"/>
    <n v="0"/>
    <n v="1"/>
    <x v="0"/>
    <n v="168"/>
    <n v="278"/>
    <n v="0"/>
    <n v="0"/>
    <n v="0"/>
    <n v="11"/>
    <n v="25"/>
    <n v="0"/>
    <n v="0"/>
    <n v="0"/>
  </r>
  <r>
    <x v="0"/>
    <x v="9"/>
    <x v="8"/>
    <x v="5"/>
    <x v="5"/>
    <m/>
    <n v="0"/>
    <n v="0"/>
    <n v="1"/>
    <x v="0"/>
    <n v="64"/>
    <n v="93"/>
    <n v="0"/>
    <n v="0"/>
    <n v="0"/>
    <n v="4"/>
    <n v="4"/>
    <n v="0"/>
    <n v="0"/>
    <n v="0"/>
  </r>
  <r>
    <x v="0"/>
    <x v="10"/>
    <x v="9"/>
    <x v="0"/>
    <x v="6"/>
    <m/>
    <n v="0"/>
    <n v="0"/>
    <n v="1"/>
    <x v="0"/>
    <n v="137"/>
    <n v="326"/>
    <n v="0"/>
    <n v="0"/>
    <n v="0"/>
    <n v="38"/>
    <n v="15"/>
    <n v="0"/>
    <n v="0"/>
    <n v="0"/>
  </r>
  <r>
    <x v="0"/>
    <x v="11"/>
    <x v="10"/>
    <x v="0"/>
    <x v="7"/>
    <m/>
    <n v="0"/>
    <n v="0"/>
    <n v="0"/>
    <x v="0"/>
    <n v="12"/>
    <n v="264"/>
    <n v="19"/>
    <n v="0"/>
    <n v="0"/>
    <n v="0"/>
    <n v="19"/>
    <n v="0"/>
    <n v="0"/>
    <n v="0"/>
  </r>
  <r>
    <x v="0"/>
    <x v="12"/>
    <x v="0"/>
    <x v="0"/>
    <x v="8"/>
    <m/>
    <n v="0"/>
    <n v="0"/>
    <n v="0"/>
    <x v="0"/>
    <n v="0"/>
    <n v="153"/>
    <n v="0"/>
    <n v="0"/>
    <n v="0"/>
    <n v="0"/>
    <n v="9"/>
    <n v="0"/>
    <n v="0"/>
    <n v="0"/>
  </r>
  <r>
    <x v="0"/>
    <x v="13"/>
    <x v="0"/>
    <x v="0"/>
    <x v="0"/>
    <m/>
    <n v="0"/>
    <n v="0"/>
    <n v="0"/>
    <x v="0"/>
    <n v="0"/>
    <n v="84"/>
    <n v="12"/>
    <n v="0"/>
    <n v="0"/>
    <n v="0"/>
    <n v="5"/>
    <n v="2"/>
    <n v="0"/>
    <n v="0"/>
  </r>
  <r>
    <x v="1"/>
    <x v="0"/>
    <x v="0"/>
    <x v="0"/>
    <x v="0"/>
    <m/>
    <n v="0"/>
    <n v="0"/>
    <n v="0"/>
    <x v="0"/>
    <n v="0"/>
    <n v="0"/>
    <n v="0"/>
    <n v="0"/>
    <n v="0"/>
    <n v="0"/>
    <n v="0"/>
    <n v="0"/>
    <n v="0"/>
    <n v="0"/>
  </r>
  <r>
    <x v="1"/>
    <x v="1"/>
    <x v="11"/>
    <x v="0"/>
    <x v="0"/>
    <m/>
    <n v="0"/>
    <n v="0"/>
    <n v="0"/>
    <x v="0"/>
    <n v="0"/>
    <n v="0"/>
    <n v="0"/>
    <n v="0"/>
    <n v="0"/>
    <n v="0"/>
    <n v="0"/>
    <n v="0"/>
    <n v="0"/>
    <n v="0"/>
  </r>
  <r>
    <x v="1"/>
    <x v="2"/>
    <x v="12"/>
    <x v="0"/>
    <x v="0"/>
    <m/>
    <n v="6"/>
    <n v="0"/>
    <n v="0"/>
    <x v="0"/>
    <n v="0"/>
    <n v="0"/>
    <n v="0"/>
    <n v="0"/>
    <n v="0"/>
    <n v="0"/>
    <n v="0"/>
    <n v="0"/>
    <n v="0"/>
    <n v="0"/>
  </r>
  <r>
    <x v="1"/>
    <x v="3"/>
    <x v="13"/>
    <x v="0"/>
    <x v="0"/>
    <m/>
    <n v="2"/>
    <n v="0"/>
    <n v="0"/>
    <x v="0"/>
    <n v="0"/>
    <n v="0"/>
    <n v="0"/>
    <n v="0"/>
    <n v="0"/>
    <n v="0"/>
    <n v="0"/>
    <n v="0"/>
    <n v="0"/>
    <n v="0"/>
  </r>
  <r>
    <x v="1"/>
    <x v="4"/>
    <x v="0"/>
    <x v="0"/>
    <x v="0"/>
    <m/>
    <n v="0"/>
    <n v="0"/>
    <n v="0"/>
    <x v="0"/>
    <n v="0"/>
    <n v="0"/>
    <n v="0"/>
    <n v="0"/>
    <n v="0"/>
    <n v="0"/>
    <n v="0"/>
    <n v="0"/>
    <n v="0"/>
    <n v="0"/>
  </r>
  <r>
    <x v="1"/>
    <x v="5"/>
    <x v="14"/>
    <x v="6"/>
    <x v="0"/>
    <m/>
    <n v="14"/>
    <n v="1"/>
    <n v="0"/>
    <x v="0"/>
    <n v="0"/>
    <n v="0"/>
    <n v="0"/>
    <n v="0"/>
    <n v="0"/>
    <n v="0"/>
    <n v="0"/>
    <n v="0"/>
    <n v="0"/>
    <n v="0"/>
  </r>
  <r>
    <x v="1"/>
    <x v="6"/>
    <x v="15"/>
    <x v="7"/>
    <x v="9"/>
    <m/>
    <n v="1"/>
    <n v="1"/>
    <n v="3"/>
    <x v="0"/>
    <n v="107"/>
    <n v="147"/>
    <n v="142"/>
    <n v="0"/>
    <n v="0"/>
    <n v="5"/>
    <n v="20"/>
    <n v="31"/>
    <n v="0"/>
    <n v="0"/>
  </r>
  <r>
    <x v="1"/>
    <x v="7"/>
    <x v="16"/>
    <x v="0"/>
    <x v="10"/>
    <m/>
    <n v="6"/>
    <n v="0"/>
    <n v="6"/>
    <x v="0"/>
    <n v="28"/>
    <n v="163"/>
    <n v="217"/>
    <n v="0"/>
    <n v="0"/>
    <n v="1"/>
    <n v="7"/>
    <n v="24"/>
    <n v="0"/>
    <n v="0"/>
  </r>
  <r>
    <x v="1"/>
    <x v="8"/>
    <x v="17"/>
    <x v="0"/>
    <x v="11"/>
    <m/>
    <n v="0"/>
    <n v="0"/>
    <n v="9"/>
    <x v="0"/>
    <n v="247"/>
    <n v="161"/>
    <n v="100"/>
    <n v="0"/>
    <n v="0"/>
    <n v="16"/>
    <n v="12"/>
    <n v="8"/>
    <n v="0"/>
    <n v="0"/>
  </r>
  <r>
    <x v="1"/>
    <x v="9"/>
    <x v="18"/>
    <x v="0"/>
    <x v="12"/>
    <m/>
    <n v="10"/>
    <n v="0"/>
    <n v="7"/>
    <x v="0"/>
    <n v="91"/>
    <n v="161"/>
    <n v="50"/>
    <n v="0"/>
    <n v="36"/>
    <n v="8"/>
    <n v="6"/>
    <n v="5"/>
    <n v="0"/>
    <n v="7"/>
  </r>
  <r>
    <x v="1"/>
    <x v="10"/>
    <x v="0"/>
    <x v="0"/>
    <x v="1"/>
    <m/>
    <n v="0"/>
    <n v="0"/>
    <n v="3"/>
    <x v="0"/>
    <n v="73"/>
    <n v="113"/>
    <n v="96"/>
    <n v="0"/>
    <n v="28"/>
    <n v="1"/>
    <n v="2"/>
    <n v="7"/>
    <n v="0"/>
    <n v="5"/>
  </r>
  <r>
    <x v="1"/>
    <x v="11"/>
    <x v="0"/>
    <x v="0"/>
    <x v="13"/>
    <m/>
    <n v="0"/>
    <n v="0"/>
    <n v="4"/>
    <x v="0"/>
    <n v="0"/>
    <n v="252"/>
    <n v="283"/>
    <n v="0"/>
    <n v="0"/>
    <n v="0"/>
    <n v="17"/>
    <n v="21"/>
    <n v="0"/>
    <n v="0"/>
  </r>
  <r>
    <x v="1"/>
    <x v="12"/>
    <x v="0"/>
    <x v="0"/>
    <x v="14"/>
    <m/>
    <n v="0"/>
    <n v="0"/>
    <n v="4"/>
    <x v="0"/>
    <n v="0"/>
    <n v="119"/>
    <n v="61"/>
    <n v="0"/>
    <n v="0"/>
    <n v="0"/>
    <n v="8"/>
    <n v="3"/>
    <n v="0"/>
    <n v="0"/>
  </r>
  <r>
    <x v="1"/>
    <x v="13"/>
    <x v="0"/>
    <x v="0"/>
    <x v="0"/>
    <m/>
    <n v="0"/>
    <n v="0"/>
    <n v="0"/>
    <x v="0"/>
    <n v="0"/>
    <n v="0"/>
    <n v="0"/>
    <n v="0"/>
    <n v="0"/>
    <n v="0"/>
    <n v="0"/>
    <n v="0"/>
    <n v="0"/>
    <n v="0"/>
  </r>
  <r>
    <x v="2"/>
    <x v="0"/>
    <x v="2"/>
    <x v="0"/>
    <x v="0"/>
    <m/>
    <n v="0"/>
    <n v="0"/>
    <n v="0"/>
    <x v="0"/>
    <n v="0"/>
    <n v="0"/>
    <n v="0"/>
    <n v="0"/>
    <n v="0"/>
    <n v="0"/>
    <n v="0"/>
    <n v="0"/>
    <n v="0"/>
    <n v="0"/>
  </r>
  <r>
    <x v="2"/>
    <x v="1"/>
    <x v="0"/>
    <x v="0"/>
    <x v="0"/>
    <m/>
    <n v="0"/>
    <n v="0"/>
    <n v="0"/>
    <x v="0"/>
    <n v="0"/>
    <n v="0"/>
    <n v="0"/>
    <n v="0"/>
    <n v="0"/>
    <n v="0"/>
    <n v="0"/>
    <n v="0"/>
    <n v="0"/>
    <n v="0"/>
  </r>
  <r>
    <x v="2"/>
    <x v="2"/>
    <x v="19"/>
    <x v="0"/>
    <x v="0"/>
    <m/>
    <n v="0"/>
    <n v="0"/>
    <n v="0"/>
    <x v="0"/>
    <n v="0"/>
    <n v="0"/>
    <n v="0"/>
    <n v="0"/>
    <n v="0"/>
    <n v="0"/>
    <n v="0"/>
    <n v="0"/>
    <n v="0"/>
    <n v="0"/>
  </r>
  <r>
    <x v="2"/>
    <x v="3"/>
    <x v="20"/>
    <x v="0"/>
    <x v="15"/>
    <m/>
    <n v="1"/>
    <n v="0"/>
    <n v="0"/>
    <x v="0"/>
    <n v="0"/>
    <n v="0"/>
    <n v="0"/>
    <n v="0"/>
    <n v="0"/>
    <n v="0"/>
    <n v="0"/>
    <n v="0"/>
    <n v="0"/>
    <n v="0"/>
  </r>
  <r>
    <x v="2"/>
    <x v="4"/>
    <x v="21"/>
    <x v="8"/>
    <x v="0"/>
    <m/>
    <n v="1"/>
    <n v="5"/>
    <n v="0"/>
    <x v="0"/>
    <n v="0"/>
    <n v="0"/>
    <n v="0"/>
    <n v="0"/>
    <n v="0"/>
    <n v="0"/>
    <n v="0"/>
    <n v="0"/>
    <n v="0"/>
    <n v="0"/>
  </r>
  <r>
    <x v="2"/>
    <x v="5"/>
    <x v="22"/>
    <x v="9"/>
    <x v="16"/>
    <m/>
    <n v="13"/>
    <n v="2"/>
    <n v="3"/>
    <x v="0"/>
    <n v="0"/>
    <n v="0"/>
    <n v="0"/>
    <n v="0"/>
    <n v="0"/>
    <n v="0"/>
    <n v="0"/>
    <n v="0"/>
    <n v="0"/>
    <n v="0"/>
  </r>
  <r>
    <x v="2"/>
    <x v="6"/>
    <x v="23"/>
    <x v="10"/>
    <x v="17"/>
    <m/>
    <n v="11"/>
    <n v="7"/>
    <n v="1"/>
    <x v="0"/>
    <n v="202"/>
    <n v="257"/>
    <n v="62"/>
    <n v="18"/>
    <n v="32"/>
    <n v="35"/>
    <n v="28"/>
    <n v="7"/>
    <n v="4"/>
    <n v="10"/>
  </r>
  <r>
    <x v="2"/>
    <x v="7"/>
    <x v="24"/>
    <x v="0"/>
    <x v="18"/>
    <m/>
    <n v="0"/>
    <n v="0"/>
    <n v="8"/>
    <x v="0"/>
    <n v="44"/>
    <n v="153"/>
    <n v="19"/>
    <n v="0"/>
    <n v="57"/>
    <n v="9"/>
    <n v="22"/>
    <n v="5"/>
    <n v="0"/>
    <n v="20"/>
  </r>
  <r>
    <x v="2"/>
    <x v="8"/>
    <x v="25"/>
    <x v="0"/>
    <x v="0"/>
    <m/>
    <n v="6"/>
    <n v="0"/>
    <n v="0"/>
    <x v="0"/>
    <n v="151"/>
    <n v="158"/>
    <n v="98"/>
    <n v="0"/>
    <n v="57"/>
    <n v="30"/>
    <n v="32"/>
    <n v="11"/>
    <n v="0"/>
    <n v="16"/>
  </r>
  <r>
    <x v="2"/>
    <x v="9"/>
    <x v="0"/>
    <x v="0"/>
    <x v="0"/>
    <m/>
    <n v="0"/>
    <n v="0"/>
    <n v="0"/>
    <x v="0"/>
    <n v="57"/>
    <n v="201"/>
    <n v="73"/>
    <n v="4"/>
    <n v="47"/>
    <n v="16"/>
    <n v="45"/>
    <n v="20"/>
    <n v="3"/>
    <n v="22"/>
  </r>
  <r>
    <x v="2"/>
    <x v="10"/>
    <x v="26"/>
    <x v="0"/>
    <x v="0"/>
    <m/>
    <n v="1"/>
    <n v="0"/>
    <n v="0"/>
    <x v="0"/>
    <n v="2"/>
    <n v="126"/>
    <n v="25"/>
    <n v="0"/>
    <n v="34"/>
    <n v="0"/>
    <n v="23"/>
    <n v="5"/>
    <n v="0"/>
    <n v="14"/>
  </r>
  <r>
    <x v="2"/>
    <x v="11"/>
    <x v="0"/>
    <x v="0"/>
    <x v="0"/>
    <m/>
    <n v="0"/>
    <n v="0"/>
    <n v="0"/>
    <x v="0"/>
    <n v="1"/>
    <n v="158"/>
    <n v="18"/>
    <n v="0"/>
    <n v="4"/>
    <n v="0"/>
    <n v="28"/>
    <n v="4"/>
    <n v="0"/>
    <n v="1"/>
  </r>
  <r>
    <x v="2"/>
    <x v="12"/>
    <x v="0"/>
    <x v="0"/>
    <x v="0"/>
    <m/>
    <n v="0"/>
    <n v="0"/>
    <n v="0"/>
    <x v="0"/>
    <n v="0"/>
    <n v="143"/>
    <n v="19"/>
    <n v="0"/>
    <n v="3"/>
    <n v="0"/>
    <n v="22"/>
    <n v="6"/>
    <n v="0"/>
    <n v="2"/>
  </r>
  <r>
    <x v="2"/>
    <x v="13"/>
    <x v="0"/>
    <x v="0"/>
    <x v="0"/>
    <m/>
    <n v="0"/>
    <n v="0"/>
    <n v="0"/>
    <x v="0"/>
    <n v="0"/>
    <n v="0"/>
    <n v="0"/>
    <n v="0"/>
    <n v="0"/>
    <n v="0"/>
    <n v="0"/>
    <n v="0"/>
    <n v="0"/>
    <n v="0"/>
  </r>
  <r>
    <x v="3"/>
    <x v="0"/>
    <x v="0"/>
    <x v="0"/>
    <x v="0"/>
    <m/>
    <n v="0"/>
    <n v="0"/>
    <n v="0"/>
    <x v="0"/>
    <n v="0"/>
    <n v="0"/>
    <n v="0"/>
    <n v="0"/>
    <n v="0"/>
    <n v="0"/>
    <n v="0"/>
    <n v="0"/>
    <n v="0"/>
    <n v="0"/>
  </r>
  <r>
    <x v="3"/>
    <x v="1"/>
    <x v="0"/>
    <x v="0"/>
    <x v="0"/>
    <m/>
    <n v="0"/>
    <n v="0"/>
    <n v="0"/>
    <x v="0"/>
    <n v="0"/>
    <n v="0"/>
    <n v="0"/>
    <n v="0"/>
    <n v="0"/>
    <n v="0"/>
    <n v="0"/>
    <n v="0"/>
    <n v="0"/>
    <n v="0"/>
  </r>
  <r>
    <x v="3"/>
    <x v="2"/>
    <x v="0"/>
    <x v="0"/>
    <x v="0"/>
    <m/>
    <n v="0"/>
    <n v="0"/>
    <n v="0"/>
    <x v="0"/>
    <n v="0"/>
    <n v="0"/>
    <n v="0"/>
    <n v="0"/>
    <n v="0"/>
    <n v="0"/>
    <n v="0"/>
    <n v="0"/>
    <n v="0"/>
    <n v="0"/>
  </r>
  <r>
    <x v="3"/>
    <x v="3"/>
    <x v="27"/>
    <x v="0"/>
    <x v="0"/>
    <m/>
    <n v="3"/>
    <n v="0"/>
    <n v="0"/>
    <x v="0"/>
    <n v="0"/>
    <n v="0"/>
    <n v="0"/>
    <n v="0"/>
    <n v="0"/>
    <n v="0"/>
    <n v="0"/>
    <n v="0"/>
    <n v="0"/>
    <n v="0"/>
  </r>
  <r>
    <x v="3"/>
    <x v="4"/>
    <x v="28"/>
    <x v="11"/>
    <x v="19"/>
    <m/>
    <n v="1"/>
    <n v="3"/>
    <n v="0"/>
    <x v="0"/>
    <n v="0"/>
    <n v="0"/>
    <n v="0"/>
    <n v="0"/>
    <n v="0"/>
    <n v="0"/>
    <n v="0"/>
    <n v="0"/>
    <n v="0"/>
    <n v="0"/>
  </r>
  <r>
    <x v="3"/>
    <x v="5"/>
    <x v="29"/>
    <x v="12"/>
    <x v="20"/>
    <m/>
    <n v="10"/>
    <n v="9"/>
    <n v="0"/>
    <x v="0"/>
    <n v="0"/>
    <n v="0"/>
    <n v="0"/>
    <n v="0"/>
    <n v="0"/>
    <n v="0"/>
    <n v="0"/>
    <n v="0"/>
    <n v="0"/>
    <n v="0"/>
  </r>
  <r>
    <x v="3"/>
    <x v="6"/>
    <x v="30"/>
    <x v="0"/>
    <x v="21"/>
    <m/>
    <n v="16"/>
    <n v="0"/>
    <n v="4"/>
    <x v="0"/>
    <n v="63"/>
    <n v="215"/>
    <n v="37"/>
    <n v="0"/>
    <n v="106"/>
    <n v="15"/>
    <n v="28"/>
    <n v="5"/>
    <n v="0"/>
    <n v="23"/>
  </r>
  <r>
    <x v="3"/>
    <x v="7"/>
    <x v="31"/>
    <x v="13"/>
    <x v="22"/>
    <m/>
    <n v="1"/>
    <n v="7"/>
    <n v="9"/>
    <x v="0"/>
    <n v="304"/>
    <n v="318"/>
    <n v="44"/>
    <n v="0"/>
    <n v="0"/>
    <n v="64"/>
    <n v="66"/>
    <n v="22"/>
    <n v="0"/>
    <n v="0"/>
  </r>
  <r>
    <x v="3"/>
    <x v="8"/>
    <x v="32"/>
    <x v="0"/>
    <x v="23"/>
    <m/>
    <n v="15"/>
    <n v="0"/>
    <n v="4"/>
    <x v="0"/>
    <n v="192"/>
    <n v="208"/>
    <n v="87"/>
    <n v="0"/>
    <n v="19"/>
    <n v="64"/>
    <n v="62"/>
    <n v="32"/>
    <n v="0"/>
    <n v="10"/>
  </r>
  <r>
    <x v="3"/>
    <x v="9"/>
    <x v="33"/>
    <x v="0"/>
    <x v="24"/>
    <m/>
    <n v="1"/>
    <n v="0"/>
    <n v="4"/>
    <x v="0"/>
    <n v="100"/>
    <n v="393"/>
    <n v="101"/>
    <n v="0"/>
    <n v="33"/>
    <n v="31"/>
    <n v="120"/>
    <n v="34"/>
    <n v="0"/>
    <n v="20"/>
  </r>
  <r>
    <x v="3"/>
    <x v="10"/>
    <x v="0"/>
    <x v="0"/>
    <x v="0"/>
    <m/>
    <n v="0"/>
    <n v="0"/>
    <n v="0"/>
    <x v="0"/>
    <n v="33"/>
    <n v="155"/>
    <n v="100"/>
    <n v="0"/>
    <n v="17"/>
    <n v="4"/>
    <n v="43"/>
    <n v="37"/>
    <n v="0"/>
    <n v="12"/>
  </r>
  <r>
    <x v="3"/>
    <x v="11"/>
    <x v="0"/>
    <x v="0"/>
    <x v="0"/>
    <m/>
    <n v="0"/>
    <n v="0"/>
    <n v="0"/>
    <x v="0"/>
    <n v="0"/>
    <n v="280"/>
    <n v="87"/>
    <n v="0"/>
    <n v="10"/>
    <n v="0"/>
    <n v="66"/>
    <n v="29"/>
    <n v="0"/>
    <n v="8"/>
  </r>
  <r>
    <x v="3"/>
    <x v="12"/>
    <x v="0"/>
    <x v="0"/>
    <x v="0"/>
    <m/>
    <n v="0"/>
    <n v="0"/>
    <n v="0"/>
    <x v="0"/>
    <n v="0"/>
    <n v="34"/>
    <n v="35"/>
    <n v="0"/>
    <n v="1"/>
    <n v="0"/>
    <n v="10"/>
    <n v="11"/>
    <n v="0"/>
    <n v="0"/>
  </r>
  <r>
    <x v="3"/>
    <x v="13"/>
    <x v="0"/>
    <x v="0"/>
    <x v="0"/>
    <m/>
    <n v="0"/>
    <n v="0"/>
    <n v="0"/>
    <x v="0"/>
    <n v="0"/>
    <n v="0"/>
    <n v="0"/>
    <n v="0"/>
    <n v="0"/>
    <n v="0"/>
    <n v="0"/>
    <n v="0"/>
    <n v="0"/>
    <n v="0"/>
  </r>
  <r>
    <x v="4"/>
    <x v="0"/>
    <x v="0"/>
    <x v="0"/>
    <x v="0"/>
    <m/>
    <n v="0"/>
    <n v="0"/>
    <n v="0"/>
    <x v="0"/>
    <n v="0"/>
    <n v="0"/>
    <n v="0"/>
    <n v="0"/>
    <n v="0"/>
    <n v="0"/>
    <n v="0"/>
    <n v="0"/>
    <n v="0"/>
    <n v="0"/>
  </r>
  <r>
    <x v="4"/>
    <x v="1"/>
    <x v="2"/>
    <x v="0"/>
    <x v="0"/>
    <m/>
    <n v="0"/>
    <n v="0"/>
    <n v="0"/>
    <x v="0"/>
    <n v="0"/>
    <n v="0"/>
    <n v="0"/>
    <n v="0"/>
    <n v="0"/>
    <n v="0"/>
    <n v="0"/>
    <n v="0"/>
    <n v="0"/>
    <n v="0"/>
  </r>
  <r>
    <x v="4"/>
    <x v="2"/>
    <x v="0"/>
    <x v="0"/>
    <x v="0"/>
    <m/>
    <n v="0"/>
    <n v="0"/>
    <n v="0"/>
    <x v="0"/>
    <n v="0"/>
    <n v="0"/>
    <n v="0"/>
    <n v="0"/>
    <n v="0"/>
    <n v="0"/>
    <n v="0"/>
    <n v="0"/>
    <n v="0"/>
    <n v="0"/>
  </r>
  <r>
    <x v="4"/>
    <x v="3"/>
    <x v="34"/>
    <x v="0"/>
    <x v="25"/>
    <m/>
    <n v="4"/>
    <n v="0"/>
    <n v="0"/>
    <x v="0"/>
    <n v="0"/>
    <n v="0"/>
    <n v="0"/>
    <n v="0"/>
    <n v="0"/>
    <n v="0"/>
    <n v="0"/>
    <n v="0"/>
    <n v="0"/>
    <n v="0"/>
  </r>
  <r>
    <x v="4"/>
    <x v="4"/>
    <x v="35"/>
    <x v="14"/>
    <x v="26"/>
    <m/>
    <n v="4"/>
    <n v="0"/>
    <n v="1"/>
    <x v="0"/>
    <n v="0"/>
    <n v="0"/>
    <n v="0"/>
    <n v="0"/>
    <n v="0"/>
    <n v="0"/>
    <n v="0"/>
    <n v="0"/>
    <n v="0"/>
    <n v="0"/>
  </r>
  <r>
    <x v="4"/>
    <x v="5"/>
    <x v="36"/>
    <x v="15"/>
    <x v="27"/>
    <m/>
    <n v="3"/>
    <n v="5"/>
    <n v="1"/>
    <x v="0"/>
    <n v="0"/>
    <n v="0"/>
    <n v="0"/>
    <n v="0"/>
    <n v="0"/>
    <n v="0"/>
    <n v="0"/>
    <n v="0"/>
    <n v="0"/>
    <n v="0"/>
  </r>
  <r>
    <x v="4"/>
    <x v="6"/>
    <x v="37"/>
    <x v="16"/>
    <x v="28"/>
    <m/>
    <n v="11"/>
    <n v="6"/>
    <n v="18"/>
    <x v="0"/>
    <n v="0"/>
    <n v="0"/>
    <n v="0"/>
    <n v="0"/>
    <n v="0"/>
    <n v="0"/>
    <n v="0"/>
    <n v="0"/>
    <n v="0"/>
    <n v="0"/>
  </r>
  <r>
    <x v="4"/>
    <x v="7"/>
    <x v="38"/>
    <x v="17"/>
    <x v="29"/>
    <m/>
    <n v="4"/>
    <n v="4"/>
    <n v="10"/>
    <x v="0"/>
    <n v="85"/>
    <n v="146"/>
    <n v="91"/>
    <n v="88"/>
    <n v="51"/>
    <n v="13"/>
    <n v="34"/>
    <n v="25"/>
    <n v="40"/>
    <n v="18"/>
  </r>
  <r>
    <x v="4"/>
    <x v="8"/>
    <x v="39"/>
    <x v="18"/>
    <x v="30"/>
    <m/>
    <n v="7"/>
    <n v="1"/>
    <n v="5"/>
    <x v="0"/>
    <n v="325"/>
    <n v="253"/>
    <n v="66"/>
    <n v="0"/>
    <n v="40"/>
    <n v="94"/>
    <n v="81"/>
    <n v="23"/>
    <n v="0"/>
    <n v="28"/>
  </r>
  <r>
    <x v="4"/>
    <x v="9"/>
    <x v="0"/>
    <x v="0"/>
    <x v="0"/>
    <m/>
    <n v="0"/>
    <n v="0"/>
    <n v="0"/>
    <x v="0"/>
    <n v="94"/>
    <n v="78"/>
    <n v="28"/>
    <n v="0"/>
    <n v="25"/>
    <n v="39"/>
    <n v="26"/>
    <n v="9"/>
    <n v="0"/>
    <n v="19"/>
  </r>
  <r>
    <x v="4"/>
    <x v="10"/>
    <x v="40"/>
    <x v="0"/>
    <x v="0"/>
    <m/>
    <n v="2"/>
    <n v="0"/>
    <n v="0"/>
    <x v="0"/>
    <n v="119"/>
    <n v="301"/>
    <n v="92"/>
    <n v="0"/>
    <n v="19"/>
    <n v="35"/>
    <n v="97"/>
    <n v="42"/>
    <n v="0"/>
    <n v="14"/>
  </r>
  <r>
    <x v="4"/>
    <x v="11"/>
    <x v="38"/>
    <x v="0"/>
    <x v="0"/>
    <m/>
    <n v="11"/>
    <n v="0"/>
    <n v="0"/>
    <x v="0"/>
    <n v="183"/>
    <n v="400"/>
    <n v="64"/>
    <n v="0"/>
    <n v="15"/>
    <n v="49"/>
    <n v="118"/>
    <n v="18"/>
    <n v="0"/>
    <n v="11"/>
  </r>
  <r>
    <x v="4"/>
    <x v="12"/>
    <x v="41"/>
    <x v="0"/>
    <x v="0"/>
    <m/>
    <n v="0"/>
    <n v="0"/>
    <n v="0"/>
    <x v="0"/>
    <n v="0"/>
    <n v="153"/>
    <n v="75"/>
    <n v="0"/>
    <n v="3"/>
    <n v="0"/>
    <n v="43"/>
    <n v="25"/>
    <n v="0"/>
    <n v="0"/>
  </r>
  <r>
    <x v="4"/>
    <x v="13"/>
    <x v="0"/>
    <x v="0"/>
    <x v="0"/>
    <m/>
    <n v="0"/>
    <n v="0"/>
    <n v="0"/>
    <x v="0"/>
    <n v="0"/>
    <n v="0"/>
    <n v="0"/>
    <n v="0"/>
    <n v="0"/>
    <n v="0"/>
    <n v="0"/>
    <n v="0"/>
    <n v="0"/>
    <n v="0"/>
  </r>
  <r>
    <x v="5"/>
    <x v="0"/>
    <x v="0"/>
    <x v="0"/>
    <x v="0"/>
    <m/>
    <n v="0"/>
    <n v="0"/>
    <n v="0"/>
    <x v="0"/>
    <n v="0"/>
    <n v="0"/>
    <n v="0"/>
    <n v="0"/>
    <n v="0"/>
    <n v="0"/>
    <n v="0"/>
    <n v="0"/>
    <n v="0"/>
    <n v="0"/>
  </r>
  <r>
    <x v="5"/>
    <x v="1"/>
    <x v="0"/>
    <x v="0"/>
    <x v="0"/>
    <m/>
    <n v="0"/>
    <n v="0"/>
    <n v="0"/>
    <x v="0"/>
    <n v="0"/>
    <n v="0"/>
    <n v="0"/>
    <n v="0"/>
    <n v="0"/>
    <n v="0"/>
    <n v="0"/>
    <n v="0"/>
    <n v="0"/>
    <n v="0"/>
  </r>
  <r>
    <x v="5"/>
    <x v="2"/>
    <x v="42"/>
    <x v="0"/>
    <x v="0"/>
    <m/>
    <n v="0"/>
    <n v="0"/>
    <n v="0"/>
    <x v="0"/>
    <n v="0"/>
    <n v="0"/>
    <n v="0"/>
    <n v="0"/>
    <n v="0"/>
    <n v="0"/>
    <n v="0"/>
    <n v="0"/>
    <n v="0"/>
    <n v="0"/>
  </r>
  <r>
    <x v="5"/>
    <x v="3"/>
    <x v="40"/>
    <x v="0"/>
    <x v="0"/>
    <m/>
    <n v="0"/>
    <n v="0"/>
    <n v="0"/>
    <x v="0"/>
    <n v="0"/>
    <n v="0"/>
    <n v="0"/>
    <n v="0"/>
    <n v="0"/>
    <n v="0"/>
    <n v="0"/>
    <n v="0"/>
    <n v="0"/>
    <n v="0"/>
  </r>
  <r>
    <x v="5"/>
    <x v="4"/>
    <x v="43"/>
    <x v="0"/>
    <x v="27"/>
    <m/>
    <n v="5"/>
    <n v="0"/>
    <n v="1"/>
    <x v="0"/>
    <n v="0"/>
    <n v="0"/>
    <n v="0"/>
    <n v="0"/>
    <n v="0"/>
    <n v="0"/>
    <n v="0"/>
    <n v="0"/>
    <n v="0"/>
    <n v="0"/>
  </r>
  <r>
    <x v="5"/>
    <x v="5"/>
    <x v="35"/>
    <x v="0"/>
    <x v="16"/>
    <m/>
    <n v="9"/>
    <n v="0"/>
    <n v="0"/>
    <x v="0"/>
    <n v="0"/>
    <n v="0"/>
    <n v="0"/>
    <n v="0"/>
    <n v="0"/>
    <n v="0"/>
    <n v="0"/>
    <n v="0"/>
    <n v="0"/>
    <n v="0"/>
  </r>
  <r>
    <x v="5"/>
    <x v="6"/>
    <x v="44"/>
    <x v="0"/>
    <x v="31"/>
    <m/>
    <n v="7"/>
    <n v="0"/>
    <n v="3"/>
    <x v="0"/>
    <n v="0"/>
    <n v="0"/>
    <n v="0"/>
    <n v="0"/>
    <n v="0"/>
    <n v="0"/>
    <n v="0"/>
    <n v="0"/>
    <n v="0"/>
    <n v="0"/>
  </r>
  <r>
    <x v="5"/>
    <x v="7"/>
    <x v="45"/>
    <x v="0"/>
    <x v="0"/>
    <m/>
    <n v="2"/>
    <n v="0"/>
    <n v="0"/>
    <x v="0"/>
    <n v="128"/>
    <n v="304"/>
    <n v="72"/>
    <n v="0"/>
    <n v="35"/>
    <n v="29"/>
    <n v="36"/>
    <n v="12"/>
    <n v="0"/>
    <n v="10"/>
  </r>
  <r>
    <x v="5"/>
    <x v="8"/>
    <x v="46"/>
    <x v="0"/>
    <x v="0"/>
    <m/>
    <n v="2"/>
    <n v="0"/>
    <n v="0"/>
    <x v="0"/>
    <n v="26"/>
    <n v="159"/>
    <n v="55"/>
    <n v="0"/>
    <n v="22"/>
    <n v="5"/>
    <n v="27"/>
    <n v="15"/>
    <n v="0"/>
    <n v="9"/>
  </r>
  <r>
    <x v="5"/>
    <x v="9"/>
    <x v="47"/>
    <x v="0"/>
    <x v="0"/>
    <m/>
    <n v="9"/>
    <n v="0"/>
    <n v="0"/>
    <x v="0"/>
    <n v="190"/>
    <n v="259"/>
    <n v="67"/>
    <n v="0"/>
    <n v="21"/>
    <n v="34"/>
    <n v="39"/>
    <n v="14"/>
    <n v="0"/>
    <n v="14"/>
  </r>
  <r>
    <x v="5"/>
    <x v="10"/>
    <x v="48"/>
    <x v="0"/>
    <x v="0"/>
    <m/>
    <n v="4"/>
    <n v="0"/>
    <n v="0"/>
    <x v="0"/>
    <n v="0"/>
    <n v="19"/>
    <n v="53"/>
    <n v="0"/>
    <n v="3"/>
    <n v="0"/>
    <n v="8"/>
    <n v="18"/>
    <n v="0"/>
    <n v="1"/>
  </r>
  <r>
    <x v="5"/>
    <x v="11"/>
    <x v="49"/>
    <x v="0"/>
    <x v="0"/>
    <m/>
    <n v="3"/>
    <n v="0"/>
    <n v="0"/>
    <x v="0"/>
    <n v="2"/>
    <n v="44"/>
    <n v="36"/>
    <n v="0"/>
    <n v="3"/>
    <n v="0"/>
    <n v="10"/>
    <n v="9"/>
    <n v="0"/>
    <n v="3"/>
  </r>
  <r>
    <x v="5"/>
    <x v="12"/>
    <x v="0"/>
    <x v="0"/>
    <x v="0"/>
    <m/>
    <n v="0"/>
    <n v="0"/>
    <n v="0"/>
    <x v="0"/>
    <n v="0"/>
    <n v="23"/>
    <n v="12"/>
    <n v="0"/>
    <n v="0"/>
    <n v="0"/>
    <n v="4"/>
    <n v="3"/>
    <n v="0"/>
    <n v="0"/>
  </r>
  <r>
    <x v="5"/>
    <x v="13"/>
    <x v="0"/>
    <x v="0"/>
    <x v="0"/>
    <m/>
    <n v="0"/>
    <n v="0"/>
    <n v="0"/>
    <x v="0"/>
    <n v="0"/>
    <n v="0"/>
    <n v="0"/>
    <n v="0"/>
    <n v="0"/>
    <n v="0"/>
    <n v="0"/>
    <n v="0"/>
    <n v="0"/>
    <n v="0"/>
  </r>
  <r>
    <x v="6"/>
    <x v="0"/>
    <x v="0"/>
    <x v="0"/>
    <x v="0"/>
    <n v="0"/>
    <n v="0"/>
    <n v="0"/>
    <n v="0"/>
    <x v="1"/>
    <n v="0"/>
    <n v="0"/>
    <n v="0"/>
    <n v="0"/>
    <n v="0"/>
    <n v="0"/>
    <n v="0"/>
    <n v="0"/>
    <n v="0"/>
    <n v="0"/>
  </r>
  <r>
    <x v="6"/>
    <x v="1"/>
    <x v="2"/>
    <x v="0"/>
    <x v="0"/>
    <n v="0"/>
    <n v="0"/>
    <n v="0"/>
    <n v="0"/>
    <x v="1"/>
    <n v="14"/>
    <n v="2"/>
    <n v="6"/>
    <n v="0"/>
    <n v="0"/>
    <n v="3"/>
    <n v="1"/>
    <n v="4"/>
    <n v="0"/>
    <n v="0"/>
  </r>
  <r>
    <x v="6"/>
    <x v="2"/>
    <x v="1"/>
    <x v="0"/>
    <x v="0"/>
    <n v="0"/>
    <n v="0"/>
    <n v="0"/>
    <n v="0"/>
    <x v="1"/>
    <n v="14"/>
    <n v="54"/>
    <n v="19"/>
    <n v="0"/>
    <n v="0"/>
    <n v="14"/>
    <n v="15"/>
    <n v="4"/>
    <n v="0"/>
    <n v="0"/>
  </r>
  <r>
    <x v="6"/>
    <x v="3"/>
    <x v="50"/>
    <x v="0"/>
    <x v="0"/>
    <n v="0"/>
    <n v="1"/>
    <n v="0"/>
    <n v="0"/>
    <x v="1"/>
    <n v="0"/>
    <n v="0"/>
    <n v="77"/>
    <n v="14"/>
    <n v="0"/>
    <n v="0"/>
    <n v="0"/>
    <n v="22"/>
    <n v="14"/>
    <n v="0"/>
  </r>
  <r>
    <x v="6"/>
    <x v="4"/>
    <x v="51"/>
    <x v="0"/>
    <x v="0"/>
    <n v="0"/>
    <n v="0"/>
    <n v="0"/>
    <n v="0"/>
    <x v="1"/>
    <n v="0"/>
    <n v="0"/>
    <n v="0"/>
    <n v="0"/>
    <n v="0"/>
    <n v="0"/>
    <n v="0"/>
    <n v="0"/>
    <n v="0"/>
    <n v="0"/>
  </r>
  <r>
    <x v="6"/>
    <x v="5"/>
    <x v="52"/>
    <x v="19"/>
    <x v="32"/>
    <n v="80"/>
    <n v="2"/>
    <n v="7"/>
    <n v="3"/>
    <x v="2"/>
    <n v="0"/>
    <n v="0"/>
    <n v="0"/>
    <n v="0"/>
    <n v="0"/>
    <n v="0"/>
    <n v="0"/>
    <n v="0"/>
    <n v="0"/>
    <n v="0"/>
  </r>
  <r>
    <x v="6"/>
    <x v="6"/>
    <x v="48"/>
    <x v="20"/>
    <x v="33"/>
    <n v="70"/>
    <n v="14"/>
    <n v="11"/>
    <n v="9"/>
    <x v="3"/>
    <n v="0"/>
    <n v="0"/>
    <n v="0"/>
    <n v="0"/>
    <n v="0"/>
    <n v="0"/>
    <n v="0"/>
    <n v="0"/>
    <n v="0"/>
    <n v="0"/>
  </r>
  <r>
    <x v="6"/>
    <x v="7"/>
    <x v="53"/>
    <x v="21"/>
    <x v="34"/>
    <n v="119"/>
    <n v="1"/>
    <n v="10"/>
    <n v="7"/>
    <x v="4"/>
    <n v="47"/>
    <n v="167"/>
    <n v="17"/>
    <n v="19"/>
    <n v="78"/>
    <n v="15"/>
    <n v="24"/>
    <n v="8"/>
    <n v="7"/>
    <n v="19"/>
  </r>
  <r>
    <x v="6"/>
    <x v="8"/>
    <x v="54"/>
    <x v="22"/>
    <x v="35"/>
    <n v="101"/>
    <n v="9"/>
    <n v="4"/>
    <n v="5"/>
    <x v="1"/>
    <n v="51"/>
    <n v="148"/>
    <n v="76"/>
    <n v="11"/>
    <n v="33"/>
    <n v="4"/>
    <n v="30"/>
    <n v="19"/>
    <n v="6"/>
    <n v="10"/>
  </r>
  <r>
    <x v="6"/>
    <x v="9"/>
    <x v="55"/>
    <x v="23"/>
    <x v="36"/>
    <n v="98"/>
    <n v="9"/>
    <n v="8"/>
    <n v="6"/>
    <x v="1"/>
    <n v="60"/>
    <n v="99"/>
    <n v="43"/>
    <n v="14"/>
    <n v="53"/>
    <n v="13"/>
    <n v="17"/>
    <n v="15"/>
    <n v="3"/>
    <n v="17"/>
  </r>
  <r>
    <x v="6"/>
    <x v="10"/>
    <x v="42"/>
    <x v="0"/>
    <x v="29"/>
    <n v="136"/>
    <n v="0"/>
    <n v="0"/>
    <n v="10"/>
    <x v="1"/>
    <n v="72"/>
    <n v="49"/>
    <n v="81"/>
    <n v="0"/>
    <n v="91"/>
    <n v="13"/>
    <n v="7"/>
    <n v="15"/>
    <n v="0"/>
    <n v="30"/>
  </r>
  <r>
    <x v="6"/>
    <x v="11"/>
    <x v="56"/>
    <x v="0"/>
    <x v="37"/>
    <n v="57"/>
    <n v="3"/>
    <n v="0"/>
    <n v="0"/>
    <x v="1"/>
    <n v="34"/>
    <n v="37"/>
    <n v="71"/>
    <n v="0"/>
    <n v="11"/>
    <n v="7"/>
    <n v="6"/>
    <n v="18"/>
    <n v="0"/>
    <n v="6"/>
  </r>
  <r>
    <x v="6"/>
    <x v="12"/>
    <x v="8"/>
    <x v="0"/>
    <x v="0"/>
    <n v="0"/>
    <n v="4"/>
    <n v="0"/>
    <n v="0"/>
    <x v="1"/>
    <n v="59"/>
    <n v="14"/>
    <n v="0"/>
    <n v="0"/>
    <n v="0"/>
    <n v="9"/>
    <n v="3"/>
    <n v="0"/>
    <n v="0"/>
    <n v="0"/>
  </r>
  <r>
    <x v="6"/>
    <x v="13"/>
    <x v="0"/>
    <x v="0"/>
    <x v="0"/>
    <n v="0"/>
    <n v="0"/>
    <n v="0"/>
    <n v="0"/>
    <x v="1"/>
    <n v="0"/>
    <n v="0"/>
    <n v="0"/>
    <n v="0"/>
    <n v="0"/>
    <n v="0"/>
    <n v="0"/>
    <n v="0"/>
    <n v="0"/>
    <n v="0"/>
  </r>
  <r>
    <x v="7"/>
    <x v="0"/>
    <x v="0"/>
    <x v="0"/>
    <x v="0"/>
    <n v="0"/>
    <n v="0"/>
    <n v="0"/>
    <n v="0"/>
    <x v="1"/>
    <n v="8"/>
    <n v="4"/>
    <n v="0"/>
    <n v="0"/>
    <n v="0"/>
    <n v="4"/>
    <n v="0"/>
    <n v="0"/>
    <n v="0"/>
    <n v="0"/>
  </r>
  <r>
    <x v="7"/>
    <x v="1"/>
    <x v="0"/>
    <x v="0"/>
    <x v="0"/>
    <n v="0"/>
    <n v="0"/>
    <n v="0"/>
    <n v="0"/>
    <x v="1"/>
    <n v="0"/>
    <n v="0"/>
    <n v="0"/>
    <n v="0"/>
    <n v="0"/>
    <n v="0"/>
    <n v="0"/>
    <n v="0"/>
    <n v="0"/>
    <n v="0"/>
  </r>
  <r>
    <x v="7"/>
    <x v="2"/>
    <x v="0"/>
    <x v="0"/>
    <x v="0"/>
    <n v="0"/>
    <n v="0"/>
    <n v="0"/>
    <n v="0"/>
    <x v="1"/>
    <n v="0"/>
    <n v="0"/>
    <n v="0"/>
    <n v="9"/>
    <n v="12"/>
    <n v="0"/>
    <n v="0"/>
    <n v="0"/>
    <n v="6"/>
    <n v="9"/>
  </r>
  <r>
    <x v="7"/>
    <x v="3"/>
    <x v="48"/>
    <x v="0"/>
    <x v="0"/>
    <n v="0"/>
    <n v="10"/>
    <n v="0"/>
    <n v="0"/>
    <x v="1"/>
    <n v="0"/>
    <n v="0"/>
    <n v="0"/>
    <n v="0"/>
    <n v="0"/>
    <n v="0"/>
    <n v="0"/>
    <n v="0"/>
    <n v="0"/>
    <n v="0"/>
  </r>
  <r>
    <x v="7"/>
    <x v="4"/>
    <x v="57"/>
    <x v="24"/>
    <x v="22"/>
    <n v="0"/>
    <n v="8"/>
    <n v="2"/>
    <n v="1"/>
    <x v="1"/>
    <n v="0"/>
    <n v="0"/>
    <n v="0"/>
    <n v="0"/>
    <n v="0"/>
    <n v="0"/>
    <n v="0"/>
    <n v="0"/>
    <n v="0"/>
    <n v="0"/>
  </r>
  <r>
    <x v="7"/>
    <x v="5"/>
    <x v="58"/>
    <x v="25"/>
    <x v="38"/>
    <n v="0"/>
    <n v="43"/>
    <n v="16"/>
    <n v="7"/>
    <x v="1"/>
    <n v="0"/>
    <n v="0"/>
    <n v="0"/>
    <n v="0"/>
    <n v="0"/>
    <n v="0"/>
    <n v="0"/>
    <n v="0"/>
    <n v="0"/>
    <n v="0"/>
  </r>
  <r>
    <x v="7"/>
    <x v="6"/>
    <x v="59"/>
    <x v="26"/>
    <x v="39"/>
    <n v="0"/>
    <n v="29"/>
    <n v="8"/>
    <n v="35"/>
    <x v="1"/>
    <n v="0"/>
    <n v="8"/>
    <n v="9"/>
    <n v="0"/>
    <n v="166"/>
    <n v="0"/>
    <n v="0"/>
    <n v="1"/>
    <n v="0"/>
    <n v="33"/>
  </r>
  <r>
    <x v="7"/>
    <x v="7"/>
    <x v="60"/>
    <x v="0"/>
    <x v="40"/>
    <n v="0"/>
    <n v="3"/>
    <n v="0"/>
    <n v="12"/>
    <x v="1"/>
    <n v="1056"/>
    <n v="1752"/>
    <n v="573"/>
    <n v="0"/>
    <n v="23"/>
    <n v="234"/>
    <n v="440"/>
    <n v="228"/>
    <n v="0"/>
    <n v="9"/>
  </r>
  <r>
    <x v="7"/>
    <x v="8"/>
    <x v="61"/>
    <x v="27"/>
    <x v="41"/>
    <n v="0"/>
    <n v="5"/>
    <n v="5"/>
    <n v="2"/>
    <x v="1"/>
    <n v="1231"/>
    <n v="3044"/>
    <n v="426"/>
    <n v="2"/>
    <n v="10"/>
    <n v="265"/>
    <n v="552"/>
    <n v="125"/>
    <n v="1"/>
    <n v="2"/>
  </r>
  <r>
    <x v="7"/>
    <x v="9"/>
    <x v="3"/>
    <x v="28"/>
    <x v="42"/>
    <n v="0"/>
    <n v="0"/>
    <n v="2"/>
    <n v="19"/>
    <x v="1"/>
    <n v="1405"/>
    <n v="1764"/>
    <n v="746"/>
    <n v="0"/>
    <n v="3"/>
    <n v="203"/>
    <n v="271"/>
    <n v="103"/>
    <n v="0"/>
    <n v="3"/>
  </r>
  <r>
    <x v="7"/>
    <x v="10"/>
    <x v="0"/>
    <x v="29"/>
    <x v="3"/>
    <n v="0"/>
    <n v="0"/>
    <n v="2"/>
    <n v="5"/>
    <x v="1"/>
    <n v="12"/>
    <n v="734"/>
    <n v="172"/>
    <n v="1"/>
    <n v="9"/>
    <n v="2"/>
    <n v="120"/>
    <n v="24"/>
    <n v="0"/>
    <n v="6"/>
  </r>
  <r>
    <x v="7"/>
    <x v="11"/>
    <x v="0"/>
    <x v="0"/>
    <x v="7"/>
    <n v="0"/>
    <n v="0"/>
    <n v="0"/>
    <n v="2"/>
    <x v="1"/>
    <n v="306"/>
    <n v="2273"/>
    <n v="1500"/>
    <n v="8"/>
    <n v="3"/>
    <n v="42"/>
    <n v="261"/>
    <n v="223"/>
    <n v="1"/>
    <n v="2"/>
  </r>
  <r>
    <x v="7"/>
    <x v="12"/>
    <x v="62"/>
    <x v="0"/>
    <x v="0"/>
    <n v="0"/>
    <n v="10"/>
    <n v="0"/>
    <n v="0"/>
    <x v="1"/>
    <n v="0"/>
    <n v="0"/>
    <n v="0"/>
    <n v="0"/>
    <n v="1"/>
    <n v="0"/>
    <n v="0"/>
    <n v="0"/>
    <n v="0"/>
    <n v="0"/>
  </r>
  <r>
    <x v="7"/>
    <x v="13"/>
    <x v="0"/>
    <x v="0"/>
    <x v="0"/>
    <n v="0"/>
    <n v="0"/>
    <n v="0"/>
    <n v="0"/>
    <x v="1"/>
    <n v="0"/>
    <n v="0"/>
    <n v="0"/>
    <n v="0"/>
    <n v="0"/>
    <n v="0"/>
    <n v="0"/>
    <n v="0"/>
    <n v="0"/>
    <n v="0"/>
  </r>
  <r>
    <x v="8"/>
    <x v="0"/>
    <x v="0"/>
    <x v="0"/>
    <x v="0"/>
    <n v="0"/>
    <n v="0"/>
    <n v="0"/>
    <n v="0"/>
    <x v="1"/>
    <n v="1"/>
    <n v="0"/>
    <n v="0"/>
    <n v="0"/>
    <n v="0"/>
    <n v="0"/>
    <n v="0"/>
    <n v="0"/>
    <n v="0"/>
    <n v="0"/>
  </r>
  <r>
    <x v="8"/>
    <x v="1"/>
    <x v="0"/>
    <x v="0"/>
    <x v="0"/>
    <n v="0"/>
    <n v="0"/>
    <n v="0"/>
    <n v="0"/>
    <x v="1"/>
    <n v="5"/>
    <n v="0"/>
    <n v="1"/>
    <n v="0"/>
    <n v="0"/>
    <n v="2"/>
    <n v="0"/>
    <n v="0"/>
    <n v="0"/>
    <n v="0"/>
  </r>
  <r>
    <x v="8"/>
    <x v="2"/>
    <x v="48"/>
    <x v="0"/>
    <x v="0"/>
    <n v="0"/>
    <n v="11"/>
    <n v="0"/>
    <n v="0"/>
    <x v="1"/>
    <n v="0"/>
    <n v="0"/>
    <n v="0"/>
    <n v="3"/>
    <n v="1"/>
    <n v="0"/>
    <n v="0"/>
    <n v="0"/>
    <n v="3"/>
    <n v="1"/>
  </r>
  <r>
    <x v="8"/>
    <x v="3"/>
    <x v="10"/>
    <x v="0"/>
    <x v="0"/>
    <n v="0"/>
    <n v="0"/>
    <n v="0"/>
    <n v="0"/>
    <x v="1"/>
    <n v="0"/>
    <n v="0"/>
    <n v="0"/>
    <n v="5"/>
    <n v="42"/>
    <n v="0"/>
    <n v="0"/>
    <n v="0"/>
    <n v="3"/>
    <n v="28"/>
  </r>
  <r>
    <x v="8"/>
    <x v="4"/>
    <x v="63"/>
    <x v="30"/>
    <x v="43"/>
    <n v="397"/>
    <n v="46"/>
    <n v="28"/>
    <n v="5"/>
    <x v="5"/>
    <n v="0"/>
    <n v="0"/>
    <n v="0"/>
    <n v="0"/>
    <n v="0"/>
    <n v="0"/>
    <n v="0"/>
    <n v="0"/>
    <n v="0"/>
    <n v="0"/>
  </r>
  <r>
    <x v="8"/>
    <x v="5"/>
    <x v="64"/>
    <x v="31"/>
    <x v="44"/>
    <n v="527"/>
    <n v="26"/>
    <n v="52"/>
    <n v="32"/>
    <x v="6"/>
    <n v="0"/>
    <n v="0"/>
    <n v="0"/>
    <n v="0"/>
    <n v="0"/>
    <n v="0"/>
    <n v="0"/>
    <n v="0"/>
    <n v="0"/>
    <n v="0"/>
  </r>
  <r>
    <x v="8"/>
    <x v="6"/>
    <x v="65"/>
    <x v="32"/>
    <x v="45"/>
    <n v="1118"/>
    <n v="114"/>
    <n v="7"/>
    <n v="24"/>
    <x v="7"/>
    <n v="21"/>
    <n v="5"/>
    <n v="42"/>
    <n v="0"/>
    <n v="0"/>
    <n v="3"/>
    <n v="2"/>
    <n v="10"/>
    <n v="0"/>
    <n v="0"/>
  </r>
  <r>
    <x v="8"/>
    <x v="7"/>
    <x v="66"/>
    <x v="33"/>
    <x v="46"/>
    <n v="990"/>
    <n v="8"/>
    <n v="0"/>
    <n v="24"/>
    <x v="8"/>
    <n v="92"/>
    <n v="891"/>
    <n v="261"/>
    <n v="140"/>
    <n v="583"/>
    <n v="20"/>
    <n v="140"/>
    <n v="81"/>
    <n v="40"/>
    <n v="200"/>
  </r>
  <r>
    <x v="8"/>
    <x v="8"/>
    <x v="67"/>
    <x v="34"/>
    <x v="47"/>
    <n v="1068"/>
    <n v="26"/>
    <n v="23"/>
    <n v="29"/>
    <x v="9"/>
    <n v="0"/>
    <n v="0"/>
    <n v="0"/>
    <n v="235"/>
    <n v="157"/>
    <n v="0"/>
    <n v="0"/>
    <n v="0"/>
    <n v="107"/>
    <n v="78"/>
  </r>
  <r>
    <x v="8"/>
    <x v="9"/>
    <x v="68"/>
    <x v="35"/>
    <x v="48"/>
    <n v="701"/>
    <n v="9"/>
    <n v="1"/>
    <n v="25"/>
    <x v="10"/>
    <n v="0"/>
    <n v="0"/>
    <n v="0"/>
    <n v="0"/>
    <n v="113"/>
    <n v="0"/>
    <n v="0"/>
    <n v="0"/>
    <n v="0"/>
    <n v="57"/>
  </r>
  <r>
    <x v="8"/>
    <x v="10"/>
    <x v="69"/>
    <x v="0"/>
    <x v="49"/>
    <n v="0"/>
    <n v="3"/>
    <n v="0"/>
    <n v="18"/>
    <x v="1"/>
    <n v="841"/>
    <n v="1485"/>
    <n v="783"/>
    <n v="38"/>
    <n v="12"/>
    <n v="108"/>
    <n v="288"/>
    <n v="134"/>
    <n v="7"/>
    <n v="6"/>
  </r>
  <r>
    <x v="8"/>
    <x v="11"/>
    <x v="70"/>
    <x v="0"/>
    <x v="50"/>
    <n v="0"/>
    <n v="5"/>
    <n v="0"/>
    <n v="3"/>
    <x v="1"/>
    <n v="14"/>
    <n v="229"/>
    <n v="114"/>
    <n v="0"/>
    <n v="0"/>
    <n v="4"/>
    <n v="43"/>
    <n v="31"/>
    <n v="0"/>
    <n v="0"/>
  </r>
  <r>
    <x v="8"/>
    <x v="12"/>
    <x v="3"/>
    <x v="0"/>
    <x v="0"/>
    <n v="0"/>
    <n v="0"/>
    <n v="0"/>
    <n v="0"/>
    <x v="1"/>
    <n v="0"/>
    <n v="65"/>
    <n v="21"/>
    <n v="0"/>
    <n v="2"/>
    <n v="0"/>
    <n v="12"/>
    <n v="5"/>
    <n v="0"/>
    <n v="2"/>
  </r>
  <r>
    <x v="8"/>
    <x v="13"/>
    <x v="0"/>
    <x v="0"/>
    <x v="0"/>
    <n v="0"/>
    <n v="0"/>
    <n v="0"/>
    <n v="0"/>
    <x v="1"/>
    <n v="0"/>
    <n v="0"/>
    <n v="0"/>
    <n v="0"/>
    <n v="0"/>
    <n v="0"/>
    <n v="0"/>
    <n v="0"/>
    <n v="0"/>
    <n v="0"/>
  </r>
  <r>
    <x v="9"/>
    <x v="0"/>
    <x v="0"/>
    <x v="0"/>
    <x v="0"/>
    <n v="0"/>
    <n v="0"/>
    <n v="0"/>
    <n v="0"/>
    <x v="1"/>
    <n v="49"/>
    <n v="1"/>
    <n v="0"/>
    <n v="0"/>
    <n v="0"/>
    <n v="23"/>
    <n v="0"/>
    <n v="0"/>
    <n v="0"/>
    <n v="0"/>
  </r>
  <r>
    <x v="9"/>
    <x v="1"/>
    <x v="2"/>
    <x v="0"/>
    <x v="0"/>
    <n v="0"/>
    <n v="1"/>
    <n v="0"/>
    <n v="0"/>
    <x v="1"/>
    <n v="0"/>
    <n v="10"/>
    <n v="0"/>
    <n v="0"/>
    <n v="0"/>
    <n v="0"/>
    <n v="6"/>
    <n v="0"/>
    <n v="0"/>
    <n v="0"/>
  </r>
  <r>
    <x v="9"/>
    <x v="2"/>
    <x v="13"/>
    <x v="0"/>
    <x v="0"/>
    <n v="0"/>
    <n v="3"/>
    <n v="0"/>
    <n v="0"/>
    <x v="1"/>
    <n v="0"/>
    <n v="0"/>
    <n v="0"/>
    <n v="113"/>
    <n v="65"/>
    <n v="0"/>
    <n v="0"/>
    <n v="0"/>
    <n v="88"/>
    <n v="50"/>
  </r>
  <r>
    <x v="9"/>
    <x v="3"/>
    <x v="71"/>
    <x v="0"/>
    <x v="51"/>
    <n v="0"/>
    <n v="64"/>
    <n v="0"/>
    <n v="0"/>
    <x v="1"/>
    <n v="0"/>
    <n v="0"/>
    <n v="0"/>
    <n v="0"/>
    <n v="90"/>
    <n v="0"/>
    <n v="0"/>
    <n v="0"/>
    <n v="0"/>
    <n v="64"/>
  </r>
  <r>
    <x v="9"/>
    <x v="4"/>
    <x v="72"/>
    <x v="36"/>
    <x v="52"/>
    <n v="76"/>
    <n v="118"/>
    <n v="513"/>
    <n v="29"/>
    <x v="4"/>
    <n v="0"/>
    <n v="0"/>
    <n v="0"/>
    <n v="0"/>
    <n v="0"/>
    <n v="0"/>
    <n v="0"/>
    <n v="0"/>
    <n v="0"/>
    <n v="0"/>
  </r>
  <r>
    <x v="9"/>
    <x v="5"/>
    <x v="73"/>
    <x v="37"/>
    <x v="53"/>
    <n v="443"/>
    <n v="132"/>
    <n v="131"/>
    <n v="56"/>
    <x v="11"/>
    <n v="0"/>
    <n v="0"/>
    <n v="0"/>
    <n v="0"/>
    <n v="0"/>
    <n v="0"/>
    <n v="0"/>
    <n v="0"/>
    <n v="0"/>
    <n v="0"/>
  </r>
  <r>
    <x v="9"/>
    <x v="6"/>
    <x v="74"/>
    <x v="38"/>
    <x v="54"/>
    <n v="301"/>
    <n v="107"/>
    <n v="47"/>
    <n v="30"/>
    <x v="12"/>
    <n v="0"/>
    <n v="0"/>
    <n v="0"/>
    <n v="0"/>
    <n v="0"/>
    <n v="0"/>
    <n v="0"/>
    <n v="0"/>
    <n v="0"/>
    <n v="0"/>
  </r>
  <r>
    <x v="9"/>
    <x v="7"/>
    <x v="75"/>
    <x v="39"/>
    <x v="55"/>
    <n v="295"/>
    <n v="74"/>
    <n v="2"/>
    <n v="37"/>
    <x v="13"/>
    <n v="0"/>
    <n v="0"/>
    <n v="0"/>
    <n v="35"/>
    <n v="148"/>
    <n v="0"/>
    <n v="0"/>
    <n v="0"/>
    <n v="10"/>
    <n v="69"/>
  </r>
  <r>
    <x v="9"/>
    <x v="8"/>
    <x v="76"/>
    <x v="0"/>
    <x v="56"/>
    <n v="116"/>
    <n v="20"/>
    <n v="0"/>
    <n v="45"/>
    <x v="14"/>
    <n v="1093"/>
    <n v="9003"/>
    <n v="0"/>
    <n v="0"/>
    <n v="92"/>
    <n v="432"/>
    <n v="2816"/>
    <n v="0"/>
    <n v="0"/>
    <n v="55"/>
  </r>
  <r>
    <x v="9"/>
    <x v="9"/>
    <x v="77"/>
    <x v="40"/>
    <x v="57"/>
    <n v="214"/>
    <n v="15"/>
    <n v="1"/>
    <n v="48"/>
    <x v="15"/>
    <n v="0"/>
    <n v="77"/>
    <n v="0"/>
    <n v="116"/>
    <n v="63"/>
    <n v="0"/>
    <n v="40"/>
    <n v="0"/>
    <n v="48"/>
    <n v="44"/>
  </r>
  <r>
    <x v="9"/>
    <x v="10"/>
    <x v="78"/>
    <x v="41"/>
    <x v="58"/>
    <n v="5"/>
    <n v="15"/>
    <n v="8"/>
    <n v="8"/>
    <x v="2"/>
    <n v="0"/>
    <n v="0"/>
    <n v="0"/>
    <n v="0"/>
    <n v="81"/>
    <n v="0"/>
    <n v="0"/>
    <n v="0"/>
    <n v="0"/>
    <n v="30"/>
  </r>
  <r>
    <x v="9"/>
    <x v="11"/>
    <x v="0"/>
    <x v="42"/>
    <x v="0"/>
    <n v="0"/>
    <n v="0"/>
    <n v="1"/>
    <n v="0"/>
    <x v="1"/>
    <n v="0"/>
    <n v="300"/>
    <n v="742"/>
    <n v="13"/>
    <n v="63"/>
    <n v="0"/>
    <n v="59"/>
    <n v="179"/>
    <n v="1"/>
    <n v="36"/>
  </r>
  <r>
    <x v="9"/>
    <x v="12"/>
    <x v="0"/>
    <x v="0"/>
    <x v="0"/>
    <n v="0"/>
    <n v="0"/>
    <n v="0"/>
    <n v="0"/>
    <x v="1"/>
    <n v="0"/>
    <n v="143"/>
    <n v="283"/>
    <n v="0"/>
    <n v="0"/>
    <n v="0"/>
    <n v="46"/>
    <n v="84"/>
    <n v="0"/>
    <n v="0"/>
  </r>
  <r>
    <x v="9"/>
    <x v="13"/>
    <x v="0"/>
    <x v="0"/>
    <x v="0"/>
    <n v="0"/>
    <n v="0"/>
    <n v="0"/>
    <n v="0"/>
    <x v="1"/>
    <n v="0"/>
    <n v="0"/>
    <n v="0"/>
    <n v="0"/>
    <n v="0"/>
    <n v="0"/>
    <n v="0"/>
    <n v="0"/>
    <n v="0"/>
    <n v="0"/>
  </r>
  <r>
    <x v="10"/>
    <x v="0"/>
    <x v="2"/>
    <x v="0"/>
    <x v="0"/>
    <n v="0"/>
    <n v="0"/>
    <n v="0"/>
    <n v="0"/>
    <x v="1"/>
    <n v="6"/>
    <n v="0"/>
    <n v="0"/>
    <n v="0"/>
    <n v="0"/>
    <n v="2"/>
    <n v="0"/>
    <n v="0"/>
    <n v="0"/>
    <n v="0"/>
  </r>
  <r>
    <x v="10"/>
    <x v="1"/>
    <x v="1"/>
    <x v="0"/>
    <x v="0"/>
    <n v="0"/>
    <n v="0"/>
    <n v="0"/>
    <n v="0"/>
    <x v="1"/>
    <n v="30"/>
    <n v="4"/>
    <n v="0"/>
    <n v="1"/>
    <n v="0"/>
    <n v="8"/>
    <n v="2"/>
    <n v="0"/>
    <n v="1"/>
    <n v="0"/>
  </r>
  <r>
    <x v="10"/>
    <x v="2"/>
    <x v="2"/>
    <x v="0"/>
    <x v="0"/>
    <n v="2"/>
    <n v="0"/>
    <n v="0"/>
    <n v="0"/>
    <x v="1"/>
    <n v="0"/>
    <n v="0"/>
    <n v="0"/>
    <n v="0"/>
    <n v="2"/>
    <n v="0"/>
    <n v="0"/>
    <n v="0"/>
    <n v="0"/>
    <n v="0"/>
  </r>
  <r>
    <x v="10"/>
    <x v="3"/>
    <x v="79"/>
    <x v="0"/>
    <x v="0"/>
    <n v="89"/>
    <n v="14"/>
    <n v="0"/>
    <n v="0"/>
    <x v="2"/>
    <n v="0"/>
    <n v="0"/>
    <n v="0"/>
    <n v="18"/>
    <n v="98"/>
    <n v="0"/>
    <n v="0"/>
    <n v="0"/>
    <n v="13"/>
    <n v="52"/>
  </r>
  <r>
    <x v="10"/>
    <x v="4"/>
    <x v="80"/>
    <x v="43"/>
    <x v="59"/>
    <n v="709"/>
    <n v="88"/>
    <n v="4"/>
    <n v="3"/>
    <x v="16"/>
    <n v="0"/>
    <n v="0"/>
    <n v="0"/>
    <n v="0"/>
    <n v="0"/>
    <n v="0"/>
    <n v="0"/>
    <n v="0"/>
    <n v="0"/>
    <n v="0"/>
  </r>
  <r>
    <x v="10"/>
    <x v="5"/>
    <x v="81"/>
    <x v="44"/>
    <x v="60"/>
    <n v="1651"/>
    <n v="107"/>
    <n v="3"/>
    <n v="10"/>
    <x v="17"/>
    <n v="0"/>
    <n v="0"/>
    <n v="0"/>
    <n v="0"/>
    <n v="0"/>
    <n v="0"/>
    <n v="0"/>
    <n v="0"/>
    <n v="0"/>
    <n v="0"/>
  </r>
  <r>
    <x v="10"/>
    <x v="6"/>
    <x v="82"/>
    <x v="45"/>
    <x v="61"/>
    <n v="1664"/>
    <n v="27"/>
    <n v="19"/>
    <n v="48"/>
    <x v="18"/>
    <n v="0"/>
    <n v="0"/>
    <n v="0"/>
    <n v="0"/>
    <n v="0"/>
    <n v="0"/>
    <n v="0"/>
    <n v="0"/>
    <n v="0"/>
    <n v="0"/>
  </r>
  <r>
    <x v="10"/>
    <x v="7"/>
    <x v="83"/>
    <x v="0"/>
    <x v="62"/>
    <n v="3332"/>
    <n v="41"/>
    <n v="0"/>
    <n v="17"/>
    <x v="19"/>
    <n v="0"/>
    <n v="0"/>
    <n v="0"/>
    <n v="194"/>
    <n v="194"/>
    <n v="0"/>
    <n v="0"/>
    <n v="0"/>
    <n v="110"/>
    <n v="110"/>
  </r>
  <r>
    <x v="10"/>
    <x v="8"/>
    <x v="84"/>
    <x v="46"/>
    <x v="63"/>
    <n v="1073"/>
    <n v="6"/>
    <n v="5"/>
    <n v="28"/>
    <x v="3"/>
    <n v="0"/>
    <n v="0"/>
    <n v="0"/>
    <n v="0"/>
    <n v="0"/>
    <n v="0"/>
    <n v="0"/>
    <n v="0"/>
    <n v="0"/>
    <n v="0"/>
  </r>
  <r>
    <x v="10"/>
    <x v="9"/>
    <x v="85"/>
    <x v="0"/>
    <x v="64"/>
    <n v="85"/>
    <n v="0"/>
    <n v="0"/>
    <n v="2"/>
    <x v="20"/>
    <n v="431"/>
    <n v="1147"/>
    <n v="330"/>
    <n v="184"/>
    <n v="177"/>
    <n v="123"/>
    <n v="333"/>
    <n v="111"/>
    <n v="125"/>
    <n v="133"/>
  </r>
  <r>
    <x v="10"/>
    <x v="10"/>
    <x v="19"/>
    <x v="0"/>
    <x v="65"/>
    <n v="347"/>
    <n v="0"/>
    <n v="0"/>
    <n v="3"/>
    <x v="11"/>
    <n v="1657"/>
    <n v="3288"/>
    <n v="2390"/>
    <n v="278"/>
    <n v="93"/>
    <n v="447"/>
    <n v="889"/>
    <n v="472"/>
    <n v="175"/>
    <n v="74"/>
  </r>
  <r>
    <x v="10"/>
    <x v="11"/>
    <x v="11"/>
    <x v="0"/>
    <x v="66"/>
    <n v="0"/>
    <n v="2"/>
    <n v="0"/>
    <n v="12"/>
    <x v="1"/>
    <n v="47"/>
    <n v="287"/>
    <n v="215"/>
    <n v="82"/>
    <n v="72"/>
    <n v="10"/>
    <n v="63"/>
    <n v="76"/>
    <n v="35"/>
    <n v="38"/>
  </r>
  <r>
    <x v="10"/>
    <x v="12"/>
    <x v="0"/>
    <x v="0"/>
    <x v="0"/>
    <n v="0"/>
    <n v="0"/>
    <n v="0"/>
    <n v="0"/>
    <x v="1"/>
    <n v="0"/>
    <n v="0"/>
    <n v="0"/>
    <n v="0"/>
    <n v="0"/>
    <n v="0"/>
    <n v="0"/>
    <n v="0"/>
    <n v="0"/>
    <n v="0"/>
  </r>
  <r>
    <x v="10"/>
    <x v="13"/>
    <x v="0"/>
    <x v="0"/>
    <x v="0"/>
    <n v="0"/>
    <n v="0"/>
    <n v="0"/>
    <n v="0"/>
    <x v="1"/>
    <n v="0"/>
    <n v="0"/>
    <n v="0"/>
    <n v="0"/>
    <n v="0"/>
    <n v="0"/>
    <n v="0"/>
    <n v="0"/>
    <n v="0"/>
    <n v="0"/>
  </r>
  <r>
    <x v="11"/>
    <x v="0"/>
    <x v="0"/>
    <x v="0"/>
    <x v="0"/>
    <n v="0"/>
    <n v="0"/>
    <n v="0"/>
    <n v="0"/>
    <x v="1"/>
    <n v="0"/>
    <n v="0"/>
    <n v="0"/>
    <n v="0"/>
    <n v="0"/>
    <n v="0"/>
    <n v="0"/>
    <n v="0"/>
    <n v="0"/>
    <n v="0"/>
  </r>
  <r>
    <x v="11"/>
    <x v="1"/>
    <x v="2"/>
    <x v="0"/>
    <x v="0"/>
    <n v="0"/>
    <n v="0"/>
    <n v="0"/>
    <n v="0"/>
    <x v="1"/>
    <n v="0"/>
    <n v="0"/>
    <n v="0"/>
    <n v="0"/>
    <n v="0"/>
    <n v="0"/>
    <n v="0"/>
    <n v="0"/>
    <n v="0"/>
    <n v="0"/>
  </r>
  <r>
    <x v="11"/>
    <x v="2"/>
    <x v="17"/>
    <x v="0"/>
    <x v="0"/>
    <n v="2"/>
    <n v="1"/>
    <n v="0"/>
    <n v="0"/>
    <x v="1"/>
    <n v="0"/>
    <n v="0"/>
    <n v="0"/>
    <n v="25"/>
    <n v="17"/>
    <n v="0"/>
    <n v="0"/>
    <n v="0"/>
    <n v="16"/>
    <n v="12"/>
  </r>
  <r>
    <x v="11"/>
    <x v="3"/>
    <x v="86"/>
    <x v="0"/>
    <x v="0"/>
    <n v="2"/>
    <n v="4"/>
    <n v="0"/>
    <n v="0"/>
    <x v="1"/>
    <n v="0"/>
    <n v="0"/>
    <n v="0"/>
    <n v="100"/>
    <n v="26"/>
    <n v="0"/>
    <n v="0"/>
    <n v="0"/>
    <n v="84"/>
    <n v="20"/>
  </r>
  <r>
    <x v="11"/>
    <x v="4"/>
    <x v="87"/>
    <x v="47"/>
    <x v="67"/>
    <n v="115"/>
    <n v="53"/>
    <n v="5"/>
    <n v="1"/>
    <x v="3"/>
    <n v="0"/>
    <n v="0"/>
    <n v="0"/>
    <n v="249"/>
    <n v="62"/>
    <n v="0"/>
    <n v="0"/>
    <n v="0"/>
    <n v="193"/>
    <n v="52"/>
  </r>
  <r>
    <x v="11"/>
    <x v="5"/>
    <x v="88"/>
    <x v="48"/>
    <x v="68"/>
    <n v="472"/>
    <n v="41"/>
    <n v="60"/>
    <n v="5"/>
    <x v="17"/>
    <n v="0"/>
    <n v="0"/>
    <n v="0"/>
    <n v="0"/>
    <n v="0"/>
    <n v="0"/>
    <n v="0"/>
    <n v="0"/>
    <n v="0"/>
    <n v="0"/>
  </r>
  <r>
    <x v="11"/>
    <x v="6"/>
    <x v="89"/>
    <x v="49"/>
    <x v="69"/>
    <n v="985"/>
    <n v="119"/>
    <n v="57"/>
    <n v="19"/>
    <x v="13"/>
    <n v="0"/>
    <n v="0"/>
    <n v="0"/>
    <n v="0"/>
    <n v="0"/>
    <n v="0"/>
    <n v="0"/>
    <n v="0"/>
    <n v="0"/>
    <n v="0"/>
  </r>
  <r>
    <x v="11"/>
    <x v="7"/>
    <x v="90"/>
    <x v="50"/>
    <x v="70"/>
    <n v="1323"/>
    <n v="33"/>
    <n v="34"/>
    <n v="38"/>
    <x v="17"/>
    <n v="33"/>
    <n v="394"/>
    <n v="342"/>
    <n v="289"/>
    <n v="379"/>
    <n v="8"/>
    <n v="147"/>
    <n v="146"/>
    <n v="137"/>
    <n v="168"/>
  </r>
  <r>
    <x v="11"/>
    <x v="8"/>
    <x v="91"/>
    <x v="51"/>
    <x v="24"/>
    <n v="661"/>
    <n v="45"/>
    <n v="13"/>
    <n v="19"/>
    <x v="21"/>
    <n v="77"/>
    <n v="102"/>
    <n v="53"/>
    <n v="121"/>
    <n v="31"/>
    <n v="13"/>
    <n v="20"/>
    <n v="15"/>
    <n v="33"/>
    <n v="16"/>
  </r>
  <r>
    <x v="11"/>
    <x v="9"/>
    <x v="26"/>
    <x v="52"/>
    <x v="33"/>
    <n v="171"/>
    <n v="0"/>
    <n v="1"/>
    <n v="16"/>
    <x v="4"/>
    <n v="3"/>
    <n v="145"/>
    <n v="152"/>
    <n v="191"/>
    <n v="0"/>
    <n v="0"/>
    <n v="35"/>
    <n v="36"/>
    <n v="32"/>
    <n v="0"/>
  </r>
  <r>
    <x v="11"/>
    <x v="10"/>
    <x v="0"/>
    <x v="53"/>
    <x v="71"/>
    <n v="153"/>
    <n v="0"/>
    <n v="12"/>
    <n v="21"/>
    <x v="22"/>
    <n v="89"/>
    <n v="251"/>
    <n v="559"/>
    <n v="23"/>
    <n v="21"/>
    <n v="27"/>
    <n v="65"/>
    <n v="171"/>
    <n v="8"/>
    <n v="4"/>
  </r>
  <r>
    <x v="11"/>
    <x v="11"/>
    <x v="92"/>
    <x v="0"/>
    <x v="0"/>
    <n v="0"/>
    <n v="3"/>
    <n v="0"/>
    <n v="0"/>
    <x v="1"/>
    <n v="1"/>
    <n v="56"/>
    <n v="151"/>
    <n v="8"/>
    <n v="13"/>
    <n v="0"/>
    <n v="19"/>
    <n v="62"/>
    <n v="3"/>
    <n v="3"/>
  </r>
  <r>
    <x v="11"/>
    <x v="12"/>
    <x v="0"/>
    <x v="0"/>
    <x v="0"/>
    <n v="0"/>
    <n v="0"/>
    <n v="0"/>
    <n v="0"/>
    <x v="1"/>
    <n v="0"/>
    <n v="0"/>
    <n v="0"/>
    <n v="0"/>
    <n v="0"/>
    <n v="0"/>
    <n v="0"/>
    <n v="0"/>
    <n v="0"/>
    <n v="0"/>
  </r>
  <r>
    <x v="11"/>
    <x v="13"/>
    <x v="0"/>
    <x v="0"/>
    <x v="0"/>
    <n v="0"/>
    <n v="0"/>
    <n v="0"/>
    <n v="0"/>
    <x v="1"/>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8" applyNumberFormats="0" applyBorderFormats="0" applyFontFormats="0" applyPatternFormats="0" applyAlignmentFormats="0" applyWidthHeightFormats="1" dataCaption="Data" updatedVersion="3" showMemberPropertyTips="0" useAutoFormatting="1" itemPrintTitles="1" createdVersion="1" indent="0" compact="0" compactData="0" gridDropZones="1">
  <location ref="V3:AE19" firstHeaderRow="1" firstDataRow="2" firstDataCol="1"/>
  <pivotFields count="20">
    <pivotField compact="0" outline="0" subtotalTop="0" showAll="0" includeNewItemsInFilter="1">
      <items count="13">
        <item x="0"/>
        <item x="1"/>
        <item x="2"/>
        <item x="3"/>
        <item x="4"/>
        <item x="5"/>
        <item x="6"/>
        <item x="7"/>
        <item x="8"/>
        <item x="9"/>
        <item x="10"/>
        <item x="11"/>
        <item t="default"/>
      </items>
    </pivotField>
    <pivotField axis="axisRow" compact="0" outline="0" subtotalTop="0" showAll="0" includeNewItemsInFilter="1">
      <items count="15">
        <item x="0"/>
        <item x="1"/>
        <item x="2"/>
        <item x="3"/>
        <item x="4"/>
        <item x="5"/>
        <item x="6"/>
        <item x="7"/>
        <item x="8"/>
        <item x="9"/>
        <item x="10"/>
        <item x="11"/>
        <item x="12"/>
        <item x="13"/>
        <item t="default"/>
      </items>
    </pivotField>
    <pivotField dataField="1" compact="0" outline="0" subtotalTop="0" showAll="0" includeNewItemsInFilter="1">
      <items count="94">
        <item x="0"/>
        <item x="2"/>
        <item x="1"/>
        <item x="11"/>
        <item x="41"/>
        <item x="42"/>
        <item x="26"/>
        <item x="3"/>
        <item x="85"/>
        <item x="33"/>
        <item x="19"/>
        <item x="9"/>
        <item x="62"/>
        <item x="17"/>
        <item x="40"/>
        <item x="34"/>
        <item x="61"/>
        <item x="54"/>
        <item x="12"/>
        <item x="86"/>
        <item x="56"/>
        <item x="20"/>
        <item x="10"/>
        <item x="13"/>
        <item x="4"/>
        <item x="60"/>
        <item x="53"/>
        <item x="8"/>
        <item x="55"/>
        <item x="46"/>
        <item x="28"/>
        <item x="92"/>
        <item x="70"/>
        <item x="38"/>
        <item x="27"/>
        <item x="7"/>
        <item x="31"/>
        <item x="36"/>
        <item x="15"/>
        <item x="5"/>
        <item x="57"/>
        <item x="39"/>
        <item x="48"/>
        <item x="49"/>
        <item x="45"/>
        <item x="69"/>
        <item x="68"/>
        <item x="50"/>
        <item x="16"/>
        <item x="84"/>
        <item x="24"/>
        <item x="51"/>
        <item x="6"/>
        <item x="52"/>
        <item x="78"/>
        <item x="14"/>
        <item x="43"/>
        <item x="18"/>
        <item x="32"/>
        <item x="30"/>
        <item x="21"/>
        <item x="35"/>
        <item x="47"/>
        <item x="44"/>
        <item x="76"/>
        <item x="77"/>
        <item x="23"/>
        <item x="22"/>
        <item x="29"/>
        <item x="79"/>
        <item x="25"/>
        <item x="66"/>
        <item x="37"/>
        <item x="59"/>
        <item x="58"/>
        <item x="87"/>
        <item x="67"/>
        <item x="88"/>
        <item x="83"/>
        <item x="82"/>
        <item x="71"/>
        <item x="91"/>
        <item x="64"/>
        <item x="90"/>
        <item x="63"/>
        <item x="75"/>
        <item x="89"/>
        <item x="73"/>
        <item x="74"/>
        <item x="72"/>
        <item x="81"/>
        <item x="80"/>
        <item x="65"/>
        <item t="default"/>
      </items>
    </pivotField>
    <pivotField dataField="1" compact="0" outline="0" subtotalTop="0" showAll="0" includeNewItemsInFilter="1">
      <items count="55">
        <item x="0"/>
        <item x="40"/>
        <item x="42"/>
        <item x="14"/>
        <item x="11"/>
        <item x="33"/>
        <item x="7"/>
        <item x="29"/>
        <item x="47"/>
        <item x="28"/>
        <item x="4"/>
        <item x="18"/>
        <item x="52"/>
        <item x="27"/>
        <item x="3"/>
        <item x="9"/>
        <item x="23"/>
        <item x="24"/>
        <item x="13"/>
        <item x="39"/>
        <item x="22"/>
        <item x="6"/>
        <item x="20"/>
        <item x="35"/>
        <item x="17"/>
        <item x="21"/>
        <item x="5"/>
        <item x="26"/>
        <item x="46"/>
        <item x="12"/>
        <item x="2"/>
        <item x="51"/>
        <item x="1"/>
        <item x="44"/>
        <item x="19"/>
        <item x="10"/>
        <item x="15"/>
        <item x="50"/>
        <item x="8"/>
        <item x="16"/>
        <item x="25"/>
        <item x="41"/>
        <item x="43"/>
        <item x="53"/>
        <item x="48"/>
        <item x="32"/>
        <item x="45"/>
        <item x="49"/>
        <item x="38"/>
        <item x="30"/>
        <item x="34"/>
        <item x="31"/>
        <item x="37"/>
        <item x="36"/>
        <item t="default"/>
      </items>
    </pivotField>
    <pivotField dataField="1" compact="0" outline="0" subtotalTop="0" showAll="0" includeNewItemsInFilter="1">
      <items count="73">
        <item x="0"/>
        <item x="67"/>
        <item x="25"/>
        <item x="19"/>
        <item x="15"/>
        <item x="27"/>
        <item x="50"/>
        <item x="26"/>
        <item x="51"/>
        <item x="14"/>
        <item x="7"/>
        <item x="37"/>
        <item x="8"/>
        <item x="9"/>
        <item x="2"/>
        <item x="30"/>
        <item x="68"/>
        <item x="64"/>
        <item x="16"/>
        <item x="4"/>
        <item x="21"/>
        <item x="6"/>
        <item x="20"/>
        <item x="33"/>
        <item x="1"/>
        <item x="5"/>
        <item x="3"/>
        <item x="17"/>
        <item x="41"/>
        <item x="71"/>
        <item x="35"/>
        <item x="36"/>
        <item x="65"/>
        <item x="24"/>
        <item x="29"/>
        <item x="13"/>
        <item x="22"/>
        <item x="32"/>
        <item x="23"/>
        <item x="59"/>
        <item x="31"/>
        <item x="18"/>
        <item x="11"/>
        <item x="43"/>
        <item x="34"/>
        <item x="69"/>
        <item x="70"/>
        <item x="10"/>
        <item x="66"/>
        <item x="28"/>
        <item x="40"/>
        <item x="49"/>
        <item x="38"/>
        <item x="42"/>
        <item x="62"/>
        <item x="60"/>
        <item x="12"/>
        <item x="63"/>
        <item x="58"/>
        <item x="48"/>
        <item x="52"/>
        <item x="46"/>
        <item x="47"/>
        <item x="61"/>
        <item x="56"/>
        <item x="39"/>
        <item x="44"/>
        <item x="54"/>
        <item x="45"/>
        <item x="55"/>
        <item x="53"/>
        <item x="57"/>
        <item t="default"/>
      </items>
    </pivotField>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dataField="1" compact="0" outline="0" subtotalTop="0" showAll="0" includeNewItemsInFilter="1"/>
    <pivotField dataField="1" compact="0" outline="0" subtotalTop="0" showAll="0" includeNewItemsInFilter="1"/>
    <pivotField dataField="1" compact="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1"/>
  </rowFields>
  <rowItems count="15">
    <i>
      <x/>
    </i>
    <i>
      <x v="1"/>
    </i>
    <i>
      <x v="2"/>
    </i>
    <i>
      <x v="3"/>
    </i>
    <i>
      <x v="4"/>
    </i>
    <i>
      <x v="5"/>
    </i>
    <i>
      <x v="6"/>
    </i>
    <i>
      <x v="7"/>
    </i>
    <i>
      <x v="8"/>
    </i>
    <i>
      <x v="9"/>
    </i>
    <i>
      <x v="10"/>
    </i>
    <i>
      <x v="11"/>
    </i>
    <i>
      <x v="12"/>
    </i>
    <i>
      <x v="13"/>
    </i>
    <i t="grand">
      <x/>
    </i>
  </rowItems>
  <colFields count="1">
    <field x="-2"/>
  </colFields>
  <colItems count="9">
    <i>
      <x/>
    </i>
    <i i="1">
      <x v="1"/>
    </i>
    <i i="2">
      <x v="2"/>
    </i>
    <i i="3">
      <x v="3"/>
    </i>
    <i i="4">
      <x v="4"/>
    </i>
    <i i="5">
      <x v="5"/>
    </i>
    <i i="6">
      <x v="6"/>
    </i>
    <i i="7">
      <x v="7"/>
    </i>
    <i i="8">
      <x v="8"/>
    </i>
  </colItems>
  <dataFields count="9">
    <dataField name="Sum of Youngs Bay" fld="2" baseField="0" baseItem="0"/>
    <dataField name="Sum of Tongue Pt" fld="3" baseField="0" baseItem="0"/>
    <dataField name="Sum of Blind Sl" fld="4" baseField="0" baseItem="0"/>
    <dataField name="Sum of Deep R" fld="5" baseField="0" baseItem="0"/>
    <dataField name="Sum of 1" fld="10" baseField="0" baseItem="0"/>
    <dataField name="Sum of 2" fld="11" baseField="0" baseItem="0"/>
    <dataField name="Sum of 3" fld="12" baseField="0" baseItem="0"/>
    <dataField name="Sum of 4" fld="13" baseField="0" baseItem="0"/>
    <dataField name="Sum of 5" fld="14"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8" applyNumberFormats="0" applyBorderFormats="0" applyFontFormats="0" applyPatternFormats="0" applyAlignmentFormats="0" applyWidthHeightFormats="1" dataCaption="Data" updatedVersion="3" showMemberPropertyTips="0" useAutoFormatting="1" itemPrintTitles="1" createdVersion="1" indent="0" compact="0" compactData="0" gridDropZones="1">
  <location ref="V21:AE37" firstHeaderRow="1" firstDataRow="2" firstDataCol="1"/>
  <pivotFields count="20">
    <pivotField compact="0" outline="0" subtotalTop="0" showAll="0" includeNewItemsInFilter="1">
      <items count="13">
        <item x="0"/>
        <item x="1"/>
        <item x="2"/>
        <item x="3"/>
        <item x="4"/>
        <item x="5"/>
        <item x="6"/>
        <item x="7"/>
        <item x="8"/>
        <item x="9"/>
        <item x="10"/>
        <item x="11"/>
        <item t="default"/>
      </items>
    </pivotField>
    <pivotField axis="axisRow" compact="0" outline="0" subtotalTop="0" showAll="0" includeNewItemsInFilter="1">
      <items count="15">
        <item x="0"/>
        <item x="1"/>
        <item x="2"/>
        <item x="3"/>
        <item x="4"/>
        <item x="5"/>
        <item x="6"/>
        <item x="7"/>
        <item x="8"/>
        <item x="9"/>
        <item x="10"/>
        <item x="11"/>
        <item x="12"/>
        <item x="13"/>
        <item t="default"/>
      </items>
    </pivotField>
    <pivotField compact="0" outline="0" subtotalTop="0" showAll="0" includeNewItemsInFilter="1">
      <items count="94">
        <item x="0"/>
        <item x="2"/>
        <item x="1"/>
        <item x="11"/>
        <item x="41"/>
        <item x="42"/>
        <item x="26"/>
        <item x="3"/>
        <item x="85"/>
        <item x="33"/>
        <item x="19"/>
        <item x="9"/>
        <item x="62"/>
        <item x="17"/>
        <item x="40"/>
        <item x="34"/>
        <item x="61"/>
        <item x="54"/>
        <item x="12"/>
        <item x="86"/>
        <item x="56"/>
        <item x="20"/>
        <item x="10"/>
        <item x="13"/>
        <item x="4"/>
        <item x="60"/>
        <item x="53"/>
        <item x="8"/>
        <item x="55"/>
        <item x="46"/>
        <item x="28"/>
        <item x="92"/>
        <item x="70"/>
        <item x="38"/>
        <item x="27"/>
        <item x="7"/>
        <item x="31"/>
        <item x="36"/>
        <item x="15"/>
        <item x="5"/>
        <item x="57"/>
        <item x="39"/>
        <item x="48"/>
        <item x="49"/>
        <item x="45"/>
        <item x="69"/>
        <item x="68"/>
        <item x="50"/>
        <item x="16"/>
        <item x="84"/>
        <item x="24"/>
        <item x="51"/>
        <item x="6"/>
        <item x="52"/>
        <item x="78"/>
        <item x="14"/>
        <item x="43"/>
        <item x="18"/>
        <item x="32"/>
        <item x="30"/>
        <item x="21"/>
        <item x="35"/>
        <item x="47"/>
        <item x="44"/>
        <item x="76"/>
        <item x="77"/>
        <item x="23"/>
        <item x="22"/>
        <item x="29"/>
        <item x="79"/>
        <item x="25"/>
        <item x="66"/>
        <item x="37"/>
        <item x="59"/>
        <item x="58"/>
        <item x="87"/>
        <item x="67"/>
        <item x="88"/>
        <item x="83"/>
        <item x="82"/>
        <item x="71"/>
        <item x="91"/>
        <item x="64"/>
        <item x="90"/>
        <item x="63"/>
        <item x="75"/>
        <item x="89"/>
        <item x="73"/>
        <item x="74"/>
        <item x="72"/>
        <item x="81"/>
        <item x="80"/>
        <item x="65"/>
        <item t="default"/>
      </items>
    </pivotField>
    <pivotField compact="0" outline="0" subtotalTop="0" showAll="0" includeNewItemsInFilter="1">
      <items count="55">
        <item x="0"/>
        <item x="40"/>
        <item x="42"/>
        <item x="14"/>
        <item x="11"/>
        <item x="33"/>
        <item x="7"/>
        <item x="29"/>
        <item x="47"/>
        <item x="28"/>
        <item x="4"/>
        <item x="18"/>
        <item x="52"/>
        <item x="27"/>
        <item x="3"/>
        <item x="9"/>
        <item x="23"/>
        <item x="24"/>
        <item x="13"/>
        <item x="39"/>
        <item x="22"/>
        <item x="6"/>
        <item x="20"/>
        <item x="35"/>
        <item x="17"/>
        <item x="21"/>
        <item x="5"/>
        <item x="26"/>
        <item x="46"/>
        <item x="12"/>
        <item x="2"/>
        <item x="51"/>
        <item x="1"/>
        <item x="44"/>
        <item x="19"/>
        <item x="10"/>
        <item x="15"/>
        <item x="50"/>
        <item x="8"/>
        <item x="16"/>
        <item x="25"/>
        <item x="41"/>
        <item x="43"/>
        <item x="53"/>
        <item x="48"/>
        <item x="32"/>
        <item x="45"/>
        <item x="49"/>
        <item x="38"/>
        <item x="30"/>
        <item x="34"/>
        <item x="31"/>
        <item x="37"/>
        <item x="36"/>
        <item t="default"/>
      </items>
    </pivotField>
    <pivotField compact="0" outline="0" subtotalTop="0" showAll="0" includeNewItemsInFilter="1">
      <items count="73">
        <item x="0"/>
        <item x="67"/>
        <item x="25"/>
        <item x="19"/>
        <item x="15"/>
        <item x="27"/>
        <item x="50"/>
        <item x="26"/>
        <item x="51"/>
        <item x="14"/>
        <item x="7"/>
        <item x="37"/>
        <item x="8"/>
        <item x="9"/>
        <item x="2"/>
        <item x="30"/>
        <item x="68"/>
        <item x="64"/>
        <item x="16"/>
        <item x="4"/>
        <item x="21"/>
        <item x="6"/>
        <item x="20"/>
        <item x="33"/>
        <item x="1"/>
        <item x="5"/>
        <item x="3"/>
        <item x="17"/>
        <item x="41"/>
        <item x="71"/>
        <item x="35"/>
        <item x="36"/>
        <item x="65"/>
        <item x="24"/>
        <item x="29"/>
        <item x="13"/>
        <item x="22"/>
        <item x="32"/>
        <item x="23"/>
        <item x="59"/>
        <item x="31"/>
        <item x="18"/>
        <item x="11"/>
        <item x="43"/>
        <item x="34"/>
        <item x="69"/>
        <item x="70"/>
        <item x="10"/>
        <item x="66"/>
        <item x="28"/>
        <item x="40"/>
        <item x="49"/>
        <item x="38"/>
        <item x="42"/>
        <item x="62"/>
        <item x="60"/>
        <item x="12"/>
        <item x="63"/>
        <item x="58"/>
        <item x="48"/>
        <item x="52"/>
        <item x="46"/>
        <item x="47"/>
        <item x="61"/>
        <item x="56"/>
        <item x="39"/>
        <item x="44"/>
        <item x="54"/>
        <item x="45"/>
        <item x="55"/>
        <item x="53"/>
        <item x="57"/>
        <item t="default"/>
      </items>
    </pivotField>
    <pivotField compact="0" outline="0" subtotalTop="0" showAll="0" includeNewItemsInFilter="1"/>
    <pivotField dataField="1" compact="0" outline="0" subtotalTop="0" showAll="0" includeNewItemsInFilter="1"/>
    <pivotField dataField="1" compact="0" outline="0" subtotalTop="0" showAll="0" includeNewItemsInFilter="1"/>
    <pivotField dataField="1" compact="0" outline="0" subtotalTop="0" showAll="0" includeNewItemsInFilter="1"/>
    <pivotField dataField="1" compact="0" outline="0" subtotalTop="0" showAll="0" includeNewItemsInFilter="1">
      <items count="24">
        <item x="1"/>
        <item x="2"/>
        <item x="20"/>
        <item x="22"/>
        <item x="4"/>
        <item x="11"/>
        <item x="3"/>
        <item x="18"/>
        <item x="16"/>
        <item x="17"/>
        <item x="12"/>
        <item x="21"/>
        <item x="13"/>
        <item x="14"/>
        <item x="19"/>
        <item x="15"/>
        <item x="6"/>
        <item x="5"/>
        <item x="10"/>
        <item x="8"/>
        <item x="9"/>
        <item x="7"/>
        <ite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dataField="1" compact="0" outline="0" subtotalTop="0" showAll="0" includeNewItemsInFilter="1"/>
    <pivotField dataField="1" compact="0" outline="0" subtotalTop="0" showAll="0" includeNewItemsInFilter="1"/>
    <pivotField dataField="1" compact="0" outline="0" subtotalTop="0" showAll="0" includeNewItemsInFilter="1"/>
    <pivotField dataField="1" compact="0" outline="0" subtotalTop="0" showAll="0" includeNewItemsInFilter="1"/>
  </pivotFields>
  <rowFields count="1">
    <field x="1"/>
  </rowFields>
  <rowItems count="15">
    <i>
      <x/>
    </i>
    <i>
      <x v="1"/>
    </i>
    <i>
      <x v="2"/>
    </i>
    <i>
      <x v="3"/>
    </i>
    <i>
      <x v="4"/>
    </i>
    <i>
      <x v="5"/>
    </i>
    <i>
      <x v="6"/>
    </i>
    <i>
      <x v="7"/>
    </i>
    <i>
      <x v="8"/>
    </i>
    <i>
      <x v="9"/>
    </i>
    <i>
      <x v="10"/>
    </i>
    <i>
      <x v="11"/>
    </i>
    <i>
      <x v="12"/>
    </i>
    <i>
      <x v="13"/>
    </i>
    <i t="grand">
      <x/>
    </i>
  </rowItems>
  <colFields count="1">
    <field x="-2"/>
  </colFields>
  <colItems count="9">
    <i>
      <x/>
    </i>
    <i i="1">
      <x v="1"/>
    </i>
    <i i="2">
      <x v="2"/>
    </i>
    <i i="3">
      <x v="3"/>
    </i>
    <i i="4">
      <x v="4"/>
    </i>
    <i i="5">
      <x v="5"/>
    </i>
    <i i="6">
      <x v="6"/>
    </i>
    <i i="7">
      <x v="7"/>
    </i>
    <i i="8">
      <x v="8"/>
    </i>
  </colItems>
  <dataFields count="9">
    <dataField name="Sum of Youngs Bay2" fld="6" baseField="0" baseItem="0"/>
    <dataField name="Sum of Tongue Pt2" fld="7" baseField="0" baseItem="0"/>
    <dataField name="Sum of Blind Sl2" fld="8" baseField="0" baseItem="0"/>
    <dataField name="Sum of Deep R2" fld="9" baseField="0" baseItem="0"/>
    <dataField name="Sum of 12" fld="15" baseField="0" baseItem="0"/>
    <dataField name="Sum of 22" fld="16" baseField="0" baseItem="0"/>
    <dataField name="Sum of 32" fld="17" baseField="0" baseItem="0"/>
    <dataField name="Sum of 52" fld="19" baseField="0" baseItem="0"/>
    <dataField name="Sum of 42" fld="18"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21" dT="2021-12-30T17:22:02.18" personId="{74682167-2824-4864-A16B-19FE7B053FDF}" id="{27655346-8F13-4110-8F96-CBBB02B21A89}">
    <text>no catch reported for weeks 46-48</text>
  </threadedComment>
</ThreadedComments>
</file>

<file path=xl/threadedComments/threadedComment2.xml><?xml version="1.0" encoding="utf-8"?>
<ThreadedComments xmlns="http://schemas.microsoft.com/office/spreadsheetml/2018/threadedcomments" xmlns:x="http://schemas.openxmlformats.org/spreadsheetml/2006/main">
  <threadedComment ref="F21" dT="2021-12-30T17:22:02.18" personId="{74682167-2824-4864-A16B-19FE7B053FDF}" id="{5D690484-5E86-4F33-90C1-65376E271C89}">
    <text>no catch reported for weeks 47 &amp; 48</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6.xml"/><Relationship Id="rId1" Type="http://schemas.openxmlformats.org/officeDocument/2006/relationships/printerSettings" Target="../printerSettings/printerSettings12.bin"/><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8.xml"/><Relationship Id="rId1" Type="http://schemas.openxmlformats.org/officeDocument/2006/relationships/printerSettings" Target="../printerSettings/printerSettings16.bin"/><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9.xml"/><Relationship Id="rId1" Type="http://schemas.openxmlformats.org/officeDocument/2006/relationships/printerSettings" Target="../printerSettings/printerSettings18.bin"/><Relationship Id="rId4" Type="http://schemas.openxmlformats.org/officeDocument/2006/relationships/comments" Target="../comments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0.xml"/><Relationship Id="rId1" Type="http://schemas.openxmlformats.org/officeDocument/2006/relationships/printerSettings" Target="../printerSettings/printerSettings21.bin"/><Relationship Id="rId4" Type="http://schemas.openxmlformats.org/officeDocument/2006/relationships/comments" Target="../comments15.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1.xml"/><Relationship Id="rId1" Type="http://schemas.openxmlformats.org/officeDocument/2006/relationships/printerSettings" Target="../printerSettings/printerSettings23.bin"/><Relationship Id="rId4" Type="http://schemas.openxmlformats.org/officeDocument/2006/relationships/comments" Target="../comments16.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8.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15.xml"/><Relationship Id="rId1" Type="http://schemas.openxmlformats.org/officeDocument/2006/relationships/printerSettings" Target="../printerSettings/printerSettings40.bin"/><Relationship Id="rId4" Type="http://schemas.openxmlformats.org/officeDocument/2006/relationships/comments" Target="../comments23.xml"/></Relationships>
</file>

<file path=xl/worksheets/_rels/sheet49.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43.bin"/></Relationships>
</file>

<file path=xl/worksheets/_rels/sheet52.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44.bin"/></Relationships>
</file>

<file path=xl/worksheets/_rels/sheet53.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45.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56.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4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9.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49.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50.bin"/></Relationships>
</file>

<file path=xl/worksheets/_rels/sheet61.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51.bin"/></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63.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52.bin"/></Relationships>
</file>

<file path=xl/worksheets/_rels/sheet64.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5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4.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K20"/>
  <sheetViews>
    <sheetView zoomScaleNormal="100" workbookViewId="0">
      <selection activeCell="B14" sqref="B14"/>
    </sheetView>
  </sheetViews>
  <sheetFormatPr defaultRowHeight="12.5" x14ac:dyDescent="0.25"/>
  <cols>
    <col min="1" max="1" width="11.7265625" bestFit="1" customWidth="1"/>
    <col min="2" max="2" width="11.1796875" customWidth="1"/>
    <col min="3" max="3" width="9.453125" bestFit="1" customWidth="1"/>
    <col min="4" max="4" width="7.453125" bestFit="1" customWidth="1"/>
    <col min="5" max="5" width="7.1796875" bestFit="1" customWidth="1"/>
    <col min="6" max="6" width="8.26953125" bestFit="1" customWidth="1"/>
    <col min="7" max="8" width="7.26953125" bestFit="1" customWidth="1"/>
    <col min="9" max="9" width="8.26953125" bestFit="1" customWidth="1"/>
    <col min="10" max="10" width="7.26953125" bestFit="1" customWidth="1"/>
  </cols>
  <sheetData>
    <row r="4" spans="1:10" x14ac:dyDescent="0.25">
      <c r="A4" s="27" t="s">
        <v>56</v>
      </c>
    </row>
    <row r="5" spans="1:10" x14ac:dyDescent="0.25">
      <c r="A5" t="s">
        <v>134</v>
      </c>
      <c r="B5" s="44" t="s">
        <v>31</v>
      </c>
      <c r="C5" s="44" t="s">
        <v>62</v>
      </c>
      <c r="D5" s="44" t="s">
        <v>260</v>
      </c>
      <c r="E5" s="44" t="s">
        <v>203</v>
      </c>
      <c r="F5" s="44">
        <v>1</v>
      </c>
      <c r="G5" s="44">
        <v>2</v>
      </c>
      <c r="H5" s="44">
        <v>3</v>
      </c>
      <c r="I5" s="44">
        <v>4</v>
      </c>
      <c r="J5" s="44">
        <v>5</v>
      </c>
    </row>
    <row r="6" spans="1:10" x14ac:dyDescent="0.25">
      <c r="A6">
        <v>32</v>
      </c>
      <c r="B6" s="3">
        <f>GETPIVOTDATA("Sum of Youngs Bay2",'sampling pivot'!$V$21,"Week",A6)/GETPIVOTDATA("Sum of Youngs Bay",'sampling pivot'!$V$3,"Week",A6)</f>
        <v>0</v>
      </c>
      <c r="C6" s="3"/>
      <c r="D6" s="3"/>
      <c r="E6" s="3"/>
      <c r="F6" s="3">
        <f>GETPIVOTDATA("Sum of 12",'sampling pivot'!$V$21,"Week",$A6)/GETPIVOTDATA("Sum of 1",'sampling pivot'!$V$3,"Week",$A6)</f>
        <v>0.453125</v>
      </c>
      <c r="G6" s="3">
        <f>GETPIVOTDATA("Sum of 22",'sampling pivot'!$V$21,"Week",$A6)/GETPIVOTDATA("Sum of 2",'sampling pivot'!$V$3,"Week",$A6)</f>
        <v>0</v>
      </c>
      <c r="H6" s="3"/>
      <c r="I6" s="3"/>
      <c r="J6" s="3"/>
    </row>
    <row r="7" spans="1:10" x14ac:dyDescent="0.25">
      <c r="A7">
        <v>33</v>
      </c>
      <c r="B7" s="3">
        <f>GETPIVOTDATA("Sum of Youngs Bay2",'sampling pivot'!$V$21,"Week",A7)/GETPIVOTDATA("Sum of Youngs Bay",'sampling pivot'!$V$3,"Week",A7)</f>
        <v>0.16666666666666666</v>
      </c>
      <c r="C7" s="3"/>
      <c r="D7" s="3"/>
      <c r="E7" s="3"/>
      <c r="F7" s="3">
        <f>GETPIVOTDATA("Sum of 12",'sampling pivot'!$V$21,"Week",$A7)/GETPIVOTDATA("Sum of 1",'sampling pivot'!$V$3,"Week",$A7)</f>
        <v>0.26530612244897961</v>
      </c>
      <c r="G7" s="3">
        <f>GETPIVOTDATA("Sum of 22",'sampling pivot'!$V$21,"Week",$A7)/GETPIVOTDATA("Sum of 2",'sampling pivot'!$V$3,"Week",$A7)</f>
        <v>0.5625</v>
      </c>
      <c r="H7" s="3">
        <f>GETPIVOTDATA("Sum of 32",'sampling pivot'!$V$21,"Week",$A7)/GETPIVOTDATA("Sum of 3",'sampling pivot'!$V$3,"Week",$A7)</f>
        <v>0.5714285714285714</v>
      </c>
      <c r="I7" s="3">
        <f>GETPIVOTDATA("Sum of 42",'sampling pivot'!$V$21,"Week",$A7)/GETPIVOTDATA("Sum of 4",'sampling pivot'!$V$3,"Week",$A7)</f>
        <v>1</v>
      </c>
      <c r="J7" s="3"/>
    </row>
    <row r="8" spans="1:10" x14ac:dyDescent="0.25">
      <c r="A8">
        <v>34</v>
      </c>
      <c r="B8" s="3">
        <f>GETPIVOTDATA("Sum of Youngs Bay2",'sampling pivot'!$V$21,"Week",A8)/GETPIVOTDATA("Sum of Youngs Bay",'sampling pivot'!$V$3,"Week",A8)</f>
        <v>8.3665338645418322E-2</v>
      </c>
      <c r="C8" s="3"/>
      <c r="D8" s="3"/>
      <c r="E8" s="3">
        <f>GETPIVOTDATA("Sum of Deep R2",'sampling pivot'!$V$21,"Week",A8)/GETPIVOTDATA("Sum of Deep R",'sampling pivot'!$V$3,"Week",A8)</f>
        <v>0</v>
      </c>
      <c r="F8" s="3">
        <f>GETPIVOTDATA("Sum of 12",'sampling pivot'!$V$21,"Week",$A8)/GETPIVOTDATA("Sum of 1",'sampling pivot'!$V$3,"Week",$A8)</f>
        <v>1</v>
      </c>
      <c r="G8" s="3">
        <f>GETPIVOTDATA("Sum of 22",'sampling pivot'!$V$21,"Week",$A8)/GETPIVOTDATA("Sum of 2",'sampling pivot'!$V$3,"Week",$A8)</f>
        <v>0.27777777777777779</v>
      </c>
      <c r="H8" s="3">
        <f>GETPIVOTDATA("Sum of 32",'sampling pivot'!$V$21,"Week",$A8)/GETPIVOTDATA("Sum of 3",'sampling pivot'!$V$3,"Week",$A8)</f>
        <v>0.21052631578947367</v>
      </c>
      <c r="I8" s="3">
        <f>GETPIVOTDATA("Sum of 42",'sampling pivot'!$V$21,"Week",$A8)/GETPIVOTDATA("Sum of 4",'sampling pivot'!$V$3,"Week",$A8)</f>
        <v>0.7533333333333333</v>
      </c>
      <c r="J8" s="3">
        <f>GETPIVOTDATA("Sum of 52",'sampling pivot'!$V$21,"Week",$A8)/GETPIVOTDATA("Sum of 5",'sampling pivot'!$V$3,"Week",$A8)</f>
        <v>0.74226804123711343</v>
      </c>
    </row>
    <row r="9" spans="1:10" x14ac:dyDescent="0.25">
      <c r="A9">
        <v>35</v>
      </c>
      <c r="B9" s="3">
        <f>GETPIVOTDATA("Sum of Youngs Bay2",'sampling pivot'!$V$21,"Week",A9)/GETPIVOTDATA("Sum of Youngs Bay",'sampling pivot'!$V$3,"Week",A9)</f>
        <v>5.3175012906556532E-2</v>
      </c>
      <c r="C9" s="3"/>
      <c r="D9" s="3">
        <f>GETPIVOTDATA("Sum of Blind Sl2",'sampling pivot'!$V$21,"Week",A9)/GETPIVOTDATA("Sum of Blind Sl",'sampling pivot'!$V$3,"Week",A9)</f>
        <v>0</v>
      </c>
      <c r="E9" s="3">
        <f>GETPIVOTDATA("Sum of Deep R2",'sampling pivot'!$V$21,"Week",A9)/GETPIVOTDATA("Sum of Deep R",'sampling pivot'!$V$3,"Week",A9)</f>
        <v>1.098901098901099E-2</v>
      </c>
      <c r="F9" s="3"/>
      <c r="G9" s="3"/>
      <c r="H9" s="3">
        <f>GETPIVOTDATA("Sum of 32",'sampling pivot'!$V$21,"Week",$A9)/GETPIVOTDATA("Sum of 3",'sampling pivot'!$V$3,"Week",$A9)</f>
        <v>0.2857142857142857</v>
      </c>
      <c r="I9" s="3">
        <f>GETPIVOTDATA("Sum of 42",'sampling pivot'!$V$21,"Week",$A9)/GETPIVOTDATA("Sum of 4",'sampling pivot'!$V$3,"Week",$A9)</f>
        <v>0.83211678832116787</v>
      </c>
      <c r="J9" s="3">
        <f>GETPIVOTDATA("Sum of 52",'sampling pivot'!$V$21,"Week",$A9)/GETPIVOTDATA("Sum of 5",'sampling pivot'!$V$3,"Week",$A9)</f>
        <v>0.640625</v>
      </c>
    </row>
    <row r="10" spans="1:10" x14ac:dyDescent="0.25">
      <c r="A10">
        <v>36</v>
      </c>
      <c r="B10" s="3">
        <f>GETPIVOTDATA("Sum of Youngs Bay2",'sampling pivot'!$V$21,"Week",A10)/GETPIVOTDATA("Sum of Youngs Bay",'sampling pivot'!$V$3,"Week",A10)</f>
        <v>3.8833791372923886E-2</v>
      </c>
      <c r="C10" s="3">
        <f>GETPIVOTDATA("Sum of Tongue Pt2",'sampling pivot'!$V$21,"Week",A10)/GETPIVOTDATA("Sum of Tongue Pt",'sampling pivot'!$V$3,"Week",A10)</f>
        <v>0.12891344383057091</v>
      </c>
      <c r="D10" s="3">
        <f>GETPIVOTDATA("Sum of Blind Sl2",'sampling pivot'!$V$21,"Week",A10)/GETPIVOTDATA("Sum of Blind Sl",'sampling pivot'!$V$3,"Week",A10)</f>
        <v>5.4739652870493989E-2</v>
      </c>
      <c r="E10" s="3">
        <f>GETPIVOTDATA("Sum of Deep R2",'sampling pivot'!$V$21,"Week",A10)/GETPIVOTDATA("Sum of Deep R",'sampling pivot'!$V$3,"Week",A10)</f>
        <v>5.8596761757902856E-2</v>
      </c>
      <c r="F10" s="3"/>
      <c r="G10" s="3"/>
      <c r="H10" s="3"/>
      <c r="I10" s="3">
        <f>GETPIVOTDATA("Sum of 42",'sampling pivot'!$V$21,"Week",$A10)/GETPIVOTDATA("Sum of 4",'sampling pivot'!$V$3,"Week",$A10)</f>
        <v>0.77510040160642568</v>
      </c>
      <c r="J10" s="3">
        <f>GETPIVOTDATA("Sum of 52",'sampling pivot'!$V$21,"Week",$A10)/GETPIVOTDATA("Sum of 5",'sampling pivot'!$V$3,"Week",$A10)</f>
        <v>0.83870967741935487</v>
      </c>
    </row>
    <row r="11" spans="1:10" x14ac:dyDescent="0.25">
      <c r="A11">
        <v>37</v>
      </c>
      <c r="B11" s="3">
        <f>GETPIVOTDATA("Sum of Youngs Bay2",'sampling pivot'!$V$21,"Week",A11)/GETPIVOTDATA("Sum of Youngs Bay",'sampling pivot'!$V$3,"Week",A11)</f>
        <v>4.6091954022988504E-2</v>
      </c>
      <c r="C11" s="3">
        <f>GETPIVOTDATA("Sum of Tongue Pt2",'sampling pivot'!$V$21,"Week",A11)/GETPIVOTDATA("Sum of Tongue Pt",'sampling pivot'!$V$3,"Week",A11)</f>
        <v>8.2574031890660593E-2</v>
      </c>
      <c r="D11" s="3">
        <f>GETPIVOTDATA("Sum of Blind Sl2",'sampling pivot'!$V$21,"Week",A11)/GETPIVOTDATA("Sum of Blind Sl",'sampling pivot'!$V$3,"Week",A11)</f>
        <v>5.3181818181818184E-2</v>
      </c>
      <c r="E11" s="3">
        <f>GETPIVOTDATA("Sum of Deep R2",'sampling pivot'!$V$21,"Week",A11)/GETPIVOTDATA("Sum of Deep R",'sampling pivot'!$V$3,"Week",A11)</f>
        <v>2.7734005672864798E-2</v>
      </c>
      <c r="F11" s="3"/>
      <c r="G11" s="3"/>
      <c r="H11" s="3"/>
      <c r="I11" s="3"/>
      <c r="J11" s="3"/>
    </row>
    <row r="12" spans="1:10" x14ac:dyDescent="0.25">
      <c r="A12">
        <v>38</v>
      </c>
      <c r="B12" s="3">
        <f>GETPIVOTDATA("Sum of Youngs Bay2",'sampling pivot'!$V$21,"Week",A12)/GETPIVOTDATA("Sum of Youngs Bay",'sampling pivot'!$V$3,"Week",A12)</f>
        <v>4.114122171541007E-2</v>
      </c>
      <c r="C12" s="3">
        <f>GETPIVOTDATA("Sum of Tongue Pt2",'sampling pivot'!$V$21,"Week",A12)/GETPIVOTDATA("Sum of Tongue Pt",'sampling pivot'!$V$3,"Week",A12)</f>
        <v>6.9572506286672262E-2</v>
      </c>
      <c r="D12" s="3">
        <f>GETPIVOTDATA("Sum of Blind Sl2",'sampling pivot'!$V$21,"Week",A12)/GETPIVOTDATA("Sum of Blind Sl",'sampling pivot'!$V$3,"Week",A12)</f>
        <v>6.2239332691690727E-2</v>
      </c>
      <c r="E12" s="3">
        <f>GETPIVOTDATA("Sum of Deep R2",'sampling pivot'!$V$21,"Week",A12)/GETPIVOTDATA("Sum of Deep R",'sampling pivot'!$V$3,"Week",A12)</f>
        <v>3.9632672788786856E-2</v>
      </c>
      <c r="F12" s="3">
        <f>GETPIVOTDATA("Sum of 12",'sampling pivot'!$V$21,"Week",$A12)/GETPIVOTDATA("Sum of 1",'sampling pivot'!$V$3,"Week",$A12)</f>
        <v>0.1475826972010178</v>
      </c>
      <c r="G12" s="3">
        <f>GETPIVOTDATA("Sum of 22",'sampling pivot'!$V$21,"Week",$A12)/GETPIVOTDATA("Sum of 2",'sampling pivot'!$V$3,"Week",$A12)</f>
        <v>0.12341772151898735</v>
      </c>
      <c r="H12" s="3">
        <f>GETPIVOTDATA("Sum of 32",'sampling pivot'!$V$21,"Week",$A12)/GETPIVOTDATA("Sum of 3",'sampling pivot'!$V$3,"Week",$A12)</f>
        <v>0.18493150684931506</v>
      </c>
      <c r="I12" s="3">
        <f>GETPIVOTDATA("Sum of 42",'sampling pivot'!$V$21,"Week",$A12)/GETPIVOTDATA("Sum of 4",'sampling pivot'!$V$3,"Week",$A12)</f>
        <v>0.22222222222222221</v>
      </c>
      <c r="J12" s="3">
        <f>GETPIVOTDATA("Sum of 52",'sampling pivot'!$V$21,"Week",$A12)/GETPIVOTDATA("Sum of 5",'sampling pivot'!$V$3,"Week",$A12)</f>
        <v>0.21710526315789475</v>
      </c>
    </row>
    <row r="13" spans="1:10" x14ac:dyDescent="0.25">
      <c r="A13">
        <v>39</v>
      </c>
      <c r="B13" s="3">
        <f>GETPIVOTDATA("Sum of Youngs Bay2",'sampling pivot'!$V$21,"Week",A13)/GETPIVOTDATA("Sum of Youngs Bay",'sampling pivot'!$V$3,"Week",A13)</f>
        <v>3.4817012858555887E-2</v>
      </c>
      <c r="C13" s="3">
        <f>GETPIVOTDATA("Sum of Tongue Pt2",'sampling pivot'!$V$21,"Week",A13)/GETPIVOTDATA("Sum of Tongue Pt",'sampling pivot'!$V$3,"Week",A13)</f>
        <v>0.10382513661202186</v>
      </c>
      <c r="D13" s="3">
        <f>GETPIVOTDATA("Sum of Blind Sl2",'sampling pivot'!$V$21,"Week",A13)/GETPIVOTDATA("Sum of Blind Sl",'sampling pivot'!$V$3,"Week",A13)</f>
        <v>7.5644949715784865E-2</v>
      </c>
      <c r="E13" s="3">
        <f>GETPIVOTDATA("Sum of Deep R2",'sampling pivot'!$V$21,"Week",A13)/GETPIVOTDATA("Sum of Deep R",'sampling pivot'!$V$3,"Week",A13)</f>
        <v>2.6902129064202012E-2</v>
      </c>
      <c r="F13" s="3">
        <f>GETPIVOTDATA("Sum of 12",'sampling pivot'!$V$21,"Week",$A13)/GETPIVOTDATA("Sum of 1",'sampling pivot'!$V$3,"Week",$A13)</f>
        <v>0.21378941742383753</v>
      </c>
      <c r="G13" s="3">
        <f>GETPIVOTDATA("Sum of 22",'sampling pivot'!$V$21,"Week",$A13)/GETPIVOTDATA("Sum of 2",'sampling pivot'!$V$3,"Week",$A13)</f>
        <v>0.21252285191956125</v>
      </c>
      <c r="H13" s="3">
        <f>GETPIVOTDATA("Sum of 32",'sampling pivot'!$V$21,"Week",$A13)/GETPIVOTDATA("Sum of 3",'sampling pivot'!$V$3,"Week",$A13)</f>
        <v>0.33679706601466991</v>
      </c>
      <c r="I13" s="3">
        <f>GETPIVOTDATA("Sum of 42",'sampling pivot'!$V$21,"Week",$A13)/GETPIVOTDATA("Sum of 4",'sampling pivot'!$V$3,"Week",$A13)</f>
        <v>0.4496732026143791</v>
      </c>
      <c r="J13" s="3">
        <f>GETPIVOTDATA("Sum of 52",'sampling pivot'!$V$21,"Week",$A13)/GETPIVOTDATA("Sum of 5",'sampling pivot'!$V$3,"Week",$A13)</f>
        <v>0.40245478036175708</v>
      </c>
    </row>
    <row r="14" spans="1:10" x14ac:dyDescent="0.25">
      <c r="A14">
        <v>40</v>
      </c>
      <c r="B14" s="3">
        <f>GETPIVOTDATA("Sum of Youngs Bay2",'sampling pivot'!$V$21,"Week",A14)/GETPIVOTDATA("Sum of Youngs Bay",'sampling pivot'!$V$3,"Week",A14)</f>
        <v>4.3132456408687674E-2</v>
      </c>
      <c r="C14" s="3">
        <f>GETPIVOTDATA("Sum of Tongue Pt2",'sampling pivot'!$V$21,"Week",A14)/GETPIVOTDATA("Sum of Tongue Pt",'sampling pivot'!$V$3,"Week",A14)</f>
        <v>4.1734860883797055E-2</v>
      </c>
      <c r="D14" s="3">
        <f>GETPIVOTDATA("Sum of Blind Sl2",'sampling pivot'!$V$21,"Week",A14)/GETPIVOTDATA("Sum of Blind Sl",'sampling pivot'!$V$3,"Week",A14)</f>
        <v>8.7292161520190023E-2</v>
      </c>
      <c r="E14" s="3">
        <f>GETPIVOTDATA("Sum of Deep R2",'sampling pivot'!$V$21,"Week",A14)/GETPIVOTDATA("Sum of Deep R",'sampling pivot'!$V$3,"Week",A14)</f>
        <v>4.9022855250082806E-2</v>
      </c>
      <c r="F14" s="3">
        <f>GETPIVOTDATA("Sum of 12",'sampling pivot'!$V$21,"Week",$A14)/GETPIVOTDATA("Sum of 1",'sampling pivot'!$V$3,"Week",$A14)</f>
        <v>0.2622858747542825</v>
      </c>
      <c r="G14" s="3">
        <f>GETPIVOTDATA("Sum of 22",'sampling pivot'!$V$21,"Week",$A14)/GETPIVOTDATA("Sum of 2",'sampling pivot'!$V$3,"Week",$A14)</f>
        <v>0.27060825810270828</v>
      </c>
      <c r="H14" s="3">
        <f>GETPIVOTDATA("Sum of 32",'sampling pivot'!$V$21,"Week",$A14)/GETPIVOTDATA("Sum of 3",'sampling pivot'!$V$3,"Week",$A14)</f>
        <v>0.25806451612903225</v>
      </c>
      <c r="I14" s="3">
        <f>GETPIVOTDATA("Sum of 42",'sampling pivot'!$V$21,"Week",$A14)/GETPIVOTDATA("Sum of 4",'sampling pivot'!$V$3,"Week",$A14)</f>
        <v>0.3983739837398374</v>
      </c>
      <c r="J14" s="3">
        <f>GETPIVOTDATA("Sum of 52",'sampling pivot'!$V$21,"Week",$A14)/GETPIVOTDATA("Sum of 5",'sampling pivot'!$V$3,"Week",$A14)</f>
        <v>0.48590021691973967</v>
      </c>
    </row>
    <row r="15" spans="1:10" x14ac:dyDescent="0.25">
      <c r="A15">
        <v>41</v>
      </c>
      <c r="B15" s="3">
        <f>GETPIVOTDATA("Sum of Youngs Bay2",'sampling pivot'!$V$21,"Week",A15)/GETPIVOTDATA("Sum of Youngs Bay",'sampling pivot'!$V$3,"Week",A15)</f>
        <v>5.3916581892166839E-2</v>
      </c>
      <c r="C15" s="3">
        <f>GETPIVOTDATA("Sum of Tongue Pt2",'sampling pivot'!$V$21,"Week",A15)/GETPIVOTDATA("Sum of Tongue Pt",'sampling pivot'!$V$3,"Week",A15)</f>
        <v>4.4368600682593858E-2</v>
      </c>
      <c r="D15" s="3">
        <f>GETPIVOTDATA("Sum of Blind Sl2",'sampling pivot'!$V$21,"Week",A15)/GETPIVOTDATA("Sum of Blind Sl",'sampling pivot'!$V$3,"Week",A15)</f>
        <v>5.920444033302498E-2</v>
      </c>
      <c r="E15" s="3">
        <f>GETPIVOTDATA("Sum of Deep R2",'sampling pivot'!$V$21,"Week",A15)/GETPIVOTDATA("Sum of Deep R",'sampling pivot'!$V$3,"Week",A15)</f>
        <v>7.5650118203309691E-2</v>
      </c>
      <c r="F15" s="3">
        <f>GETPIVOTDATA("Sum of 12",'sampling pivot'!$V$21,"Week",$A15)/GETPIVOTDATA("Sum of 1",'sampling pivot'!$V$3,"Week",$A15)</f>
        <v>0.18877755511022043</v>
      </c>
      <c r="G15" s="3">
        <f>GETPIVOTDATA("Sum of 22",'sampling pivot'!$V$21,"Week",$A15)/GETPIVOTDATA("Sum of 2",'sampling pivot'!$V$3,"Week",$A15)</f>
        <v>0.2119085352048902</v>
      </c>
      <c r="H15" s="3">
        <f>GETPIVOTDATA("Sum of 32",'sampling pivot'!$V$21,"Week",$A15)/GETPIVOTDATA("Sum of 3",'sampling pivot'!$V$3,"Week",$A15)</f>
        <v>0.21823899371069183</v>
      </c>
      <c r="I15" s="3">
        <f>GETPIVOTDATA("Sum of 42",'sampling pivot'!$V$21,"Week",$A15)/GETPIVOTDATA("Sum of 4",'sampling pivot'!$V$3,"Week",$A15)</f>
        <v>0.41453831041257366</v>
      </c>
      <c r="J15" s="3">
        <f>GETPIVOTDATA("Sum of 52",'sampling pivot'!$V$21,"Week",$A15)/GETPIVOTDATA("Sum of 5",'sampling pivot'!$V$3,"Week",$A15)</f>
        <v>0.58844133099824869</v>
      </c>
    </row>
    <row r="16" spans="1:10" x14ac:dyDescent="0.25">
      <c r="A16">
        <v>42</v>
      </c>
      <c r="B16" s="3">
        <f>GETPIVOTDATA("Sum of Youngs Bay2",'sampling pivot'!$V$21,"Week",A16)/GETPIVOTDATA("Sum of Youngs Bay",'sampling pivot'!$V$3,"Week",A16)</f>
        <v>5.4945054945054944E-2</v>
      </c>
      <c r="C16" s="3">
        <f>GETPIVOTDATA("Sum of Tongue Pt2",'sampling pivot'!$V$21,"Week",A16)/GETPIVOTDATA("Sum of Tongue Pt",'sampling pivot'!$V$3,"Week",A16)</f>
        <v>4.8458149779735685E-2</v>
      </c>
      <c r="D16" s="3">
        <f>GETPIVOTDATA("Sum of Blind Sl2",'sampling pivot'!$V$21,"Week",A16)/GETPIVOTDATA("Sum of Blind Sl",'sampling pivot'!$V$3,"Week",A16)</f>
        <v>8.6901763224181361E-2</v>
      </c>
      <c r="E16" s="3">
        <f>GETPIVOTDATA("Sum of Deep R2",'sampling pivot'!$V$21,"Week",A16)/GETPIVOTDATA("Sum of Deep R",'sampling pivot'!$V$3,"Week",A16)</f>
        <v>1.4040561622464899E-2</v>
      </c>
      <c r="F16" s="3">
        <f>GETPIVOTDATA("Sum of 12",'sampling pivot'!$V$21,"Week",$A16)/GETPIVOTDATA("Sum of 1",'sampling pivot'!$V$3,"Week",$A16)</f>
        <v>0.22240527182866557</v>
      </c>
      <c r="G16" s="3">
        <f>GETPIVOTDATA("Sum of 22",'sampling pivot'!$V$21,"Week",$A16)/GETPIVOTDATA("Sum of 2",'sampling pivot'!$V$3,"Week",$A16)</f>
        <v>0.22739886081495544</v>
      </c>
      <c r="H16" s="3">
        <f>GETPIVOTDATA("Sum of 32",'sampling pivot'!$V$21,"Week",$A16)/GETPIVOTDATA("Sum of 3",'sampling pivot'!$V$3,"Week",$A16)</f>
        <v>0.21259480579177201</v>
      </c>
      <c r="I16" s="3">
        <f>GETPIVOTDATA("Sum of 42",'sampling pivot'!$V$21,"Week",$A16)/GETPIVOTDATA("Sum of 4",'sampling pivot'!$V$3,"Week",$A16)</f>
        <v>0.55882352941176472</v>
      </c>
      <c r="J16" s="3">
        <f>GETPIVOTDATA("Sum of 52",'sampling pivot'!$V$21,"Week",$A16)/GETPIVOTDATA("Sum of 5",'sampling pivot'!$V$3,"Week",$A16)</f>
        <v>0.48039215686274511</v>
      </c>
    </row>
    <row r="17" spans="1:11" x14ac:dyDescent="0.25">
      <c r="A17">
        <v>43</v>
      </c>
      <c r="B17" s="3">
        <f>GETPIVOTDATA("Sum of Youngs Bay2",'sampling pivot'!$V$21,"Week",A17)/GETPIVOTDATA("Sum of Youngs Bay",'sampling pivot'!$V$3,"Week",A17)</f>
        <v>6.0267857142857144E-2</v>
      </c>
      <c r="C17" s="3">
        <f>GETPIVOTDATA("Sum of Tongue Pt2",'sampling pivot'!$V$21,"Week",A17)/GETPIVOTDATA("Sum of Tongue Pt",'sampling pivot'!$V$3,"Week",A17)</f>
        <v>0.14285714285714285</v>
      </c>
      <c r="D17" s="3">
        <f>GETPIVOTDATA("Sum of Blind Sl2",'sampling pivot'!$V$21,"Week",A17)/GETPIVOTDATA("Sum of Blind Sl",'sampling pivot'!$V$3,"Week",A17)</f>
        <v>6.7307692307692304E-2</v>
      </c>
      <c r="E17" s="3">
        <f>GETPIVOTDATA("Sum of Deep R2",'sampling pivot'!$V$21,"Week",A17)/GETPIVOTDATA("Sum of Deep R",'sampling pivot'!$V$3,"Week",A17)</f>
        <v>0</v>
      </c>
      <c r="F17" s="3">
        <f>GETPIVOTDATA("Sum of 12",'sampling pivot'!$V$21,"Week",$A17)/GETPIVOTDATA("Sum of 1",'sampling pivot'!$V$3,"Week",$A17)</f>
        <v>0.18666666666666668</v>
      </c>
      <c r="G17" s="3">
        <f>GETPIVOTDATA("Sum of 22",'sampling pivot'!$V$21,"Week",$A17)/GETPIVOTDATA("Sum of 2",'sampling pivot'!$V$3,"Week",$A17)</f>
        <v>0.15480349344978167</v>
      </c>
      <c r="H17" s="3">
        <f>GETPIVOTDATA("Sum of 32",'sampling pivot'!$V$21,"Week",$A17)/GETPIVOTDATA("Sum of 3",'sampling pivot'!$V$3,"Week",$A17)</f>
        <v>0.20303030303030303</v>
      </c>
      <c r="I17" s="3">
        <f>GETPIVOTDATA("Sum of 42",'sampling pivot'!$V$21,"Week",$A17)/GETPIVOTDATA("Sum of 4",'sampling pivot'!$V$3,"Week",$A17)</f>
        <v>0.36036036036036034</v>
      </c>
      <c r="J17" s="3">
        <f>GETPIVOTDATA("Sum of 52",'sampling pivot'!$V$21,"Week",$A17)/GETPIVOTDATA("Sum of 5",'sampling pivot'!$V$3,"Week",$A17)</f>
        <v>0.55670103092783507</v>
      </c>
    </row>
    <row r="18" spans="1:11" x14ac:dyDescent="0.25">
      <c r="A18">
        <v>44</v>
      </c>
      <c r="B18" s="3">
        <f>GETPIVOTDATA("Sum of Youngs Bay2",'sampling pivot'!$V$21,"Week",A18)/GETPIVOTDATA("Sum of Youngs Bay",'sampling pivot'!$V$3,"Week",A18)</f>
        <v>0.14583333333333334</v>
      </c>
      <c r="C18" s="3"/>
      <c r="D18" s="3">
        <f>GETPIVOTDATA("Sum of Blind Sl2",'sampling pivot'!$V$21,"Week",A18)/GETPIVOTDATA("Sum of Blind Sl",'sampling pivot'!$V$3,"Week",A18)</f>
        <v>0.10526315789473684</v>
      </c>
      <c r="E18" s="3"/>
      <c r="F18" s="3">
        <f>GETPIVOTDATA("Sum of 12",'sampling pivot'!$V$21,"Week",$A18)/GETPIVOTDATA("Sum of 1",'sampling pivot'!$V$3,"Week",$A18)</f>
        <v>0.15254237288135594</v>
      </c>
      <c r="G18" s="3">
        <f>GETPIVOTDATA("Sum of 22",'sampling pivot'!$V$21,"Week",$A18)/GETPIVOTDATA("Sum of 2",'sampling pivot'!$V$3,"Week",$A18)</f>
        <v>0.18536009445100354</v>
      </c>
      <c r="H18" s="3">
        <f>GETPIVOTDATA("Sum of 32",'sampling pivot'!$V$21,"Week",$A18)/GETPIVOTDATA("Sum of 3",'sampling pivot'!$V$3,"Week",$A18)</f>
        <v>0.27075098814229248</v>
      </c>
      <c r="I18" s="3"/>
      <c r="J18" s="3">
        <f>GETPIVOTDATA("Sum of 52",'sampling pivot'!$V$21,"Week",$A18)/GETPIVOTDATA("Sum of 5",'sampling pivot'!$V$3,"Week",$A18)</f>
        <v>0.4</v>
      </c>
    </row>
    <row r="19" spans="1:11" x14ac:dyDescent="0.25">
      <c r="A19">
        <v>45</v>
      </c>
      <c r="B19" s="3"/>
      <c r="C19" s="3"/>
      <c r="D19" s="3"/>
      <c r="E19" s="3"/>
      <c r="F19" s="3"/>
      <c r="G19" s="3">
        <f>GETPIVOTDATA("Sum of 22",'sampling pivot'!$V$21,"Week",$A19)/GETPIVOTDATA("Sum of 2",'sampling pivot'!$V$3,"Week",$A19)</f>
        <v>5.9523809523809521E-2</v>
      </c>
      <c r="H19" s="3">
        <f>GETPIVOTDATA("Sum of 32",'sampling pivot'!$V$21,"Week",$A19)/GETPIVOTDATA("Sum of 3",'sampling pivot'!$V$3,"Week",$A19)</f>
        <v>0.16666666666666666</v>
      </c>
      <c r="I19" s="3"/>
      <c r="J19" s="3"/>
    </row>
    <row r="20" spans="1:11" x14ac:dyDescent="0.25">
      <c r="A20" t="s">
        <v>69</v>
      </c>
      <c r="B20" s="3">
        <f>GETPIVOTDATA("Sum of Youngs Bay2",'sampling pivot'!$V$21)/GETPIVOTDATA("Sum of Youngs Bay",'sampling pivot'!$V$3)</f>
        <v>4.2887285931596249E-2</v>
      </c>
      <c r="C20" s="3">
        <f>GETPIVOTDATA("Sum of Tongue Pt2",'sampling pivot'!$V$21)/GETPIVOTDATA("Sum of Tongue Pt",'sampling pivot'!$V$3)</f>
        <v>9.085924649486958E-2</v>
      </c>
      <c r="D20" s="3">
        <f>GETPIVOTDATA("Sum of Blind Sl2",'sampling pivot'!$V$21)/GETPIVOTDATA("Sum of Blind Sl",'sampling pivot'!$V$3)</f>
        <v>6.6871119754656289E-2</v>
      </c>
      <c r="E20" s="3">
        <f>GETPIVOTDATA("Sum of Deep R2",'sampling pivot'!$V$21)/GETPIVOTDATA("Sum of Deep R",'sampling pivot'!$V$3)</f>
        <v>3.7725339274863275E-2</v>
      </c>
      <c r="F20" s="3">
        <f>GETPIVOTDATA("Sum of 12",'sampling pivot'!$V$21)/GETPIVOTDATA("Sum of 1",'sampling pivot'!$V$3)</f>
        <v>0.22362243637262169</v>
      </c>
      <c r="G20" s="3">
        <f>GETPIVOTDATA("Sum of 22",'sampling pivot'!$V$21)/GETPIVOTDATA("Sum of 2",'sampling pivot'!$V$3)</f>
        <v>0.22766595046929775</v>
      </c>
      <c r="H20" s="3">
        <f>GETPIVOTDATA("Sum of 32",'sampling pivot'!$V$21)/GETPIVOTDATA("Sum of 3",'sampling pivot'!$V$3)</f>
        <v>0.23245235667790762</v>
      </c>
      <c r="I20" s="3">
        <f>GETPIVOTDATA("Sum of 52",'sampling pivot'!$V$21)/GETPIVOTDATA("Sum of 4",'sampling pivot'!$V$3)</f>
        <v>0.69648924122310307</v>
      </c>
      <c r="J20" s="3">
        <f>GETPIVOTDATA("Sum of 42",'sampling pivot'!$V$21)/GETPIVOTDATA("Sum of 5",'sampling pivot'!$V$3)</f>
        <v>0.34697008437739707</v>
      </c>
      <c r="K20" s="3"/>
    </row>
  </sheetData>
  <phoneticPr fontId="4" type="noConversion"/>
  <pageMargins left="0.75" right="0.75" top="1" bottom="1" header="0.5" footer="0.5"/>
  <pageSetup orientation="portrait" horizontalDpi="4294967293" verticalDpi="0"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F41"/>
  <sheetViews>
    <sheetView zoomScale="110" zoomScaleNormal="110" workbookViewId="0">
      <pane xSplit="2" topLeftCell="C1" activePane="topRight" state="frozen"/>
      <selection activeCell="I30" sqref="I30"/>
      <selection pane="topRight" activeCell="I30" sqref="I30"/>
    </sheetView>
  </sheetViews>
  <sheetFormatPr defaultColWidth="9.1796875" defaultRowHeight="13" x14ac:dyDescent="0.3"/>
  <cols>
    <col min="1" max="1" width="21" style="32" bestFit="1" customWidth="1"/>
    <col min="2" max="2" width="11.7265625" style="34" bestFit="1" customWidth="1"/>
    <col min="3" max="3" width="11.7265625" style="33" bestFit="1" customWidth="1"/>
    <col min="4" max="4" width="12" style="33" bestFit="1" customWidth="1"/>
    <col min="5" max="5" width="12.453125" style="33" bestFit="1" customWidth="1"/>
    <col min="6" max="6" width="10.26953125" style="33" bestFit="1" customWidth="1"/>
    <col min="7" max="7" width="12.7265625" style="33" bestFit="1" customWidth="1"/>
    <col min="8" max="8" width="10.26953125" style="33" bestFit="1" customWidth="1"/>
    <col min="9" max="9" width="8.1796875" style="33" bestFit="1" customWidth="1"/>
    <col min="10" max="10" width="7.54296875" style="33" bestFit="1" customWidth="1"/>
    <col min="11" max="11" width="11.54296875" style="33" bestFit="1" customWidth="1"/>
    <col min="12" max="12" width="11.453125" style="33" bestFit="1" customWidth="1"/>
    <col min="13" max="13" width="8.1796875" style="33" bestFit="1" customWidth="1"/>
    <col min="14" max="14" width="10" style="33" bestFit="1" customWidth="1"/>
    <col min="15" max="15" width="11.54296875" style="33" bestFit="1" customWidth="1"/>
    <col min="16" max="16" width="10.26953125" style="33" bestFit="1" customWidth="1"/>
    <col min="17" max="17" width="8.1796875" style="33" bestFit="1" customWidth="1"/>
    <col min="18" max="18" width="9.26953125" style="33" bestFit="1" customWidth="1"/>
    <col min="19" max="19" width="7.7265625" style="33" bestFit="1" customWidth="1"/>
    <col min="20" max="20" width="7.26953125" style="33" customWidth="1"/>
    <col min="21" max="21" width="5.54296875" style="33" customWidth="1"/>
    <col min="22" max="22" width="5" style="33" bestFit="1" customWidth="1"/>
    <col min="23" max="23" width="8.54296875" style="33" bestFit="1" customWidth="1"/>
    <col min="24" max="24" width="6.7265625" style="33" customWidth="1"/>
    <col min="25" max="25" width="5" style="32" bestFit="1" customWidth="1"/>
    <col min="26" max="26" width="8.26953125" style="32" bestFit="1" customWidth="1"/>
    <col min="27" max="27" width="8.26953125" style="32" customWidth="1"/>
    <col min="28" max="28" width="7" style="32" bestFit="1" customWidth="1"/>
    <col min="29" max="29" width="12" style="32" bestFit="1" customWidth="1"/>
    <col min="30" max="30" width="9.26953125" style="32" bestFit="1" customWidth="1"/>
    <col min="31" max="31" width="2.54296875" style="32" customWidth="1"/>
    <col min="32" max="16384" width="9.1796875" style="32"/>
  </cols>
  <sheetData>
    <row r="1" spans="1:24" x14ac:dyDescent="0.3">
      <c r="A1" s="34" t="s">
        <v>344</v>
      </c>
    </row>
    <row r="2" spans="1:24" x14ac:dyDescent="0.3">
      <c r="C2" s="34" t="s">
        <v>330</v>
      </c>
    </row>
    <row r="3" spans="1:24" x14ac:dyDescent="0.3">
      <c r="C3" s="903" t="s">
        <v>208</v>
      </c>
      <c r="D3" s="904"/>
      <c r="E3" s="904"/>
      <c r="F3" s="905"/>
      <c r="G3" s="903" t="s">
        <v>264</v>
      </c>
      <c r="H3" s="904"/>
      <c r="I3" s="904"/>
      <c r="J3" s="905"/>
      <c r="K3" s="903" t="s">
        <v>261</v>
      </c>
      <c r="L3" s="904"/>
      <c r="M3" s="904"/>
      <c r="N3" s="905"/>
      <c r="O3" s="903" t="s">
        <v>262</v>
      </c>
      <c r="P3" s="904"/>
      <c r="Q3" s="904"/>
      <c r="R3" s="905"/>
      <c r="S3" s="781" t="s">
        <v>339</v>
      </c>
      <c r="T3" s="781"/>
      <c r="U3" s="781"/>
      <c r="V3" s="781"/>
      <c r="W3" s="165"/>
      <c r="X3" s="165"/>
    </row>
    <row r="4" spans="1:24" x14ac:dyDescent="0.3">
      <c r="B4" s="34" t="s">
        <v>134</v>
      </c>
      <c r="C4" s="547" t="s">
        <v>31</v>
      </c>
      <c r="D4" s="202" t="s">
        <v>62</v>
      </c>
      <c r="E4" s="202" t="s">
        <v>260</v>
      </c>
      <c r="F4" s="548" t="s">
        <v>203</v>
      </c>
      <c r="G4" s="547" t="s">
        <v>31</v>
      </c>
      <c r="H4" s="202" t="s">
        <v>62</v>
      </c>
      <c r="I4" s="202" t="s">
        <v>260</v>
      </c>
      <c r="J4" s="548" t="s">
        <v>203</v>
      </c>
      <c r="K4" s="549" t="s">
        <v>31</v>
      </c>
      <c r="L4" s="208" t="s">
        <v>62</v>
      </c>
      <c r="M4" s="208" t="s">
        <v>260</v>
      </c>
      <c r="N4" s="550" t="s">
        <v>203</v>
      </c>
      <c r="O4" s="549" t="s">
        <v>31</v>
      </c>
      <c r="P4" s="208" t="s">
        <v>62</v>
      </c>
      <c r="Q4" s="208" t="s">
        <v>260</v>
      </c>
      <c r="R4" s="550" t="s">
        <v>203</v>
      </c>
      <c r="S4" s="781" t="s">
        <v>335</v>
      </c>
      <c r="T4" s="781" t="s">
        <v>336</v>
      </c>
      <c r="U4" s="781" t="s">
        <v>337</v>
      </c>
      <c r="V4" s="781" t="s">
        <v>338</v>
      </c>
      <c r="W4" s="208"/>
      <c r="X4" s="208"/>
    </row>
    <row r="5" spans="1:24" x14ac:dyDescent="0.3">
      <c r="B5" s="34">
        <v>31</v>
      </c>
      <c r="C5" s="807"/>
      <c r="D5" s="807"/>
      <c r="E5" s="807"/>
      <c r="F5" s="863"/>
      <c r="G5" s="551" t="str">
        <f>'2019 comm sample'!K5</f>
        <v>na</v>
      </c>
      <c r="H5" s="552" t="str">
        <f>'2019 comm sample'!L5</f>
        <v>na</v>
      </c>
      <c r="I5" s="552" t="str">
        <f>'2019 comm sample'!M5</f>
        <v>na</v>
      </c>
      <c r="J5" s="552" t="str">
        <f>'2019 comm sample'!N5</f>
        <v>na</v>
      </c>
      <c r="K5" s="553" t="str">
        <f>IF(C5&gt;0,'2019 comm sample'!C5/'2019 Comm catch'!C5,"na")</f>
        <v>na</v>
      </c>
      <c r="L5" s="554" t="str">
        <f>IF(D5&gt;0,'2019 comm sample'!D5/'2019 Comm catch'!D5,"na")</f>
        <v>na</v>
      </c>
      <c r="M5" s="554" t="str">
        <f>IF(E5&gt;0,'2019 comm sample'!E5/'2019 Comm catch'!E5,"na")</f>
        <v>na</v>
      </c>
      <c r="N5" s="554" t="str">
        <f>IF(F5&gt;0,'2019 comm sample'!F5/'2019 Comm catch'!F5,"na")</f>
        <v>na</v>
      </c>
      <c r="O5" s="555" t="str">
        <f t="shared" ref="O5:R19" si="0">IF(G5&lt;&gt;"na",C5*G5,"na")</f>
        <v>na</v>
      </c>
      <c r="P5" s="556" t="str">
        <f t="shared" si="0"/>
        <v>na</v>
      </c>
      <c r="Q5" s="556" t="str">
        <f t="shared" si="0"/>
        <v>na</v>
      </c>
      <c r="R5" s="557" t="str">
        <f t="shared" si="0"/>
        <v>na</v>
      </c>
      <c r="S5" s="514"/>
      <c r="T5" s="514"/>
      <c r="U5" s="514"/>
      <c r="V5" s="514"/>
      <c r="W5" s="514"/>
      <c r="X5" s="514"/>
    </row>
    <row r="6" spans="1:24" x14ac:dyDescent="0.3">
      <c r="B6" s="34">
        <v>32</v>
      </c>
      <c r="C6" s="862">
        <v>0</v>
      </c>
      <c r="D6" s="807"/>
      <c r="E6" s="807"/>
      <c r="F6" s="863"/>
      <c r="G6" s="551" t="str">
        <f>'2019 comm sample'!K6</f>
        <v>na</v>
      </c>
      <c r="H6" s="552" t="str">
        <f>'2019 comm sample'!L6</f>
        <v>na</v>
      </c>
      <c r="I6" s="552" t="str">
        <f>'2019 comm sample'!M6</f>
        <v>na</v>
      </c>
      <c r="J6" s="552" t="str">
        <f>'2019 comm sample'!N6</f>
        <v>na</v>
      </c>
      <c r="K6" s="558" t="str">
        <f>IF(C6&gt;0,'2019 comm sample'!C6/'2019 Comm catch'!C6,"na")</f>
        <v>na</v>
      </c>
      <c r="L6" s="559" t="str">
        <f>IF(D6&gt;0,'2019 comm sample'!D6/'2019 Comm catch'!D6,"na")</f>
        <v>na</v>
      </c>
      <c r="M6" s="559" t="str">
        <f>IF(E6&gt;0,'2019 comm sample'!E6/'2019 Comm catch'!E6,"na")</f>
        <v>na</v>
      </c>
      <c r="N6" s="559" t="str">
        <f>IF(F6&gt;0,'2019 comm sample'!F6/'2019 Comm catch'!F6,"na")</f>
        <v>na</v>
      </c>
      <c r="O6" s="560" t="str">
        <f t="shared" si="0"/>
        <v>na</v>
      </c>
      <c r="P6" s="514" t="str">
        <f t="shared" si="0"/>
        <v>na</v>
      </c>
      <c r="Q6" s="514" t="str">
        <f t="shared" si="0"/>
        <v>na</v>
      </c>
      <c r="R6" s="563" t="str">
        <f t="shared" si="0"/>
        <v>na</v>
      </c>
      <c r="S6" s="514"/>
      <c r="T6" s="514"/>
      <c r="U6" s="514"/>
      <c r="V6" s="514"/>
      <c r="W6" s="514"/>
      <c r="X6" s="514"/>
    </row>
    <row r="7" spans="1:24" x14ac:dyDescent="0.3">
      <c r="B7" s="34">
        <v>33</v>
      </c>
      <c r="C7" s="862">
        <v>0</v>
      </c>
      <c r="D7" s="807"/>
      <c r="E7" s="807"/>
      <c r="F7" s="863"/>
      <c r="G7" s="551" t="str">
        <f>'2019 comm sample'!K7</f>
        <v>na</v>
      </c>
      <c r="H7" s="552" t="str">
        <f>'2019 comm sample'!L7</f>
        <v>na</v>
      </c>
      <c r="I7" s="552" t="str">
        <f>'2019 comm sample'!M7</f>
        <v>na</v>
      </c>
      <c r="J7" s="552" t="str">
        <f>'2019 comm sample'!N7</f>
        <v>na</v>
      </c>
      <c r="K7" s="558" t="str">
        <f>IF(C7&gt;0,'2019 comm sample'!C7/'2019 Comm catch'!C7,"na")</f>
        <v>na</v>
      </c>
      <c r="L7" s="559" t="str">
        <f>IF(D7&gt;0,'2019 comm sample'!D7/'2019 Comm catch'!D7,"na")</f>
        <v>na</v>
      </c>
      <c r="M7" s="559" t="str">
        <f>IF(E7&gt;0,'2019 comm sample'!E7/'2019 Comm catch'!E7,"na")</f>
        <v>na</v>
      </c>
      <c r="N7" s="559" t="str">
        <f>IF(F7&gt;0,'2019 comm sample'!F7/'2019 Comm catch'!F7,"na")</f>
        <v>na</v>
      </c>
      <c r="O7" s="560" t="str">
        <f t="shared" si="0"/>
        <v>na</v>
      </c>
      <c r="P7" s="514" t="str">
        <f t="shared" si="0"/>
        <v>na</v>
      </c>
      <c r="Q7" s="514" t="str">
        <f t="shared" si="0"/>
        <v>na</v>
      </c>
      <c r="R7" s="563" t="str">
        <f t="shared" si="0"/>
        <v>na</v>
      </c>
      <c r="S7" s="514"/>
      <c r="T7" s="514"/>
      <c r="U7" s="514"/>
      <c r="V7" s="514"/>
      <c r="W7" s="514"/>
      <c r="X7" s="514"/>
    </row>
    <row r="8" spans="1:24" x14ac:dyDescent="0.3">
      <c r="B8" s="34">
        <v>34</v>
      </c>
      <c r="C8" s="862">
        <v>17</v>
      </c>
      <c r="D8" s="807"/>
      <c r="E8" s="864"/>
      <c r="F8" s="864"/>
      <c r="G8" s="551">
        <f>'2019 comm sample'!K8</f>
        <v>0</v>
      </c>
      <c r="H8" s="552" t="str">
        <f>'2019 comm sample'!L8</f>
        <v>na</v>
      </c>
      <c r="I8" s="552" t="str">
        <f>'2019 comm sample'!M8</f>
        <v>na</v>
      </c>
      <c r="J8" s="552" t="str">
        <f>'2019 comm sample'!N8</f>
        <v>na</v>
      </c>
      <c r="K8" s="558">
        <f>IF(C8&gt;0,'2019 comm sample'!C8/'2019 Comm catch'!C8,"na")</f>
        <v>0.6470588235294118</v>
      </c>
      <c r="L8" s="559" t="str">
        <f>IF(D8&gt;0,'2019 comm sample'!D8/'2019 Comm catch'!D8,"na")</f>
        <v>na</v>
      </c>
      <c r="M8" s="559" t="str">
        <f>IF(E8&gt;0,'2019 comm sample'!E8/'2019 Comm catch'!E8,"na")</f>
        <v>na</v>
      </c>
      <c r="N8" s="559" t="str">
        <f>IF(F8&gt;0,'2019 comm sample'!F8/'2019 Comm catch'!F8,"na")</f>
        <v>na</v>
      </c>
      <c r="O8" s="560">
        <f t="shared" si="0"/>
        <v>0</v>
      </c>
      <c r="P8" s="514" t="str">
        <f t="shared" si="0"/>
        <v>na</v>
      </c>
      <c r="Q8" s="514" t="str">
        <f t="shared" si="0"/>
        <v>na</v>
      </c>
      <c r="R8" s="563" t="str">
        <f t="shared" si="0"/>
        <v>na</v>
      </c>
      <c r="S8" s="514"/>
      <c r="T8" s="514"/>
      <c r="U8" s="514"/>
      <c r="V8" s="514"/>
      <c r="W8" s="514"/>
      <c r="X8" s="514"/>
    </row>
    <row r="9" spans="1:24" x14ac:dyDescent="0.3">
      <c r="B9" s="34">
        <v>35</v>
      </c>
      <c r="C9" s="862">
        <v>132</v>
      </c>
      <c r="D9" s="865">
        <v>442</v>
      </c>
      <c r="E9" s="866">
        <v>16</v>
      </c>
      <c r="F9" s="866">
        <v>2</v>
      </c>
      <c r="G9" s="551">
        <f>'2019 comm sample'!K9</f>
        <v>8.2191780821917804E-2</v>
      </c>
      <c r="H9" s="552">
        <f>'2019 comm sample'!L9</f>
        <v>0.27436823104693142</v>
      </c>
      <c r="I9" s="552">
        <f>'2019 comm sample'!M9</f>
        <v>0</v>
      </c>
      <c r="J9" s="552">
        <f>'2019 comm sample'!N9</f>
        <v>0</v>
      </c>
      <c r="K9" s="558">
        <f>IF(C9&gt;0,'2019 comm sample'!C9/'2019 Comm catch'!C9,"na")</f>
        <v>0.55303030303030298</v>
      </c>
      <c r="L9" s="559">
        <f>IF(D9&gt;0,'2019 comm sample'!D9/'2019 Comm catch'!D9,"na")</f>
        <v>0.62669683257918551</v>
      </c>
      <c r="M9" s="559">
        <f>IF(E9&gt;0,'2019 comm sample'!E9/'2019 Comm catch'!E9,"na")</f>
        <v>0.25</v>
      </c>
      <c r="N9" s="559">
        <f>IF(F9&gt;0,'2019 comm sample'!F9/'2019 Comm catch'!F9,"na")</f>
        <v>0.5</v>
      </c>
      <c r="O9" s="560">
        <f t="shared" si="0"/>
        <v>10.84931506849315</v>
      </c>
      <c r="P9" s="514">
        <f t="shared" si="0"/>
        <v>121.27075812274369</v>
      </c>
      <c r="Q9" s="514">
        <f t="shared" si="0"/>
        <v>0</v>
      </c>
      <c r="R9" s="563">
        <f t="shared" si="0"/>
        <v>0</v>
      </c>
      <c r="S9" s="514"/>
      <c r="T9" s="514"/>
      <c r="U9" s="514"/>
      <c r="V9" s="514"/>
      <c r="W9" s="514"/>
      <c r="X9" s="514"/>
    </row>
    <row r="10" spans="1:24" x14ac:dyDescent="0.3">
      <c r="B10" s="34">
        <v>36</v>
      </c>
      <c r="C10" s="862">
        <v>417</v>
      </c>
      <c r="D10" s="866">
        <v>811</v>
      </c>
      <c r="E10" s="866">
        <v>491</v>
      </c>
      <c r="F10" s="866">
        <v>37</v>
      </c>
      <c r="G10" s="551">
        <f>'2019 comm sample'!K10</f>
        <v>4.6961325966850827E-2</v>
      </c>
      <c r="H10" s="552">
        <f>'2019 comm sample'!L10</f>
        <v>5.7401812688821753E-2</v>
      </c>
      <c r="I10" s="552">
        <f>'2019 comm sample'!M10</f>
        <v>4.4609665427509292E-2</v>
      </c>
      <c r="J10" s="552">
        <f>'2019 comm sample'!N10</f>
        <v>0.2</v>
      </c>
      <c r="K10" s="558">
        <f>IF(C10&gt;0,'2019 comm sample'!C10/'2019 Comm catch'!C10,"na")</f>
        <v>0.86810551558753002</v>
      </c>
      <c r="L10" s="559">
        <f>IF(D10&gt;0,'2019 comm sample'!D10/'2019 Comm catch'!D10,"na")</f>
        <v>0.40813810110974108</v>
      </c>
      <c r="M10" s="559">
        <f>IF(E10&gt;0,'2019 comm sample'!E10/'2019 Comm catch'!E10,"na")</f>
        <v>0.54786150712830961</v>
      </c>
      <c r="N10" s="559">
        <f>IF(F10&gt;0,'2019 comm sample'!F10/'2019 Comm catch'!F10,"na")</f>
        <v>0.27027027027027029</v>
      </c>
      <c r="O10" s="560">
        <f t="shared" si="0"/>
        <v>19.582872928176794</v>
      </c>
      <c r="P10" s="514">
        <f t="shared" si="0"/>
        <v>46.552870090634443</v>
      </c>
      <c r="Q10" s="514">
        <f t="shared" si="0"/>
        <v>21.903345724907062</v>
      </c>
      <c r="R10" s="563">
        <f t="shared" si="0"/>
        <v>7.4</v>
      </c>
      <c r="S10" s="514"/>
      <c r="T10" s="514"/>
      <c r="U10" s="514"/>
      <c r="V10" s="514"/>
      <c r="W10" s="514"/>
      <c r="X10" s="514"/>
    </row>
    <row r="11" spans="1:24" x14ac:dyDescent="0.3">
      <c r="B11" s="34">
        <v>37</v>
      </c>
      <c r="C11" s="862">
        <v>1820</v>
      </c>
      <c r="D11" s="866">
        <v>4199</v>
      </c>
      <c r="E11" s="866">
        <v>1945</v>
      </c>
      <c r="F11" s="866">
        <v>96</v>
      </c>
      <c r="G11" s="551">
        <f>'2019 comm sample'!K11</f>
        <v>5.7641921397379912E-2</v>
      </c>
      <c r="H11" s="552">
        <f>'2019 comm sample'!L11</f>
        <v>0.13397590361445783</v>
      </c>
      <c r="I11" s="552">
        <f>'2019 comm sample'!M11</f>
        <v>5.4388133498145856E-2</v>
      </c>
      <c r="J11" s="552">
        <f>'2019 comm sample'!N11</f>
        <v>0.28000000000000003</v>
      </c>
      <c r="K11" s="558">
        <f>IF(C11&gt;0,'2019 comm sample'!C11/'2019 Comm catch'!C11,"na")</f>
        <v>0.62912087912087911</v>
      </c>
      <c r="L11" s="559">
        <f>IF(D11&gt;0,'2019 comm sample'!D11/'2019 Comm catch'!D11,"na")</f>
        <v>0.49416527744701122</v>
      </c>
      <c r="M11" s="559">
        <f>IF(E11&gt;0,'2019 comm sample'!E11/'2019 Comm catch'!E11,"na")</f>
        <v>0.41593830334190229</v>
      </c>
      <c r="N11" s="559">
        <f>IF(F11&gt;0,'2019 comm sample'!F11/'2019 Comm catch'!F11,"na")</f>
        <v>0.26041666666666669</v>
      </c>
      <c r="O11" s="560">
        <f t="shared" si="0"/>
        <v>104.90829694323143</v>
      </c>
      <c r="P11" s="514">
        <f t="shared" si="0"/>
        <v>562.56481927710843</v>
      </c>
      <c r="Q11" s="514">
        <f t="shared" si="0"/>
        <v>105.7849196538937</v>
      </c>
      <c r="R11" s="563">
        <f t="shared" si="0"/>
        <v>26.880000000000003</v>
      </c>
      <c r="S11" s="514"/>
      <c r="T11" s="514"/>
      <c r="U11" s="514"/>
      <c r="V11" s="514"/>
      <c r="W11" s="514"/>
      <c r="X11" s="514"/>
    </row>
    <row r="12" spans="1:24" x14ac:dyDescent="0.3">
      <c r="B12" s="34">
        <v>38</v>
      </c>
      <c r="C12" s="862">
        <v>498</v>
      </c>
      <c r="D12" s="866">
        <v>652</v>
      </c>
      <c r="E12" s="866">
        <v>1582</v>
      </c>
      <c r="F12" s="866">
        <v>112</v>
      </c>
      <c r="G12" s="551">
        <f>'2019 comm sample'!K12</f>
        <v>3.5211267605633804E-2</v>
      </c>
      <c r="H12" s="552">
        <f>'2019 comm sample'!L12</f>
        <v>6.5298507462686561E-2</v>
      </c>
      <c r="I12" s="552">
        <f>'2019 comm sample'!M12</f>
        <v>3.3755274261603373E-2</v>
      </c>
      <c r="J12" s="552">
        <f>'2019 comm sample'!N12</f>
        <v>0.125</v>
      </c>
      <c r="K12" s="558">
        <f>IF(C12&gt;0,'2019 comm sample'!C12/'2019 Comm catch'!C12,"na")</f>
        <v>0.57028112449799195</v>
      </c>
      <c r="L12" s="559">
        <f>IF(D12&gt;0,'2019 comm sample'!D12/'2019 Comm catch'!D12,"na")</f>
        <v>0.82208588957055218</v>
      </c>
      <c r="M12" s="559">
        <f>IF(E12&gt;0,'2019 comm sample'!E12/'2019 Comm catch'!E12,"na")</f>
        <v>0.59924146649810361</v>
      </c>
      <c r="N12" s="559">
        <f>IF(F12&gt;0,'2019 comm sample'!F12/'2019 Comm catch'!F12,"na")</f>
        <v>0.35714285714285715</v>
      </c>
      <c r="O12" s="560">
        <f t="shared" si="0"/>
        <v>17.535211267605636</v>
      </c>
      <c r="P12" s="514">
        <f t="shared" si="0"/>
        <v>42.57462686567164</v>
      </c>
      <c r="Q12" s="514">
        <f t="shared" si="0"/>
        <v>53.400843881856538</v>
      </c>
      <c r="R12" s="563">
        <f t="shared" si="0"/>
        <v>14</v>
      </c>
      <c r="S12" s="514"/>
      <c r="T12" s="514"/>
      <c r="U12" s="514"/>
      <c r="V12" s="514"/>
      <c r="W12" s="514"/>
      <c r="X12" s="514"/>
    </row>
    <row r="13" spans="1:24" x14ac:dyDescent="0.3">
      <c r="B13" s="34">
        <v>39</v>
      </c>
      <c r="C13" s="862">
        <v>148</v>
      </c>
      <c r="D13" s="866">
        <v>487</v>
      </c>
      <c r="E13" s="866">
        <v>1212</v>
      </c>
      <c r="F13" s="866">
        <v>63</v>
      </c>
      <c r="G13" s="551">
        <f>'2019 comm sample'!K13</f>
        <v>0.02</v>
      </c>
      <c r="H13" s="552">
        <f>'2019 comm sample'!L13</f>
        <v>3.0418250950570342E-2</v>
      </c>
      <c r="I13" s="552">
        <f>'2019 comm sample'!M13</f>
        <v>3.7815126050420166E-2</v>
      </c>
      <c r="J13" s="552">
        <f>'2019 comm sample'!N13</f>
        <v>9.375E-2</v>
      </c>
      <c r="K13" s="558">
        <f>IF(C13&gt;0,'2019 comm sample'!C13/'2019 Comm catch'!C13,"na")</f>
        <v>0.33783783783783783</v>
      </c>
      <c r="L13" s="559">
        <f>IF(D13&gt;0,'2019 comm sample'!D13/'2019 Comm catch'!D13,"na")</f>
        <v>0.54004106776180694</v>
      </c>
      <c r="M13" s="559">
        <f>IF(E13&gt;0,'2019 comm sample'!E13/'2019 Comm catch'!E13,"na")</f>
        <v>0.19636963696369636</v>
      </c>
      <c r="N13" s="559">
        <f>IF(F13&gt;0,'2019 comm sample'!F13/'2019 Comm catch'!F13,"na")</f>
        <v>0.50793650793650791</v>
      </c>
      <c r="O13" s="560">
        <f t="shared" si="0"/>
        <v>2.96</v>
      </c>
      <c r="P13" s="514">
        <f t="shared" si="0"/>
        <v>14.813688212927756</v>
      </c>
      <c r="Q13" s="514">
        <f t="shared" si="0"/>
        <v>45.831932773109237</v>
      </c>
      <c r="R13" s="563">
        <f t="shared" si="0"/>
        <v>5.90625</v>
      </c>
      <c r="S13" s="514"/>
      <c r="T13" s="514"/>
      <c r="U13" s="514"/>
      <c r="V13" s="514"/>
      <c r="W13" s="514"/>
      <c r="X13" s="514"/>
    </row>
    <row r="14" spans="1:24" x14ac:dyDescent="0.3">
      <c r="B14" s="34">
        <v>40</v>
      </c>
      <c r="C14" s="862">
        <v>379</v>
      </c>
      <c r="D14" s="866">
        <v>332</v>
      </c>
      <c r="E14" s="866">
        <v>630</v>
      </c>
      <c r="F14" s="866">
        <v>89</v>
      </c>
      <c r="G14" s="551">
        <f>'2019 comm sample'!K14</f>
        <v>3.9215686274509803E-2</v>
      </c>
      <c r="H14" s="552">
        <f>'2019 comm sample'!L14</f>
        <v>2.4793388429752067E-2</v>
      </c>
      <c r="I14" s="552">
        <f>'2019 comm sample'!M14</f>
        <v>3.111111111111111E-2</v>
      </c>
      <c r="J14" s="552">
        <f>'2019 comm sample'!N14</f>
        <v>5.5555555555555552E-2</v>
      </c>
      <c r="K14" s="558">
        <f>IF(C14&gt;0,'2019 comm sample'!C14/'2019 Comm catch'!C14,"na")</f>
        <v>0.13456464379947231</v>
      </c>
      <c r="L14" s="559">
        <f>IF(D14&gt;0,'2019 comm sample'!D14/'2019 Comm catch'!D14,"na")</f>
        <v>0.72891566265060237</v>
      </c>
      <c r="M14" s="559">
        <f>IF(E14&gt;0,'2019 comm sample'!E14/'2019 Comm catch'!E14,"na")</f>
        <v>0.35714285714285715</v>
      </c>
      <c r="N14" s="559">
        <f>IF(F14&gt;0,'2019 comm sample'!F14/'2019 Comm catch'!F14,"na")</f>
        <v>0.4044943820224719</v>
      </c>
      <c r="O14" s="560">
        <f t="shared" si="0"/>
        <v>14.862745098039216</v>
      </c>
      <c r="P14" s="514">
        <f t="shared" si="0"/>
        <v>8.2314049586776861</v>
      </c>
      <c r="Q14" s="514">
        <f t="shared" si="0"/>
        <v>19.599999999999998</v>
      </c>
      <c r="R14" s="563">
        <f t="shared" si="0"/>
        <v>4.9444444444444438</v>
      </c>
      <c r="S14" s="514"/>
      <c r="T14" s="514"/>
      <c r="U14" s="514"/>
      <c r="V14" s="514"/>
      <c r="W14" s="514"/>
      <c r="X14" s="514"/>
    </row>
    <row r="15" spans="1:24" x14ac:dyDescent="0.3">
      <c r="A15" s="11"/>
      <c r="B15" s="34">
        <v>41</v>
      </c>
      <c r="C15" s="862">
        <v>108</v>
      </c>
      <c r="D15" s="866">
        <v>156</v>
      </c>
      <c r="E15" s="866">
        <v>549</v>
      </c>
      <c r="F15" s="866">
        <v>117</v>
      </c>
      <c r="G15" s="551">
        <f>'2019 comm sample'!K15</f>
        <v>4.0540540540540543E-2</v>
      </c>
      <c r="H15" s="552">
        <f>'2019 comm sample'!L15</f>
        <v>3.4482758620689655E-2</v>
      </c>
      <c r="I15" s="552">
        <f>'2019 comm sample'!M15</f>
        <v>7.560137457044673E-2</v>
      </c>
      <c r="J15" s="552">
        <f>'2019 comm sample'!N15</f>
        <v>0.13043478260869565</v>
      </c>
      <c r="K15" s="558">
        <f>IF(C15&gt;0,'2019 comm sample'!C15/'2019 Comm catch'!C15,"na")</f>
        <v>0.68518518518518523</v>
      </c>
      <c r="L15" s="559">
        <f>IF(D15&gt;0,'2019 comm sample'!D15/'2019 Comm catch'!D15,"na")</f>
        <v>0.92948717948717952</v>
      </c>
      <c r="M15" s="559">
        <f>IF(E15&gt;0,'2019 comm sample'!E15/'2019 Comm catch'!E15,"na")</f>
        <v>0.5300546448087432</v>
      </c>
      <c r="N15" s="559">
        <f>IF(F15&gt;0,'2019 comm sample'!F15/'2019 Comm catch'!F15,"na")</f>
        <v>0.39316239316239315</v>
      </c>
      <c r="O15" s="560">
        <f t="shared" si="0"/>
        <v>4.378378378378379</v>
      </c>
      <c r="P15" s="514">
        <f t="shared" si="0"/>
        <v>5.3793103448275863</v>
      </c>
      <c r="Q15" s="514">
        <f t="shared" si="0"/>
        <v>41.505154639175252</v>
      </c>
      <c r="R15" s="563">
        <f t="shared" si="0"/>
        <v>15.260869565217391</v>
      </c>
      <c r="S15" s="514"/>
      <c r="T15" s="514"/>
      <c r="U15" s="514"/>
      <c r="V15" s="874"/>
      <c r="W15" s="514"/>
      <c r="X15" s="514"/>
    </row>
    <row r="16" spans="1:24" x14ac:dyDescent="0.3">
      <c r="A16" s="11"/>
      <c r="B16" s="34">
        <v>42</v>
      </c>
      <c r="C16" s="862">
        <v>18</v>
      </c>
      <c r="D16" s="865">
        <v>138</v>
      </c>
      <c r="E16" s="866">
        <v>475</v>
      </c>
      <c r="F16" s="866">
        <v>110</v>
      </c>
      <c r="G16" s="551" t="str">
        <f>'2019 comm sample'!K16</f>
        <v>na</v>
      </c>
      <c r="H16" s="552">
        <f>'2019 comm sample'!L16</f>
        <v>1.6949152542372881E-2</v>
      </c>
      <c r="I16" s="552">
        <f>'2019 comm sample'!M16</f>
        <v>4.1522491349480967E-2</v>
      </c>
      <c r="J16" s="552">
        <f>'2019 comm sample'!N16</f>
        <v>3.8461538461538464E-2</v>
      </c>
      <c r="K16" s="558">
        <f>IF(C16&gt;0,'2019 comm sample'!C16/'2019 Comm catch'!C16,"na")</f>
        <v>0</v>
      </c>
      <c r="L16" s="559">
        <f>IF(D16&gt;0,'2019 comm sample'!D16/'2019 Comm catch'!D16,"na")</f>
        <v>0.42753623188405798</v>
      </c>
      <c r="M16" s="559">
        <f>IF(E16&gt;0,'2019 comm sample'!E16/'2019 Comm catch'!E16,"na")</f>
        <v>0.60842105263157897</v>
      </c>
      <c r="N16" s="559">
        <f>IF(F16&gt;0,'2019 comm sample'!F16/'2019 Comm catch'!F16,"na")</f>
        <v>0.23636363636363636</v>
      </c>
      <c r="O16" s="560" t="str">
        <f t="shared" si="0"/>
        <v>na</v>
      </c>
      <c r="P16" s="514">
        <f t="shared" si="0"/>
        <v>2.3389830508474576</v>
      </c>
      <c r="Q16" s="514">
        <f t="shared" si="0"/>
        <v>19.72318339100346</v>
      </c>
      <c r="R16" s="563">
        <f t="shared" si="0"/>
        <v>4.2307692307692308</v>
      </c>
      <c r="S16" s="514"/>
      <c r="T16" s="514"/>
      <c r="U16" s="514"/>
      <c r="W16" s="514"/>
      <c r="X16" s="514"/>
    </row>
    <row r="17" spans="1:32" x14ac:dyDescent="0.3">
      <c r="A17" s="11"/>
      <c r="B17" s="34">
        <v>43</v>
      </c>
      <c r="C17" s="862">
        <v>14</v>
      </c>
      <c r="D17" s="865">
        <v>9</v>
      </c>
      <c r="E17" s="866">
        <v>369</v>
      </c>
      <c r="F17" s="866">
        <v>299</v>
      </c>
      <c r="G17" s="551" t="str">
        <f>'2019 comm sample'!K17</f>
        <v>na</v>
      </c>
      <c r="H17" s="552">
        <f>'2019 comm sample'!L17</f>
        <v>0</v>
      </c>
      <c r="I17" s="552">
        <f>'2019 comm sample'!M17</f>
        <v>0.11267605633802817</v>
      </c>
      <c r="J17" s="552">
        <f>'2019 comm sample'!N17</f>
        <v>8.6956521739130436E-3</v>
      </c>
      <c r="K17" s="558">
        <f>IF(C17&gt;0,'2019 comm sample'!C17/'2019 Comm catch'!C17,"na")</f>
        <v>0</v>
      </c>
      <c r="L17" s="559">
        <f>IF(D17&gt;0,'2019 comm sample'!D17/'2019 Comm catch'!D17,"na")</f>
        <v>1</v>
      </c>
      <c r="M17" s="559">
        <f>IF(E17&gt;0,'2019 comm sample'!E17/'2019 Comm catch'!E17,"na")</f>
        <v>0.57723577235772361</v>
      </c>
      <c r="N17" s="559">
        <f>IF(F17&gt;0,'2019 comm sample'!F17/'2019 Comm catch'!F17,"na")</f>
        <v>0.38461538461538464</v>
      </c>
      <c r="O17" s="560" t="str">
        <f t="shared" si="0"/>
        <v>na</v>
      </c>
      <c r="P17" s="514">
        <f t="shared" si="0"/>
        <v>0</v>
      </c>
      <c r="Q17" s="514">
        <f t="shared" si="0"/>
        <v>41.577464788732392</v>
      </c>
      <c r="R17" s="563">
        <f t="shared" si="0"/>
        <v>2.6</v>
      </c>
      <c r="S17" s="514"/>
      <c r="T17" s="514"/>
      <c r="U17" s="514"/>
      <c r="V17" s="514"/>
      <c r="W17" s="514"/>
      <c r="X17" s="514"/>
    </row>
    <row r="18" spans="1:32" x14ac:dyDescent="0.3">
      <c r="B18" s="34">
        <v>44</v>
      </c>
      <c r="C18" s="862">
        <v>38</v>
      </c>
      <c r="D18" s="807"/>
      <c r="E18" s="864"/>
      <c r="F18" s="866">
        <v>151</v>
      </c>
      <c r="G18" s="551">
        <f>'2019 comm sample'!K18</f>
        <v>0.27272727272727271</v>
      </c>
      <c r="H18" s="552" t="str">
        <f>'2019 comm sample'!L18</f>
        <v>na</v>
      </c>
      <c r="I18" s="552" t="str">
        <f>'2019 comm sample'!M18</f>
        <v>na</v>
      </c>
      <c r="J18" s="552">
        <f>'2019 comm sample'!N18</f>
        <v>0</v>
      </c>
      <c r="K18" s="558">
        <f>IF(C18&gt;0,'2019 comm sample'!C18/'2019 Comm catch'!C18,"na")</f>
        <v>0.28947368421052633</v>
      </c>
      <c r="L18" s="559" t="str">
        <f>IF(D18&gt;0,'2019 comm sample'!D18/'2019 Comm catch'!D18,"na")</f>
        <v>na</v>
      </c>
      <c r="M18" s="559" t="str">
        <f>IF(E18&gt;0,'2019 comm sample'!E18/'2019 Comm catch'!E18,"na")</f>
        <v>na</v>
      </c>
      <c r="N18" s="559">
        <f>IF(F18&gt;0,'2019 comm sample'!F18/'2019 Comm catch'!F18,"na")</f>
        <v>0.54966887417218546</v>
      </c>
      <c r="O18" s="560">
        <f t="shared" si="0"/>
        <v>10.363636363636363</v>
      </c>
      <c r="P18" s="514" t="str">
        <f t="shared" si="0"/>
        <v>na</v>
      </c>
      <c r="Q18" s="514" t="str">
        <f t="shared" si="0"/>
        <v>na</v>
      </c>
      <c r="R18" s="563">
        <f t="shared" si="0"/>
        <v>0</v>
      </c>
      <c r="S18" s="514"/>
      <c r="T18" s="514"/>
      <c r="U18" s="514"/>
      <c r="V18" s="514"/>
      <c r="W18" s="514"/>
      <c r="X18" s="514"/>
    </row>
    <row r="19" spans="1:32" x14ac:dyDescent="0.3">
      <c r="B19" s="34">
        <v>45</v>
      </c>
      <c r="C19" s="867"/>
      <c r="D19" s="868"/>
      <c r="E19" s="869"/>
      <c r="F19" s="875"/>
      <c r="G19" s="567" t="str">
        <f>'2019 comm sample'!K19</f>
        <v>na</v>
      </c>
      <c r="H19" s="568" t="str">
        <f>'2019 comm sample'!L19</f>
        <v>na</v>
      </c>
      <c r="I19" s="568" t="str">
        <f>'2019 comm sample'!M19</f>
        <v>na</v>
      </c>
      <c r="J19" s="568" t="str">
        <f>'2019 comm sample'!N19</f>
        <v>na</v>
      </c>
      <c r="K19" s="569" t="str">
        <f>IF(C19&gt;0,'2019 comm sample'!C19/'2019 Comm catch'!C19,"na")</f>
        <v>na</v>
      </c>
      <c r="L19" s="570" t="str">
        <f>IF(D19&gt;0,'2019 comm sample'!D19/'2019 Comm catch'!D19,"na")</f>
        <v>na</v>
      </c>
      <c r="M19" s="570" t="str">
        <f>IF(E19&gt;0,'2019 comm sample'!E19/'2019 Comm catch'!E19,"na")</f>
        <v>na</v>
      </c>
      <c r="N19" s="570" t="str">
        <f>IF(F19&gt;0,'2019 comm sample'!F19/'2019 Comm catch'!F19,"na")</f>
        <v>na</v>
      </c>
      <c r="O19" s="560" t="str">
        <f t="shared" si="0"/>
        <v>na</v>
      </c>
      <c r="P19" s="514" t="str">
        <f t="shared" si="0"/>
        <v>na</v>
      </c>
      <c r="Q19" s="514" t="str">
        <f t="shared" si="0"/>
        <v>na</v>
      </c>
      <c r="R19" s="563" t="str">
        <f t="shared" si="0"/>
        <v>na</v>
      </c>
      <c r="S19" s="514"/>
      <c r="T19" s="514"/>
      <c r="U19" s="514"/>
      <c r="V19" s="514"/>
      <c r="W19" s="514"/>
      <c r="X19" s="514"/>
    </row>
    <row r="20" spans="1:32" x14ac:dyDescent="0.3">
      <c r="B20" s="34" t="s">
        <v>184</v>
      </c>
      <c r="C20" s="808">
        <f>SUM(C5:C19)</f>
        <v>3589</v>
      </c>
      <c r="D20" s="651">
        <f>SUM(D5:D19)</f>
        <v>7226</v>
      </c>
      <c r="E20" s="651">
        <f>SUM(E5:E19)</f>
        <v>7269</v>
      </c>
      <c r="F20" s="809">
        <f>SUM(F5:F19)</f>
        <v>1076</v>
      </c>
      <c r="G20" s="571">
        <f>'2019 comm sample'!K20</f>
        <v>5.2401746724890827E-2</v>
      </c>
      <c r="H20" s="571">
        <f>'2019 comm sample'!L20</f>
        <v>0.10871221742443485</v>
      </c>
      <c r="I20" s="571">
        <f>'2019 comm sample'!M20</f>
        <v>4.9300060864272674E-2</v>
      </c>
      <c r="J20" s="571">
        <f>'2019 comm sample'!N20</f>
        <v>6.5217391304347824E-2</v>
      </c>
      <c r="K20" s="721">
        <f>IF(C20&gt;0,'2018 comm sample'!C20/'2019 Comm catch'!C20,"na")</f>
        <v>0.47645583728057955</v>
      </c>
      <c r="L20" s="722">
        <f>IF(D20&gt;0,'2018 comm sample'!D20/'2019 Comm catch'!D20,"na")</f>
        <v>0.28660393025186826</v>
      </c>
      <c r="M20" s="722">
        <f>IF(E20&gt;0,'2018 comm sample'!E20/'2019 Comm catch'!E20,"na")</f>
        <v>0.11033154491676984</v>
      </c>
      <c r="N20" s="723">
        <f>IF(F20&gt;0,'2018 comm sample'!F20/'2019 Comm catch'!F20,"na")</f>
        <v>0.78345724907063197</v>
      </c>
      <c r="O20" s="572">
        <f>SUM(O5:O19)</f>
        <v>185.44045604756101</v>
      </c>
      <c r="P20" s="573">
        <f>SUM(P5:P19)</f>
        <v>803.72646092343871</v>
      </c>
      <c r="Q20" s="573">
        <f>SUM(Q5:Q19)</f>
        <v>349.3268448526776</v>
      </c>
      <c r="R20" s="574">
        <f>SUM(R5:R19)</f>
        <v>81.222333240431055</v>
      </c>
      <c r="S20" s="575"/>
      <c r="T20" s="575"/>
      <c r="U20" s="575"/>
      <c r="V20" s="575"/>
      <c r="W20" s="575"/>
      <c r="X20" s="575"/>
    </row>
    <row r="21" spans="1:32" x14ac:dyDescent="0.3">
      <c r="B21" s="208"/>
      <c r="C21" s="208"/>
      <c r="D21" s="208"/>
      <c r="E21" s="208"/>
      <c r="F21" s="575"/>
      <c r="G21" s="34"/>
      <c r="H21" s="34"/>
      <c r="I21" s="208"/>
      <c r="J21" s="576"/>
      <c r="K21" s="208"/>
      <c r="L21" s="208"/>
      <c r="M21" s="208"/>
      <c r="N21" s="577"/>
      <c r="O21" s="208"/>
      <c r="P21" s="208"/>
      <c r="Q21" s="208"/>
      <c r="R21" s="575"/>
      <c r="S21" s="575"/>
      <c r="T21" s="575"/>
      <c r="U21" s="575"/>
      <c r="V21" s="575"/>
      <c r="W21" s="575"/>
      <c r="X21" s="575"/>
    </row>
    <row r="22" spans="1:32" x14ac:dyDescent="0.3">
      <c r="B22" s="208"/>
      <c r="C22" s="457"/>
      <c r="D22" s="457"/>
      <c r="E22" s="457"/>
      <c r="F22" s="514"/>
      <c r="I22" s="457"/>
      <c r="J22" s="457"/>
      <c r="K22" s="457"/>
      <c r="L22" s="457"/>
      <c r="M22" s="457"/>
      <c r="N22" s="457"/>
      <c r="O22" s="457"/>
      <c r="P22" s="457"/>
      <c r="Q22" s="457"/>
      <c r="R22" s="514"/>
      <c r="S22" s="514"/>
      <c r="T22" s="514"/>
      <c r="U22" s="514"/>
      <c r="V22" s="514"/>
      <c r="W22" s="514"/>
      <c r="X22" s="514"/>
    </row>
    <row r="23" spans="1:32" x14ac:dyDescent="0.3">
      <c r="C23" s="34" t="s">
        <v>123</v>
      </c>
      <c r="H23" s="457"/>
      <c r="I23" s="457"/>
      <c r="J23" s="457"/>
      <c r="Y23" s="33"/>
      <c r="Z23" s="33"/>
      <c r="AA23" s="33"/>
    </row>
    <row r="24" spans="1:32" x14ac:dyDescent="0.3">
      <c r="C24" s="903" t="s">
        <v>263</v>
      </c>
      <c r="D24" s="904"/>
      <c r="E24" s="904"/>
      <c r="F24" s="904"/>
      <c r="G24" s="904"/>
      <c r="H24" s="904"/>
      <c r="I24" s="904"/>
      <c r="J24" s="905"/>
      <c r="K24" s="903" t="s">
        <v>264</v>
      </c>
      <c r="L24" s="904"/>
      <c r="M24" s="904"/>
      <c r="N24" s="904"/>
      <c r="O24" s="905"/>
      <c r="P24" s="903" t="s">
        <v>261</v>
      </c>
      <c r="Q24" s="904"/>
      <c r="R24" s="904"/>
      <c r="S24" s="904"/>
      <c r="T24" s="904"/>
      <c r="U24" s="697" t="s">
        <v>323</v>
      </c>
      <c r="V24" s="698"/>
      <c r="W24" s="698"/>
      <c r="X24" s="698"/>
      <c r="Y24" s="698"/>
      <c r="Z24" s="698"/>
      <c r="AA24" s="698"/>
      <c r="AB24" s="699"/>
      <c r="AC24" s="34" t="s">
        <v>328</v>
      </c>
    </row>
    <row r="25" spans="1:32" x14ac:dyDescent="0.3">
      <c r="B25" s="34" t="s">
        <v>134</v>
      </c>
      <c r="C25" s="547">
        <v>1</v>
      </c>
      <c r="D25" s="202">
        <v>2</v>
      </c>
      <c r="E25" s="202">
        <v>3</v>
      </c>
      <c r="F25" s="202"/>
      <c r="G25" s="202">
        <v>4</v>
      </c>
      <c r="H25" s="202">
        <v>5</v>
      </c>
      <c r="I25" s="202"/>
      <c r="J25" s="548" t="s">
        <v>272</v>
      </c>
      <c r="K25" s="367">
        <v>1</v>
      </c>
      <c r="L25" s="175">
        <v>2</v>
      </c>
      <c r="M25" s="175">
        <v>3</v>
      </c>
      <c r="N25" s="175">
        <v>4</v>
      </c>
      <c r="O25" s="368">
        <v>5</v>
      </c>
      <c r="P25" s="367">
        <v>1</v>
      </c>
      <c r="Q25" s="175">
        <v>2</v>
      </c>
      <c r="R25" s="175">
        <v>3</v>
      </c>
      <c r="S25" s="175">
        <v>4</v>
      </c>
      <c r="T25" s="175">
        <v>5</v>
      </c>
      <c r="U25" s="367">
        <v>1</v>
      </c>
      <c r="V25" s="175">
        <v>2</v>
      </c>
      <c r="W25" s="175">
        <v>3</v>
      </c>
      <c r="X25" s="175"/>
      <c r="Y25" s="175">
        <v>4</v>
      </c>
      <c r="Z25" s="175">
        <v>5</v>
      </c>
      <c r="AA25" s="175"/>
      <c r="AB25" s="368" t="s">
        <v>272</v>
      </c>
      <c r="AC25" s="32" t="str">
        <f>'2013 comm sample'!R24</f>
        <v>Z1-3 Agg</v>
      </c>
      <c r="AD25" s="32" t="str">
        <f>'2013 comm sample'!S24</f>
        <v>Z4-5 Agg</v>
      </c>
      <c r="AE25" s="73"/>
      <c r="AF25" s="73"/>
    </row>
    <row r="26" spans="1:32" x14ac:dyDescent="0.3">
      <c r="A26" s="34"/>
      <c r="B26" s="34">
        <v>32</v>
      </c>
      <c r="C26" s="832"/>
      <c r="D26" s="833"/>
      <c r="E26" s="833"/>
      <c r="F26" s="834"/>
      <c r="G26" s="835"/>
      <c r="H26" s="835"/>
      <c r="I26" s="834"/>
      <c r="J26" s="579"/>
      <c r="K26" s="532" t="str">
        <f>'2019 comm sample'!M26</f>
        <v>na</v>
      </c>
      <c r="L26" s="532" t="str">
        <f>'2019 comm sample'!N26</f>
        <v>na</v>
      </c>
      <c r="M26" s="532" t="str">
        <f>'2019 comm sample'!O26</f>
        <v>na</v>
      </c>
      <c r="N26" s="532" t="str">
        <f>'2019 comm sample'!P26</f>
        <v>na</v>
      </c>
      <c r="O26" s="533" t="str">
        <f>'2019 comm sample'!Q26</f>
        <v>na</v>
      </c>
      <c r="P26" s="559" t="str">
        <f>IF(C26&gt;0,'2019 comm sample'!C26/'2019 Comm catch'!C26,"na")</f>
        <v>na</v>
      </c>
      <c r="Q26" s="559" t="str">
        <f>IF(D26&gt;0,'2019 comm sample'!D26/'2019 Comm catch'!D26,"na")</f>
        <v>na</v>
      </c>
      <c r="R26" s="559" t="str">
        <f>IF(E26&gt;0,'2019 comm sample'!E26/'2019 Comm catch'!E26,"na")</f>
        <v>na</v>
      </c>
      <c r="S26" s="559" t="str">
        <f>IF(G26&gt;0,'2019 comm sample'!F26/'2019 Comm catch'!G26,"na")</f>
        <v>na</v>
      </c>
      <c r="T26" s="559" t="str">
        <f>IF(H26&gt;0,'2019 comm sample'!G26/'2019 Comm catch'!H26,"na")</f>
        <v>na</v>
      </c>
      <c r="U26" s="560">
        <f t="shared" ref="U26:W39" si="1">IF(K26&lt;&gt;"na",C26*K26,0)</f>
        <v>0</v>
      </c>
      <c r="V26" s="514">
        <f t="shared" si="1"/>
        <v>0</v>
      </c>
      <c r="W26" s="514">
        <f t="shared" si="1"/>
        <v>0</v>
      </c>
      <c r="X26" s="705">
        <f t="shared" ref="X26:X38" si="2">SUM(U26:W26)</f>
        <v>0</v>
      </c>
      <c r="Y26" s="514">
        <f t="shared" ref="Y26:Z39" si="3">IF(N26&lt;&gt;"na",G26*N26,0)</f>
        <v>0</v>
      </c>
      <c r="Z26" s="514">
        <f t="shared" si="3"/>
        <v>0</v>
      </c>
      <c r="AA26" s="705">
        <f t="shared" ref="AA26:AA38" si="4">SUM(Y26:Z26)</f>
        <v>0</v>
      </c>
      <c r="AB26" s="580">
        <f>X26+AA26</f>
        <v>0</v>
      </c>
    </row>
    <row r="27" spans="1:32" x14ac:dyDescent="0.3">
      <c r="A27" s="34" t="s">
        <v>324</v>
      </c>
      <c r="B27" s="34">
        <v>33</v>
      </c>
      <c r="C27" s="836"/>
      <c r="D27" s="837"/>
      <c r="E27" s="837"/>
      <c r="F27" s="838"/>
      <c r="G27" s="871">
        <v>7</v>
      </c>
      <c r="H27" s="871">
        <v>0</v>
      </c>
      <c r="I27" s="839">
        <f t="shared" ref="I27:I38" si="5">SUM(G27:H27)</f>
        <v>7</v>
      </c>
      <c r="J27" s="515">
        <f>F27+I27</f>
        <v>7</v>
      </c>
      <c r="K27" s="532" t="str">
        <f>'2019 comm sample'!M27</f>
        <v>na</v>
      </c>
      <c r="L27" s="532" t="str">
        <f>'2019 comm sample'!N27</f>
        <v>na</v>
      </c>
      <c r="M27" s="532" t="str">
        <f>'2019 comm sample'!O27</f>
        <v>na</v>
      </c>
      <c r="N27" s="532">
        <f>'2019 comm sample'!P27</f>
        <v>0.4</v>
      </c>
      <c r="O27" s="533">
        <f>'2019 comm sample'!Q27</f>
        <v>1</v>
      </c>
      <c r="P27" s="559" t="str">
        <f>IF(C27&gt;0,'2019 comm sample'!C27/'2019 Comm catch'!C27,"na")</f>
        <v>na</v>
      </c>
      <c r="Q27" s="559" t="str">
        <f>IF(D27&gt;0,'2019 comm sample'!D27/'2019 Comm catch'!D27,"na")</f>
        <v>na</v>
      </c>
      <c r="R27" s="559" t="str">
        <f>IF(E27&gt;0,'2019 comm sample'!E27/'2019 Comm catch'!E27,"na")</f>
        <v>na</v>
      </c>
      <c r="S27" s="559">
        <f>IF(G27&gt;0,'2019 comm sample'!F27/'2019 Comm catch'!G27,"na")</f>
        <v>0.7142857142857143</v>
      </c>
      <c r="T27" s="559" t="str">
        <f>IF(H27&gt;0,'2019 comm sample'!G27/'2019 Comm catch'!H27,"na")</f>
        <v>na</v>
      </c>
      <c r="U27" s="560">
        <f t="shared" si="1"/>
        <v>0</v>
      </c>
      <c r="V27" s="514">
        <f t="shared" si="1"/>
        <v>0</v>
      </c>
      <c r="W27" s="514">
        <f t="shared" si="1"/>
        <v>0</v>
      </c>
      <c r="X27" s="705">
        <f t="shared" si="2"/>
        <v>0</v>
      </c>
      <c r="Y27" s="514">
        <f t="shared" si="3"/>
        <v>2.8000000000000003</v>
      </c>
      <c r="Z27" s="514">
        <f t="shared" si="3"/>
        <v>0</v>
      </c>
      <c r="AA27" s="705">
        <f t="shared" si="4"/>
        <v>2.8000000000000003</v>
      </c>
      <c r="AB27" s="580">
        <f t="shared" ref="AB27:AB40" si="6">X27+AA27</f>
        <v>2.8000000000000003</v>
      </c>
      <c r="AD27" s="585"/>
    </row>
    <row r="28" spans="1:32" x14ac:dyDescent="0.3">
      <c r="A28" s="34" t="s">
        <v>324</v>
      </c>
      <c r="B28" s="34">
        <v>34</v>
      </c>
      <c r="C28" s="836"/>
      <c r="D28" s="837"/>
      <c r="E28" s="837"/>
      <c r="F28" s="838"/>
      <c r="G28" s="871">
        <v>31</v>
      </c>
      <c r="H28" s="871">
        <v>11</v>
      </c>
      <c r="I28" s="839">
        <f t="shared" si="5"/>
        <v>42</v>
      </c>
      <c r="J28" s="515">
        <f t="shared" ref="J28:J39" si="7">F28+I28</f>
        <v>42</v>
      </c>
      <c r="K28" s="532" t="str">
        <f>'2019 comm sample'!M28</f>
        <v>na</v>
      </c>
      <c r="L28" s="532" t="str">
        <f>'2019 comm sample'!N28</f>
        <v>na</v>
      </c>
      <c r="M28" s="532" t="str">
        <f>'2019 comm sample'!O28</f>
        <v>na</v>
      </c>
      <c r="N28" s="532">
        <f>'2019 comm sample'!P28</f>
        <v>0.9285714285714286</v>
      </c>
      <c r="O28" s="533">
        <f>'2019 comm sample'!Q28</f>
        <v>0.8</v>
      </c>
      <c r="P28" s="559" t="str">
        <f>IF(C28&gt;0,'2019 comm sample'!C28/'2019 Comm catch'!C28,"na")</f>
        <v>na</v>
      </c>
      <c r="Q28" s="559" t="str">
        <f>IF(D28&gt;0,'2019 comm sample'!D28/'2019 Comm catch'!D28,"na")</f>
        <v>na</v>
      </c>
      <c r="R28" s="559" t="str">
        <f>IF(E28&gt;0,'2019 comm sample'!E28/'2019 Comm catch'!E28,"na")</f>
        <v>na</v>
      </c>
      <c r="S28" s="559">
        <f>IF(G28&gt;0,'2019 comm sample'!F28/'2019 Comm catch'!G28,"na")</f>
        <v>0.45161290322580644</v>
      </c>
      <c r="T28" s="559">
        <f>IF(H28&gt;0,'2019 comm sample'!G28/'2019 Comm catch'!H28,"na")</f>
        <v>0.45454545454545453</v>
      </c>
      <c r="U28" s="560">
        <f t="shared" si="1"/>
        <v>0</v>
      </c>
      <c r="V28" s="514">
        <f t="shared" si="1"/>
        <v>0</v>
      </c>
      <c r="W28" s="514">
        <f t="shared" si="1"/>
        <v>0</v>
      </c>
      <c r="X28" s="705">
        <f t="shared" si="2"/>
        <v>0</v>
      </c>
      <c r="Y28" s="514">
        <f t="shared" si="3"/>
        <v>28.785714285714288</v>
      </c>
      <c r="Z28" s="514">
        <f t="shared" si="3"/>
        <v>8.8000000000000007</v>
      </c>
      <c r="AA28" s="705">
        <f t="shared" si="4"/>
        <v>37.585714285714289</v>
      </c>
      <c r="AB28" s="580">
        <f t="shared" si="6"/>
        <v>37.585714285714289</v>
      </c>
      <c r="AD28" s="585"/>
    </row>
    <row r="29" spans="1:32" x14ac:dyDescent="0.3">
      <c r="A29" s="34" t="s">
        <v>324</v>
      </c>
      <c r="B29" s="34">
        <v>35</v>
      </c>
      <c r="C29" s="836"/>
      <c r="D29" s="837"/>
      <c r="E29" s="837"/>
      <c r="F29" s="838"/>
      <c r="G29" s="871">
        <v>131</v>
      </c>
      <c r="H29" s="871">
        <v>26</v>
      </c>
      <c r="I29" s="839">
        <f t="shared" si="5"/>
        <v>157</v>
      </c>
      <c r="J29" s="515">
        <f t="shared" si="7"/>
        <v>157</v>
      </c>
      <c r="K29" s="532" t="str">
        <f>'2019 comm sample'!M29</f>
        <v>na</v>
      </c>
      <c r="L29" s="532" t="str">
        <f>'2019 comm sample'!N29</f>
        <v>na</v>
      </c>
      <c r="M29" s="532" t="str">
        <f>'2019 comm sample'!O29</f>
        <v>na</v>
      </c>
      <c r="N29" s="532">
        <f>'2019 comm sample'!P29</f>
        <v>0.76923076923076927</v>
      </c>
      <c r="O29" s="533">
        <f>'2019 comm sample'!Q29</f>
        <v>0.55813953488372092</v>
      </c>
      <c r="P29" s="559" t="str">
        <f>IF(C29&gt;0,'2019 comm sample'!C29/'2019 Comm catch'!C29,"na")</f>
        <v>na</v>
      </c>
      <c r="Q29" s="559" t="str">
        <f>IF(D29&gt;0,'2019 comm sample'!D29/'2019 Comm catch'!D29,"na")</f>
        <v>na</v>
      </c>
      <c r="R29" s="559" t="str">
        <f>IF(E29&gt;0,'2019 comm sample'!E29/'2019 Comm catch'!E29,"na")</f>
        <v>na</v>
      </c>
      <c r="S29" s="559">
        <f>IF(G29&gt;0,'2019 comm sample'!F29/'2019 Comm catch'!G29,"na")</f>
        <v>0.19847328244274809</v>
      </c>
      <c r="T29" s="559">
        <f>IF(H29&gt;0,'2019 comm sample'!G29/'2019 Comm catch'!H29,"na")</f>
        <v>1.6538461538461537</v>
      </c>
      <c r="U29" s="560">
        <f t="shared" si="1"/>
        <v>0</v>
      </c>
      <c r="V29" s="514">
        <f t="shared" si="1"/>
        <v>0</v>
      </c>
      <c r="W29" s="514">
        <f t="shared" si="1"/>
        <v>0</v>
      </c>
      <c r="X29" s="705">
        <f t="shared" si="2"/>
        <v>0</v>
      </c>
      <c r="Y29" s="514">
        <f t="shared" si="3"/>
        <v>100.76923076923077</v>
      </c>
      <c r="Z29" s="514">
        <f t="shared" si="3"/>
        <v>14.511627906976743</v>
      </c>
      <c r="AA29" s="705">
        <f t="shared" si="4"/>
        <v>115.28085867620752</v>
      </c>
      <c r="AB29" s="580">
        <f t="shared" si="6"/>
        <v>115.28085867620752</v>
      </c>
      <c r="AD29" s="805">
        <f>I29*'2019 comm sample'!S29</f>
        <v>100.1159420289855</v>
      </c>
    </row>
    <row r="30" spans="1:32" x14ac:dyDescent="0.3">
      <c r="A30" s="34"/>
      <c r="B30" s="34">
        <v>36</v>
      </c>
      <c r="C30" s="836"/>
      <c r="D30" s="837"/>
      <c r="E30" s="837"/>
      <c r="F30" s="838"/>
      <c r="G30" s="840"/>
      <c r="H30" s="840"/>
      <c r="I30" s="839">
        <f t="shared" si="5"/>
        <v>0</v>
      </c>
      <c r="J30" s="515">
        <f t="shared" si="7"/>
        <v>0</v>
      </c>
      <c r="K30" s="532" t="str">
        <f>'2019 comm sample'!M30</f>
        <v>na</v>
      </c>
      <c r="L30" s="532" t="str">
        <f>'2019 comm sample'!N30</f>
        <v>na</v>
      </c>
      <c r="M30" s="532" t="str">
        <f>'2019 comm sample'!O30</f>
        <v>na</v>
      </c>
      <c r="N30" s="532" t="str">
        <f>'2019 comm sample'!P30</f>
        <v>na</v>
      </c>
      <c r="O30" s="533" t="str">
        <f>'2019 comm sample'!Q30</f>
        <v>na</v>
      </c>
      <c r="P30" s="559" t="str">
        <f>IF(C30&gt;0,'2019 comm sample'!C30/'2019 Comm catch'!C30,"na")</f>
        <v>na</v>
      </c>
      <c r="Q30" s="559" t="str">
        <f>IF(D30&gt;0,'2019 comm sample'!D30/'2019 Comm catch'!D30,"na")</f>
        <v>na</v>
      </c>
      <c r="R30" s="559" t="str">
        <f>IF(E30&gt;0,'2019 comm sample'!E30/'2019 Comm catch'!E30,"na")</f>
        <v>na</v>
      </c>
      <c r="S30" s="559" t="str">
        <f>IF(G30&gt;0,'2019 comm sample'!F30/'2019 Comm catch'!G30,"na")</f>
        <v>na</v>
      </c>
      <c r="T30" s="559" t="str">
        <f>IF(H30&gt;0,'2019 comm sample'!G30/'2019 Comm catch'!H30,"na")</f>
        <v>na</v>
      </c>
      <c r="U30" s="560">
        <f t="shared" si="1"/>
        <v>0</v>
      </c>
      <c r="V30" s="514">
        <f t="shared" si="1"/>
        <v>0</v>
      </c>
      <c r="W30" s="514">
        <f t="shared" si="1"/>
        <v>0</v>
      </c>
      <c r="X30" s="705">
        <f t="shared" si="2"/>
        <v>0</v>
      </c>
      <c r="Y30" s="514">
        <f t="shared" si="3"/>
        <v>0</v>
      </c>
      <c r="Z30" s="514">
        <f t="shared" si="3"/>
        <v>0</v>
      </c>
      <c r="AA30" s="705">
        <f t="shared" si="4"/>
        <v>0</v>
      </c>
      <c r="AB30" s="580">
        <f t="shared" si="6"/>
        <v>0</v>
      </c>
      <c r="AD30" s="585"/>
    </row>
    <row r="31" spans="1:32" x14ac:dyDescent="0.3">
      <c r="A31"/>
      <c r="B31" s="34">
        <v>37</v>
      </c>
      <c r="C31" s="836"/>
      <c r="D31" s="837"/>
      <c r="E31" s="837"/>
      <c r="F31" s="838"/>
      <c r="G31" s="807"/>
      <c r="H31" s="807"/>
      <c r="I31" s="838">
        <f t="shared" si="5"/>
        <v>0</v>
      </c>
      <c r="J31" s="515">
        <f t="shared" si="7"/>
        <v>0</v>
      </c>
      <c r="K31" s="532" t="str">
        <f>'2019 comm sample'!M31</f>
        <v>na</v>
      </c>
      <c r="L31" s="532" t="str">
        <f>'2019 comm sample'!N31</f>
        <v>na</v>
      </c>
      <c r="M31" s="532" t="str">
        <f>'2019 comm sample'!O31</f>
        <v>na</v>
      </c>
      <c r="N31" s="532" t="str">
        <f>'2019 comm sample'!P31</f>
        <v>na</v>
      </c>
      <c r="O31" s="533" t="str">
        <f>'2019 comm sample'!Q31</f>
        <v>na</v>
      </c>
      <c r="P31" s="558" t="str">
        <f>IF(C31&gt;0,'2019 comm sample'!C31/'2019 Comm catch'!C31,"na")</f>
        <v>na</v>
      </c>
      <c r="Q31" s="559" t="str">
        <f>IF(D31&gt;0,'2019 comm sample'!D31/'2019 Comm catch'!D31,"na")</f>
        <v>na</v>
      </c>
      <c r="R31" s="559" t="str">
        <f>IF(E31&gt;0,'2019 comm sample'!E31/'2019 Comm catch'!E31,"na")</f>
        <v>na</v>
      </c>
      <c r="S31" s="559" t="str">
        <f>IF(G31&gt;0,'2019 comm sample'!F31/'2019 Comm catch'!G31,"na")</f>
        <v>na</v>
      </c>
      <c r="T31" s="559" t="str">
        <f>IF(H31&gt;0,'2019 comm sample'!G31/'2019 Comm catch'!H31,"na")</f>
        <v>na</v>
      </c>
      <c r="U31" s="560">
        <f t="shared" si="1"/>
        <v>0</v>
      </c>
      <c r="V31" s="514">
        <f t="shared" si="1"/>
        <v>0</v>
      </c>
      <c r="W31" s="514">
        <f t="shared" si="1"/>
        <v>0</v>
      </c>
      <c r="X31" s="705">
        <f t="shared" si="2"/>
        <v>0</v>
      </c>
      <c r="Y31" s="514">
        <f t="shared" si="3"/>
        <v>0</v>
      </c>
      <c r="Z31" s="514">
        <f t="shared" si="3"/>
        <v>0</v>
      </c>
      <c r="AA31" s="705">
        <f t="shared" si="4"/>
        <v>0</v>
      </c>
      <c r="AB31" s="580">
        <f t="shared" si="6"/>
        <v>0</v>
      </c>
    </row>
    <row r="32" spans="1:32" x14ac:dyDescent="0.3">
      <c r="A32" s="34"/>
      <c r="B32" s="34">
        <v>38</v>
      </c>
      <c r="C32" s="836"/>
      <c r="D32" s="837"/>
      <c r="E32" s="837"/>
      <c r="F32" s="838"/>
      <c r="G32" s="807"/>
      <c r="H32" s="807"/>
      <c r="I32" s="838">
        <f t="shared" si="5"/>
        <v>0</v>
      </c>
      <c r="J32" s="515">
        <f t="shared" si="7"/>
        <v>0</v>
      </c>
      <c r="K32" s="532" t="str">
        <f>'2019 comm sample'!M32</f>
        <v>na</v>
      </c>
      <c r="L32" s="532" t="str">
        <f>'2019 comm sample'!N32</f>
        <v>na</v>
      </c>
      <c r="M32" s="532" t="str">
        <f>'2019 comm sample'!O32</f>
        <v>na</v>
      </c>
      <c r="N32" s="532" t="str">
        <f>'2019 comm sample'!P32</f>
        <v>na</v>
      </c>
      <c r="O32" s="533" t="str">
        <f>'2019 comm sample'!Q32</f>
        <v>na</v>
      </c>
      <c r="P32" s="558" t="str">
        <f>IF(C32&gt;0,'2019 comm sample'!C32/'2019 Comm catch'!C32,"na")</f>
        <v>na</v>
      </c>
      <c r="Q32" s="559" t="str">
        <f>IF(D32&gt;0,'2019 comm sample'!D32/'2019 Comm catch'!D32,"na")</f>
        <v>na</v>
      </c>
      <c r="R32" s="559" t="str">
        <f>IF(E32&gt;0,'2019 comm sample'!E32/'2019 Comm catch'!E32,"na")</f>
        <v>na</v>
      </c>
      <c r="S32" s="559" t="str">
        <f>IF(G32&gt;0,'2019 comm sample'!F32/'2019 Comm catch'!G32,"na")</f>
        <v>na</v>
      </c>
      <c r="T32" s="559" t="str">
        <f>IF(H32&gt;0,'2019 comm sample'!G32/'2019 Comm catch'!H32,"na")</f>
        <v>na</v>
      </c>
      <c r="U32" s="560">
        <f t="shared" si="1"/>
        <v>0</v>
      </c>
      <c r="V32" s="514">
        <f t="shared" si="1"/>
        <v>0</v>
      </c>
      <c r="W32" s="514">
        <f t="shared" si="1"/>
        <v>0</v>
      </c>
      <c r="X32" s="705">
        <f t="shared" si="2"/>
        <v>0</v>
      </c>
      <c r="Y32" s="514">
        <f t="shared" si="3"/>
        <v>0</v>
      </c>
      <c r="Z32" s="514">
        <f t="shared" si="3"/>
        <v>0</v>
      </c>
      <c r="AA32" s="705">
        <f t="shared" si="4"/>
        <v>0</v>
      </c>
      <c r="AB32" s="580">
        <f t="shared" si="6"/>
        <v>0</v>
      </c>
      <c r="AD32" s="585"/>
    </row>
    <row r="33" spans="1:32" x14ac:dyDescent="0.3">
      <c r="A33" s="34"/>
      <c r="B33" s="34">
        <v>39</v>
      </c>
      <c r="C33" s="836"/>
      <c r="D33" s="837"/>
      <c r="E33" s="837"/>
      <c r="F33" s="838">
        <f t="shared" ref="F33:F38" si="8">SUM(C33:E33)</f>
        <v>0</v>
      </c>
      <c r="G33" s="841"/>
      <c r="H33" s="841"/>
      <c r="I33" s="839">
        <f t="shared" si="5"/>
        <v>0</v>
      </c>
      <c r="J33" s="737">
        <f t="shared" si="7"/>
        <v>0</v>
      </c>
      <c r="K33" s="532" t="str">
        <f>'2019 comm sample'!M33</f>
        <v>na</v>
      </c>
      <c r="L33" s="532" t="str">
        <f>'2019 comm sample'!N33</f>
        <v>na</v>
      </c>
      <c r="M33" s="532" t="str">
        <f>'2019 comm sample'!O33</f>
        <v>na</v>
      </c>
      <c r="N33" s="532" t="str">
        <f>'2019 comm sample'!P33</f>
        <v>na</v>
      </c>
      <c r="O33" s="533" t="str">
        <f>'2019 comm sample'!Q33</f>
        <v>na</v>
      </c>
      <c r="P33" s="558" t="str">
        <f>IF(C33&gt;0,'2019 comm sample'!C33/'2019 Comm catch'!C33,"na")</f>
        <v>na</v>
      </c>
      <c r="Q33" s="559" t="str">
        <f>IF(D33&gt;0,'2019 comm sample'!D33/'2019 Comm catch'!D33,"na")</f>
        <v>na</v>
      </c>
      <c r="R33" s="559" t="str">
        <f>IF(E33&gt;0,'2019 comm sample'!E33/'2019 Comm catch'!E33,"na")</f>
        <v>na</v>
      </c>
      <c r="S33" s="559" t="str">
        <f>IF(G33&gt;0,'2019 comm sample'!F33/'2019 Comm catch'!G33,"na")</f>
        <v>na</v>
      </c>
      <c r="T33" s="559" t="str">
        <f>IF(H33&gt;0,'2019 comm sample'!G33/'2019 Comm catch'!H33,"na")</f>
        <v>na</v>
      </c>
      <c r="U33" s="583">
        <f>IF(K33&lt;&gt;"na",C33*L33,0)</f>
        <v>0</v>
      </c>
      <c r="V33" s="584">
        <f t="shared" si="1"/>
        <v>0</v>
      </c>
      <c r="W33" s="514">
        <f t="shared" si="1"/>
        <v>0</v>
      </c>
      <c r="X33" s="706">
        <f t="shared" si="2"/>
        <v>0</v>
      </c>
      <c r="Y33" s="584">
        <f t="shared" si="3"/>
        <v>0</v>
      </c>
      <c r="Z33" s="584">
        <f t="shared" si="3"/>
        <v>0</v>
      </c>
      <c r="AA33" s="705">
        <f t="shared" si="4"/>
        <v>0</v>
      </c>
      <c r="AB33" s="580">
        <f t="shared" si="6"/>
        <v>0</v>
      </c>
      <c r="AC33" s="585"/>
      <c r="AD33" s="585"/>
      <c r="AE33" s="585"/>
      <c r="AF33" s="585"/>
    </row>
    <row r="34" spans="1:32" x14ac:dyDescent="0.3">
      <c r="A34" s="34" t="s">
        <v>332</v>
      </c>
      <c r="B34" s="34">
        <v>40</v>
      </c>
      <c r="C34" s="873">
        <f>144+9</f>
        <v>153</v>
      </c>
      <c r="D34" s="865">
        <f>367+152</f>
        <v>519</v>
      </c>
      <c r="E34" s="865">
        <f>178+106</f>
        <v>284</v>
      </c>
      <c r="F34" s="838">
        <f>SUM(C34:E34)</f>
        <v>956</v>
      </c>
      <c r="G34" s="841"/>
      <c r="H34" s="841"/>
      <c r="I34" s="839">
        <f>SUM(G34:H34)</f>
        <v>0</v>
      </c>
      <c r="J34" s="515">
        <f>F34+I34</f>
        <v>956</v>
      </c>
      <c r="K34" s="532">
        <f>'2019 comm sample'!M34</f>
        <v>0</v>
      </c>
      <c r="L34" s="532">
        <f>'2019 comm sample'!N34</f>
        <v>0</v>
      </c>
      <c r="M34" s="532">
        <f>'2019 comm sample'!O34</f>
        <v>0</v>
      </c>
      <c r="N34" s="532" t="str">
        <f>'2019 comm sample'!P34</f>
        <v>na</v>
      </c>
      <c r="O34" s="533" t="str">
        <f>'2019 comm sample'!Q34</f>
        <v>na</v>
      </c>
      <c r="P34" s="558">
        <f>IF(C34&gt;0,'2019 comm sample'!C34/'2019 Comm catch'!C34,"na")</f>
        <v>0.21568627450980393</v>
      </c>
      <c r="Q34" s="559">
        <f>IF(D34&gt;0,'2019 comm sample'!D34/'2019 Comm catch'!D34,"na")</f>
        <v>0.16377649325626203</v>
      </c>
      <c r="R34" s="559">
        <f>IF(E34&gt;0,'2019 comm sample'!E34/'2019 Comm catch'!E34,"na")</f>
        <v>0.8098591549295775</v>
      </c>
      <c r="S34" s="559" t="str">
        <f>IF(G34&gt;0,'2019 comm sample'!F34/'2019 Comm catch'!G34,"na")</f>
        <v>na</v>
      </c>
      <c r="T34" s="559" t="str">
        <f>IF(H34&gt;0,'2019 comm sample'!G34/'2019 Comm catch'!H34,"na")</f>
        <v>na</v>
      </c>
      <c r="U34" s="583">
        <f>IF(K34&lt;&gt;"na",C34*L34,0)</f>
        <v>0</v>
      </c>
      <c r="V34" s="514">
        <f>IF(L34&lt;&gt;"na",D34*L34,0)</f>
        <v>0</v>
      </c>
      <c r="W34" s="514">
        <f t="shared" si="1"/>
        <v>0</v>
      </c>
      <c r="X34" s="705">
        <f t="shared" si="2"/>
        <v>0</v>
      </c>
      <c r="Y34" s="584">
        <f t="shared" si="3"/>
        <v>0</v>
      </c>
      <c r="Z34" s="584">
        <f t="shared" si="3"/>
        <v>0</v>
      </c>
      <c r="AA34" s="705">
        <f t="shared" si="4"/>
        <v>0</v>
      </c>
      <c r="AB34" s="580">
        <f>X34+AA34</f>
        <v>0</v>
      </c>
      <c r="AC34" s="585"/>
      <c r="AD34" s="585"/>
      <c r="AE34" s="585"/>
      <c r="AF34" s="585"/>
    </row>
    <row r="35" spans="1:32" x14ac:dyDescent="0.3">
      <c r="A35" s="34" t="s">
        <v>326</v>
      </c>
      <c r="B35" s="34">
        <v>41</v>
      </c>
      <c r="C35" s="873">
        <f>10+0+0</f>
        <v>10</v>
      </c>
      <c r="D35" s="865">
        <f>163+176+157</f>
        <v>496</v>
      </c>
      <c r="E35" s="865">
        <f>42+51+43</f>
        <v>136</v>
      </c>
      <c r="F35" s="838">
        <f t="shared" si="8"/>
        <v>642</v>
      </c>
      <c r="G35" s="870">
        <v>6</v>
      </c>
      <c r="H35" s="870">
        <v>8</v>
      </c>
      <c r="I35" s="839">
        <f t="shared" si="5"/>
        <v>14</v>
      </c>
      <c r="J35" s="515">
        <f t="shared" si="7"/>
        <v>656</v>
      </c>
      <c r="K35" s="532" t="str">
        <f>'2019 comm sample'!M35</f>
        <v>na</v>
      </c>
      <c r="L35" s="532">
        <f>'2019 comm sample'!N35</f>
        <v>4.2735042735042739E-3</v>
      </c>
      <c r="M35" s="532">
        <f>'2019 comm sample'!O35</f>
        <v>0</v>
      </c>
      <c r="N35" s="532">
        <f>'2019 comm sample'!P35</f>
        <v>0</v>
      </c>
      <c r="O35" s="533">
        <f>'2019 comm sample'!Q35</f>
        <v>0</v>
      </c>
      <c r="P35" s="558">
        <f>IF(C35&gt;0,'2019 comm sample'!C35/'2019 Comm catch'!C35,"na")</f>
        <v>0</v>
      </c>
      <c r="Q35" s="559">
        <f>IF(D35&gt;0,'2019 comm sample'!D35/'2019 Comm catch'!D35,"na")</f>
        <v>0.47177419354838712</v>
      </c>
      <c r="R35" s="559">
        <f>IF(E35&gt;0,'2019 comm sample'!E35/'2019 Comm catch'!E35,"na")</f>
        <v>0.75735294117647056</v>
      </c>
      <c r="S35" s="559">
        <f>IF(G35&gt;0,'2019 comm sample'!F35/'2019 Comm catch'!G35,"na")</f>
        <v>1</v>
      </c>
      <c r="T35" s="559">
        <f>IF(H35&gt;0,'2019 comm sample'!G35/'2019 Comm catch'!H35,"na")</f>
        <v>0.625</v>
      </c>
      <c r="U35" s="560">
        <f t="shared" si="1"/>
        <v>0</v>
      </c>
      <c r="V35" s="514">
        <f t="shared" si="1"/>
        <v>2.1196581196581197</v>
      </c>
      <c r="W35" s="514">
        <f t="shared" si="1"/>
        <v>0</v>
      </c>
      <c r="X35" s="705">
        <f t="shared" si="2"/>
        <v>2.1196581196581197</v>
      </c>
      <c r="Y35" s="514">
        <f t="shared" si="3"/>
        <v>0</v>
      </c>
      <c r="Z35" s="514">
        <f>IF(O35&lt;&gt;"na",H35*O35,0)</f>
        <v>0</v>
      </c>
      <c r="AA35" s="705">
        <f t="shared" si="4"/>
        <v>0</v>
      </c>
      <c r="AB35" s="580">
        <f t="shared" si="6"/>
        <v>2.1196581196581197</v>
      </c>
      <c r="AC35" s="585"/>
      <c r="AD35" s="585"/>
      <c r="AE35" s="657"/>
    </row>
    <row r="36" spans="1:32" x14ac:dyDescent="0.3">
      <c r="A36" s="34" t="s">
        <v>332</v>
      </c>
      <c r="B36" s="34">
        <v>42</v>
      </c>
      <c r="C36" s="873">
        <f>0+0+0</f>
        <v>0</v>
      </c>
      <c r="D36" s="865">
        <f>119+118+166</f>
        <v>403</v>
      </c>
      <c r="E36" s="865">
        <f>44+48+60</f>
        <v>152</v>
      </c>
      <c r="F36" s="838">
        <f t="shared" si="8"/>
        <v>555</v>
      </c>
      <c r="G36" s="877"/>
      <c r="H36" s="877"/>
      <c r="I36" s="839">
        <f t="shared" si="5"/>
        <v>0</v>
      </c>
      <c r="J36" s="515">
        <f t="shared" si="7"/>
        <v>555</v>
      </c>
      <c r="K36" s="532">
        <f>'2019 comm sample'!M36</f>
        <v>0</v>
      </c>
      <c r="L36" s="532">
        <f>'2019 comm sample'!N36</f>
        <v>0</v>
      </c>
      <c r="M36" s="532">
        <f>'2019 comm sample'!O36</f>
        <v>0</v>
      </c>
      <c r="N36" s="532" t="str">
        <f>'2019 comm sample'!P36</f>
        <v>na</v>
      </c>
      <c r="O36" s="533" t="str">
        <f>'2019 comm sample'!Q36</f>
        <v>na</v>
      </c>
      <c r="P36" s="558" t="str">
        <f>IF(C36&gt;0,'2019 comm sample'!C36/'2019 Comm catch'!C36,"na")</f>
        <v>na</v>
      </c>
      <c r="Q36" s="559">
        <f>IF(D36&gt;0,'2019 comm sample'!D36/'2019 Comm catch'!D36,"na")</f>
        <v>0.58808933002481389</v>
      </c>
      <c r="R36" s="559">
        <f>IF(E36&gt;0,'2019 comm sample'!E36/'2019 Comm catch'!E36,"na")</f>
        <v>0.50657894736842102</v>
      </c>
      <c r="S36" s="559" t="str">
        <f>IF(G36&gt;0,'2019 comm sample'!F36/'2019 Comm catch'!G36,"na")</f>
        <v>na</v>
      </c>
      <c r="T36" s="559" t="str">
        <f>IF(H36&gt;0,'2019 comm sample'!G36/'2019 Comm catch'!H36,"na")</f>
        <v>na</v>
      </c>
      <c r="U36" s="560">
        <f>IF(K36&lt;&gt;"na",C36*K36,0)</f>
        <v>0</v>
      </c>
      <c r="V36" s="514">
        <f t="shared" si="1"/>
        <v>0</v>
      </c>
      <c r="W36" s="514">
        <f t="shared" si="1"/>
        <v>0</v>
      </c>
      <c r="X36" s="705">
        <f t="shared" si="2"/>
        <v>0</v>
      </c>
      <c r="Y36" s="514">
        <f t="shared" si="3"/>
        <v>0</v>
      </c>
      <c r="Z36" s="514">
        <f t="shared" si="3"/>
        <v>0</v>
      </c>
      <c r="AA36" s="705">
        <f t="shared" si="4"/>
        <v>0</v>
      </c>
      <c r="AB36" s="580">
        <f t="shared" si="6"/>
        <v>0</v>
      </c>
      <c r="AC36" s="793"/>
      <c r="AD36" s="585"/>
    </row>
    <row r="37" spans="1:32" x14ac:dyDescent="0.3">
      <c r="A37" s="34" t="s">
        <v>332</v>
      </c>
      <c r="B37" s="34">
        <v>43</v>
      </c>
      <c r="C37" s="873">
        <f>0+0+0</f>
        <v>0</v>
      </c>
      <c r="D37" s="879">
        <f>127+134+48</f>
        <v>309</v>
      </c>
      <c r="E37" s="879">
        <f>11+15+4</f>
        <v>30</v>
      </c>
      <c r="F37" s="838">
        <f t="shared" si="8"/>
        <v>339</v>
      </c>
      <c r="G37" s="807"/>
      <c r="H37" s="807"/>
      <c r="I37" s="839">
        <f t="shared" si="5"/>
        <v>0</v>
      </c>
      <c r="J37" s="515">
        <f t="shared" si="7"/>
        <v>339</v>
      </c>
      <c r="K37" s="532" t="str">
        <f>'2019 comm sample'!M37</f>
        <v>na</v>
      </c>
      <c r="L37" s="532">
        <f>'2019 comm sample'!N37</f>
        <v>0</v>
      </c>
      <c r="M37" s="532">
        <f>'2019 comm sample'!O37</f>
        <v>0</v>
      </c>
      <c r="N37" s="532" t="str">
        <f>'2019 comm sample'!P37</f>
        <v>na</v>
      </c>
      <c r="O37" s="532" t="str">
        <f>'2019 comm sample'!Q37</f>
        <v>na</v>
      </c>
      <c r="P37" s="558" t="str">
        <f>IF(C37&gt;0,'2019 comm sample'!C37/'2019 Comm catch'!C37,"na")</f>
        <v>na</v>
      </c>
      <c r="Q37" s="559">
        <f>IF(D37&gt;0,'2019 comm sample'!D37/'2019 Comm catch'!D37,"na")</f>
        <v>0.57281553398058249</v>
      </c>
      <c r="R37" s="559">
        <f>IF(E37&gt;0,'2019 comm sample'!E37/'2019 Comm catch'!E37,"na")</f>
        <v>0.4</v>
      </c>
      <c r="S37" s="559" t="str">
        <f>IF(G37&gt;0,'2019 comm sample'!F37/'2019 Comm catch'!G37,"na")</f>
        <v>na</v>
      </c>
      <c r="T37" s="559" t="str">
        <f>IF(H37&gt;0,'2019 comm sample'!G37/'2019 Comm catch'!H37,"na")</f>
        <v>na</v>
      </c>
      <c r="U37" s="560">
        <f t="shared" si="1"/>
        <v>0</v>
      </c>
      <c r="V37" s="514">
        <f>IF(L37&lt;&gt;"na",D37*L37,0)</f>
        <v>0</v>
      </c>
      <c r="W37" s="514">
        <f t="shared" si="1"/>
        <v>0</v>
      </c>
      <c r="X37" s="705">
        <f t="shared" si="2"/>
        <v>0</v>
      </c>
      <c r="Y37" s="514">
        <f t="shared" si="3"/>
        <v>0</v>
      </c>
      <c r="Z37" s="514">
        <f t="shared" si="3"/>
        <v>0</v>
      </c>
      <c r="AA37" s="705">
        <f t="shared" si="4"/>
        <v>0</v>
      </c>
      <c r="AB37" s="580">
        <f t="shared" si="6"/>
        <v>0</v>
      </c>
      <c r="AC37" s="793"/>
      <c r="AD37" s="585"/>
    </row>
    <row r="38" spans="1:32" x14ac:dyDescent="0.3">
      <c r="A38" s="34"/>
      <c r="B38" s="34">
        <v>44</v>
      </c>
      <c r="C38" s="836"/>
      <c r="D38" s="837"/>
      <c r="E38" s="837"/>
      <c r="F38" s="837">
        <f t="shared" si="8"/>
        <v>0</v>
      </c>
      <c r="G38" s="807"/>
      <c r="H38" s="807"/>
      <c r="I38" s="813">
        <f t="shared" si="5"/>
        <v>0</v>
      </c>
      <c r="J38" s="515">
        <f t="shared" si="7"/>
        <v>0</v>
      </c>
      <c r="K38" s="532" t="str">
        <f>'2019 comm sample'!M38</f>
        <v>na</v>
      </c>
      <c r="L38" s="532" t="str">
        <f>'2019 comm sample'!N38</f>
        <v>na</v>
      </c>
      <c r="M38" s="532" t="str">
        <f>'2019 comm sample'!O38</f>
        <v>na</v>
      </c>
      <c r="N38" s="532" t="str">
        <f>'2019 comm sample'!P38</f>
        <v>na</v>
      </c>
      <c r="O38" s="533" t="str">
        <f>'2019 comm sample'!Q38</f>
        <v>na</v>
      </c>
      <c r="P38" s="558" t="str">
        <f>IF(C38&gt;0,'2019 comm sample'!C38/'2019 Comm catch'!C38,"na")</f>
        <v>na</v>
      </c>
      <c r="Q38" s="559" t="str">
        <f>IF(D38&gt;0,'2019 comm sample'!D38/'2019 Comm catch'!D38,"na")</f>
        <v>na</v>
      </c>
      <c r="R38" s="559" t="str">
        <f>IF(E38&gt;0,'2019 comm sample'!E38/'2019 Comm catch'!E38,"na")</f>
        <v>na</v>
      </c>
      <c r="S38" s="559" t="str">
        <f>IF(G38&gt;0,'2019 comm sample'!F38/'2019 Comm catch'!G38,"na")</f>
        <v>na</v>
      </c>
      <c r="T38" s="559" t="str">
        <f>IF(H38&gt;0,'2019 comm sample'!G38/'2019 Comm catch'!H38,"na")</f>
        <v>na</v>
      </c>
      <c r="U38" s="560">
        <f t="shared" si="1"/>
        <v>0</v>
      </c>
      <c r="V38" s="514">
        <f t="shared" si="1"/>
        <v>0</v>
      </c>
      <c r="W38" s="514">
        <f t="shared" si="1"/>
        <v>0</v>
      </c>
      <c r="X38" s="705">
        <f t="shared" si="2"/>
        <v>0</v>
      </c>
      <c r="Y38" s="514">
        <f t="shared" si="3"/>
        <v>0</v>
      </c>
      <c r="Z38" s="514">
        <f t="shared" si="3"/>
        <v>0</v>
      </c>
      <c r="AA38" s="705">
        <f t="shared" si="4"/>
        <v>0</v>
      </c>
      <c r="AB38" s="580">
        <f t="shared" si="6"/>
        <v>0</v>
      </c>
      <c r="AC38" s="585"/>
      <c r="AD38" s="585"/>
    </row>
    <row r="39" spans="1:32" x14ac:dyDescent="0.3">
      <c r="B39" s="34">
        <v>45</v>
      </c>
      <c r="C39" s="843"/>
      <c r="D39" s="844"/>
      <c r="E39" s="844"/>
      <c r="F39" s="844"/>
      <c r="G39" s="845"/>
      <c r="H39" s="845"/>
      <c r="I39" s="844"/>
      <c r="J39" s="566">
        <f t="shared" si="7"/>
        <v>0</v>
      </c>
      <c r="K39" s="534" t="str">
        <f>'2019 comm sample'!M39</f>
        <v>na</v>
      </c>
      <c r="L39" s="534" t="str">
        <f>'2019 comm sample'!N39</f>
        <v>na</v>
      </c>
      <c r="M39" s="534" t="str">
        <f>'2019 comm sample'!O39</f>
        <v>na</v>
      </c>
      <c r="N39" s="534" t="str">
        <f>'2019 comm sample'!P39</f>
        <v>na</v>
      </c>
      <c r="O39" s="535" t="str">
        <f>'2019 comm sample'!Q39</f>
        <v>na</v>
      </c>
      <c r="P39" s="569" t="str">
        <f>IF(C39&gt;0,'2019 comm sample'!C39/'2019 Comm catch'!C39,"na")</f>
        <v>na</v>
      </c>
      <c r="Q39" s="570" t="str">
        <f>IF(D39&gt;0,'2019 comm sample'!D39/'2019 Comm catch'!D39,"na")</f>
        <v>na</v>
      </c>
      <c r="R39" s="570" t="str">
        <f>IF(E39&gt;0,'2019 comm sample'!E39/'2019 Comm catch'!E39,"na")</f>
        <v>na</v>
      </c>
      <c r="S39" s="570" t="str">
        <f>IF(G39&gt;0,'2019 comm sample'!F39/'2019 Comm catch'!G39,"na")</f>
        <v>na</v>
      </c>
      <c r="T39" s="559" t="str">
        <f>IF(H39&gt;0,'2019 comm sample'!G39/'2019 Comm catch'!H39,"na")</f>
        <v>na</v>
      </c>
      <c r="U39" s="588">
        <f t="shared" si="1"/>
        <v>0</v>
      </c>
      <c r="V39" s="589">
        <f t="shared" si="1"/>
        <v>0</v>
      </c>
      <c r="W39" s="589">
        <f t="shared" si="1"/>
        <v>0</v>
      </c>
      <c r="X39" s="707"/>
      <c r="Y39" s="589">
        <f t="shared" si="3"/>
        <v>0</v>
      </c>
      <c r="Z39" s="589">
        <f t="shared" si="3"/>
        <v>0</v>
      </c>
      <c r="AA39" s="707"/>
      <c r="AB39" s="590">
        <f t="shared" si="6"/>
        <v>0</v>
      </c>
    </row>
    <row r="40" spans="1:32" x14ac:dyDescent="0.3">
      <c r="B40" s="591" t="s">
        <v>184</v>
      </c>
      <c r="C40" s="846">
        <f>SUM(C26:C39)</f>
        <v>163</v>
      </c>
      <c r="D40" s="847">
        <f>SUM(D26:D39)</f>
        <v>1727</v>
      </c>
      <c r="E40" s="847">
        <f>SUM(E26:E39)</f>
        <v>602</v>
      </c>
      <c r="F40" s="847"/>
      <c r="G40" s="847">
        <f>SUM(G26:G39)</f>
        <v>175</v>
      </c>
      <c r="H40" s="847">
        <f>SUM(H26:H39)</f>
        <v>45</v>
      </c>
      <c r="I40" s="847"/>
      <c r="J40" s="594">
        <f>SUM(C40:H40)</f>
        <v>2712</v>
      </c>
      <c r="K40" s="595">
        <f>'2019 comm sample'!M40</f>
        <v>0</v>
      </c>
      <c r="L40" s="595">
        <f>'2019 comm sample'!N40</f>
        <v>1.364256480218281E-3</v>
      </c>
      <c r="M40" s="595">
        <f>'2019 comm sample'!O40</f>
        <v>0</v>
      </c>
      <c r="N40" s="595">
        <f>'2019 comm sample'!P40</f>
        <v>0.68627450980392157</v>
      </c>
      <c r="O40" s="595">
        <f>'2019 comm sample'!Q40</f>
        <v>0.53703703703703709</v>
      </c>
      <c r="P40" s="596">
        <f>IF(C40&gt;0,'2019 comm sample'!C40/'2019 Comm catch'!C40,"na")</f>
        <v>0.20245398773006135</v>
      </c>
      <c r="Q40" s="596">
        <f>IF(D40&gt;0,'2019 comm sample'!D40/'2019 Comm catch'!D40,"na")</f>
        <v>0.42443543717429066</v>
      </c>
      <c r="R40" s="596">
        <f>IF(E40&gt;0,'2019 comm sample'!E40/'2019 Comm catch'!E40,"na")</f>
        <v>0.70099667774086383</v>
      </c>
      <c r="S40" s="570">
        <f>IF(G40&gt;0,'2019 comm sample'!F40/'2019 Comm catch'!G40,"na")</f>
        <v>0.29142857142857143</v>
      </c>
      <c r="T40" s="872">
        <f>IF(H40&gt;0,'2019 comm sample'!G40/'2019 Comm catch'!H40,"na")</f>
        <v>1.2</v>
      </c>
      <c r="U40" s="588">
        <f t="shared" ref="U40:AA40" si="9">SUM(U26:U39)</f>
        <v>0</v>
      </c>
      <c r="V40" s="589">
        <f t="shared" si="9"/>
        <v>2.1196581196581197</v>
      </c>
      <c r="W40" s="589">
        <f t="shared" si="9"/>
        <v>0</v>
      </c>
      <c r="X40" s="589">
        <f t="shared" si="9"/>
        <v>2.1196581196581197</v>
      </c>
      <c r="Y40" s="589">
        <f t="shared" si="9"/>
        <v>132.35494505494506</v>
      </c>
      <c r="Z40" s="589">
        <f t="shared" si="9"/>
        <v>23.311627906976746</v>
      </c>
      <c r="AA40" s="589">
        <f t="shared" si="9"/>
        <v>155.66657296192182</v>
      </c>
      <c r="AB40" s="590">
        <f t="shared" si="6"/>
        <v>157.78623108157993</v>
      </c>
    </row>
    <row r="41" spans="1:32" x14ac:dyDescent="0.3">
      <c r="B41" s="591"/>
      <c r="C41" s="597"/>
      <c r="D41" s="597"/>
      <c r="E41" s="597">
        <f>E40+D40+C40</f>
        <v>2492</v>
      </c>
      <c r="F41" s="597"/>
      <c r="G41" s="597"/>
      <c r="J41" s="597"/>
      <c r="K41" s="597"/>
      <c r="L41" s="597"/>
      <c r="M41" s="597"/>
      <c r="N41" s="597"/>
      <c r="O41" s="598"/>
      <c r="P41" s="597"/>
      <c r="Q41" s="597"/>
      <c r="R41" s="597"/>
      <c r="S41" s="597"/>
      <c r="T41" s="599"/>
      <c r="U41" s="597"/>
      <c r="V41" s="597"/>
      <c r="W41" s="597"/>
      <c r="X41" s="597"/>
      <c r="Y41" s="597"/>
      <c r="Z41" s="33"/>
      <c r="AA41" s="33"/>
      <c r="AB41" s="597"/>
      <c r="AC41" s="647"/>
    </row>
  </sheetData>
  <mergeCells count="7">
    <mergeCell ref="C3:F3"/>
    <mergeCell ref="G3:J3"/>
    <mergeCell ref="K3:N3"/>
    <mergeCell ref="O3:R3"/>
    <mergeCell ref="C24:J24"/>
    <mergeCell ref="K24:O24"/>
    <mergeCell ref="P24:T24"/>
  </mergeCells>
  <conditionalFormatting sqref="K5:N5 K7:N19">
    <cfRule type="cellIs" dxfId="127" priority="29" operator="equal">
      <formula>"na"</formula>
    </cfRule>
    <cfRule type="cellIs" dxfId="126" priority="30" operator="greaterThan">
      <formula>1</formula>
    </cfRule>
    <cfRule type="cellIs" dxfId="125" priority="31" operator="lessThan">
      <formula>0.2</formula>
    </cfRule>
    <cfRule type="cellIs" dxfId="124" priority="36" stopIfTrue="1" operator="equal">
      <formula>0</formula>
    </cfRule>
  </conditionalFormatting>
  <conditionalFormatting sqref="P26:R39 T26:T39">
    <cfRule type="cellIs" dxfId="123" priority="32" stopIfTrue="1" operator="equal">
      <formula>"na"</formula>
    </cfRule>
    <cfRule type="cellIs" dxfId="122" priority="33" operator="greaterThan">
      <formula>1</formula>
    </cfRule>
    <cfRule type="cellIs" dxfId="121" priority="34" operator="lessThan">
      <formula>0.2</formula>
    </cfRule>
    <cfRule type="cellIs" dxfId="120" priority="35" stopIfTrue="1" operator="equal">
      <formula>0</formula>
    </cfRule>
  </conditionalFormatting>
  <conditionalFormatting sqref="K6:N6">
    <cfRule type="cellIs" dxfId="119" priority="21" operator="equal">
      <formula>"na"</formula>
    </cfRule>
    <cfRule type="cellIs" dxfId="118" priority="22" operator="greaterThan">
      <formula>1</formula>
    </cfRule>
    <cfRule type="cellIs" dxfId="117" priority="23" operator="lessThan">
      <formula>0.2</formula>
    </cfRule>
    <cfRule type="cellIs" dxfId="116" priority="24" stopIfTrue="1" operator="equal">
      <formula>0</formula>
    </cfRule>
  </conditionalFormatting>
  <conditionalFormatting sqref="T40">
    <cfRule type="cellIs" dxfId="115" priority="1" stopIfTrue="1" operator="equal">
      <formula>"na"</formula>
    </cfRule>
    <cfRule type="cellIs" dxfId="114" priority="2" operator="greaterThan">
      <formula>1</formula>
    </cfRule>
    <cfRule type="cellIs" dxfId="113" priority="3" operator="lessThan">
      <formula>0.2</formula>
    </cfRule>
    <cfRule type="cellIs" dxfId="112" priority="4" stopIfTrue="1" operator="equal">
      <formula>0</formula>
    </cfRule>
  </conditionalFormatting>
  <conditionalFormatting sqref="S26:S39">
    <cfRule type="cellIs" dxfId="111" priority="17" stopIfTrue="1" operator="equal">
      <formula>"na"</formula>
    </cfRule>
    <cfRule type="cellIs" dxfId="110" priority="18" operator="greaterThan">
      <formula>1</formula>
    </cfRule>
    <cfRule type="cellIs" dxfId="109" priority="19" operator="lessThan">
      <formula>0.2</formula>
    </cfRule>
    <cfRule type="cellIs" dxfId="108" priority="20" stopIfTrue="1" operator="equal">
      <formula>0</formula>
    </cfRule>
  </conditionalFormatting>
  <conditionalFormatting sqref="S40">
    <cfRule type="cellIs" dxfId="107" priority="5" stopIfTrue="1" operator="equal">
      <formula>"na"</formula>
    </cfRule>
    <cfRule type="cellIs" dxfId="106" priority="6" operator="greaterThan">
      <formula>1</formula>
    </cfRule>
    <cfRule type="cellIs" dxfId="105" priority="7" operator="lessThan">
      <formula>0.2</formula>
    </cfRule>
    <cfRule type="cellIs" dxfId="104" priority="8" stopIfTrue="1" operator="equal">
      <formula>0</formula>
    </cfRule>
  </conditionalFormatting>
  <pageMargins left="0.75" right="0.75" top="1" bottom="1" header="0.5" footer="0.5"/>
  <pageSetup scale="49" orientation="landscape"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S42"/>
  <sheetViews>
    <sheetView zoomScale="110" zoomScaleNormal="110" workbookViewId="0">
      <pane xSplit="2" topLeftCell="C1" activePane="topRight" state="frozen"/>
      <selection activeCell="I30" sqref="I30"/>
      <selection pane="topRight" activeCell="I30" sqref="I30"/>
    </sheetView>
  </sheetViews>
  <sheetFormatPr defaultRowHeight="12.5" x14ac:dyDescent="0.25"/>
  <cols>
    <col min="1" max="1" width="20.7265625" bestFit="1" customWidth="1"/>
    <col min="2" max="2" width="5.81640625" bestFit="1" customWidth="1"/>
    <col min="3" max="3" width="11.1796875" bestFit="1" customWidth="1"/>
    <col min="4" max="4" width="9.453125" bestFit="1" customWidth="1"/>
    <col min="5" max="5" width="7.453125" bestFit="1" customWidth="1"/>
    <col min="6" max="6" width="7.1796875" bestFit="1" customWidth="1"/>
    <col min="7" max="7" width="11.1796875" bestFit="1" customWidth="1"/>
    <col min="8" max="8" width="9.453125" bestFit="1" customWidth="1"/>
    <col min="9" max="9" width="7.453125" bestFit="1" customWidth="1"/>
    <col min="10" max="10" width="7.1796875" bestFit="1" customWidth="1"/>
    <col min="11" max="11" width="11.1796875" bestFit="1" customWidth="1"/>
    <col min="12" max="12" width="9.453125" bestFit="1" customWidth="1"/>
    <col min="13" max="14" width="8.26953125" customWidth="1"/>
    <col min="15" max="15" width="7" bestFit="1" customWidth="1"/>
    <col min="16" max="17" width="8.26953125" bestFit="1" customWidth="1"/>
  </cols>
  <sheetData>
    <row r="2" spans="1:14" ht="13" x14ac:dyDescent="0.3">
      <c r="C2" s="34" t="s">
        <v>330</v>
      </c>
    </row>
    <row r="3" spans="1:14" x14ac:dyDescent="0.25">
      <c r="C3" s="900" t="s">
        <v>265</v>
      </c>
      <c r="D3" s="901"/>
      <c r="E3" s="901"/>
      <c r="F3" s="902"/>
      <c r="G3" s="900" t="s">
        <v>266</v>
      </c>
      <c r="H3" s="901"/>
      <c r="I3" s="901"/>
      <c r="J3" s="902"/>
      <c r="K3" s="900" t="s">
        <v>267</v>
      </c>
      <c r="L3" s="901"/>
      <c r="M3" s="901"/>
      <c r="N3" s="902"/>
    </row>
    <row r="4" spans="1:14" x14ac:dyDescent="0.25">
      <c r="B4" t="s">
        <v>134</v>
      </c>
      <c r="C4" s="286" t="s">
        <v>31</v>
      </c>
      <c r="D4" s="810" t="s">
        <v>62</v>
      </c>
      <c r="E4" s="810" t="s">
        <v>260</v>
      </c>
      <c r="F4" s="811" t="s">
        <v>203</v>
      </c>
      <c r="G4" s="286" t="s">
        <v>31</v>
      </c>
      <c r="H4" s="810" t="s">
        <v>62</v>
      </c>
      <c r="I4" s="810" t="s">
        <v>260</v>
      </c>
      <c r="J4" s="811" t="s">
        <v>203</v>
      </c>
      <c r="K4" s="274" t="s">
        <v>31</v>
      </c>
      <c r="L4" s="42" t="s">
        <v>62</v>
      </c>
      <c r="M4" s="42" t="s">
        <v>260</v>
      </c>
      <c r="N4" s="134" t="s">
        <v>203</v>
      </c>
    </row>
    <row r="5" spans="1:14" x14ac:dyDescent="0.25">
      <c r="B5">
        <v>31</v>
      </c>
      <c r="C5" s="812">
        <v>0</v>
      </c>
      <c r="D5" s="813"/>
      <c r="E5" s="813"/>
      <c r="F5" s="814"/>
      <c r="G5" s="812">
        <v>0</v>
      </c>
      <c r="H5" s="813"/>
      <c r="I5" s="813"/>
      <c r="J5" s="813"/>
      <c r="K5" s="521" t="str">
        <f t="shared" ref="K5" si="0">IF(C5&gt;0,G5/C5,"na")</f>
        <v>na</v>
      </c>
      <c r="L5" s="522" t="str">
        <f t="shared" ref="L5" si="1">IF(D5&gt;0,H5/D5,"na")</f>
        <v>na</v>
      </c>
      <c r="M5" s="522" t="str">
        <f t="shared" ref="M5" si="2">IF(E5&gt;0,I5/E5,"na")</f>
        <v>na</v>
      </c>
      <c r="N5" s="523" t="str">
        <f t="shared" ref="N5" si="3">IF(F5&gt;0,J5/F5,"na")</f>
        <v>na</v>
      </c>
    </row>
    <row r="6" spans="1:14" x14ac:dyDescent="0.25">
      <c r="B6">
        <v>32</v>
      </c>
      <c r="C6" s="812">
        <v>0</v>
      </c>
      <c r="D6" s="813"/>
      <c r="E6" s="813"/>
      <c r="F6" s="815"/>
      <c r="G6" s="816">
        <v>0</v>
      </c>
      <c r="H6" s="817"/>
      <c r="I6" s="817"/>
      <c r="J6" s="817"/>
      <c r="K6" s="524" t="str">
        <f t="shared" ref="K6:N19" si="4">IF(C6&gt;0,G6/C6,"na")</f>
        <v>na</v>
      </c>
      <c r="L6" s="525" t="str">
        <f t="shared" si="4"/>
        <v>na</v>
      </c>
      <c r="M6" s="525" t="str">
        <f t="shared" si="4"/>
        <v>na</v>
      </c>
      <c r="N6" s="526" t="str">
        <f t="shared" si="4"/>
        <v>na</v>
      </c>
    </row>
    <row r="7" spans="1:14" x14ac:dyDescent="0.25">
      <c r="B7">
        <v>33</v>
      </c>
      <c r="C7" s="812">
        <v>2</v>
      </c>
      <c r="D7" s="813"/>
      <c r="E7" s="813"/>
      <c r="F7" s="815"/>
      <c r="G7" s="812">
        <v>1</v>
      </c>
      <c r="H7" s="813"/>
      <c r="I7" s="813"/>
      <c r="J7" s="813"/>
      <c r="K7" s="524">
        <f t="shared" si="4"/>
        <v>0.5</v>
      </c>
      <c r="L7" s="525" t="str">
        <f t="shared" si="4"/>
        <v>na</v>
      </c>
      <c r="M7" s="525" t="str">
        <f t="shared" si="4"/>
        <v>na</v>
      </c>
      <c r="N7" s="526" t="str">
        <f t="shared" si="4"/>
        <v>na</v>
      </c>
    </row>
    <row r="8" spans="1:14" x14ac:dyDescent="0.25">
      <c r="B8">
        <v>34</v>
      </c>
      <c r="C8" s="812">
        <v>6</v>
      </c>
      <c r="D8" s="813"/>
      <c r="E8" s="813"/>
      <c r="F8" s="815"/>
      <c r="G8" s="812">
        <v>1</v>
      </c>
      <c r="H8" s="813"/>
      <c r="I8" s="813"/>
      <c r="J8" s="813"/>
      <c r="K8" s="524">
        <f t="shared" si="4"/>
        <v>0.16666666666666666</v>
      </c>
      <c r="L8" s="525" t="str">
        <f t="shared" si="4"/>
        <v>na</v>
      </c>
      <c r="M8" s="525" t="str">
        <f t="shared" si="4"/>
        <v>na</v>
      </c>
      <c r="N8" s="526" t="str">
        <f t="shared" si="4"/>
        <v>na</v>
      </c>
    </row>
    <row r="9" spans="1:14" x14ac:dyDescent="0.25">
      <c r="B9">
        <v>35</v>
      </c>
      <c r="C9" s="812">
        <v>36</v>
      </c>
      <c r="D9" s="812">
        <v>38</v>
      </c>
      <c r="E9" s="812">
        <v>12</v>
      </c>
      <c r="F9" s="818">
        <v>60</v>
      </c>
      <c r="G9" s="812">
        <v>5</v>
      </c>
      <c r="H9" s="812">
        <v>4</v>
      </c>
      <c r="I9" s="812">
        <v>0</v>
      </c>
      <c r="J9" s="812">
        <v>2</v>
      </c>
      <c r="K9" s="524">
        <f t="shared" si="4"/>
        <v>0.1388888888888889</v>
      </c>
      <c r="L9" s="525">
        <f t="shared" si="4"/>
        <v>0.10526315789473684</v>
      </c>
      <c r="M9" s="525">
        <f t="shared" si="4"/>
        <v>0</v>
      </c>
      <c r="N9" s="526">
        <f t="shared" si="4"/>
        <v>3.3333333333333333E-2</v>
      </c>
    </row>
    <row r="10" spans="1:14" x14ac:dyDescent="0.25">
      <c r="B10">
        <v>36</v>
      </c>
      <c r="C10" s="812">
        <v>277</v>
      </c>
      <c r="D10" s="812">
        <v>298</v>
      </c>
      <c r="E10" s="812">
        <v>79</v>
      </c>
      <c r="F10" s="818">
        <v>162</v>
      </c>
      <c r="G10" s="812">
        <v>6</v>
      </c>
      <c r="H10" s="812">
        <v>31</v>
      </c>
      <c r="I10" s="812">
        <v>5</v>
      </c>
      <c r="J10" s="812">
        <v>7</v>
      </c>
      <c r="K10" s="524">
        <f t="shared" si="4"/>
        <v>2.1660649819494584E-2</v>
      </c>
      <c r="L10" s="525">
        <f t="shared" si="4"/>
        <v>0.1040268456375839</v>
      </c>
      <c r="M10" s="525">
        <f t="shared" si="4"/>
        <v>6.3291139240506333E-2</v>
      </c>
      <c r="N10" s="526">
        <f t="shared" si="4"/>
        <v>4.3209876543209874E-2</v>
      </c>
    </row>
    <row r="11" spans="1:14" x14ac:dyDescent="0.25">
      <c r="B11">
        <v>37</v>
      </c>
      <c r="C11" s="812">
        <v>383</v>
      </c>
      <c r="D11" s="812">
        <v>281</v>
      </c>
      <c r="E11" s="812">
        <v>120</v>
      </c>
      <c r="F11" s="818">
        <v>309</v>
      </c>
      <c r="G11" s="812">
        <v>19</v>
      </c>
      <c r="H11" s="812">
        <v>23</v>
      </c>
      <c r="I11" s="812">
        <v>8</v>
      </c>
      <c r="J11" s="812">
        <v>4</v>
      </c>
      <c r="K11" s="524">
        <f t="shared" si="4"/>
        <v>4.960835509138381E-2</v>
      </c>
      <c r="L11" s="525">
        <f t="shared" si="4"/>
        <v>8.1850533807829182E-2</v>
      </c>
      <c r="M11" s="525">
        <f t="shared" si="4"/>
        <v>6.6666666666666666E-2</v>
      </c>
      <c r="N11" s="526">
        <f t="shared" si="4"/>
        <v>1.2944983818770227E-2</v>
      </c>
    </row>
    <row r="12" spans="1:14" x14ac:dyDescent="0.25">
      <c r="B12">
        <v>38</v>
      </c>
      <c r="C12" s="819"/>
      <c r="D12" s="819"/>
      <c r="E12" s="819"/>
      <c r="F12" s="820"/>
      <c r="G12" s="819"/>
      <c r="H12" s="819"/>
      <c r="I12" s="819"/>
      <c r="J12" s="819"/>
      <c r="K12" s="524" t="str">
        <f t="shared" si="4"/>
        <v>na</v>
      </c>
      <c r="L12" s="525" t="str">
        <f t="shared" si="4"/>
        <v>na</v>
      </c>
      <c r="M12" s="525" t="str">
        <f t="shared" si="4"/>
        <v>na</v>
      </c>
      <c r="N12" s="526" t="str">
        <f t="shared" si="4"/>
        <v>na</v>
      </c>
    </row>
    <row r="13" spans="1:14" x14ac:dyDescent="0.25">
      <c r="B13">
        <v>39</v>
      </c>
      <c r="C13" s="812">
        <v>625</v>
      </c>
      <c r="D13" s="819"/>
      <c r="E13" s="812">
        <v>397</v>
      </c>
      <c r="F13" s="818">
        <v>250</v>
      </c>
      <c r="G13" s="812">
        <v>15</v>
      </c>
      <c r="H13" s="819"/>
      <c r="I13" s="812">
        <v>18</v>
      </c>
      <c r="J13" s="812">
        <v>3</v>
      </c>
      <c r="K13" s="524">
        <f t="shared" si="4"/>
        <v>2.4E-2</v>
      </c>
      <c r="L13" s="525" t="str">
        <f t="shared" si="4"/>
        <v>na</v>
      </c>
      <c r="M13" s="525">
        <f t="shared" si="4"/>
        <v>4.534005037783375E-2</v>
      </c>
      <c r="N13" s="526">
        <f t="shared" si="4"/>
        <v>1.2E-2</v>
      </c>
    </row>
    <row r="14" spans="1:14" x14ac:dyDescent="0.25">
      <c r="B14">
        <v>40</v>
      </c>
      <c r="C14" s="812">
        <v>181</v>
      </c>
      <c r="D14" s="812">
        <v>535</v>
      </c>
      <c r="E14" s="812">
        <v>58</v>
      </c>
      <c r="F14" s="818">
        <v>62</v>
      </c>
      <c r="G14" s="812">
        <v>7</v>
      </c>
      <c r="H14" s="812">
        <v>21</v>
      </c>
      <c r="I14" s="812">
        <v>4</v>
      </c>
      <c r="J14" s="812">
        <v>2</v>
      </c>
      <c r="K14" s="524">
        <f t="shared" si="4"/>
        <v>3.8674033149171269E-2</v>
      </c>
      <c r="L14" s="525">
        <f t="shared" si="4"/>
        <v>3.925233644859813E-2</v>
      </c>
      <c r="M14" s="525">
        <f t="shared" si="4"/>
        <v>6.8965517241379309E-2</v>
      </c>
      <c r="N14" s="526">
        <f t="shared" si="4"/>
        <v>3.2258064516129031E-2</v>
      </c>
    </row>
    <row r="15" spans="1:14" x14ac:dyDescent="0.25">
      <c r="A15" s="11"/>
      <c r="B15">
        <v>41</v>
      </c>
      <c r="C15" s="812">
        <v>129</v>
      </c>
      <c r="D15" s="812">
        <v>770</v>
      </c>
      <c r="E15" s="812">
        <v>50</v>
      </c>
      <c r="F15" s="818">
        <v>0</v>
      </c>
      <c r="G15" s="812">
        <v>8</v>
      </c>
      <c r="H15" s="812">
        <v>19</v>
      </c>
      <c r="I15" s="812">
        <v>4</v>
      </c>
      <c r="J15" s="812">
        <v>0</v>
      </c>
      <c r="K15" s="524">
        <f t="shared" si="4"/>
        <v>6.2015503875968991E-2</v>
      </c>
      <c r="L15" s="525">
        <f t="shared" si="4"/>
        <v>2.4675324675324677E-2</v>
      </c>
      <c r="M15" s="525">
        <f t="shared" si="4"/>
        <v>0.08</v>
      </c>
      <c r="N15" s="526" t="str">
        <f t="shared" si="4"/>
        <v>na</v>
      </c>
    </row>
    <row r="16" spans="1:14" x14ac:dyDescent="0.25">
      <c r="B16">
        <v>42</v>
      </c>
      <c r="C16" s="812">
        <v>9</v>
      </c>
      <c r="D16" s="812">
        <v>73</v>
      </c>
      <c r="E16" s="812">
        <v>34</v>
      </c>
      <c r="F16" s="815"/>
      <c r="G16" s="812">
        <v>0</v>
      </c>
      <c r="H16" s="812">
        <v>1</v>
      </c>
      <c r="I16" s="812">
        <v>4</v>
      </c>
      <c r="J16" s="813"/>
      <c r="K16" s="524">
        <f t="shared" si="4"/>
        <v>0</v>
      </c>
      <c r="L16" s="525">
        <f t="shared" si="4"/>
        <v>1.3698630136986301E-2</v>
      </c>
      <c r="M16" s="525">
        <f t="shared" si="4"/>
        <v>0.11764705882352941</v>
      </c>
      <c r="N16" s="526" t="str">
        <f t="shared" si="4"/>
        <v>na</v>
      </c>
    </row>
    <row r="17" spans="1:19" x14ac:dyDescent="0.25">
      <c r="B17">
        <v>43</v>
      </c>
      <c r="C17" s="812">
        <v>25</v>
      </c>
      <c r="D17" s="812">
        <v>76</v>
      </c>
      <c r="E17" s="812">
        <v>52</v>
      </c>
      <c r="F17" s="815"/>
      <c r="G17" s="812">
        <v>3</v>
      </c>
      <c r="H17" s="812">
        <v>0</v>
      </c>
      <c r="I17" s="812">
        <v>5</v>
      </c>
      <c r="J17" s="813"/>
      <c r="K17" s="524">
        <f t="shared" si="4"/>
        <v>0.12</v>
      </c>
      <c r="L17" s="525">
        <f t="shared" si="4"/>
        <v>0</v>
      </c>
      <c r="M17" s="525">
        <f t="shared" si="4"/>
        <v>9.6153846153846159E-2</v>
      </c>
      <c r="N17" s="526" t="str">
        <f t="shared" si="4"/>
        <v>na</v>
      </c>
    </row>
    <row r="18" spans="1:19" x14ac:dyDescent="0.25">
      <c r="B18">
        <v>44</v>
      </c>
      <c r="C18" s="821">
        <v>37</v>
      </c>
      <c r="D18" s="817"/>
      <c r="E18" s="817"/>
      <c r="F18" s="815"/>
      <c r="G18" s="816">
        <v>7</v>
      </c>
      <c r="H18" s="817"/>
      <c r="I18" s="817"/>
      <c r="J18" s="817"/>
      <c r="K18" s="524">
        <f>IF(C18&gt;0,G18/C18,"na")</f>
        <v>0.1891891891891892</v>
      </c>
      <c r="L18" s="525" t="str">
        <f>IF(D18&gt;0,H18/D18,"na")</f>
        <v>na</v>
      </c>
      <c r="M18" s="525" t="str">
        <f>IF(E18&gt;0,I18/E18,"na")</f>
        <v>na</v>
      </c>
      <c r="N18" s="526" t="str">
        <f>IF(F18&gt;0,J18/F18,"na")</f>
        <v>na</v>
      </c>
    </row>
    <row r="19" spans="1:19" x14ac:dyDescent="0.25">
      <c r="B19">
        <v>45</v>
      </c>
      <c r="C19" s="822"/>
      <c r="D19" s="823"/>
      <c r="E19" s="823"/>
      <c r="F19" s="824"/>
      <c r="G19" s="817"/>
      <c r="H19" s="817"/>
      <c r="I19" s="817"/>
      <c r="J19" s="817"/>
      <c r="K19" s="412" t="str">
        <f t="shared" si="4"/>
        <v>na</v>
      </c>
      <c r="L19" s="229" t="str">
        <f t="shared" si="4"/>
        <v>na</v>
      </c>
      <c r="M19" s="229" t="str">
        <f t="shared" si="4"/>
        <v>na</v>
      </c>
      <c r="N19" s="413" t="str">
        <f t="shared" si="4"/>
        <v>na</v>
      </c>
    </row>
    <row r="20" spans="1:19" x14ac:dyDescent="0.25">
      <c r="B20" t="s">
        <v>184</v>
      </c>
      <c r="C20" s="286">
        <f t="shared" ref="C20:J20" si="5">SUM(C6:C19)</f>
        <v>1710</v>
      </c>
      <c r="D20" s="810">
        <f t="shared" si="5"/>
        <v>2071</v>
      </c>
      <c r="E20" s="810">
        <f t="shared" si="5"/>
        <v>802</v>
      </c>
      <c r="F20" s="810">
        <f t="shared" si="5"/>
        <v>843</v>
      </c>
      <c r="G20" s="827">
        <f t="shared" si="5"/>
        <v>72</v>
      </c>
      <c r="H20" s="828">
        <f t="shared" si="5"/>
        <v>99</v>
      </c>
      <c r="I20" s="828">
        <f t="shared" si="5"/>
        <v>48</v>
      </c>
      <c r="J20" s="831">
        <f t="shared" si="5"/>
        <v>18</v>
      </c>
      <c r="K20" s="527">
        <f>IF(C20&gt;0,G20/C20,"na")</f>
        <v>4.2105263157894736E-2</v>
      </c>
      <c r="L20" s="528">
        <f>IF(D20&gt;0,H20/D20,"na")</f>
        <v>4.7802993722839207E-2</v>
      </c>
      <c r="M20" s="528">
        <f>IF(E20&gt;0,I20/E20,"na")</f>
        <v>5.9850374064837904E-2</v>
      </c>
      <c r="N20" s="529">
        <f>IF(F20&gt;0,J20/F20,"na")</f>
        <v>2.1352313167259787E-2</v>
      </c>
    </row>
    <row r="21" spans="1:19" x14ac:dyDescent="0.25">
      <c r="C21" s="153"/>
      <c r="D21" s="153"/>
      <c r="E21" s="153"/>
      <c r="F21" s="153">
        <f>SUM(C20:F20)</f>
        <v>5426</v>
      </c>
      <c r="G21" s="153"/>
      <c r="H21" s="153"/>
      <c r="I21" s="153"/>
      <c r="J21" s="153">
        <f>SUM(G20:J20)</f>
        <v>237</v>
      </c>
      <c r="N21" s="530">
        <f>J21/F21</f>
        <v>4.3678584592701804E-2</v>
      </c>
    </row>
    <row r="23" spans="1:19" ht="13" x14ac:dyDescent="0.3">
      <c r="C23" s="2" t="s">
        <v>123</v>
      </c>
    </row>
    <row r="24" spans="1:19" x14ac:dyDescent="0.25">
      <c r="C24" s="900" t="s">
        <v>268</v>
      </c>
      <c r="D24" s="901"/>
      <c r="E24" s="901"/>
      <c r="F24" s="901"/>
      <c r="G24" s="902"/>
      <c r="H24" s="900" t="s">
        <v>269</v>
      </c>
      <c r="I24" s="901"/>
      <c r="J24" s="901"/>
      <c r="K24" s="901"/>
      <c r="L24" s="902"/>
      <c r="M24" s="900" t="s">
        <v>56</v>
      </c>
      <c r="N24" s="901"/>
      <c r="O24" s="901"/>
      <c r="P24" s="901"/>
      <c r="Q24" s="902"/>
      <c r="R24" s="417"/>
    </row>
    <row r="25" spans="1:19" x14ac:dyDescent="0.25">
      <c r="B25" t="s">
        <v>134</v>
      </c>
      <c r="C25" s="286">
        <v>1</v>
      </c>
      <c r="D25" s="810">
        <v>2</v>
      </c>
      <c r="E25" s="810">
        <v>3</v>
      </c>
      <c r="F25" s="810">
        <v>4</v>
      </c>
      <c r="G25" s="811">
        <v>5</v>
      </c>
      <c r="H25" s="286">
        <v>1</v>
      </c>
      <c r="I25" s="810">
        <v>2</v>
      </c>
      <c r="J25" s="810">
        <v>3</v>
      </c>
      <c r="K25" s="810">
        <v>4</v>
      </c>
      <c r="L25" s="811">
        <v>5</v>
      </c>
      <c r="M25" s="274">
        <v>1</v>
      </c>
      <c r="N25" s="42">
        <v>2</v>
      </c>
      <c r="O25" s="42">
        <v>3</v>
      </c>
      <c r="P25" s="42">
        <v>4</v>
      </c>
      <c r="Q25" s="134">
        <v>5</v>
      </c>
      <c r="R25" s="44" t="s">
        <v>282</v>
      </c>
      <c r="S25" t="s">
        <v>283</v>
      </c>
    </row>
    <row r="26" spans="1:19" ht="13" x14ac:dyDescent="0.3">
      <c r="A26" s="34">
        <f>'2018 Comm catch'!A26</f>
        <v>0</v>
      </c>
      <c r="B26">
        <v>32</v>
      </c>
      <c r="C26" s="825"/>
      <c r="D26" s="825"/>
      <c r="E26" s="825"/>
      <c r="F26" s="825"/>
      <c r="G26" s="814"/>
      <c r="H26" s="813"/>
      <c r="I26" s="813"/>
      <c r="J26" s="813"/>
      <c r="K26" s="813"/>
      <c r="L26" s="814"/>
      <c r="M26" s="3" t="str">
        <f t="shared" ref="M26:Q39" si="6">IF(C26&gt;0,H26/C26,"na")</f>
        <v>na</v>
      </c>
      <c r="N26" s="3" t="str">
        <f t="shared" si="6"/>
        <v>na</v>
      </c>
      <c r="O26" s="3" t="str">
        <f t="shared" si="6"/>
        <v>na</v>
      </c>
      <c r="P26" s="3" t="str">
        <f t="shared" si="6"/>
        <v>na</v>
      </c>
      <c r="Q26" s="407" t="str">
        <f t="shared" si="6"/>
        <v>na</v>
      </c>
      <c r="R26" s="525"/>
    </row>
    <row r="27" spans="1:19" ht="13" x14ac:dyDescent="0.3">
      <c r="A27" s="34">
        <f>'2018 Comm catch'!A27</f>
        <v>0</v>
      </c>
      <c r="B27">
        <v>33</v>
      </c>
      <c r="C27" s="817"/>
      <c r="D27" s="817"/>
      <c r="E27" s="817"/>
      <c r="F27" s="817"/>
      <c r="G27" s="815"/>
      <c r="H27" s="813"/>
      <c r="I27" s="813"/>
      <c r="J27" s="813"/>
      <c r="K27" s="813"/>
      <c r="L27" s="815"/>
      <c r="M27" s="3" t="str">
        <f t="shared" si="6"/>
        <v>na</v>
      </c>
      <c r="N27" s="3" t="str">
        <f t="shared" si="6"/>
        <v>na</v>
      </c>
      <c r="O27" s="3" t="str">
        <f t="shared" si="6"/>
        <v>na</v>
      </c>
      <c r="P27" s="3" t="str">
        <f t="shared" si="6"/>
        <v>na</v>
      </c>
      <c r="Q27" s="409" t="str">
        <f t="shared" si="6"/>
        <v>na</v>
      </c>
      <c r="R27" s="525"/>
    </row>
    <row r="28" spans="1:19" ht="13" x14ac:dyDescent="0.3">
      <c r="A28" s="34" t="str">
        <f>'2018 Comm catch'!A28</f>
        <v>9-inch</v>
      </c>
      <c r="B28">
        <v>34</v>
      </c>
      <c r="C28" s="817"/>
      <c r="D28" s="817"/>
      <c r="E28" s="817"/>
      <c r="F28" s="816">
        <v>27</v>
      </c>
      <c r="G28" s="818">
        <v>10</v>
      </c>
      <c r="H28" s="813"/>
      <c r="I28" s="813"/>
      <c r="J28" s="813"/>
      <c r="K28" s="812">
        <v>22</v>
      </c>
      <c r="L28" s="818">
        <v>8</v>
      </c>
      <c r="M28" s="3" t="str">
        <f t="shared" si="6"/>
        <v>na</v>
      </c>
      <c r="N28" s="3" t="str">
        <f t="shared" si="6"/>
        <v>na</v>
      </c>
      <c r="O28" s="3" t="str">
        <f t="shared" si="6"/>
        <v>na</v>
      </c>
      <c r="P28" s="3">
        <f t="shared" si="6"/>
        <v>0.81481481481481477</v>
      </c>
      <c r="Q28" s="409">
        <f t="shared" si="6"/>
        <v>0.8</v>
      </c>
      <c r="R28" s="525"/>
      <c r="S28" s="656">
        <f t="shared" ref="S28:S29" si="7">SUM(K28:L28)/SUM(F28:G28)</f>
        <v>0.81081081081081086</v>
      </c>
    </row>
    <row r="29" spans="1:19" ht="13" x14ac:dyDescent="0.3">
      <c r="A29" s="34" t="str">
        <f>'2018 Comm catch'!A29</f>
        <v>9-inch</v>
      </c>
      <c r="B29">
        <v>35</v>
      </c>
      <c r="C29" s="817"/>
      <c r="D29" s="817"/>
      <c r="E29" s="817"/>
      <c r="F29" s="816">
        <v>159</v>
      </c>
      <c r="G29" s="818">
        <v>33</v>
      </c>
      <c r="H29" s="813"/>
      <c r="I29" s="813"/>
      <c r="J29" s="813"/>
      <c r="K29" s="812">
        <v>112</v>
      </c>
      <c r="L29" s="818">
        <v>26</v>
      </c>
      <c r="M29" s="3" t="str">
        <f t="shared" si="6"/>
        <v>na</v>
      </c>
      <c r="N29" s="3" t="str">
        <f t="shared" si="6"/>
        <v>na</v>
      </c>
      <c r="O29" s="3" t="str">
        <f t="shared" si="6"/>
        <v>na</v>
      </c>
      <c r="P29" s="3">
        <f t="shared" si="6"/>
        <v>0.70440251572327039</v>
      </c>
      <c r="Q29" s="409">
        <f t="shared" si="6"/>
        <v>0.78787878787878785</v>
      </c>
      <c r="R29" s="525"/>
      <c r="S29" s="656">
        <f t="shared" si="7"/>
        <v>0.71875</v>
      </c>
    </row>
    <row r="30" spans="1:19" ht="13" x14ac:dyDescent="0.3">
      <c r="A30" s="34">
        <f>'2018 Comm catch'!A30</f>
        <v>0</v>
      </c>
      <c r="B30">
        <v>36</v>
      </c>
      <c r="C30" s="817"/>
      <c r="D30" s="817"/>
      <c r="E30" s="817"/>
      <c r="F30" s="817"/>
      <c r="G30" s="815"/>
      <c r="H30" s="813"/>
      <c r="I30" s="813"/>
      <c r="J30" s="813"/>
      <c r="K30" s="813"/>
      <c r="L30" s="815"/>
      <c r="M30" s="3" t="str">
        <f t="shared" si="6"/>
        <v>na</v>
      </c>
      <c r="N30" s="3" t="str">
        <f t="shared" si="6"/>
        <v>na</v>
      </c>
      <c r="O30" s="3" t="str">
        <f t="shared" si="6"/>
        <v>na</v>
      </c>
      <c r="P30" s="3" t="str">
        <f t="shared" si="6"/>
        <v>na</v>
      </c>
      <c r="Q30" s="409" t="str">
        <f t="shared" si="6"/>
        <v>na</v>
      </c>
      <c r="R30" s="525"/>
      <c r="S30" s="656"/>
    </row>
    <row r="31" spans="1:19" ht="13" x14ac:dyDescent="0.3">
      <c r="A31" s="34">
        <f>'2018 Comm catch'!A31</f>
        <v>0</v>
      </c>
      <c r="B31">
        <v>37</v>
      </c>
      <c r="C31" s="817"/>
      <c r="D31" s="817"/>
      <c r="E31" s="817"/>
      <c r="F31" s="817"/>
      <c r="G31" s="815"/>
      <c r="H31" s="813"/>
      <c r="I31" s="813"/>
      <c r="J31" s="813"/>
      <c r="K31" s="813"/>
      <c r="L31" s="815"/>
      <c r="M31" s="3" t="str">
        <f t="shared" si="6"/>
        <v>na</v>
      </c>
      <c r="N31" s="3" t="str">
        <f t="shared" si="6"/>
        <v>na</v>
      </c>
      <c r="O31" s="3" t="str">
        <f t="shared" si="6"/>
        <v>na</v>
      </c>
      <c r="P31" s="3" t="str">
        <f t="shared" si="6"/>
        <v>na</v>
      </c>
      <c r="Q31" s="409" t="str">
        <f t="shared" si="6"/>
        <v>na</v>
      </c>
      <c r="R31" s="525"/>
    </row>
    <row r="32" spans="1:19" ht="13" x14ac:dyDescent="0.3">
      <c r="A32" s="34">
        <f>'2018 Comm catch'!A32</f>
        <v>0</v>
      </c>
      <c r="B32">
        <v>38</v>
      </c>
      <c r="C32" s="817"/>
      <c r="D32" s="817"/>
      <c r="E32" s="817"/>
      <c r="F32" s="817"/>
      <c r="G32" s="815"/>
      <c r="H32" s="813"/>
      <c r="I32" s="813"/>
      <c r="J32" s="813"/>
      <c r="K32" s="813"/>
      <c r="L32" s="815"/>
      <c r="M32" s="3" t="str">
        <f t="shared" si="6"/>
        <v>na</v>
      </c>
      <c r="N32" s="3" t="str">
        <f t="shared" si="6"/>
        <v>na</v>
      </c>
      <c r="O32" s="3" t="str">
        <f t="shared" si="6"/>
        <v>na</v>
      </c>
      <c r="P32" s="3" t="str">
        <f t="shared" si="6"/>
        <v>na</v>
      </c>
      <c r="Q32" s="409" t="str">
        <f t="shared" si="6"/>
        <v>na</v>
      </c>
      <c r="R32" s="525"/>
      <c r="S32" s="656"/>
    </row>
    <row r="33" spans="1:19" ht="13" x14ac:dyDescent="0.3">
      <c r="A33" s="34">
        <f>'2018 Comm catch'!A33</f>
        <v>0</v>
      </c>
      <c r="B33">
        <v>39</v>
      </c>
      <c r="C33" s="817"/>
      <c r="D33" s="817"/>
      <c r="E33" s="817"/>
      <c r="F33" s="817"/>
      <c r="G33" s="817"/>
      <c r="H33" s="826"/>
      <c r="I33" s="813"/>
      <c r="J33" s="813"/>
      <c r="K33" s="813"/>
      <c r="L33" s="815"/>
      <c r="M33" s="3" t="str">
        <f t="shared" si="6"/>
        <v>na</v>
      </c>
      <c r="N33" s="3" t="str">
        <f t="shared" si="6"/>
        <v>na</v>
      </c>
      <c r="O33" s="3" t="str">
        <f t="shared" si="6"/>
        <v>na</v>
      </c>
      <c r="P33" s="3" t="str">
        <f t="shared" si="6"/>
        <v>na</v>
      </c>
      <c r="Q33" s="409" t="str">
        <f t="shared" si="6"/>
        <v>na</v>
      </c>
      <c r="R33" s="525"/>
      <c r="S33" s="656"/>
    </row>
    <row r="34" spans="1:19" ht="13" x14ac:dyDescent="0.3">
      <c r="A34" s="34">
        <f>'2018 Comm catch'!A34</f>
        <v>0</v>
      </c>
      <c r="B34">
        <v>40</v>
      </c>
      <c r="C34" s="817"/>
      <c r="D34" s="817"/>
      <c r="E34" s="817"/>
      <c r="F34" s="817"/>
      <c r="G34" s="815"/>
      <c r="H34" s="813"/>
      <c r="I34" s="813"/>
      <c r="J34" s="813"/>
      <c r="K34" s="813"/>
      <c r="L34" s="815"/>
      <c r="M34" s="3" t="str">
        <f>IF(C34&gt;0,H34/C34,"na")</f>
        <v>na</v>
      </c>
      <c r="N34" s="3" t="str">
        <f>IF(D34&gt;0,I34/D34,"na")</f>
        <v>na</v>
      </c>
      <c r="O34" s="3" t="str">
        <f>IF(E34&gt;0,J34/E34,"na")</f>
        <v>na</v>
      </c>
      <c r="P34" s="3" t="str">
        <f>IF(F34&gt;0,K34/F34,"na")</f>
        <v>na</v>
      </c>
      <c r="Q34" s="409" t="str">
        <f>IF(G34&gt;0,L34/G34,"na")</f>
        <v>na</v>
      </c>
      <c r="R34" s="525"/>
      <c r="S34" s="656"/>
    </row>
    <row r="35" spans="1:19" ht="13" x14ac:dyDescent="0.3">
      <c r="A35" s="34">
        <f>'2018 Comm catch'!A35</f>
        <v>0</v>
      </c>
      <c r="B35">
        <v>41</v>
      </c>
      <c r="C35" s="817"/>
      <c r="D35" s="817"/>
      <c r="E35" s="817"/>
      <c r="F35" s="817"/>
      <c r="G35" s="815"/>
      <c r="H35" s="813"/>
      <c r="I35" s="813"/>
      <c r="J35" s="813"/>
      <c r="K35" s="813"/>
      <c r="L35" s="815"/>
      <c r="M35" s="3" t="str">
        <f t="shared" si="6"/>
        <v>na</v>
      </c>
      <c r="N35" s="3" t="str">
        <f t="shared" si="6"/>
        <v>na</v>
      </c>
      <c r="O35" s="3" t="str">
        <f t="shared" si="6"/>
        <v>na</v>
      </c>
      <c r="P35" s="3" t="str">
        <f t="shared" si="6"/>
        <v>na</v>
      </c>
      <c r="Q35" s="409" t="str">
        <f t="shared" si="6"/>
        <v>na</v>
      </c>
      <c r="R35" s="525"/>
      <c r="S35" s="656"/>
    </row>
    <row r="36" spans="1:19" ht="13" x14ac:dyDescent="0.3">
      <c r="A36" s="34">
        <f>'2018 Comm catch'!A36</f>
        <v>0</v>
      </c>
      <c r="B36">
        <v>41</v>
      </c>
      <c r="C36" s="813"/>
      <c r="D36" s="813"/>
      <c r="E36" s="817"/>
      <c r="F36" s="817"/>
      <c r="G36" s="817"/>
      <c r="H36" s="826"/>
      <c r="I36" s="817"/>
      <c r="J36" s="817"/>
      <c r="K36" s="817"/>
      <c r="L36" s="815"/>
      <c r="M36" s="3" t="str">
        <f t="shared" si="6"/>
        <v>na</v>
      </c>
      <c r="N36" s="3" t="str">
        <f t="shared" si="6"/>
        <v>na</v>
      </c>
      <c r="O36" s="3" t="str">
        <f t="shared" si="6"/>
        <v>na</v>
      </c>
      <c r="P36" s="3" t="str">
        <f t="shared" si="6"/>
        <v>na</v>
      </c>
      <c r="Q36" s="409" t="str">
        <f t="shared" si="6"/>
        <v>na</v>
      </c>
      <c r="R36" s="525"/>
      <c r="S36" s="656"/>
    </row>
    <row r="37" spans="1:19" ht="13" x14ac:dyDescent="0.3">
      <c r="A37" s="34">
        <f>'2018 Comm catch'!A37</f>
        <v>0</v>
      </c>
      <c r="B37">
        <v>42</v>
      </c>
      <c r="C37" s="817"/>
      <c r="D37" s="817"/>
      <c r="E37" s="817"/>
      <c r="F37" s="817"/>
      <c r="G37" s="817"/>
      <c r="H37" s="826"/>
      <c r="I37" s="813"/>
      <c r="J37" s="813"/>
      <c r="K37" s="813"/>
      <c r="L37" s="815"/>
      <c r="M37" s="3" t="str">
        <f>N37</f>
        <v>na</v>
      </c>
      <c r="N37" s="3" t="str">
        <f t="shared" si="6"/>
        <v>na</v>
      </c>
      <c r="O37" s="3" t="str">
        <f t="shared" si="6"/>
        <v>na</v>
      </c>
      <c r="P37" s="3" t="str">
        <f t="shared" si="6"/>
        <v>na</v>
      </c>
      <c r="Q37" s="409" t="str">
        <f t="shared" si="6"/>
        <v>na</v>
      </c>
      <c r="R37" s="525"/>
      <c r="S37" s="656"/>
    </row>
    <row r="38" spans="1:19" ht="13" x14ac:dyDescent="0.3">
      <c r="A38" s="34">
        <f>'2018 Comm catch'!A38</f>
        <v>0</v>
      </c>
      <c r="B38">
        <v>43</v>
      </c>
      <c r="C38" s="817"/>
      <c r="D38" s="817"/>
      <c r="E38" s="817"/>
      <c r="F38" s="817"/>
      <c r="G38" s="815"/>
      <c r="H38" s="813"/>
      <c r="I38" s="813"/>
      <c r="J38" s="813"/>
      <c r="K38" s="813"/>
      <c r="L38" s="815"/>
      <c r="M38" s="3" t="str">
        <f>IF(C38&gt;0,H38/C38,"na")</f>
        <v>na</v>
      </c>
      <c r="N38" s="3" t="str">
        <f t="shared" si="6"/>
        <v>na</v>
      </c>
      <c r="O38" s="3" t="str">
        <f t="shared" si="6"/>
        <v>na</v>
      </c>
      <c r="P38" s="3" t="str">
        <f t="shared" si="6"/>
        <v>na</v>
      </c>
      <c r="Q38" s="409" t="str">
        <f t="shared" si="6"/>
        <v>na</v>
      </c>
      <c r="R38" s="525"/>
      <c r="S38" s="656"/>
    </row>
    <row r="39" spans="1:19" ht="13" x14ac:dyDescent="0.3">
      <c r="A39" s="34">
        <f>'2018 Comm catch'!A39</f>
        <v>0</v>
      </c>
      <c r="B39">
        <v>44</v>
      </c>
      <c r="C39" s="817"/>
      <c r="D39" s="817"/>
      <c r="E39" s="817"/>
      <c r="F39" s="817"/>
      <c r="G39" s="815"/>
      <c r="H39" s="813"/>
      <c r="I39" s="813"/>
      <c r="J39" s="813"/>
      <c r="K39" s="813"/>
      <c r="L39" s="815"/>
      <c r="M39" s="3" t="str">
        <f>IF(C39&gt;0,H39/C39,"na")</f>
        <v>na</v>
      </c>
      <c r="N39" s="3" t="str">
        <f>IF(D39&gt;0,I39/D39,"na")</f>
        <v>na</v>
      </c>
      <c r="O39" s="3" t="str">
        <f t="shared" si="6"/>
        <v>na</v>
      </c>
      <c r="P39" s="3" t="str">
        <f t="shared" si="6"/>
        <v>na</v>
      </c>
      <c r="Q39" s="409" t="str">
        <f t="shared" si="6"/>
        <v>na</v>
      </c>
      <c r="R39" s="525"/>
      <c r="S39" s="656"/>
    </row>
    <row r="40" spans="1:19" x14ac:dyDescent="0.25">
      <c r="A40">
        <f>'2018 Comm catch'!A40</f>
        <v>0</v>
      </c>
      <c r="B40">
        <v>45</v>
      </c>
      <c r="C40" s="823"/>
      <c r="D40" s="823"/>
      <c r="E40" s="823"/>
      <c r="F40" s="823"/>
      <c r="G40" s="824"/>
      <c r="H40" s="813"/>
      <c r="I40" s="813"/>
      <c r="J40" s="813"/>
      <c r="K40" s="813"/>
      <c r="L40" s="815"/>
      <c r="M40" s="3" t="str">
        <f>IF(C40&gt;0,H40/C40,"na")</f>
        <v>na</v>
      </c>
      <c r="N40" s="3" t="str">
        <f t="shared" ref="N40:P41" si="8">IF(D40&gt;0,I40/D40,"na")</f>
        <v>na</v>
      </c>
      <c r="O40" s="3" t="str">
        <f t="shared" si="8"/>
        <v>na</v>
      </c>
      <c r="P40" s="3" t="str">
        <f t="shared" si="8"/>
        <v>na</v>
      </c>
      <c r="Q40" s="409" t="str">
        <f>IF(G40&gt;0,L40/G40,"na")</f>
        <v>na</v>
      </c>
      <c r="R40" s="402"/>
    </row>
    <row r="41" spans="1:19" x14ac:dyDescent="0.25">
      <c r="B41" t="s">
        <v>184</v>
      </c>
      <c r="C41" s="827">
        <f>SUM(C26:C40)</f>
        <v>0</v>
      </c>
      <c r="D41" s="828">
        <f t="shared" ref="D41:L41" si="9">SUM(D26:D40)</f>
        <v>0</v>
      </c>
      <c r="E41" s="828">
        <f t="shared" si="9"/>
        <v>0</v>
      </c>
      <c r="F41" s="828">
        <f t="shared" si="9"/>
        <v>186</v>
      </c>
      <c r="G41" s="829">
        <f t="shared" si="9"/>
        <v>43</v>
      </c>
      <c r="H41" s="827">
        <f t="shared" si="9"/>
        <v>0</v>
      </c>
      <c r="I41" s="828">
        <f t="shared" si="9"/>
        <v>0</v>
      </c>
      <c r="J41" s="828">
        <f t="shared" si="9"/>
        <v>0</v>
      </c>
      <c r="K41" s="828">
        <f t="shared" si="9"/>
        <v>134</v>
      </c>
      <c r="L41" s="830">
        <f t="shared" si="9"/>
        <v>34</v>
      </c>
      <c r="M41" s="223" t="str">
        <f>IF(C41&gt;0,H41/C41,"na")</f>
        <v>na</v>
      </c>
      <c r="N41" s="528" t="str">
        <f t="shared" si="8"/>
        <v>na</v>
      </c>
      <c r="O41" s="528" t="str">
        <f t="shared" si="8"/>
        <v>na</v>
      </c>
      <c r="P41" s="528">
        <f t="shared" si="8"/>
        <v>0.72043010752688175</v>
      </c>
      <c r="Q41" s="529">
        <f>IF(G41&gt;0,L41/G41,"na")</f>
        <v>0.79069767441860461</v>
      </c>
      <c r="R41" s="525"/>
    </row>
    <row r="42" spans="1:19" x14ac:dyDescent="0.25">
      <c r="C42" s="44"/>
      <c r="D42" s="44"/>
      <c r="E42" s="44"/>
      <c r="F42" s="44"/>
      <c r="G42" s="44"/>
      <c r="H42" s="44"/>
      <c r="I42" s="44"/>
      <c r="J42" s="44"/>
      <c r="K42" s="44"/>
      <c r="L42" s="44"/>
      <c r="M42" s="44"/>
      <c r="N42" s="44"/>
      <c r="O42" s="44"/>
      <c r="P42" s="44"/>
      <c r="Q42" s="531"/>
      <c r="R42" s="531"/>
    </row>
  </sheetData>
  <mergeCells count="6">
    <mergeCell ref="C3:F3"/>
    <mergeCell ref="G3:J3"/>
    <mergeCell ref="K3:N3"/>
    <mergeCell ref="C24:G24"/>
    <mergeCell ref="H24:L24"/>
    <mergeCell ref="M24:Q24"/>
  </mergeCells>
  <pageMargins left="0.75" right="0.75" top="1" bottom="1" header="0.5" footer="0.5"/>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F42"/>
  <sheetViews>
    <sheetView topLeftCell="A4" zoomScale="110" zoomScaleNormal="110" workbookViewId="0">
      <pane xSplit="2" topLeftCell="C1" activePane="topRight" state="frozen"/>
      <selection activeCell="I30" sqref="I30"/>
      <selection pane="topRight" activeCell="I30" sqref="I30"/>
    </sheetView>
  </sheetViews>
  <sheetFormatPr defaultColWidth="9.1796875" defaultRowHeight="13" x14ac:dyDescent="0.3"/>
  <cols>
    <col min="1" max="1" width="21" style="32" bestFit="1" customWidth="1"/>
    <col min="2" max="2" width="11.7265625" style="34" bestFit="1" customWidth="1"/>
    <col min="3" max="3" width="11.7265625" style="33" bestFit="1" customWidth="1"/>
    <col min="4" max="4" width="12" style="33" bestFit="1" customWidth="1"/>
    <col min="5" max="5" width="12.453125" style="33" bestFit="1" customWidth="1"/>
    <col min="6" max="6" width="10.26953125" style="33" bestFit="1" customWidth="1"/>
    <col min="7" max="7" width="12.7265625" style="33" bestFit="1" customWidth="1"/>
    <col min="8" max="8" width="10.26953125" style="33" bestFit="1" customWidth="1"/>
    <col min="9" max="9" width="8.1796875" style="33" bestFit="1" customWidth="1"/>
    <col min="10" max="10" width="7.54296875" style="33" bestFit="1" customWidth="1"/>
    <col min="11" max="11" width="11.54296875" style="33" bestFit="1" customWidth="1"/>
    <col min="12" max="12" width="11.453125" style="33" bestFit="1" customWidth="1"/>
    <col min="13" max="13" width="8.1796875" style="33" bestFit="1" customWidth="1"/>
    <col min="14" max="14" width="10" style="33" bestFit="1" customWidth="1"/>
    <col min="15" max="15" width="11.54296875" style="33" bestFit="1" customWidth="1"/>
    <col min="16" max="16" width="10.26953125" style="33" bestFit="1" customWidth="1"/>
    <col min="17" max="17" width="8.1796875" style="33" bestFit="1" customWidth="1"/>
    <col min="18" max="18" width="9.26953125" style="33" bestFit="1" customWidth="1"/>
    <col min="19" max="19" width="7.7265625" style="33" bestFit="1" customWidth="1"/>
    <col min="20" max="20" width="7.26953125" style="33" customWidth="1"/>
    <col min="21" max="21" width="5.54296875" style="33" customWidth="1"/>
    <col min="22" max="22" width="5" style="33" bestFit="1" customWidth="1"/>
    <col min="23" max="23" width="8.54296875" style="33" bestFit="1" customWidth="1"/>
    <col min="24" max="24" width="6.7265625" style="33" customWidth="1"/>
    <col min="25" max="25" width="5" style="32" bestFit="1" customWidth="1"/>
    <col min="26" max="26" width="8.26953125" style="32" bestFit="1" customWidth="1"/>
    <col min="27" max="27" width="8.26953125" style="32" customWidth="1"/>
    <col min="28" max="28" width="7" style="32" bestFit="1" customWidth="1"/>
    <col min="29" max="29" width="12" style="32" bestFit="1" customWidth="1"/>
    <col min="30" max="30" width="9.26953125" style="32" bestFit="1" customWidth="1"/>
    <col min="31" max="31" width="2.54296875" style="32" customWidth="1"/>
    <col min="32" max="16384" width="9.1796875" style="32"/>
  </cols>
  <sheetData>
    <row r="1" spans="1:24" x14ac:dyDescent="0.3">
      <c r="A1" s="34" t="s">
        <v>343</v>
      </c>
    </row>
    <row r="2" spans="1:24" x14ac:dyDescent="0.3">
      <c r="C2" s="34" t="s">
        <v>330</v>
      </c>
    </row>
    <row r="3" spans="1:24" x14ac:dyDescent="0.3">
      <c r="C3" s="903" t="s">
        <v>208</v>
      </c>
      <c r="D3" s="904"/>
      <c r="E3" s="904"/>
      <c r="F3" s="905"/>
      <c r="G3" s="903" t="s">
        <v>264</v>
      </c>
      <c r="H3" s="904"/>
      <c r="I3" s="904"/>
      <c r="J3" s="905"/>
      <c r="K3" s="903" t="s">
        <v>261</v>
      </c>
      <c r="L3" s="904"/>
      <c r="M3" s="904"/>
      <c r="N3" s="905"/>
      <c r="O3" s="903" t="s">
        <v>262</v>
      </c>
      <c r="P3" s="904"/>
      <c r="Q3" s="904"/>
      <c r="R3" s="905"/>
      <c r="S3" s="781" t="s">
        <v>339</v>
      </c>
      <c r="T3" s="781"/>
      <c r="U3" s="781"/>
      <c r="V3" s="781"/>
      <c r="W3" s="165"/>
      <c r="X3" s="165"/>
    </row>
    <row r="4" spans="1:24" x14ac:dyDescent="0.3">
      <c r="B4" s="34" t="s">
        <v>134</v>
      </c>
      <c r="C4" s="547" t="s">
        <v>31</v>
      </c>
      <c r="D4" s="202" t="s">
        <v>62</v>
      </c>
      <c r="E4" s="202" t="s">
        <v>260</v>
      </c>
      <c r="F4" s="548" t="s">
        <v>203</v>
      </c>
      <c r="G4" s="547" t="s">
        <v>31</v>
      </c>
      <c r="H4" s="202" t="s">
        <v>62</v>
      </c>
      <c r="I4" s="202" t="s">
        <v>260</v>
      </c>
      <c r="J4" s="548" t="s">
        <v>203</v>
      </c>
      <c r="K4" s="549" t="s">
        <v>31</v>
      </c>
      <c r="L4" s="208" t="s">
        <v>62</v>
      </c>
      <c r="M4" s="208" t="s">
        <v>260</v>
      </c>
      <c r="N4" s="550" t="s">
        <v>203</v>
      </c>
      <c r="O4" s="549" t="s">
        <v>31</v>
      </c>
      <c r="P4" s="208" t="s">
        <v>62</v>
      </c>
      <c r="Q4" s="208" t="s">
        <v>260</v>
      </c>
      <c r="R4" s="550" t="s">
        <v>203</v>
      </c>
      <c r="S4" s="781" t="s">
        <v>335</v>
      </c>
      <c r="T4" s="781" t="s">
        <v>336</v>
      </c>
      <c r="U4" s="781" t="s">
        <v>337</v>
      </c>
      <c r="V4" s="781" t="s">
        <v>338</v>
      </c>
      <c r="W4" s="208"/>
      <c r="X4" s="208"/>
    </row>
    <row r="5" spans="1:24" x14ac:dyDescent="0.3">
      <c r="B5" s="34">
        <v>31</v>
      </c>
      <c r="C5" s="849">
        <v>0</v>
      </c>
      <c r="D5" s="850"/>
      <c r="E5" s="850"/>
      <c r="F5" s="851"/>
      <c r="G5" s="551" t="str">
        <f>'2018 comm sample'!K5</f>
        <v>na</v>
      </c>
      <c r="H5" s="552" t="str">
        <f>'2018 comm sample'!L5</f>
        <v>na</v>
      </c>
      <c r="I5" s="552" t="str">
        <f>'2018 comm sample'!M5</f>
        <v>na</v>
      </c>
      <c r="J5" s="552" t="str">
        <f>'2018 comm sample'!N5</f>
        <v>na</v>
      </c>
      <c r="K5" s="553" t="str">
        <f>IF(C5&gt;0,'2018 comm sample'!C5/'2018 Comm catch'!C5,"na")</f>
        <v>na</v>
      </c>
      <c r="L5" s="554" t="str">
        <f>IF(D5&gt;0,'2018 comm sample'!D5/'2018 Comm catch'!D5,"na")</f>
        <v>na</v>
      </c>
      <c r="M5" s="554" t="str">
        <f>IF(E5&gt;0,'2018 comm sample'!E5/'2018 Comm catch'!E5,"na")</f>
        <v>na</v>
      </c>
      <c r="N5" s="554" t="str">
        <f>IF(F5&gt;0,'2018 comm sample'!F5/'2018 Comm catch'!F5,"na")</f>
        <v>na</v>
      </c>
      <c r="O5" s="555" t="str">
        <f t="shared" ref="O5:R19" si="0">IF(G5&lt;&gt;"na",C5*G5,"na")</f>
        <v>na</v>
      </c>
      <c r="P5" s="556" t="str">
        <f t="shared" si="0"/>
        <v>na</v>
      </c>
      <c r="Q5" s="556" t="str">
        <f t="shared" si="0"/>
        <v>na</v>
      </c>
      <c r="R5" s="557" t="str">
        <f t="shared" si="0"/>
        <v>na</v>
      </c>
      <c r="S5" s="514"/>
      <c r="T5" s="514"/>
      <c r="U5" s="514"/>
      <c r="V5" s="514"/>
      <c r="W5" s="514"/>
      <c r="X5" s="514"/>
    </row>
    <row r="6" spans="1:24" x14ac:dyDescent="0.3">
      <c r="B6" s="34">
        <v>32</v>
      </c>
      <c r="C6" s="849">
        <v>0</v>
      </c>
      <c r="D6" s="850"/>
      <c r="E6" s="850"/>
      <c r="F6" s="851"/>
      <c r="G6" s="551" t="str">
        <f>'2018 comm sample'!K6</f>
        <v>na</v>
      </c>
      <c r="H6" s="552" t="str">
        <f>'2018 comm sample'!L6</f>
        <v>na</v>
      </c>
      <c r="I6" s="552" t="str">
        <f>'2018 comm sample'!M6</f>
        <v>na</v>
      </c>
      <c r="J6" s="552" t="str">
        <f>'2018 comm sample'!N6</f>
        <v>na</v>
      </c>
      <c r="K6" s="558" t="str">
        <f>IF(C6&gt;0,'2018 comm sample'!C6/'2018 Comm catch'!C6,"na")</f>
        <v>na</v>
      </c>
      <c r="L6" s="559" t="str">
        <f>IF(D6&gt;0,'2018 comm sample'!D6/'2018 Comm catch'!D6,"na")</f>
        <v>na</v>
      </c>
      <c r="M6" s="559" t="str">
        <f>IF(E6&gt;0,'2018 comm sample'!E6/'2018 Comm catch'!E6,"na")</f>
        <v>na</v>
      </c>
      <c r="N6" s="559" t="str">
        <f>IF(F6&gt;0,'2018 comm sample'!F6/'2018 Comm catch'!F6,"na")</f>
        <v>na</v>
      </c>
      <c r="O6" s="560" t="str">
        <f t="shared" ref="O6" si="1">IF(G6&lt;&gt;"na",C6*G6,"na")</f>
        <v>na</v>
      </c>
      <c r="P6" s="514" t="str">
        <f t="shared" ref="P6" si="2">IF(H6&lt;&gt;"na",D6*H6,"na")</f>
        <v>na</v>
      </c>
      <c r="Q6" s="514" t="str">
        <f t="shared" ref="Q6" si="3">IF(I6&lt;&gt;"na",E6*I6,"na")</f>
        <v>na</v>
      </c>
      <c r="R6" s="563" t="str">
        <f t="shared" ref="R6" si="4">IF(J6&lt;&gt;"na",F6*J6,"na")</f>
        <v>na</v>
      </c>
      <c r="S6" s="514"/>
      <c r="T6" s="514"/>
      <c r="U6" s="514"/>
      <c r="V6" s="514"/>
      <c r="W6" s="514"/>
      <c r="X6" s="514"/>
    </row>
    <row r="7" spans="1:24" x14ac:dyDescent="0.3">
      <c r="B7" s="34">
        <v>33</v>
      </c>
      <c r="C7" s="849">
        <v>3</v>
      </c>
      <c r="D7" s="850"/>
      <c r="E7" s="850"/>
      <c r="F7" s="851"/>
      <c r="G7" s="551">
        <f>'2018 comm sample'!K7</f>
        <v>0.5</v>
      </c>
      <c r="H7" s="552" t="str">
        <f>'2018 comm sample'!L7</f>
        <v>na</v>
      </c>
      <c r="I7" s="552" t="str">
        <f>'2018 comm sample'!M7</f>
        <v>na</v>
      </c>
      <c r="J7" s="552" t="str">
        <f>'2018 comm sample'!N7</f>
        <v>na</v>
      </c>
      <c r="K7" s="558">
        <f>IF(C7&gt;0,'2018 comm sample'!C7/'2018 Comm catch'!C7,"na")</f>
        <v>0.66666666666666663</v>
      </c>
      <c r="L7" s="559" t="str">
        <f>IF(D7&gt;0,'2018 comm sample'!D7/'2018 Comm catch'!D7,"na")</f>
        <v>na</v>
      </c>
      <c r="M7" s="559" t="str">
        <f>IF(E7&gt;0,'2018 comm sample'!E7/'2018 Comm catch'!E7,"na")</f>
        <v>na</v>
      </c>
      <c r="N7" s="559" t="str">
        <f>IF(F7&gt;0,'2018 comm sample'!F7/'2018 Comm catch'!F7,"na")</f>
        <v>na</v>
      </c>
      <c r="O7" s="560">
        <f t="shared" si="0"/>
        <v>1.5</v>
      </c>
      <c r="P7" s="514" t="str">
        <f t="shared" si="0"/>
        <v>na</v>
      </c>
      <c r="Q7" s="514" t="str">
        <f t="shared" si="0"/>
        <v>na</v>
      </c>
      <c r="R7" s="563" t="str">
        <f t="shared" si="0"/>
        <v>na</v>
      </c>
      <c r="S7" s="514"/>
      <c r="T7" s="514"/>
      <c r="U7" s="514"/>
      <c r="V7" s="514"/>
      <c r="W7" s="514"/>
      <c r="X7" s="514"/>
    </row>
    <row r="8" spans="1:24" x14ac:dyDescent="0.3">
      <c r="B8" s="34">
        <v>34</v>
      </c>
      <c r="C8" s="849">
        <v>16</v>
      </c>
      <c r="D8" s="850"/>
      <c r="E8" s="852"/>
      <c r="F8" s="852"/>
      <c r="G8" s="551">
        <f>'2018 comm sample'!K8</f>
        <v>0.16666666666666666</v>
      </c>
      <c r="H8" s="552" t="str">
        <f>'2018 comm sample'!L8</f>
        <v>na</v>
      </c>
      <c r="I8" s="552" t="str">
        <f>'2018 comm sample'!M8</f>
        <v>na</v>
      </c>
      <c r="J8" s="552" t="str">
        <f>'2018 comm sample'!N8</f>
        <v>na</v>
      </c>
      <c r="K8" s="558">
        <f>IF(C8&gt;0,'2018 comm sample'!C8/'2018 Comm catch'!C8,"na")</f>
        <v>0.375</v>
      </c>
      <c r="L8" s="559" t="str">
        <f>IF(D8&gt;0,'2018 comm sample'!D8/'2018 Comm catch'!D8,"na")</f>
        <v>na</v>
      </c>
      <c r="M8" s="559" t="str">
        <f>IF(E8&gt;0,'2018 comm sample'!E8/'2018 Comm catch'!E8,"na")</f>
        <v>na</v>
      </c>
      <c r="N8" s="559" t="str">
        <f>IF(F8&gt;0,'2018 comm sample'!F8/'2018 Comm catch'!F8,"na")</f>
        <v>na</v>
      </c>
      <c r="O8" s="560">
        <f t="shared" si="0"/>
        <v>2.6666666666666665</v>
      </c>
      <c r="P8" s="514" t="str">
        <f t="shared" si="0"/>
        <v>na</v>
      </c>
      <c r="Q8" s="514" t="str">
        <f t="shared" si="0"/>
        <v>na</v>
      </c>
      <c r="R8" s="563" t="str">
        <f t="shared" si="0"/>
        <v>na</v>
      </c>
      <c r="S8" s="514"/>
      <c r="T8" s="514"/>
      <c r="U8" s="514"/>
      <c r="V8" s="514"/>
      <c r="W8" s="514"/>
      <c r="X8" s="514"/>
    </row>
    <row r="9" spans="1:24" x14ac:dyDescent="0.3">
      <c r="B9" s="34">
        <v>35</v>
      </c>
      <c r="C9" s="849">
        <v>128</v>
      </c>
      <c r="D9" s="853">
        <v>148</v>
      </c>
      <c r="E9" s="854">
        <v>19</v>
      </c>
      <c r="F9" s="854">
        <v>70</v>
      </c>
      <c r="G9" s="551">
        <f>'2018 comm sample'!K9</f>
        <v>0.1388888888888889</v>
      </c>
      <c r="H9" s="552">
        <f>'2018 comm sample'!L9</f>
        <v>0.10526315789473684</v>
      </c>
      <c r="I9" s="552">
        <f>'2018 comm sample'!M9</f>
        <v>0</v>
      </c>
      <c r="J9" s="552">
        <f>'2018 comm sample'!N9</f>
        <v>3.3333333333333333E-2</v>
      </c>
      <c r="K9" s="558">
        <f>IF(C9&gt;0,'2018 comm sample'!C9/'2018 Comm catch'!C9,"na")</f>
        <v>0.28125</v>
      </c>
      <c r="L9" s="559">
        <f>IF(D9&gt;0,'2018 comm sample'!D9/'2018 Comm catch'!D9,"na")</f>
        <v>0.25675675675675674</v>
      </c>
      <c r="M9" s="559">
        <f>IF(E9&gt;0,'2018 comm sample'!E9/'2018 Comm catch'!E9,"na")</f>
        <v>0.63157894736842102</v>
      </c>
      <c r="N9" s="559">
        <f>IF(F9&gt;0,'2018 comm sample'!F9/'2018 Comm catch'!F9,"na")</f>
        <v>0.8571428571428571</v>
      </c>
      <c r="O9" s="560">
        <f t="shared" si="0"/>
        <v>17.777777777777779</v>
      </c>
      <c r="P9" s="514">
        <f t="shared" si="0"/>
        <v>15.578947368421051</v>
      </c>
      <c r="Q9" s="514">
        <f t="shared" si="0"/>
        <v>0</v>
      </c>
      <c r="R9" s="563">
        <f t="shared" si="0"/>
        <v>2.3333333333333335</v>
      </c>
      <c r="S9" s="514"/>
      <c r="T9" s="514"/>
      <c r="U9" s="514"/>
      <c r="V9" s="514"/>
      <c r="W9" s="514"/>
      <c r="X9" s="514"/>
    </row>
    <row r="10" spans="1:24" x14ac:dyDescent="0.3">
      <c r="B10" s="34">
        <v>36</v>
      </c>
      <c r="C10" s="849">
        <v>773</v>
      </c>
      <c r="D10" s="854">
        <v>562</v>
      </c>
      <c r="E10" s="854">
        <v>134</v>
      </c>
      <c r="F10" s="854">
        <v>506</v>
      </c>
      <c r="G10" s="551">
        <f>'2018 comm sample'!K10</f>
        <v>2.1660649819494584E-2</v>
      </c>
      <c r="H10" s="552">
        <f>'2018 comm sample'!L10</f>
        <v>0.1040268456375839</v>
      </c>
      <c r="I10" s="552">
        <f>'2018 comm sample'!M10</f>
        <v>6.3291139240506333E-2</v>
      </c>
      <c r="J10" s="552">
        <f>'2018 comm sample'!N10</f>
        <v>4.3209876543209874E-2</v>
      </c>
      <c r="K10" s="558">
        <f>IF(C10&gt;0,'2018 comm sample'!C10/'2018 Comm catch'!C10,"na")</f>
        <v>0.35834411384217335</v>
      </c>
      <c r="L10" s="559">
        <f>IF(D10&gt;0,'2018 comm sample'!D10/'2018 Comm catch'!D10,"na")</f>
        <v>0.53024911032028466</v>
      </c>
      <c r="M10" s="559">
        <f>IF(E10&gt;0,'2018 comm sample'!E10/'2018 Comm catch'!E10,"na")</f>
        <v>0.58955223880597019</v>
      </c>
      <c r="N10" s="559">
        <f>IF(F10&gt;0,'2018 comm sample'!F10/'2018 Comm catch'!F10,"na")</f>
        <v>0.3201581027667984</v>
      </c>
      <c r="O10" s="560">
        <f t="shared" si="0"/>
        <v>16.743682310469314</v>
      </c>
      <c r="P10" s="514">
        <f t="shared" si="0"/>
        <v>58.463087248322147</v>
      </c>
      <c r="Q10" s="514">
        <f t="shared" si="0"/>
        <v>8.4810126582278489</v>
      </c>
      <c r="R10" s="563">
        <f t="shared" si="0"/>
        <v>21.864197530864196</v>
      </c>
      <c r="S10" s="514"/>
      <c r="T10" s="514"/>
      <c r="U10" s="514"/>
      <c r="V10" s="514"/>
      <c r="W10" s="514"/>
      <c r="X10" s="514"/>
    </row>
    <row r="11" spans="1:24" x14ac:dyDescent="0.3">
      <c r="B11" s="34">
        <v>37</v>
      </c>
      <c r="C11" s="849">
        <v>1621</v>
      </c>
      <c r="D11" s="854">
        <v>713</v>
      </c>
      <c r="E11" s="854">
        <v>278</v>
      </c>
      <c r="F11" s="854">
        <v>526</v>
      </c>
      <c r="G11" s="551">
        <f>'2018 comm sample'!K11</f>
        <v>4.960835509138381E-2</v>
      </c>
      <c r="H11" s="552">
        <f>'2018 comm sample'!L11</f>
        <v>8.1850533807829182E-2</v>
      </c>
      <c r="I11" s="552">
        <f>'2018 comm sample'!M11</f>
        <v>6.6666666666666666E-2</v>
      </c>
      <c r="J11" s="552">
        <f>'2018 comm sample'!N11</f>
        <v>1.2944983818770227E-2</v>
      </c>
      <c r="K11" s="558">
        <f>IF(C11&gt;0,'2018 comm sample'!C11/'2018 Comm catch'!C11,"na")</f>
        <v>0.23627390499691547</v>
      </c>
      <c r="L11" s="559">
        <f>IF(D11&gt;0,'2018 comm sample'!D11/'2018 Comm catch'!D11,"na")</f>
        <v>0.39410939691444602</v>
      </c>
      <c r="M11" s="559">
        <f>IF(E11&gt;0,'2018 comm sample'!E11/'2018 Comm catch'!E11,"na")</f>
        <v>0.43165467625899279</v>
      </c>
      <c r="N11" s="559">
        <f>IF(F11&gt;0,'2018 comm sample'!F11/'2018 Comm catch'!F11,"na")</f>
        <v>0.5874524714828897</v>
      </c>
      <c r="O11" s="560">
        <f t="shared" si="0"/>
        <v>80.41514360313316</v>
      </c>
      <c r="P11" s="514">
        <f t="shared" si="0"/>
        <v>58.359430604982208</v>
      </c>
      <c r="Q11" s="514">
        <f t="shared" si="0"/>
        <v>18.533333333333331</v>
      </c>
      <c r="R11" s="563">
        <f t="shared" si="0"/>
        <v>6.8090614886731391</v>
      </c>
      <c r="S11" s="514"/>
      <c r="T11" s="514"/>
      <c r="U11" s="514"/>
      <c r="V11" s="514"/>
      <c r="W11" s="514"/>
      <c r="X11" s="514"/>
    </row>
    <row r="12" spans="1:24" x14ac:dyDescent="0.3">
      <c r="B12" s="34">
        <v>38</v>
      </c>
      <c r="C12" s="855"/>
      <c r="D12" s="856"/>
      <c r="E12" s="856"/>
      <c r="F12" s="856"/>
      <c r="G12" s="551" t="str">
        <f>'2018 comm sample'!K12</f>
        <v>na</v>
      </c>
      <c r="H12" s="552" t="str">
        <f>'2018 comm sample'!L12</f>
        <v>na</v>
      </c>
      <c r="I12" s="552" t="str">
        <f>'2018 comm sample'!M12</f>
        <v>na</v>
      </c>
      <c r="J12" s="552" t="str">
        <f>'2018 comm sample'!N12</f>
        <v>na</v>
      </c>
      <c r="K12" s="558" t="str">
        <f>IF(C12&gt;0,'2018 comm sample'!C12/'2018 Comm catch'!C12,"na")</f>
        <v>na</v>
      </c>
      <c r="L12" s="559" t="str">
        <f>IF(D12&gt;0,'2018 comm sample'!D12/'2018 Comm catch'!D12,"na")</f>
        <v>na</v>
      </c>
      <c r="M12" s="559" t="str">
        <f>IF(E12&gt;0,'2018 comm sample'!E12/'2018 Comm catch'!E12,"na")</f>
        <v>na</v>
      </c>
      <c r="N12" s="559" t="str">
        <f>IF(F12&gt;0,'2018 comm sample'!F12/'2018 Comm catch'!F12,"na")</f>
        <v>na</v>
      </c>
      <c r="O12" s="560" t="str">
        <f t="shared" si="0"/>
        <v>na</v>
      </c>
      <c r="P12" s="514" t="str">
        <f t="shared" si="0"/>
        <v>na</v>
      </c>
      <c r="Q12" s="514" t="str">
        <f t="shared" si="0"/>
        <v>na</v>
      </c>
      <c r="R12" s="563" t="str">
        <f t="shared" si="0"/>
        <v>na</v>
      </c>
      <c r="S12" s="514"/>
      <c r="T12" s="514"/>
      <c r="U12" s="514"/>
      <c r="V12" s="514"/>
      <c r="W12" s="514"/>
      <c r="X12" s="514"/>
    </row>
    <row r="13" spans="1:24" x14ac:dyDescent="0.3">
      <c r="B13" s="34">
        <v>39</v>
      </c>
      <c r="C13" s="849">
        <v>902</v>
      </c>
      <c r="D13" s="856"/>
      <c r="E13" s="854">
        <v>685</v>
      </c>
      <c r="F13" s="854">
        <v>1453</v>
      </c>
      <c r="G13" s="551">
        <f>'2018 comm sample'!K13</f>
        <v>2.4E-2</v>
      </c>
      <c r="H13" s="552" t="str">
        <f>'2018 comm sample'!L13</f>
        <v>na</v>
      </c>
      <c r="I13" s="552">
        <f>'2018 comm sample'!M13</f>
        <v>4.534005037783375E-2</v>
      </c>
      <c r="J13" s="552">
        <f>'2018 comm sample'!N13</f>
        <v>1.2E-2</v>
      </c>
      <c r="K13" s="558">
        <f>IF(C13&gt;0,'2018 comm sample'!C13/'2018 Comm catch'!C13,"na")</f>
        <v>0.69290465631929044</v>
      </c>
      <c r="L13" s="559" t="str">
        <f>IF(D13&gt;0,'2018 comm sample'!D13/'2018 Comm catch'!D13,"na")</f>
        <v>na</v>
      </c>
      <c r="M13" s="559">
        <f>IF(E13&gt;0,'2018 comm sample'!E13/'2018 Comm catch'!E13,"na")</f>
        <v>0.57956204379562049</v>
      </c>
      <c r="N13" s="559">
        <f>IF(F13&gt;0,'2018 comm sample'!F13/'2018 Comm catch'!F13,"na")</f>
        <v>0.17205781142463869</v>
      </c>
      <c r="O13" s="560">
        <f t="shared" si="0"/>
        <v>21.648</v>
      </c>
      <c r="P13" s="514" t="str">
        <f t="shared" si="0"/>
        <v>na</v>
      </c>
      <c r="Q13" s="514">
        <f t="shared" si="0"/>
        <v>31.057934508816118</v>
      </c>
      <c r="R13" s="563">
        <f t="shared" si="0"/>
        <v>17.436</v>
      </c>
      <c r="S13" s="514"/>
      <c r="T13" s="514"/>
      <c r="U13" s="514"/>
      <c r="V13" s="802">
        <f>F13*(AVERAGE(J13:J14))</f>
        <v>32.15348387096774</v>
      </c>
      <c r="W13" s="514"/>
      <c r="X13" s="514"/>
    </row>
    <row r="14" spans="1:24" x14ac:dyDescent="0.3">
      <c r="B14" s="34">
        <v>40</v>
      </c>
      <c r="C14" s="849">
        <v>355</v>
      </c>
      <c r="D14" s="854">
        <v>900</v>
      </c>
      <c r="E14" s="854">
        <v>147</v>
      </c>
      <c r="F14" s="854">
        <v>156</v>
      </c>
      <c r="G14" s="551">
        <f>'2018 comm sample'!K14</f>
        <v>3.8674033149171269E-2</v>
      </c>
      <c r="H14" s="552">
        <f>'2018 comm sample'!L14</f>
        <v>3.925233644859813E-2</v>
      </c>
      <c r="I14" s="552">
        <f>'2018 comm sample'!M14</f>
        <v>6.8965517241379309E-2</v>
      </c>
      <c r="J14" s="552">
        <f>'2018 comm sample'!N14</f>
        <v>3.2258064516129031E-2</v>
      </c>
      <c r="K14" s="558">
        <f>IF(C14&gt;0,'2018 comm sample'!C14/'2018 Comm catch'!C14,"na")</f>
        <v>0.50985915492957745</v>
      </c>
      <c r="L14" s="559">
        <f>IF(D14&gt;0,'2018 comm sample'!D14/'2018 Comm catch'!D14,"na")</f>
        <v>0.59444444444444444</v>
      </c>
      <c r="M14" s="559">
        <f>IF(E14&gt;0,'2018 comm sample'!E14/'2018 Comm catch'!E14,"na")</f>
        <v>0.39455782312925169</v>
      </c>
      <c r="N14" s="559">
        <f>IF(F14&gt;0,'2018 comm sample'!F14/'2018 Comm catch'!F14,"na")</f>
        <v>0.39743589743589741</v>
      </c>
      <c r="O14" s="560">
        <f t="shared" si="0"/>
        <v>13.729281767955801</v>
      </c>
      <c r="P14" s="514">
        <f t="shared" si="0"/>
        <v>35.327102803738313</v>
      </c>
      <c r="Q14" s="514">
        <f t="shared" si="0"/>
        <v>10.137931034482758</v>
      </c>
      <c r="R14" s="563">
        <f t="shared" si="0"/>
        <v>5.032258064516129</v>
      </c>
      <c r="S14" s="514"/>
      <c r="T14" s="514"/>
      <c r="U14" s="514"/>
      <c r="V14" s="514"/>
      <c r="W14" s="514"/>
      <c r="X14" s="514"/>
    </row>
    <row r="15" spans="1:24" x14ac:dyDescent="0.3">
      <c r="A15" s="11"/>
      <c r="B15" s="34">
        <v>41</v>
      </c>
      <c r="C15" s="849">
        <v>238</v>
      </c>
      <c r="D15" s="854">
        <v>1216</v>
      </c>
      <c r="E15" s="854">
        <v>108</v>
      </c>
      <c r="F15" s="854">
        <v>12</v>
      </c>
      <c r="G15" s="551">
        <f>'2018 comm sample'!K15</f>
        <v>6.2015503875968991E-2</v>
      </c>
      <c r="H15" s="552">
        <f>'2018 comm sample'!L15</f>
        <v>2.4675324675324677E-2</v>
      </c>
      <c r="I15" s="552">
        <f>'2018 comm sample'!M15</f>
        <v>0.08</v>
      </c>
      <c r="J15" s="552" t="str">
        <f>'2018 comm sample'!N15</f>
        <v>na</v>
      </c>
      <c r="K15" s="558">
        <f>IF(C15&gt;0,'2018 comm sample'!C15/'2018 Comm catch'!C15,"na")</f>
        <v>0.54201680672268904</v>
      </c>
      <c r="L15" s="559">
        <f>IF(D15&gt;0,'2018 comm sample'!D15/'2018 Comm catch'!D15,"na")</f>
        <v>0.63322368421052633</v>
      </c>
      <c r="M15" s="559">
        <f>IF(E15&gt;0,'2018 comm sample'!E15/'2018 Comm catch'!E15,"na")</f>
        <v>0.46296296296296297</v>
      </c>
      <c r="N15" s="559">
        <f>IF(F15&gt;0,'2018 comm sample'!F15/'2018 Comm catch'!F15,"na")</f>
        <v>0</v>
      </c>
      <c r="O15" s="560">
        <f t="shared" si="0"/>
        <v>14.75968992248062</v>
      </c>
      <c r="P15" s="514">
        <f t="shared" si="0"/>
        <v>30.005194805194808</v>
      </c>
      <c r="Q15" s="514">
        <f t="shared" si="0"/>
        <v>8.64</v>
      </c>
      <c r="R15" s="563" t="str">
        <f t="shared" si="0"/>
        <v>na</v>
      </c>
      <c r="S15" s="514"/>
      <c r="T15" s="514"/>
      <c r="U15" s="514"/>
      <c r="V15" s="848">
        <f>F15*J14</f>
        <v>0.38709677419354838</v>
      </c>
      <c r="W15" s="514"/>
      <c r="X15" s="514"/>
    </row>
    <row r="16" spans="1:24" x14ac:dyDescent="0.3">
      <c r="A16" s="11"/>
      <c r="B16" s="34">
        <v>42</v>
      </c>
      <c r="C16" s="849">
        <v>37</v>
      </c>
      <c r="D16" s="853">
        <v>72</v>
      </c>
      <c r="E16" s="854">
        <v>36</v>
      </c>
      <c r="F16" s="852"/>
      <c r="G16" s="551">
        <f>'2018 comm sample'!K16</f>
        <v>0</v>
      </c>
      <c r="H16" s="552">
        <f>'2018 comm sample'!L16</f>
        <v>1.3698630136986301E-2</v>
      </c>
      <c r="I16" s="552">
        <f>'2018 comm sample'!M16</f>
        <v>0.11764705882352941</v>
      </c>
      <c r="J16" s="552" t="str">
        <f>'2018 comm sample'!N16</f>
        <v>na</v>
      </c>
      <c r="K16" s="558">
        <f>IF(C16&gt;0,'2018 comm sample'!C16/'2018 Comm catch'!C16,"na")</f>
        <v>0.24324324324324326</v>
      </c>
      <c r="L16" s="559">
        <f>IF(D16&gt;0,'2018 comm sample'!D16/'2018 Comm catch'!D16,"na")</f>
        <v>1.0138888888888888</v>
      </c>
      <c r="M16" s="559">
        <f>IF(E16&gt;0,'2018 comm sample'!E16/'2018 Comm catch'!E16,"na")</f>
        <v>0.94444444444444442</v>
      </c>
      <c r="N16" s="559" t="str">
        <f>IF(F16&gt;0,'2018 comm sample'!F16/'2018 Comm catch'!F16,"na")</f>
        <v>na</v>
      </c>
      <c r="O16" s="560">
        <f t="shared" si="0"/>
        <v>0</v>
      </c>
      <c r="P16" s="514">
        <f t="shared" si="0"/>
        <v>0.98630136986301364</v>
      </c>
      <c r="Q16" s="514">
        <f t="shared" si="0"/>
        <v>4.2352941176470589</v>
      </c>
      <c r="R16" s="563" t="str">
        <f t="shared" si="0"/>
        <v>na</v>
      </c>
      <c r="S16" s="514"/>
      <c r="T16" s="514"/>
      <c r="U16" s="514"/>
      <c r="W16" s="514"/>
      <c r="X16" s="514"/>
    </row>
    <row r="17" spans="1:32" x14ac:dyDescent="0.3">
      <c r="A17" s="11"/>
      <c r="B17" s="34">
        <v>43</v>
      </c>
      <c r="C17" s="849">
        <v>54</v>
      </c>
      <c r="D17" s="853">
        <v>71</v>
      </c>
      <c r="E17" s="854">
        <v>70</v>
      </c>
      <c r="F17" s="852"/>
      <c r="G17" s="551">
        <f>'2018 comm sample'!K17</f>
        <v>0.12</v>
      </c>
      <c r="H17" s="552">
        <f>'2018 comm sample'!L17</f>
        <v>0</v>
      </c>
      <c r="I17" s="552">
        <f>'2018 comm sample'!M17</f>
        <v>9.6153846153846159E-2</v>
      </c>
      <c r="J17" s="552" t="str">
        <f>'2018 comm sample'!N17</f>
        <v>na</v>
      </c>
      <c r="K17" s="558">
        <f>IF(C17&gt;0,'2018 comm sample'!C17/'2018 Comm catch'!C17,"na")</f>
        <v>0.46296296296296297</v>
      </c>
      <c r="L17" s="559">
        <f>IF(D17&gt;0,'2018 comm sample'!D17/'2018 Comm catch'!D17,"na")</f>
        <v>1.0704225352112675</v>
      </c>
      <c r="M17" s="559">
        <f>IF(E17&gt;0,'2018 comm sample'!E17/'2018 Comm catch'!E17,"na")</f>
        <v>0.74285714285714288</v>
      </c>
      <c r="N17" s="559" t="str">
        <f>IF(F17&gt;0,'2018 comm sample'!F17/'2018 Comm catch'!F17,"na")</f>
        <v>na</v>
      </c>
      <c r="O17" s="560">
        <f t="shared" si="0"/>
        <v>6.4799999999999995</v>
      </c>
      <c r="P17" s="514">
        <f t="shared" si="0"/>
        <v>0</v>
      </c>
      <c r="Q17" s="514">
        <f t="shared" si="0"/>
        <v>6.7307692307692308</v>
      </c>
      <c r="R17" s="563" t="str">
        <f t="shared" si="0"/>
        <v>na</v>
      </c>
      <c r="S17" s="514"/>
      <c r="T17" s="514"/>
      <c r="U17" s="514"/>
      <c r="V17" s="514"/>
      <c r="W17" s="514"/>
      <c r="X17" s="514"/>
    </row>
    <row r="18" spans="1:32" x14ac:dyDescent="0.3">
      <c r="B18" s="34">
        <v>44</v>
      </c>
      <c r="C18" s="849">
        <v>102</v>
      </c>
      <c r="D18" s="850"/>
      <c r="E18" s="852"/>
      <c r="F18" s="852"/>
      <c r="G18" s="551">
        <f>'2018 comm sample'!K18</f>
        <v>0.1891891891891892</v>
      </c>
      <c r="H18" s="552" t="str">
        <f>'2018 comm sample'!L18</f>
        <v>na</v>
      </c>
      <c r="I18" s="552" t="str">
        <f>'2018 comm sample'!M18</f>
        <v>na</v>
      </c>
      <c r="J18" s="552" t="str">
        <f>'2018 comm sample'!N18</f>
        <v>na</v>
      </c>
      <c r="K18" s="558">
        <f>IF(C18&gt;0,'2018 comm sample'!C18/'2018 Comm catch'!C18,"na")</f>
        <v>0.36274509803921567</v>
      </c>
      <c r="L18" s="559" t="str">
        <f>IF(D18&gt;0,'2018 comm sample'!D18/'2018 Comm catch'!D18,"na")</f>
        <v>na</v>
      </c>
      <c r="M18" s="559" t="str">
        <f>IF(E18&gt;0,'2018 comm sample'!E18/'2018 Comm catch'!E18,"na")</f>
        <v>na</v>
      </c>
      <c r="N18" s="559" t="str">
        <f>IF(F18&gt;0,'2018 comm sample'!F18/'2018 Comm catch'!F18,"na")</f>
        <v>na</v>
      </c>
      <c r="O18" s="560">
        <f t="shared" si="0"/>
        <v>19.297297297297298</v>
      </c>
      <c r="P18" s="514" t="str">
        <f t="shared" si="0"/>
        <v>na</v>
      </c>
      <c r="Q18" s="514" t="str">
        <f t="shared" si="0"/>
        <v>na</v>
      </c>
      <c r="R18" s="563" t="str">
        <f t="shared" si="0"/>
        <v>na</v>
      </c>
      <c r="S18" s="514"/>
      <c r="T18" s="514"/>
      <c r="U18" s="514"/>
      <c r="V18" s="514"/>
      <c r="W18" s="514"/>
      <c r="X18" s="514"/>
    </row>
    <row r="19" spans="1:32" x14ac:dyDescent="0.3">
      <c r="B19" s="34">
        <v>45</v>
      </c>
      <c r="C19" s="857"/>
      <c r="D19" s="858"/>
      <c r="E19" s="859"/>
      <c r="F19" s="860"/>
      <c r="G19" s="567" t="str">
        <f>'2018 comm sample'!K19</f>
        <v>na</v>
      </c>
      <c r="H19" s="568" t="str">
        <f>'2018 comm sample'!L19</f>
        <v>na</v>
      </c>
      <c r="I19" s="568" t="str">
        <f>'2018 comm sample'!M19</f>
        <v>na</v>
      </c>
      <c r="J19" s="568" t="str">
        <f>'2018 comm sample'!N19</f>
        <v>na</v>
      </c>
      <c r="K19" s="569" t="str">
        <f>IF(C19&gt;0,'2018 comm sample'!C19/'2018 Comm catch'!C19,"na")</f>
        <v>na</v>
      </c>
      <c r="L19" s="570" t="str">
        <f>IF(D19&gt;0,'2018 comm sample'!D19/'2018 Comm catch'!D19,"na")</f>
        <v>na</v>
      </c>
      <c r="M19" s="570" t="str">
        <f>IF(E19&gt;0,'2018 comm sample'!E19/'2018 Comm catch'!E19,"na")</f>
        <v>na</v>
      </c>
      <c r="N19" s="570" t="str">
        <f>IF(F19&gt;0,'2018 comm sample'!F19/'2018 Comm catch'!F19,"na")</f>
        <v>na</v>
      </c>
      <c r="O19" s="560" t="str">
        <f t="shared" si="0"/>
        <v>na</v>
      </c>
      <c r="P19" s="514" t="str">
        <f t="shared" si="0"/>
        <v>na</v>
      </c>
      <c r="Q19" s="514" t="str">
        <f t="shared" si="0"/>
        <v>na</v>
      </c>
      <c r="R19" s="563" t="str">
        <f t="shared" si="0"/>
        <v>na</v>
      </c>
      <c r="S19" s="514"/>
      <c r="T19" s="514"/>
      <c r="U19" s="514"/>
      <c r="V19" s="514"/>
      <c r="W19" s="514"/>
      <c r="X19" s="514"/>
    </row>
    <row r="20" spans="1:32" x14ac:dyDescent="0.3">
      <c r="B20" s="34" t="s">
        <v>184</v>
      </c>
      <c r="C20" s="808">
        <f>SUM(C5:C19)</f>
        <v>4229</v>
      </c>
      <c r="D20" s="651">
        <f>SUM(D5:D19)</f>
        <v>3682</v>
      </c>
      <c r="E20" s="651">
        <f>SUM(E5:E19)</f>
        <v>1477</v>
      </c>
      <c r="F20" s="809">
        <f>SUM(F5:F19)</f>
        <v>2723</v>
      </c>
      <c r="G20" s="571">
        <f>'2018 comm sample'!K20</f>
        <v>4.2105263157894736E-2</v>
      </c>
      <c r="H20" s="571">
        <f>'2018 comm sample'!L20</f>
        <v>4.7802993722839207E-2</v>
      </c>
      <c r="I20" s="571">
        <f>'2018 comm sample'!M20</f>
        <v>5.9850374064837904E-2</v>
      </c>
      <c r="J20" s="571">
        <f>'2018 comm sample'!N20</f>
        <v>2.1352313167259787E-2</v>
      </c>
      <c r="K20" s="721">
        <f>IF(C20&gt;0,'2018 comm sample'!C20/'2018 Comm catch'!C20,"na")</f>
        <v>0.40435091038070464</v>
      </c>
      <c r="L20" s="722">
        <f>IF(D20&gt;0,'2018 comm sample'!D20/'2018 Comm catch'!D20,"na")</f>
        <v>0.562466051059207</v>
      </c>
      <c r="M20" s="722">
        <f>IF(E20&gt;0,'2018 comm sample'!E20/'2018 Comm catch'!E20,"na")</f>
        <v>0.54299255247122546</v>
      </c>
      <c r="N20" s="723">
        <f>IF(F20&gt;0,'2018 comm sample'!F20/'2018 Comm catch'!F20,"na")</f>
        <v>0.30958501652589054</v>
      </c>
      <c r="O20" s="572">
        <f>SUM(O5:O19)</f>
        <v>195.01753934578062</v>
      </c>
      <c r="P20" s="573">
        <f>SUM(P5:P19)</f>
        <v>198.72006420052153</v>
      </c>
      <c r="Q20" s="573">
        <f>SUM(Q5:Q19)</f>
        <v>87.816274883276336</v>
      </c>
      <c r="R20" s="574">
        <f>SUM(R5:R19)</f>
        <v>53.474850417386797</v>
      </c>
      <c r="S20" s="575"/>
      <c r="T20" s="575"/>
      <c r="U20" s="575"/>
      <c r="V20" s="575"/>
      <c r="W20" s="575"/>
      <c r="X20" s="575"/>
    </row>
    <row r="21" spans="1:32" x14ac:dyDescent="0.3">
      <c r="B21" s="208"/>
      <c r="C21" s="208"/>
      <c r="D21" s="208"/>
      <c r="E21" s="208"/>
      <c r="F21" s="575"/>
      <c r="G21" s="34"/>
      <c r="H21" s="34"/>
      <c r="I21" s="208"/>
      <c r="J21" s="576"/>
      <c r="K21" s="208"/>
      <c r="L21" s="208"/>
      <c r="M21" s="208"/>
      <c r="N21" s="577"/>
      <c r="O21" s="208"/>
      <c r="P21" s="208"/>
      <c r="Q21" s="208"/>
      <c r="R21" s="575"/>
      <c r="S21" s="575"/>
      <c r="T21" s="575"/>
      <c r="U21" s="575"/>
      <c r="V21" s="575"/>
      <c r="W21" s="575"/>
      <c r="X21" s="575"/>
    </row>
    <row r="22" spans="1:32" x14ac:dyDescent="0.3">
      <c r="B22" s="208"/>
      <c r="C22" s="457"/>
      <c r="D22" s="457"/>
      <c r="E22" s="457"/>
      <c r="F22" s="514"/>
      <c r="I22" s="457"/>
      <c r="J22" s="457"/>
      <c r="K22" s="457"/>
      <c r="L22" s="457"/>
      <c r="M22" s="457"/>
      <c r="N22" s="457"/>
      <c r="O22" s="457"/>
      <c r="P22" s="457"/>
      <c r="Q22" s="457"/>
      <c r="R22" s="514"/>
      <c r="S22" s="514"/>
      <c r="T22" s="514"/>
      <c r="U22" s="514"/>
      <c r="V22" s="514"/>
      <c r="W22" s="514"/>
      <c r="X22" s="514"/>
    </row>
    <row r="23" spans="1:32" x14ac:dyDescent="0.3">
      <c r="C23" s="34" t="s">
        <v>123</v>
      </c>
      <c r="H23" s="457"/>
      <c r="I23" s="457"/>
      <c r="J23" s="457"/>
      <c r="Y23" s="33"/>
      <c r="Z23" s="33"/>
      <c r="AA23" s="33"/>
    </row>
    <row r="24" spans="1:32" x14ac:dyDescent="0.3">
      <c r="C24" s="903" t="s">
        <v>263</v>
      </c>
      <c r="D24" s="904"/>
      <c r="E24" s="904"/>
      <c r="F24" s="904"/>
      <c r="G24" s="904"/>
      <c r="H24" s="904"/>
      <c r="I24" s="904"/>
      <c r="J24" s="905"/>
      <c r="K24" s="903" t="s">
        <v>264</v>
      </c>
      <c r="L24" s="904"/>
      <c r="M24" s="904"/>
      <c r="N24" s="904"/>
      <c r="O24" s="905"/>
      <c r="P24" s="903" t="s">
        <v>261</v>
      </c>
      <c r="Q24" s="904"/>
      <c r="R24" s="904"/>
      <c r="S24" s="904"/>
      <c r="T24" s="904"/>
      <c r="U24" s="697" t="s">
        <v>323</v>
      </c>
      <c r="V24" s="698"/>
      <c r="W24" s="698"/>
      <c r="X24" s="698"/>
      <c r="Y24" s="698"/>
      <c r="Z24" s="698"/>
      <c r="AA24" s="698"/>
      <c r="AB24" s="699"/>
      <c r="AC24" s="34" t="s">
        <v>328</v>
      </c>
    </row>
    <row r="25" spans="1:32" x14ac:dyDescent="0.3">
      <c r="B25" s="34" t="s">
        <v>134</v>
      </c>
      <c r="C25" s="547">
        <v>1</v>
      </c>
      <c r="D25" s="202">
        <v>2</v>
      </c>
      <c r="E25" s="202">
        <v>3</v>
      </c>
      <c r="F25" s="202"/>
      <c r="G25" s="202">
        <v>4</v>
      </c>
      <c r="H25" s="202">
        <v>5</v>
      </c>
      <c r="I25" s="202"/>
      <c r="J25" s="548" t="s">
        <v>272</v>
      </c>
      <c r="K25" s="367">
        <v>1</v>
      </c>
      <c r="L25" s="175">
        <v>2</v>
      </c>
      <c r="M25" s="175">
        <v>3</v>
      </c>
      <c r="N25" s="175">
        <v>4</v>
      </c>
      <c r="O25" s="368">
        <v>5</v>
      </c>
      <c r="P25" s="367">
        <v>1</v>
      </c>
      <c r="Q25" s="175">
        <v>2</v>
      </c>
      <c r="R25" s="175">
        <v>3</v>
      </c>
      <c r="S25" s="175">
        <v>4</v>
      </c>
      <c r="T25" s="175">
        <v>5</v>
      </c>
      <c r="U25" s="367">
        <v>1</v>
      </c>
      <c r="V25" s="175">
        <v>2</v>
      </c>
      <c r="W25" s="175">
        <v>3</v>
      </c>
      <c r="X25" s="175"/>
      <c r="Y25" s="175">
        <v>4</v>
      </c>
      <c r="Z25" s="175">
        <v>5</v>
      </c>
      <c r="AA25" s="175"/>
      <c r="AB25" s="368" t="s">
        <v>272</v>
      </c>
      <c r="AC25" s="32" t="str">
        <f>'2013 comm sample'!R24</f>
        <v>Z1-3 Agg</v>
      </c>
      <c r="AD25" s="32" t="str">
        <f>'2013 comm sample'!S24</f>
        <v>Z4-5 Agg</v>
      </c>
      <c r="AE25" s="73"/>
      <c r="AF25" s="73"/>
    </row>
    <row r="26" spans="1:32" x14ac:dyDescent="0.3">
      <c r="A26" s="34"/>
      <c r="B26" s="34">
        <v>32</v>
      </c>
      <c r="C26" s="832"/>
      <c r="D26" s="833"/>
      <c r="E26" s="833"/>
      <c r="F26" s="834"/>
      <c r="G26" s="835"/>
      <c r="H26" s="835"/>
      <c r="I26" s="834"/>
      <c r="J26" s="579"/>
      <c r="K26" s="532" t="str">
        <f>'2018 comm sample'!M26</f>
        <v>na</v>
      </c>
      <c r="L26" s="532" t="str">
        <f>'2018 comm sample'!N26</f>
        <v>na</v>
      </c>
      <c r="M26" s="532" t="str">
        <f>'2018 comm sample'!O26</f>
        <v>na</v>
      </c>
      <c r="N26" s="532" t="str">
        <f>'2018 comm sample'!P26</f>
        <v>na</v>
      </c>
      <c r="O26" s="533" t="str">
        <f>'2018 comm sample'!Q26</f>
        <v>na</v>
      </c>
      <c r="P26" s="559" t="str">
        <f>IF(C26&gt;0,'2018 comm sample'!C26/'2018 Comm catch'!C26,"na")</f>
        <v>na</v>
      </c>
      <c r="Q26" s="559" t="str">
        <f>IF(D26&gt;0,'2018 comm sample'!D26/'2018 Comm catch'!D26,"na")</f>
        <v>na</v>
      </c>
      <c r="R26" s="559" t="str">
        <f>IF(E26&gt;0,'2018 comm sample'!E26/'2018 Comm catch'!E26,"na")</f>
        <v>na</v>
      </c>
      <c r="S26" s="559" t="str">
        <f>IF(G26&gt;0,'2018 comm sample'!F26/'2018 Comm catch'!G26,"na")</f>
        <v>na</v>
      </c>
      <c r="T26" s="559" t="str">
        <f>IF(H26&gt;0,'2018 comm sample'!G26/'2018 Comm catch'!H26,"na")</f>
        <v>na</v>
      </c>
      <c r="U26" s="560">
        <f t="shared" ref="U26:W40" si="5">IF(K26&lt;&gt;"na",C26*K26,0)</f>
        <v>0</v>
      </c>
      <c r="V26" s="514">
        <f t="shared" si="5"/>
        <v>0</v>
      </c>
      <c r="W26" s="514">
        <f t="shared" si="5"/>
        <v>0</v>
      </c>
      <c r="X26" s="705">
        <f t="shared" ref="X26:X39" si="6">SUM(U26:W26)</f>
        <v>0</v>
      </c>
      <c r="Y26" s="514">
        <f t="shared" ref="Y26:Z40" si="7">IF(N26&lt;&gt;"na",G26*N26,0)</f>
        <v>0</v>
      </c>
      <c r="Z26" s="514">
        <f t="shared" si="7"/>
        <v>0</v>
      </c>
      <c r="AA26" s="705">
        <f t="shared" ref="AA26:AA39" si="8">SUM(Y26:Z26)</f>
        <v>0</v>
      </c>
      <c r="AB26" s="580">
        <f>X26+AA26</f>
        <v>0</v>
      </c>
    </row>
    <row r="27" spans="1:32" x14ac:dyDescent="0.3">
      <c r="A27" s="34"/>
      <c r="B27" s="34">
        <v>33</v>
      </c>
      <c r="C27" s="836"/>
      <c r="D27" s="837"/>
      <c r="E27" s="837"/>
      <c r="F27" s="838"/>
      <c r="G27" s="807"/>
      <c r="H27" s="807"/>
      <c r="I27" s="839">
        <f t="shared" ref="I27:I39" si="9">SUM(G27:H27)</f>
        <v>0</v>
      </c>
      <c r="J27" s="515">
        <f>F27+I27</f>
        <v>0</v>
      </c>
      <c r="K27" s="532" t="str">
        <f>'2018 comm sample'!M27</f>
        <v>na</v>
      </c>
      <c r="L27" s="532" t="str">
        <f>'2018 comm sample'!N27</f>
        <v>na</v>
      </c>
      <c r="M27" s="532" t="str">
        <f>'2018 comm sample'!O27</f>
        <v>na</v>
      </c>
      <c r="N27" s="532" t="str">
        <f>'2018 comm sample'!P27</f>
        <v>na</v>
      </c>
      <c r="O27" s="533" t="str">
        <f>'2018 comm sample'!Q27</f>
        <v>na</v>
      </c>
      <c r="P27" s="559" t="str">
        <f>IF(C27&gt;0,'2018 comm sample'!C27/'2018 Comm catch'!C27,"na")</f>
        <v>na</v>
      </c>
      <c r="Q27" s="559" t="str">
        <f>IF(D27&gt;0,'2018 comm sample'!D27/'2018 Comm catch'!D27,"na")</f>
        <v>na</v>
      </c>
      <c r="R27" s="559" t="str">
        <f>IF(E27&gt;0,'2018 comm sample'!E27/'2018 Comm catch'!E27,"na")</f>
        <v>na</v>
      </c>
      <c r="S27" s="559" t="str">
        <f>IF(G27&gt;0,'2018 comm sample'!F27/'2018 Comm catch'!G27,"na")</f>
        <v>na</v>
      </c>
      <c r="T27" s="559" t="str">
        <f>IF(H27&gt;0,'2018 comm sample'!G27/'2018 Comm catch'!H27,"na")</f>
        <v>na</v>
      </c>
      <c r="U27" s="560">
        <f t="shared" si="5"/>
        <v>0</v>
      </c>
      <c r="V27" s="514">
        <f t="shared" si="5"/>
        <v>0</v>
      </c>
      <c r="W27" s="514">
        <f t="shared" si="5"/>
        <v>0</v>
      </c>
      <c r="X27" s="705">
        <f t="shared" si="6"/>
        <v>0</v>
      </c>
      <c r="Y27" s="514">
        <f t="shared" si="7"/>
        <v>0</v>
      </c>
      <c r="Z27" s="514">
        <f t="shared" si="7"/>
        <v>0</v>
      </c>
      <c r="AA27" s="705">
        <f t="shared" si="8"/>
        <v>0</v>
      </c>
      <c r="AB27" s="580">
        <f t="shared" ref="AB27:AB41" si="10">X27+AA27</f>
        <v>0</v>
      </c>
    </row>
    <row r="28" spans="1:32" x14ac:dyDescent="0.3">
      <c r="A28" s="34" t="s">
        <v>324</v>
      </c>
      <c r="B28" s="34">
        <v>34</v>
      </c>
      <c r="C28" s="836"/>
      <c r="D28" s="837"/>
      <c r="E28" s="837"/>
      <c r="F28" s="838"/>
      <c r="G28" s="861">
        <f>60/2</f>
        <v>30</v>
      </c>
      <c r="H28" s="861">
        <f>60/2</f>
        <v>30</v>
      </c>
      <c r="I28" s="839">
        <f t="shared" si="9"/>
        <v>60</v>
      </c>
      <c r="J28" s="515">
        <f t="shared" ref="J28:J40" si="11">F28+I28</f>
        <v>60</v>
      </c>
      <c r="K28" s="532" t="str">
        <f>'2018 comm sample'!M28</f>
        <v>na</v>
      </c>
      <c r="L28" s="532" t="str">
        <f>'2018 comm sample'!N28</f>
        <v>na</v>
      </c>
      <c r="M28" s="532" t="str">
        <f>'2018 comm sample'!O28</f>
        <v>na</v>
      </c>
      <c r="N28" s="532">
        <f>'2018 comm sample'!P28</f>
        <v>0.81481481481481477</v>
      </c>
      <c r="O28" s="533">
        <f>'2018 comm sample'!Q28</f>
        <v>0.8</v>
      </c>
      <c r="P28" s="559" t="str">
        <f>IF(C28&gt;0,'2018 comm sample'!C28/'2018 Comm catch'!C28,"na")</f>
        <v>na</v>
      </c>
      <c r="Q28" s="559" t="str">
        <f>IF(D28&gt;0,'2018 comm sample'!D28/'2018 Comm catch'!D28,"na")</f>
        <v>na</v>
      </c>
      <c r="R28" s="559" t="str">
        <f>IF(E28&gt;0,'2018 comm sample'!E28/'2018 Comm catch'!E28,"na")</f>
        <v>na</v>
      </c>
      <c r="S28" s="559">
        <f>IF(G28&gt;0,'2018 comm sample'!F28/'2018 Comm catch'!G28,"na")</f>
        <v>0.9</v>
      </c>
      <c r="T28" s="559">
        <f>IF(H28&gt;0,'2018 comm sample'!G28/'2018 Comm catch'!H28,"na")</f>
        <v>0.33333333333333331</v>
      </c>
      <c r="U28" s="560">
        <f t="shared" si="5"/>
        <v>0</v>
      </c>
      <c r="V28" s="514">
        <f t="shared" si="5"/>
        <v>0</v>
      </c>
      <c r="W28" s="514">
        <f t="shared" si="5"/>
        <v>0</v>
      </c>
      <c r="X28" s="705">
        <f t="shared" si="6"/>
        <v>0</v>
      </c>
      <c r="Y28" s="514">
        <f t="shared" si="7"/>
        <v>24.444444444444443</v>
      </c>
      <c r="Z28" s="514">
        <f t="shared" si="7"/>
        <v>24</v>
      </c>
      <c r="AA28" s="705">
        <f t="shared" si="8"/>
        <v>48.444444444444443</v>
      </c>
      <c r="AB28" s="580">
        <f t="shared" si="10"/>
        <v>48.444444444444443</v>
      </c>
      <c r="AD28" s="805">
        <f>I28*'2018 comm sample'!S28</f>
        <v>48.648648648648653</v>
      </c>
    </row>
    <row r="29" spans="1:32" x14ac:dyDescent="0.3">
      <c r="A29" s="34" t="s">
        <v>324</v>
      </c>
      <c r="B29" s="34">
        <v>35</v>
      </c>
      <c r="C29" s="836"/>
      <c r="D29" s="837"/>
      <c r="E29" s="837"/>
      <c r="F29" s="838"/>
      <c r="G29" s="861">
        <f>320/2</f>
        <v>160</v>
      </c>
      <c r="H29" s="861">
        <f>320/2</f>
        <v>160</v>
      </c>
      <c r="I29" s="839">
        <f t="shared" si="9"/>
        <v>320</v>
      </c>
      <c r="J29" s="515">
        <f t="shared" si="11"/>
        <v>320</v>
      </c>
      <c r="K29" s="532" t="str">
        <f>'2018 comm sample'!M29</f>
        <v>na</v>
      </c>
      <c r="L29" s="532" t="str">
        <f>'2018 comm sample'!N29</f>
        <v>na</v>
      </c>
      <c r="M29" s="532" t="str">
        <f>'2018 comm sample'!O29</f>
        <v>na</v>
      </c>
      <c r="N29" s="532">
        <f>'2018 comm sample'!P29</f>
        <v>0.70440251572327039</v>
      </c>
      <c r="O29" s="533">
        <f>'2018 comm sample'!Q29</f>
        <v>0.78787878787878785</v>
      </c>
      <c r="P29" s="559" t="str">
        <f>IF(C29&gt;0,'2018 comm sample'!C29/'2018 Comm catch'!C29,"na")</f>
        <v>na</v>
      </c>
      <c r="Q29" s="559" t="str">
        <f>IF(D29&gt;0,'2018 comm sample'!D29/'2018 Comm catch'!D29,"na")</f>
        <v>na</v>
      </c>
      <c r="R29" s="559" t="str">
        <f>IF(E29&gt;0,'2018 comm sample'!E29/'2018 Comm catch'!E29,"na")</f>
        <v>na</v>
      </c>
      <c r="S29" s="559">
        <f>IF(G29&gt;0,'2018 comm sample'!F29/'2018 Comm catch'!G29,"na")</f>
        <v>0.99375000000000002</v>
      </c>
      <c r="T29" s="559">
        <f>IF(H29&gt;0,'2018 comm sample'!G29/'2018 Comm catch'!H29,"na")</f>
        <v>0.20624999999999999</v>
      </c>
      <c r="U29" s="560">
        <f t="shared" si="5"/>
        <v>0</v>
      </c>
      <c r="V29" s="514">
        <f t="shared" si="5"/>
        <v>0</v>
      </c>
      <c r="W29" s="514">
        <f t="shared" si="5"/>
        <v>0</v>
      </c>
      <c r="X29" s="705">
        <f t="shared" si="6"/>
        <v>0</v>
      </c>
      <c r="Y29" s="514">
        <f t="shared" si="7"/>
        <v>112.70440251572326</v>
      </c>
      <c r="Z29" s="514">
        <f t="shared" si="7"/>
        <v>126.06060606060606</v>
      </c>
      <c r="AA29" s="705">
        <f t="shared" si="8"/>
        <v>238.76500857632931</v>
      </c>
      <c r="AB29" s="580">
        <f t="shared" si="10"/>
        <v>238.76500857632931</v>
      </c>
      <c r="AD29" s="805">
        <f>I29*'2018 comm sample'!S29</f>
        <v>230</v>
      </c>
    </row>
    <row r="30" spans="1:32" x14ac:dyDescent="0.3">
      <c r="A30" s="34"/>
      <c r="B30" s="34">
        <v>36</v>
      </c>
      <c r="C30" s="836"/>
      <c r="D30" s="837"/>
      <c r="E30" s="837"/>
      <c r="F30" s="838"/>
      <c r="G30" s="840"/>
      <c r="H30" s="840"/>
      <c r="I30" s="839">
        <f t="shared" si="9"/>
        <v>0</v>
      </c>
      <c r="J30" s="515">
        <f t="shared" si="11"/>
        <v>0</v>
      </c>
      <c r="K30" s="532" t="str">
        <f>'2018 comm sample'!M30</f>
        <v>na</v>
      </c>
      <c r="L30" s="532" t="str">
        <f>'2018 comm sample'!N30</f>
        <v>na</v>
      </c>
      <c r="M30" s="532" t="str">
        <f>'2018 comm sample'!O30</f>
        <v>na</v>
      </c>
      <c r="N30" s="532" t="str">
        <f>'2018 comm sample'!P30</f>
        <v>na</v>
      </c>
      <c r="O30" s="533" t="str">
        <f>'2018 comm sample'!Q30</f>
        <v>na</v>
      </c>
      <c r="P30" s="559" t="str">
        <f>IF(C30&gt;0,'2018 comm sample'!C30/'2018 Comm catch'!C30,"na")</f>
        <v>na</v>
      </c>
      <c r="Q30" s="559" t="str">
        <f>IF(D30&gt;0,'2018 comm sample'!D30/'2018 Comm catch'!D30,"na")</f>
        <v>na</v>
      </c>
      <c r="R30" s="559" t="str">
        <f>IF(E30&gt;0,'2018 comm sample'!E30/'2018 Comm catch'!E30,"na")</f>
        <v>na</v>
      </c>
      <c r="S30" s="559" t="str">
        <f>IF(G30&gt;0,'2018 comm sample'!F30/'2018 Comm catch'!G30,"na")</f>
        <v>na</v>
      </c>
      <c r="T30" s="559" t="str">
        <f>IF(H30&gt;0,'2018 comm sample'!G30/'2018 Comm catch'!H30,"na")</f>
        <v>na</v>
      </c>
      <c r="U30" s="560">
        <f t="shared" si="5"/>
        <v>0</v>
      </c>
      <c r="V30" s="514">
        <f t="shared" si="5"/>
        <v>0</v>
      </c>
      <c r="W30" s="514">
        <f t="shared" si="5"/>
        <v>0</v>
      </c>
      <c r="X30" s="705">
        <f t="shared" si="6"/>
        <v>0</v>
      </c>
      <c r="Y30" s="514">
        <f t="shared" si="7"/>
        <v>0</v>
      </c>
      <c r="Z30" s="514">
        <f t="shared" si="7"/>
        <v>0</v>
      </c>
      <c r="AA30" s="705">
        <f t="shared" si="8"/>
        <v>0</v>
      </c>
      <c r="AB30" s="580">
        <f t="shared" si="10"/>
        <v>0</v>
      </c>
      <c r="AD30" s="585"/>
    </row>
    <row r="31" spans="1:32" x14ac:dyDescent="0.3">
      <c r="A31"/>
      <c r="B31" s="34">
        <v>37</v>
      </c>
      <c r="C31" s="836"/>
      <c r="D31" s="837"/>
      <c r="E31" s="837"/>
      <c r="F31" s="838"/>
      <c r="G31" s="807"/>
      <c r="H31" s="807"/>
      <c r="I31" s="838">
        <f t="shared" si="9"/>
        <v>0</v>
      </c>
      <c r="J31" s="515">
        <f t="shared" si="11"/>
        <v>0</v>
      </c>
      <c r="K31" s="532" t="str">
        <f>'2018 comm sample'!M31</f>
        <v>na</v>
      </c>
      <c r="L31" s="532" t="str">
        <f>'2018 comm sample'!N31</f>
        <v>na</v>
      </c>
      <c r="M31" s="532" t="str">
        <f>'2018 comm sample'!O31</f>
        <v>na</v>
      </c>
      <c r="N31" s="532" t="str">
        <f>'2018 comm sample'!P31</f>
        <v>na</v>
      </c>
      <c r="O31" s="533" t="str">
        <f>'2018 comm sample'!Q31</f>
        <v>na</v>
      </c>
      <c r="P31" s="558" t="str">
        <f>IF(C31&gt;0,'2018 comm sample'!C31/'2018 Comm catch'!C31,"na")</f>
        <v>na</v>
      </c>
      <c r="Q31" s="559" t="str">
        <f>IF(D31&gt;0,'2018 comm sample'!D31/'2018 Comm catch'!D31,"na")</f>
        <v>na</v>
      </c>
      <c r="R31" s="559" t="str">
        <f>IF(E31&gt;0,'2018 comm sample'!E31/'2018 Comm catch'!E31,"na")</f>
        <v>na</v>
      </c>
      <c r="S31" s="559" t="str">
        <f>IF(G31&gt;0,'2018 comm sample'!F31/'2018 Comm catch'!G31,"na")</f>
        <v>na</v>
      </c>
      <c r="T31" s="559" t="str">
        <f>IF(H31&gt;0,'2018 comm sample'!G31/'2018 Comm catch'!H31,"na")</f>
        <v>na</v>
      </c>
      <c r="U31" s="560">
        <f t="shared" si="5"/>
        <v>0</v>
      </c>
      <c r="V31" s="514">
        <f t="shared" si="5"/>
        <v>0</v>
      </c>
      <c r="W31" s="514">
        <f t="shared" si="5"/>
        <v>0</v>
      </c>
      <c r="X31" s="705">
        <f t="shared" si="6"/>
        <v>0</v>
      </c>
      <c r="Y31" s="514">
        <f t="shared" si="7"/>
        <v>0</v>
      </c>
      <c r="Z31" s="514">
        <f t="shared" si="7"/>
        <v>0</v>
      </c>
      <c r="AA31" s="705">
        <f t="shared" si="8"/>
        <v>0</v>
      </c>
      <c r="AB31" s="580">
        <f t="shared" si="10"/>
        <v>0</v>
      </c>
    </row>
    <row r="32" spans="1:32" x14ac:dyDescent="0.3">
      <c r="A32" s="34"/>
      <c r="B32" s="34">
        <v>38</v>
      </c>
      <c r="C32" s="836"/>
      <c r="D32" s="837"/>
      <c r="E32" s="837"/>
      <c r="F32" s="838"/>
      <c r="G32" s="807"/>
      <c r="H32" s="807"/>
      <c r="I32" s="838">
        <f t="shared" si="9"/>
        <v>0</v>
      </c>
      <c r="J32" s="515">
        <f t="shared" si="11"/>
        <v>0</v>
      </c>
      <c r="K32" s="532" t="str">
        <f>'2018 comm sample'!M32</f>
        <v>na</v>
      </c>
      <c r="L32" s="532" t="str">
        <f>'2018 comm sample'!N32</f>
        <v>na</v>
      </c>
      <c r="M32" s="532" t="str">
        <f>'2018 comm sample'!O32</f>
        <v>na</v>
      </c>
      <c r="N32" s="532" t="str">
        <f>'2018 comm sample'!P32</f>
        <v>na</v>
      </c>
      <c r="O32" s="533" t="str">
        <f>'2018 comm sample'!Q32</f>
        <v>na</v>
      </c>
      <c r="P32" s="558" t="str">
        <f>IF(C32&gt;0,'2018 comm sample'!C32/'2018 Comm catch'!C32,"na")</f>
        <v>na</v>
      </c>
      <c r="Q32" s="559" t="str">
        <f>IF(D32&gt;0,'2018 comm sample'!D32/'2018 Comm catch'!D32,"na")</f>
        <v>na</v>
      </c>
      <c r="R32" s="559" t="str">
        <f>IF(E32&gt;0,'2018 comm sample'!E32/'2018 Comm catch'!E32,"na")</f>
        <v>na</v>
      </c>
      <c r="S32" s="559" t="str">
        <f>IF(G32&gt;0,'2018 comm sample'!F32/'2018 Comm catch'!G32,"na")</f>
        <v>na</v>
      </c>
      <c r="T32" s="559" t="str">
        <f>IF(H32&gt;0,'2018 comm sample'!G32/'2018 Comm catch'!H32,"na")</f>
        <v>na</v>
      </c>
      <c r="U32" s="560">
        <f t="shared" si="5"/>
        <v>0</v>
      </c>
      <c r="V32" s="514">
        <f t="shared" si="5"/>
        <v>0</v>
      </c>
      <c r="W32" s="514">
        <f t="shared" si="5"/>
        <v>0</v>
      </c>
      <c r="X32" s="705">
        <f t="shared" si="6"/>
        <v>0</v>
      </c>
      <c r="Y32" s="514">
        <f t="shared" si="7"/>
        <v>0</v>
      </c>
      <c r="Z32" s="514">
        <f t="shared" si="7"/>
        <v>0</v>
      </c>
      <c r="AA32" s="705">
        <f t="shared" si="8"/>
        <v>0</v>
      </c>
      <c r="AB32" s="580">
        <f t="shared" si="10"/>
        <v>0</v>
      </c>
      <c r="AD32" s="585"/>
    </row>
    <row r="33" spans="1:32" x14ac:dyDescent="0.3">
      <c r="A33" s="34"/>
      <c r="B33" s="34">
        <v>39</v>
      </c>
      <c r="C33" s="836"/>
      <c r="D33" s="837"/>
      <c r="E33" s="837"/>
      <c r="F33" s="838">
        <f t="shared" ref="F33:F39" si="12">SUM(C33:E33)</f>
        <v>0</v>
      </c>
      <c r="G33" s="841"/>
      <c r="H33" s="841"/>
      <c r="I33" s="839">
        <f t="shared" si="9"/>
        <v>0</v>
      </c>
      <c r="J33" s="737">
        <f t="shared" si="11"/>
        <v>0</v>
      </c>
      <c r="K33" s="532" t="str">
        <f>'2018 comm sample'!M33</f>
        <v>na</v>
      </c>
      <c r="L33" s="532" t="str">
        <f>'2018 comm sample'!N33</f>
        <v>na</v>
      </c>
      <c r="M33" s="532" t="str">
        <f>'2018 comm sample'!O33</f>
        <v>na</v>
      </c>
      <c r="N33" s="532" t="str">
        <f>'2018 comm sample'!P33</f>
        <v>na</v>
      </c>
      <c r="O33" s="533" t="str">
        <f>'2018 comm sample'!Q33</f>
        <v>na</v>
      </c>
      <c r="P33" s="558" t="str">
        <f>IF(C33&gt;0,'2018 comm sample'!C33/'2018 Comm catch'!C33,"na")</f>
        <v>na</v>
      </c>
      <c r="Q33" s="559" t="str">
        <f>IF(D33&gt;0,'2018 comm sample'!D33/'2018 Comm catch'!D33,"na")</f>
        <v>na</v>
      </c>
      <c r="R33" s="559" t="str">
        <f>IF(E33&gt;0,'2018 comm sample'!E33/'2018 Comm catch'!E33,"na")</f>
        <v>na</v>
      </c>
      <c r="S33" s="559" t="str">
        <f>IF(G33&gt;0,'2018 comm sample'!F33/'2018 Comm catch'!G33,"na")</f>
        <v>na</v>
      </c>
      <c r="T33" s="559" t="str">
        <f>IF(H33&gt;0,'2018 comm sample'!G33/'2018 Comm catch'!H33,"na")</f>
        <v>na</v>
      </c>
      <c r="U33" s="583">
        <f>IF(K33&lt;&gt;"na",C33*L33,0)</f>
        <v>0</v>
      </c>
      <c r="V33" s="584">
        <f t="shared" si="5"/>
        <v>0</v>
      </c>
      <c r="W33" s="514">
        <f t="shared" si="5"/>
        <v>0</v>
      </c>
      <c r="X33" s="706">
        <f t="shared" si="6"/>
        <v>0</v>
      </c>
      <c r="Y33" s="584">
        <f t="shared" si="7"/>
        <v>0</v>
      </c>
      <c r="Z33" s="584">
        <f t="shared" si="7"/>
        <v>0</v>
      </c>
      <c r="AA33" s="705">
        <f t="shared" si="8"/>
        <v>0</v>
      </c>
      <c r="AB33" s="580">
        <f t="shared" si="10"/>
        <v>0</v>
      </c>
      <c r="AC33" s="585"/>
      <c r="AD33" s="585"/>
      <c r="AE33" s="585"/>
      <c r="AF33" s="585"/>
    </row>
    <row r="34" spans="1:32" x14ac:dyDescent="0.3">
      <c r="A34" s="34"/>
      <c r="B34" s="34">
        <v>40</v>
      </c>
      <c r="C34" s="836"/>
      <c r="D34" s="837"/>
      <c r="E34" s="837"/>
      <c r="F34" s="838">
        <f>SUM(C34:E34)</f>
        <v>0</v>
      </c>
      <c r="G34" s="841"/>
      <c r="H34" s="841"/>
      <c r="I34" s="839">
        <f>SUM(G34:H34)</f>
        <v>0</v>
      </c>
      <c r="J34" s="515">
        <f>F34+I34</f>
        <v>0</v>
      </c>
      <c r="K34" s="532" t="str">
        <f>'2018 comm sample'!M34</f>
        <v>na</v>
      </c>
      <c r="L34" s="532" t="str">
        <f>'2018 comm sample'!N34</f>
        <v>na</v>
      </c>
      <c r="M34" s="532" t="str">
        <f>'2018 comm sample'!O34</f>
        <v>na</v>
      </c>
      <c r="N34" s="532" t="str">
        <f>'2018 comm sample'!P34</f>
        <v>na</v>
      </c>
      <c r="O34" s="533" t="str">
        <f>'2018 comm sample'!Q34</f>
        <v>na</v>
      </c>
      <c r="P34" s="558" t="str">
        <f>IF(C34&gt;0,'2018 comm sample'!C34/'2018 Comm catch'!C34,"na")</f>
        <v>na</v>
      </c>
      <c r="Q34" s="559" t="str">
        <f>IF(D34&gt;0,'2018 comm sample'!D34/'2018 Comm catch'!D34,"na")</f>
        <v>na</v>
      </c>
      <c r="R34" s="559" t="str">
        <f>IF(E34&gt;0,'2018 comm sample'!E34/'2018 Comm catch'!E34,"na")</f>
        <v>na</v>
      </c>
      <c r="S34" s="559" t="str">
        <f>IF(G34&gt;0,'2018 comm sample'!F34/'2018 Comm catch'!G34,"na")</f>
        <v>na</v>
      </c>
      <c r="T34" s="559" t="str">
        <f>IF(H34&gt;0,'2018 comm sample'!G34/'2018 Comm catch'!H34,"na")</f>
        <v>na</v>
      </c>
      <c r="U34" s="583">
        <f>IF(K34&lt;&gt;"na",C34*L34,0)</f>
        <v>0</v>
      </c>
      <c r="V34" s="514">
        <f>IF(L34&lt;&gt;"na",D34*L34,0)</f>
        <v>0</v>
      </c>
      <c r="W34" s="514">
        <f t="shared" si="5"/>
        <v>0</v>
      </c>
      <c r="X34" s="705">
        <f t="shared" si="6"/>
        <v>0</v>
      </c>
      <c r="Y34" s="584">
        <f t="shared" si="7"/>
        <v>0</v>
      </c>
      <c r="Z34" s="584">
        <f t="shared" si="7"/>
        <v>0</v>
      </c>
      <c r="AA34" s="705">
        <f t="shared" si="8"/>
        <v>0</v>
      </c>
      <c r="AB34" s="580">
        <f>X34+AA34</f>
        <v>0</v>
      </c>
      <c r="AC34" s="585"/>
      <c r="AD34" s="585"/>
      <c r="AE34" s="585"/>
      <c r="AF34" s="585"/>
    </row>
    <row r="35" spans="1:32" x14ac:dyDescent="0.3">
      <c r="A35" s="34"/>
      <c r="B35" s="34">
        <v>41</v>
      </c>
      <c r="C35" s="836"/>
      <c r="D35" s="837"/>
      <c r="E35" s="837"/>
      <c r="F35" s="838">
        <f t="shared" si="12"/>
        <v>0</v>
      </c>
      <c r="G35" s="842"/>
      <c r="H35" s="842"/>
      <c r="I35" s="839">
        <f t="shared" si="9"/>
        <v>0</v>
      </c>
      <c r="J35" s="515">
        <f t="shared" si="11"/>
        <v>0</v>
      </c>
      <c r="K35" s="532" t="str">
        <f>'2018 comm sample'!M35</f>
        <v>na</v>
      </c>
      <c r="L35" s="532" t="str">
        <f>'2018 comm sample'!N35</f>
        <v>na</v>
      </c>
      <c r="M35" s="532" t="str">
        <f>'2018 comm sample'!O35</f>
        <v>na</v>
      </c>
      <c r="N35" s="532" t="str">
        <f>'2018 comm sample'!P35</f>
        <v>na</v>
      </c>
      <c r="O35" s="533" t="str">
        <f>'2018 comm sample'!Q35</f>
        <v>na</v>
      </c>
      <c r="P35" s="558" t="str">
        <f>IF(C35&gt;0,'2018 comm sample'!C35/'2018 Comm catch'!C35,"na")</f>
        <v>na</v>
      </c>
      <c r="Q35" s="559" t="str">
        <f>IF(D35&gt;0,'2018 comm sample'!D35/'2018 Comm catch'!D35,"na")</f>
        <v>na</v>
      </c>
      <c r="R35" s="559" t="str">
        <f>IF(E35&gt;0,'2018 comm sample'!E35/'2018 Comm catch'!E35,"na")</f>
        <v>na</v>
      </c>
      <c r="S35" s="559" t="str">
        <f>IF(G35&gt;0,'2018 comm sample'!F35/'2018 Comm catch'!G35,"na")</f>
        <v>na</v>
      </c>
      <c r="T35" s="559" t="str">
        <f>IF(H35&gt;0,'2018 comm sample'!G35/'2018 Comm catch'!H35,"na")</f>
        <v>na</v>
      </c>
      <c r="U35" s="560">
        <f t="shared" si="5"/>
        <v>0</v>
      </c>
      <c r="V35" s="514">
        <f t="shared" si="5"/>
        <v>0</v>
      </c>
      <c r="W35" s="514">
        <f t="shared" si="5"/>
        <v>0</v>
      </c>
      <c r="X35" s="705">
        <f t="shared" si="6"/>
        <v>0</v>
      </c>
      <c r="Y35" s="514">
        <f t="shared" si="7"/>
        <v>0</v>
      </c>
      <c r="Z35" s="514">
        <f>IF(O35&lt;&gt;"na",H35*O35,0)</f>
        <v>0</v>
      </c>
      <c r="AA35" s="705">
        <f t="shared" si="8"/>
        <v>0</v>
      </c>
      <c r="AB35" s="580">
        <f t="shared" si="10"/>
        <v>0</v>
      </c>
      <c r="AC35" s="585"/>
      <c r="AD35" s="585"/>
      <c r="AE35" s="657"/>
    </row>
    <row r="36" spans="1:32" x14ac:dyDescent="0.3">
      <c r="A36" s="34"/>
      <c r="B36" s="34">
        <v>41</v>
      </c>
      <c r="C36" s="836"/>
      <c r="D36" s="837"/>
      <c r="E36" s="837"/>
      <c r="F36" s="838">
        <f t="shared" ref="F36" si="13">SUM(C36:E36)</f>
        <v>0</v>
      </c>
      <c r="G36" s="842"/>
      <c r="H36" s="842"/>
      <c r="I36" s="839">
        <f t="shared" si="9"/>
        <v>0</v>
      </c>
      <c r="J36" s="515">
        <f t="shared" si="11"/>
        <v>0</v>
      </c>
      <c r="K36" s="532" t="str">
        <f>'2018 comm sample'!M36</f>
        <v>na</v>
      </c>
      <c r="L36" s="532" t="str">
        <f>'2018 comm sample'!N36</f>
        <v>na</v>
      </c>
      <c r="M36" s="532" t="str">
        <f>'2018 comm sample'!O36</f>
        <v>na</v>
      </c>
      <c r="N36" s="532" t="str">
        <f>'2018 comm sample'!P36</f>
        <v>na</v>
      </c>
      <c r="O36" s="533" t="str">
        <f>'2018 comm sample'!Q36</f>
        <v>na</v>
      </c>
      <c r="P36" s="558" t="str">
        <f>IF(C36&gt;0,'2018 comm sample'!C36/'2018 Comm catch'!C36,"na")</f>
        <v>na</v>
      </c>
      <c r="Q36" s="559" t="str">
        <f>IF(D36&gt;0,'2018 comm sample'!D36/'2018 Comm catch'!D36,"na")</f>
        <v>na</v>
      </c>
      <c r="R36" s="559" t="str">
        <f>IF(E36&gt;0,'2018 comm sample'!E36/'2018 Comm catch'!E36,"na")</f>
        <v>na</v>
      </c>
      <c r="S36" s="559" t="str">
        <f>IF(G36&gt;0,'2018 comm sample'!F36/'2018 Comm catch'!G36,"na")</f>
        <v>na</v>
      </c>
      <c r="T36" s="559" t="str">
        <f>IF(H36&gt;0,'2018 comm sample'!G36/'2018 Comm catch'!H36,"na")</f>
        <v>na</v>
      </c>
      <c r="U36" s="560">
        <f t="shared" si="5"/>
        <v>0</v>
      </c>
      <c r="V36" s="514">
        <f t="shared" si="5"/>
        <v>0</v>
      </c>
      <c r="W36" s="514">
        <f t="shared" si="5"/>
        <v>0</v>
      </c>
      <c r="X36" s="705">
        <f t="shared" si="6"/>
        <v>0</v>
      </c>
      <c r="Y36" s="514">
        <f t="shared" si="7"/>
        <v>0</v>
      </c>
      <c r="Z36" s="514">
        <f>IF(O36&lt;&gt;"na",H36*O36,0)</f>
        <v>0</v>
      </c>
      <c r="AA36" s="705">
        <f t="shared" si="8"/>
        <v>0</v>
      </c>
      <c r="AB36" s="580">
        <f t="shared" si="10"/>
        <v>0</v>
      </c>
      <c r="AC36" s="585"/>
      <c r="AD36" s="585"/>
      <c r="AE36" s="657"/>
    </row>
    <row r="37" spans="1:32" x14ac:dyDescent="0.3">
      <c r="A37" s="34"/>
      <c r="B37" s="34">
        <v>42</v>
      </c>
      <c r="C37" s="836"/>
      <c r="D37" s="837"/>
      <c r="E37" s="837"/>
      <c r="F37" s="838">
        <f t="shared" si="12"/>
        <v>0</v>
      </c>
      <c r="G37" s="807"/>
      <c r="H37" s="807"/>
      <c r="I37" s="839">
        <f t="shared" si="9"/>
        <v>0</v>
      </c>
      <c r="J37" s="515">
        <f t="shared" si="11"/>
        <v>0</v>
      </c>
      <c r="K37" s="532" t="str">
        <f>'2018 comm sample'!M37</f>
        <v>na</v>
      </c>
      <c r="L37" s="532" t="str">
        <f>'2018 comm sample'!N37</f>
        <v>na</v>
      </c>
      <c r="M37" s="532" t="str">
        <f>'2018 comm sample'!O37</f>
        <v>na</v>
      </c>
      <c r="N37" s="532" t="str">
        <f>'2018 comm sample'!P37</f>
        <v>na</v>
      </c>
      <c r="O37" s="533" t="str">
        <f>'2018 comm sample'!Q37</f>
        <v>na</v>
      </c>
      <c r="P37" s="558" t="str">
        <f>IF(C37&gt;0,'2018 comm sample'!C37/'2018 Comm catch'!C37,"na")</f>
        <v>na</v>
      </c>
      <c r="Q37" s="559" t="str">
        <f>IF(D37&gt;0,'2018 comm sample'!D37/'2018 Comm catch'!D37,"na")</f>
        <v>na</v>
      </c>
      <c r="R37" s="559" t="str">
        <f>IF(E37&gt;0,'2018 comm sample'!E37/'2018 Comm catch'!E37,"na")</f>
        <v>na</v>
      </c>
      <c r="S37" s="559" t="str">
        <f>IF(G37&gt;0,'2018 comm sample'!F37/'2018 Comm catch'!G37,"na")</f>
        <v>na</v>
      </c>
      <c r="T37" s="559" t="str">
        <f>IF(H37&gt;0,'2018 comm sample'!G37/'2018 Comm catch'!H37,"na")</f>
        <v>na</v>
      </c>
      <c r="U37" s="560">
        <f t="shared" si="5"/>
        <v>0</v>
      </c>
      <c r="V37" s="514">
        <f t="shared" si="5"/>
        <v>0</v>
      </c>
      <c r="W37" s="514">
        <f t="shared" si="5"/>
        <v>0</v>
      </c>
      <c r="X37" s="705">
        <f t="shared" si="6"/>
        <v>0</v>
      </c>
      <c r="Y37" s="514">
        <f t="shared" si="7"/>
        <v>0</v>
      </c>
      <c r="Z37" s="514">
        <f t="shared" si="7"/>
        <v>0</v>
      </c>
      <c r="AA37" s="705">
        <f t="shared" si="8"/>
        <v>0</v>
      </c>
      <c r="AB37" s="580">
        <f t="shared" si="10"/>
        <v>0</v>
      </c>
      <c r="AC37" s="793"/>
      <c r="AD37" s="585"/>
    </row>
    <row r="38" spans="1:32" x14ac:dyDescent="0.3">
      <c r="A38" s="34"/>
      <c r="B38" s="34">
        <v>43</v>
      </c>
      <c r="C38" s="836"/>
      <c r="D38" s="837"/>
      <c r="E38" s="837"/>
      <c r="F38" s="838">
        <f t="shared" si="12"/>
        <v>0</v>
      </c>
      <c r="G38" s="807"/>
      <c r="H38" s="807"/>
      <c r="I38" s="839">
        <f t="shared" si="9"/>
        <v>0</v>
      </c>
      <c r="J38" s="515">
        <f t="shared" si="11"/>
        <v>0</v>
      </c>
      <c r="K38" s="532" t="str">
        <f>'2018 comm sample'!M38</f>
        <v>na</v>
      </c>
      <c r="L38" s="532" t="str">
        <f>'2018 comm sample'!N38</f>
        <v>na</v>
      </c>
      <c r="M38" s="532" t="str">
        <f>'2018 comm sample'!O38</f>
        <v>na</v>
      </c>
      <c r="N38" s="532" t="str">
        <f>'2018 comm sample'!P38</f>
        <v>na</v>
      </c>
      <c r="O38" s="532" t="str">
        <f>'2018 comm sample'!Q38</f>
        <v>na</v>
      </c>
      <c r="P38" s="558" t="str">
        <f>IF(C38&gt;0,'2018 comm sample'!C38/'2018 Comm catch'!C38,"na")</f>
        <v>na</v>
      </c>
      <c r="Q38" s="559" t="str">
        <f>IF(D38&gt;0,'2018 comm sample'!D38/'2018 Comm catch'!D38,"na")</f>
        <v>na</v>
      </c>
      <c r="R38" s="559" t="str">
        <f>IF(E38&gt;0,'2018 comm sample'!E38/'2018 Comm catch'!E38,"na")</f>
        <v>na</v>
      </c>
      <c r="S38" s="559" t="str">
        <f>IF(G38&gt;0,'2018 comm sample'!F38/'2018 Comm catch'!G38,"na")</f>
        <v>na</v>
      </c>
      <c r="T38" s="559" t="str">
        <f>IF(H38&gt;0,'2018 comm sample'!G38/'2018 Comm catch'!H38,"na")</f>
        <v>na</v>
      </c>
      <c r="U38" s="560">
        <f t="shared" si="5"/>
        <v>0</v>
      </c>
      <c r="V38" s="514">
        <f t="shared" si="5"/>
        <v>0</v>
      </c>
      <c r="W38" s="514">
        <f t="shared" si="5"/>
        <v>0</v>
      </c>
      <c r="X38" s="705">
        <f t="shared" si="6"/>
        <v>0</v>
      </c>
      <c r="Y38" s="514">
        <f t="shared" si="7"/>
        <v>0</v>
      </c>
      <c r="Z38" s="514">
        <f t="shared" si="7"/>
        <v>0</v>
      </c>
      <c r="AA38" s="705">
        <f t="shared" si="8"/>
        <v>0</v>
      </c>
      <c r="AB38" s="580">
        <f t="shared" si="10"/>
        <v>0</v>
      </c>
      <c r="AC38" s="793"/>
      <c r="AD38" s="585"/>
    </row>
    <row r="39" spans="1:32" x14ac:dyDescent="0.3">
      <c r="A39" s="34"/>
      <c r="B39" s="34">
        <v>44</v>
      </c>
      <c r="C39" s="836"/>
      <c r="D39" s="837"/>
      <c r="E39" s="837"/>
      <c r="F39" s="837">
        <f t="shared" si="12"/>
        <v>0</v>
      </c>
      <c r="G39" s="807"/>
      <c r="H39" s="807"/>
      <c r="I39" s="813">
        <f t="shared" si="9"/>
        <v>0</v>
      </c>
      <c r="J39" s="515">
        <f t="shared" si="11"/>
        <v>0</v>
      </c>
      <c r="K39" s="532" t="str">
        <f>'2018 comm sample'!M39</f>
        <v>na</v>
      </c>
      <c r="L39" s="532" t="str">
        <f>'2018 comm sample'!N39</f>
        <v>na</v>
      </c>
      <c r="M39" s="532" t="str">
        <f>'2018 comm sample'!O39</f>
        <v>na</v>
      </c>
      <c r="N39" s="532" t="str">
        <f>'2018 comm sample'!P39</f>
        <v>na</v>
      </c>
      <c r="O39" s="533" t="str">
        <f>'2018 comm sample'!Q39</f>
        <v>na</v>
      </c>
      <c r="P39" s="558" t="str">
        <f>IF(C39&gt;0,'2018 comm sample'!C39/'2018 Comm catch'!C39,"na")</f>
        <v>na</v>
      </c>
      <c r="Q39" s="559" t="str">
        <f>IF(D39&gt;0,'2018 comm sample'!D39/'2018 Comm catch'!D39,"na")</f>
        <v>na</v>
      </c>
      <c r="R39" s="559" t="str">
        <f>IF(E39&gt;0,'2018 comm sample'!E39/'2018 Comm catch'!E39,"na")</f>
        <v>na</v>
      </c>
      <c r="S39" s="559" t="str">
        <f>IF(G39&gt;0,'2018 comm sample'!F39/'2018 Comm catch'!G39,"na")</f>
        <v>na</v>
      </c>
      <c r="T39" s="559" t="str">
        <f>IF(H39&gt;0,'2018 comm sample'!G39/'2018 Comm catch'!H39,"na")</f>
        <v>na</v>
      </c>
      <c r="U39" s="560">
        <f t="shared" si="5"/>
        <v>0</v>
      </c>
      <c r="V39" s="514">
        <f t="shared" si="5"/>
        <v>0</v>
      </c>
      <c r="W39" s="514">
        <f t="shared" si="5"/>
        <v>0</v>
      </c>
      <c r="X39" s="705">
        <f t="shared" si="6"/>
        <v>0</v>
      </c>
      <c r="Y39" s="514">
        <f t="shared" si="7"/>
        <v>0</v>
      </c>
      <c r="Z39" s="514">
        <f t="shared" si="7"/>
        <v>0</v>
      </c>
      <c r="AA39" s="705">
        <f t="shared" si="8"/>
        <v>0</v>
      </c>
      <c r="AB39" s="580">
        <f t="shared" si="10"/>
        <v>0</v>
      </c>
      <c r="AC39" s="585"/>
      <c r="AD39" s="585"/>
    </row>
    <row r="40" spans="1:32" x14ac:dyDescent="0.3">
      <c r="B40" s="34">
        <v>45</v>
      </c>
      <c r="C40" s="843"/>
      <c r="D40" s="844"/>
      <c r="E40" s="844"/>
      <c r="F40" s="844"/>
      <c r="G40" s="845"/>
      <c r="H40" s="845"/>
      <c r="I40" s="844"/>
      <c r="J40" s="566">
        <f t="shared" si="11"/>
        <v>0</v>
      </c>
      <c r="K40" s="534" t="str">
        <f>'2018 comm sample'!M40</f>
        <v>na</v>
      </c>
      <c r="L40" s="534" t="str">
        <f>'2018 comm sample'!N40</f>
        <v>na</v>
      </c>
      <c r="M40" s="534" t="str">
        <f>'2018 comm sample'!O40</f>
        <v>na</v>
      </c>
      <c r="N40" s="534" t="str">
        <f>'2018 comm sample'!P40</f>
        <v>na</v>
      </c>
      <c r="O40" s="535" t="str">
        <f>'2018 comm sample'!Q40</f>
        <v>na</v>
      </c>
      <c r="P40" s="569" t="str">
        <f>IF(C40&gt;0,'2018 comm sample'!C40/'2018 Comm catch'!C40,"na")</f>
        <v>na</v>
      </c>
      <c r="Q40" s="570" t="str">
        <f>IF(D40&gt;0,'2018 comm sample'!D40/'2018 Comm catch'!D40,"na")</f>
        <v>na</v>
      </c>
      <c r="R40" s="570" t="str">
        <f>IF(E40&gt;0,'2018 comm sample'!E40/'2018 Comm catch'!E40,"na")</f>
        <v>na</v>
      </c>
      <c r="S40" s="570" t="str">
        <f>IF(G40&gt;0,'2018 comm sample'!F40/'2018 Comm catch'!G40,"na")</f>
        <v>na</v>
      </c>
      <c r="T40" s="559" t="str">
        <f>IF(H40&gt;0,'2018 comm sample'!G40/'2018 Comm catch'!H40,"na")</f>
        <v>na</v>
      </c>
      <c r="U40" s="588">
        <f t="shared" si="5"/>
        <v>0</v>
      </c>
      <c r="V40" s="589">
        <f t="shared" si="5"/>
        <v>0</v>
      </c>
      <c r="W40" s="589">
        <f t="shared" si="5"/>
        <v>0</v>
      </c>
      <c r="X40" s="707"/>
      <c r="Y40" s="589">
        <f t="shared" si="7"/>
        <v>0</v>
      </c>
      <c r="Z40" s="589">
        <f t="shared" si="7"/>
        <v>0</v>
      </c>
      <c r="AA40" s="707"/>
      <c r="AB40" s="590">
        <f t="shared" si="10"/>
        <v>0</v>
      </c>
    </row>
    <row r="41" spans="1:32" x14ac:dyDescent="0.3">
      <c r="B41" s="591" t="s">
        <v>184</v>
      </c>
      <c r="C41" s="846">
        <f>SUM(C26:C40)</f>
        <v>0</v>
      </c>
      <c r="D41" s="847">
        <f>SUM(D26:D40)</f>
        <v>0</v>
      </c>
      <c r="E41" s="847">
        <f>SUM(E26:E40)</f>
        <v>0</v>
      </c>
      <c r="F41" s="847"/>
      <c r="G41" s="847">
        <f>SUM(G26:G40)</f>
        <v>190</v>
      </c>
      <c r="H41" s="847">
        <f>SUM(H26:H40)</f>
        <v>190</v>
      </c>
      <c r="I41" s="847"/>
      <c r="J41" s="594">
        <f>SUM(C41:H41)</f>
        <v>380</v>
      </c>
      <c r="K41" s="595" t="str">
        <f>'2018 comm sample'!M41</f>
        <v>na</v>
      </c>
      <c r="L41" s="595" t="str">
        <f>'2018 comm sample'!N41</f>
        <v>na</v>
      </c>
      <c r="M41" s="595" t="str">
        <f>'2018 comm sample'!O41</f>
        <v>na</v>
      </c>
      <c r="N41" s="595">
        <f>'2018 comm sample'!P41</f>
        <v>0.72043010752688175</v>
      </c>
      <c r="O41" s="595">
        <f>'2018 comm sample'!Q41</f>
        <v>0.79069767441860461</v>
      </c>
      <c r="P41" s="596" t="str">
        <f>IF(C41&gt;0,'2018 comm sample'!C41/'2018 Comm catch'!C41,"na")</f>
        <v>na</v>
      </c>
      <c r="Q41" s="596" t="str">
        <f>IF(D41&gt;0,'2018 comm sample'!D41/'2018 Comm catch'!D41,"na")</f>
        <v>na</v>
      </c>
      <c r="R41" s="596" t="str">
        <f>IF(E41&gt;0,'2018 comm sample'!E41/'2018 Comm catch'!E41,"na")</f>
        <v>na</v>
      </c>
      <c r="S41" s="570">
        <f>IF(G41&gt;0,'2018 comm sample'!F41/'2018 Comm catch'!G41,"na")</f>
        <v>0.97894736842105268</v>
      </c>
      <c r="T41" s="559">
        <f>IF(H41&gt;0,'2018 comm sample'!G41/'2018 Comm catch'!H41,"na")</f>
        <v>0.22631578947368422</v>
      </c>
      <c r="U41" s="588">
        <f t="shared" ref="U41:AA41" si="14">SUM(U26:U40)</f>
        <v>0</v>
      </c>
      <c r="V41" s="589">
        <f t="shared" si="14"/>
        <v>0</v>
      </c>
      <c r="W41" s="589">
        <f t="shared" si="14"/>
        <v>0</v>
      </c>
      <c r="X41" s="589">
        <f t="shared" si="14"/>
        <v>0</v>
      </c>
      <c r="Y41" s="589">
        <f t="shared" si="14"/>
        <v>137.1488469601677</v>
      </c>
      <c r="Z41" s="589">
        <f t="shared" si="14"/>
        <v>150.06060606060606</v>
      </c>
      <c r="AA41" s="589">
        <f t="shared" si="14"/>
        <v>287.20945302077376</v>
      </c>
      <c r="AB41" s="590">
        <f t="shared" si="10"/>
        <v>287.20945302077376</v>
      </c>
    </row>
    <row r="42" spans="1:32" x14ac:dyDescent="0.3">
      <c r="B42" s="591"/>
      <c r="C42" s="597"/>
      <c r="D42" s="597"/>
      <c r="E42" s="597">
        <f>E41+D41+C41</f>
        <v>0</v>
      </c>
      <c r="F42" s="597"/>
      <c r="G42" s="597"/>
      <c r="J42" s="597"/>
      <c r="K42" s="597"/>
      <c r="L42" s="597"/>
      <c r="M42" s="597"/>
      <c r="N42" s="597"/>
      <c r="O42" s="598"/>
      <c r="P42" s="597"/>
      <c r="Q42" s="597"/>
      <c r="R42" s="597"/>
      <c r="S42" s="597"/>
      <c r="T42" s="599"/>
      <c r="U42" s="597"/>
      <c r="V42" s="597"/>
      <c r="W42" s="597"/>
      <c r="X42" s="597"/>
      <c r="Y42" s="597"/>
      <c r="Z42" s="33"/>
      <c r="AA42" s="33"/>
      <c r="AB42" s="597"/>
      <c r="AC42" s="647"/>
    </row>
  </sheetData>
  <mergeCells count="7">
    <mergeCell ref="C3:F3"/>
    <mergeCell ref="G3:J3"/>
    <mergeCell ref="K3:N3"/>
    <mergeCell ref="O3:R3"/>
    <mergeCell ref="C24:J24"/>
    <mergeCell ref="K24:O24"/>
    <mergeCell ref="P24:T24"/>
  </mergeCells>
  <conditionalFormatting sqref="K5:N5 K7:N19">
    <cfRule type="cellIs" dxfId="103" priority="33" operator="equal">
      <formula>"na"</formula>
    </cfRule>
    <cfRule type="cellIs" dxfId="102" priority="34" operator="greaterThan">
      <formula>1</formula>
    </cfRule>
    <cfRule type="cellIs" dxfId="101" priority="35" operator="lessThan">
      <formula>0.2</formula>
    </cfRule>
    <cfRule type="cellIs" dxfId="100" priority="40" stopIfTrue="1" operator="equal">
      <formula>0</formula>
    </cfRule>
  </conditionalFormatting>
  <conditionalFormatting sqref="P37:R40 P26:R35 T26">
    <cfRule type="cellIs" dxfId="99" priority="36" stopIfTrue="1" operator="equal">
      <formula>"na"</formula>
    </cfRule>
    <cfRule type="cellIs" dxfId="98" priority="37" operator="greaterThan">
      <formula>1</formula>
    </cfRule>
    <cfRule type="cellIs" dxfId="97" priority="38" operator="lessThan">
      <formula>0.2</formula>
    </cfRule>
    <cfRule type="cellIs" dxfId="96" priority="39" stopIfTrue="1" operator="equal">
      <formula>0</formula>
    </cfRule>
  </conditionalFormatting>
  <conditionalFormatting sqref="P36:R36">
    <cfRule type="cellIs" dxfId="95" priority="29" stopIfTrue="1" operator="equal">
      <formula>"na"</formula>
    </cfRule>
    <cfRule type="cellIs" dxfId="94" priority="30" operator="greaterThan">
      <formula>1</formula>
    </cfRule>
    <cfRule type="cellIs" dxfId="93" priority="31" operator="lessThan">
      <formula>0.2</formula>
    </cfRule>
    <cfRule type="cellIs" dxfId="92" priority="32" stopIfTrue="1" operator="equal">
      <formula>0</formula>
    </cfRule>
  </conditionalFormatting>
  <conditionalFormatting sqref="K6:N6">
    <cfRule type="cellIs" dxfId="91" priority="25" operator="equal">
      <formula>"na"</formula>
    </cfRule>
    <cfRule type="cellIs" dxfId="90" priority="26" operator="greaterThan">
      <formula>1</formula>
    </cfRule>
    <cfRule type="cellIs" dxfId="89" priority="27" operator="lessThan">
      <formula>0.2</formula>
    </cfRule>
    <cfRule type="cellIs" dxfId="88" priority="28" stopIfTrue="1" operator="equal">
      <formula>0</formula>
    </cfRule>
  </conditionalFormatting>
  <conditionalFormatting sqref="T41">
    <cfRule type="cellIs" dxfId="87" priority="1" stopIfTrue="1" operator="equal">
      <formula>"na"</formula>
    </cfRule>
    <cfRule type="cellIs" dxfId="86" priority="2" operator="greaterThan">
      <formula>1</formula>
    </cfRule>
    <cfRule type="cellIs" dxfId="85" priority="3" operator="lessThan">
      <formula>0.2</formula>
    </cfRule>
    <cfRule type="cellIs" dxfId="84" priority="4" stopIfTrue="1" operator="equal">
      <formula>0</formula>
    </cfRule>
  </conditionalFormatting>
  <conditionalFormatting sqref="S37:S40 S26:S35">
    <cfRule type="cellIs" dxfId="83" priority="17" stopIfTrue="1" operator="equal">
      <formula>"na"</formula>
    </cfRule>
    <cfRule type="cellIs" dxfId="82" priority="18" operator="greaterThan">
      <formula>1</formula>
    </cfRule>
    <cfRule type="cellIs" dxfId="81" priority="19" operator="lessThan">
      <formula>0.2</formula>
    </cfRule>
    <cfRule type="cellIs" dxfId="80" priority="20" stopIfTrue="1" operator="equal">
      <formula>0</formula>
    </cfRule>
  </conditionalFormatting>
  <conditionalFormatting sqref="S36">
    <cfRule type="cellIs" dxfId="79" priority="13" stopIfTrue="1" operator="equal">
      <formula>"na"</formula>
    </cfRule>
    <cfRule type="cellIs" dxfId="78" priority="14" operator="greaterThan">
      <formula>1</formula>
    </cfRule>
    <cfRule type="cellIs" dxfId="77" priority="15" operator="lessThan">
      <formula>0.2</formula>
    </cfRule>
    <cfRule type="cellIs" dxfId="76" priority="16" stopIfTrue="1" operator="equal">
      <formula>0</formula>
    </cfRule>
  </conditionalFormatting>
  <conditionalFormatting sqref="T27:T40">
    <cfRule type="cellIs" dxfId="75" priority="9" stopIfTrue="1" operator="equal">
      <formula>"na"</formula>
    </cfRule>
    <cfRule type="cellIs" dxfId="74" priority="10" operator="greaterThan">
      <formula>1</formula>
    </cfRule>
    <cfRule type="cellIs" dxfId="73" priority="11" operator="lessThan">
      <formula>0.2</formula>
    </cfRule>
    <cfRule type="cellIs" dxfId="72" priority="12" stopIfTrue="1" operator="equal">
      <formula>0</formula>
    </cfRule>
  </conditionalFormatting>
  <conditionalFormatting sqref="S41">
    <cfRule type="cellIs" dxfId="71" priority="5" stopIfTrue="1" operator="equal">
      <formula>"na"</formula>
    </cfRule>
    <cfRule type="cellIs" dxfId="70" priority="6" operator="greaterThan">
      <formula>1</formula>
    </cfRule>
    <cfRule type="cellIs" dxfId="69" priority="7" operator="lessThan">
      <formula>0.2</formula>
    </cfRule>
    <cfRule type="cellIs" dxfId="68" priority="8" stopIfTrue="1" operator="equal">
      <formula>0</formula>
    </cfRule>
  </conditionalFormatting>
  <pageMargins left="0.75" right="0.75" top="1" bottom="1" header="0.5" footer="0.5"/>
  <pageSetup scale="49" orientation="landscape" r:id="rId1"/>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41"/>
  <sheetViews>
    <sheetView zoomScale="110" zoomScaleNormal="110" workbookViewId="0">
      <pane xSplit="2" topLeftCell="C1" activePane="topRight" state="frozen"/>
      <selection activeCell="I30" sqref="I30"/>
      <selection pane="topRight" activeCell="I30" sqref="I30"/>
    </sheetView>
  </sheetViews>
  <sheetFormatPr defaultRowHeight="12.5" x14ac:dyDescent="0.25"/>
  <cols>
    <col min="1" max="1" width="20.7265625" bestFit="1" customWidth="1"/>
    <col min="2" max="2" width="5.81640625" bestFit="1" customWidth="1"/>
    <col min="3" max="3" width="11.1796875" bestFit="1" customWidth="1"/>
    <col min="4" max="4" width="9.453125" bestFit="1" customWidth="1"/>
    <col min="5" max="5" width="7.453125" bestFit="1" customWidth="1"/>
    <col min="6" max="6" width="7.1796875" bestFit="1" customWidth="1"/>
    <col min="7" max="7" width="11.1796875" bestFit="1" customWidth="1"/>
    <col min="8" max="8" width="9.453125" bestFit="1" customWidth="1"/>
    <col min="9" max="9" width="7.453125" bestFit="1" customWidth="1"/>
    <col min="10" max="10" width="7.1796875" bestFit="1" customWidth="1"/>
    <col min="11" max="11" width="11.1796875" bestFit="1" customWidth="1"/>
    <col min="12" max="12" width="9.453125" bestFit="1" customWidth="1"/>
    <col min="13" max="14" width="8.26953125" customWidth="1"/>
    <col min="15" max="15" width="7" bestFit="1" customWidth="1"/>
    <col min="16" max="17" width="8.26953125" bestFit="1" customWidth="1"/>
  </cols>
  <sheetData>
    <row r="2" spans="1:14" ht="13" x14ac:dyDescent="0.3">
      <c r="C2" s="34" t="s">
        <v>330</v>
      </c>
    </row>
    <row r="3" spans="1:14" x14ac:dyDescent="0.25">
      <c r="C3" s="900" t="s">
        <v>265</v>
      </c>
      <c r="D3" s="901"/>
      <c r="E3" s="901"/>
      <c r="F3" s="902"/>
      <c r="G3" s="900" t="s">
        <v>266</v>
      </c>
      <c r="H3" s="901"/>
      <c r="I3" s="901"/>
      <c r="J3" s="902"/>
      <c r="K3" s="900" t="s">
        <v>267</v>
      </c>
      <c r="L3" s="901"/>
      <c r="M3" s="901"/>
      <c r="N3" s="902"/>
    </row>
    <row r="4" spans="1:14" x14ac:dyDescent="0.25">
      <c r="B4" t="s">
        <v>134</v>
      </c>
      <c r="C4" s="274" t="s">
        <v>31</v>
      </c>
      <c r="D4" s="42" t="s">
        <v>62</v>
      </c>
      <c r="E4" s="42" t="s">
        <v>260</v>
      </c>
      <c r="F4" s="134" t="s">
        <v>203</v>
      </c>
      <c r="G4" s="274" t="s">
        <v>31</v>
      </c>
      <c r="H4" s="42" t="s">
        <v>62</v>
      </c>
      <c r="I4" s="42" t="s">
        <v>260</v>
      </c>
      <c r="J4" s="134" t="s">
        <v>203</v>
      </c>
      <c r="K4" s="274" t="s">
        <v>31</v>
      </c>
      <c r="L4" s="42" t="s">
        <v>62</v>
      </c>
      <c r="M4" s="42" t="s">
        <v>260</v>
      </c>
      <c r="N4" s="134" t="s">
        <v>203</v>
      </c>
    </row>
    <row r="5" spans="1:14" x14ac:dyDescent="0.25">
      <c r="B5">
        <v>32</v>
      </c>
      <c r="C5" s="711">
        <v>0</v>
      </c>
      <c r="D5" s="719"/>
      <c r="E5" s="719"/>
      <c r="F5" s="768"/>
      <c r="G5" s="711">
        <v>0</v>
      </c>
      <c r="H5" s="719"/>
      <c r="I5" s="719"/>
      <c r="J5" s="719"/>
      <c r="K5" s="521" t="str">
        <f t="shared" ref="K5:N18" si="0">IF(C5&gt;0,G5/C5,"na")</f>
        <v>na</v>
      </c>
      <c r="L5" s="522" t="str">
        <f t="shared" si="0"/>
        <v>na</v>
      </c>
      <c r="M5" s="522" t="str">
        <f t="shared" si="0"/>
        <v>na</v>
      </c>
      <c r="N5" s="523" t="str">
        <f t="shared" si="0"/>
        <v>na</v>
      </c>
    </row>
    <row r="6" spans="1:14" x14ac:dyDescent="0.25">
      <c r="B6">
        <v>33</v>
      </c>
      <c r="C6" s="711">
        <v>1</v>
      </c>
      <c r="D6" s="719"/>
      <c r="E6" s="719"/>
      <c r="F6" s="764"/>
      <c r="G6" s="711">
        <v>0</v>
      </c>
      <c r="H6" s="719"/>
      <c r="I6" s="719"/>
      <c r="J6" s="719"/>
      <c r="K6" s="524">
        <f t="shared" si="0"/>
        <v>0</v>
      </c>
      <c r="L6" s="525" t="str">
        <f t="shared" si="0"/>
        <v>na</v>
      </c>
      <c r="M6" s="525" t="str">
        <f t="shared" si="0"/>
        <v>na</v>
      </c>
      <c r="N6" s="526" t="str">
        <f t="shared" si="0"/>
        <v>na</v>
      </c>
    </row>
    <row r="7" spans="1:14" x14ac:dyDescent="0.25">
      <c r="B7">
        <v>34</v>
      </c>
      <c r="C7" s="711">
        <v>22</v>
      </c>
      <c r="D7" s="719"/>
      <c r="E7" s="719"/>
      <c r="F7" s="712">
        <v>2</v>
      </c>
      <c r="G7" s="711">
        <v>0</v>
      </c>
      <c r="H7" s="719"/>
      <c r="I7" s="719"/>
      <c r="J7" s="711">
        <v>1</v>
      </c>
      <c r="K7" s="524">
        <f t="shared" si="0"/>
        <v>0</v>
      </c>
      <c r="L7" s="525" t="str">
        <f t="shared" si="0"/>
        <v>na</v>
      </c>
      <c r="M7" s="525" t="str">
        <f t="shared" si="0"/>
        <v>na</v>
      </c>
      <c r="N7" s="526">
        <f t="shared" si="0"/>
        <v>0.5</v>
      </c>
    </row>
    <row r="8" spans="1:14" x14ac:dyDescent="0.25">
      <c r="B8">
        <v>35</v>
      </c>
      <c r="C8" s="711">
        <v>46</v>
      </c>
      <c r="D8" s="711">
        <v>67</v>
      </c>
      <c r="E8" s="711">
        <v>0</v>
      </c>
      <c r="F8" s="712">
        <v>11</v>
      </c>
      <c r="G8" s="711">
        <v>2</v>
      </c>
      <c r="H8" s="711">
        <v>10</v>
      </c>
      <c r="I8" s="711">
        <v>0</v>
      </c>
      <c r="J8" s="711">
        <v>2</v>
      </c>
      <c r="K8" s="524">
        <f t="shared" si="0"/>
        <v>4.3478260869565216E-2</v>
      </c>
      <c r="L8" s="525">
        <f t="shared" si="0"/>
        <v>0.14925373134328357</v>
      </c>
      <c r="M8" s="525" t="str">
        <f t="shared" si="0"/>
        <v>na</v>
      </c>
      <c r="N8" s="526">
        <f t="shared" si="0"/>
        <v>0.18181818181818182</v>
      </c>
    </row>
    <row r="9" spans="1:14" x14ac:dyDescent="0.25">
      <c r="B9">
        <v>36</v>
      </c>
      <c r="C9" s="711">
        <v>960</v>
      </c>
      <c r="D9" s="711">
        <v>593</v>
      </c>
      <c r="E9" s="711">
        <v>42</v>
      </c>
      <c r="F9" s="712">
        <v>55</v>
      </c>
      <c r="G9" s="711">
        <v>19</v>
      </c>
      <c r="H9" s="711">
        <v>68</v>
      </c>
      <c r="I9" s="711">
        <v>0</v>
      </c>
      <c r="J9" s="711">
        <v>2</v>
      </c>
      <c r="K9" s="524">
        <f t="shared" si="0"/>
        <v>1.9791666666666666E-2</v>
      </c>
      <c r="L9" s="525">
        <f t="shared" si="0"/>
        <v>0.11467116357504216</v>
      </c>
      <c r="M9" s="525">
        <f t="shared" si="0"/>
        <v>0</v>
      </c>
      <c r="N9" s="526">
        <f t="shared" si="0"/>
        <v>3.6363636363636362E-2</v>
      </c>
    </row>
    <row r="10" spans="1:14" x14ac:dyDescent="0.25">
      <c r="B10">
        <v>37</v>
      </c>
      <c r="C10" s="711">
        <v>887</v>
      </c>
      <c r="D10" s="711">
        <v>1477</v>
      </c>
      <c r="E10" s="711">
        <v>147</v>
      </c>
      <c r="F10" s="712">
        <v>679</v>
      </c>
      <c r="G10" s="711">
        <v>28</v>
      </c>
      <c r="H10" s="711">
        <v>34</v>
      </c>
      <c r="I10" s="711">
        <v>5</v>
      </c>
      <c r="J10" s="711">
        <v>26</v>
      </c>
      <c r="K10" s="524">
        <f t="shared" si="0"/>
        <v>3.1567080045095827E-2</v>
      </c>
      <c r="L10" s="525">
        <f t="shared" si="0"/>
        <v>2.3019634394041977E-2</v>
      </c>
      <c r="M10" s="525">
        <f t="shared" si="0"/>
        <v>3.4013605442176874E-2</v>
      </c>
      <c r="N10" s="526">
        <f t="shared" si="0"/>
        <v>3.8291605301914583E-2</v>
      </c>
    </row>
    <row r="11" spans="1:14" x14ac:dyDescent="0.25">
      <c r="B11">
        <v>38</v>
      </c>
      <c r="C11" s="711">
        <v>1706</v>
      </c>
      <c r="D11" s="711">
        <v>1415</v>
      </c>
      <c r="E11" s="711">
        <v>251</v>
      </c>
      <c r="F11" s="712">
        <v>2093</v>
      </c>
      <c r="G11" s="711">
        <v>40</v>
      </c>
      <c r="H11" s="711">
        <v>43</v>
      </c>
      <c r="I11" s="711">
        <v>22</v>
      </c>
      <c r="J11" s="711">
        <v>49</v>
      </c>
      <c r="K11" s="524">
        <f t="shared" si="0"/>
        <v>2.3446658851113716E-2</v>
      </c>
      <c r="L11" s="525">
        <f t="shared" si="0"/>
        <v>3.03886925795053E-2</v>
      </c>
      <c r="M11" s="525">
        <f t="shared" si="0"/>
        <v>8.7649402390438252E-2</v>
      </c>
      <c r="N11" s="526">
        <f t="shared" si="0"/>
        <v>2.3411371237458192E-2</v>
      </c>
    </row>
    <row r="12" spans="1:14" x14ac:dyDescent="0.25">
      <c r="B12">
        <v>39</v>
      </c>
      <c r="C12" s="711">
        <v>558</v>
      </c>
      <c r="D12" s="711">
        <v>314</v>
      </c>
      <c r="E12" s="711">
        <v>291</v>
      </c>
      <c r="F12" s="712">
        <v>862</v>
      </c>
      <c r="G12" s="711">
        <v>10</v>
      </c>
      <c r="H12" s="711">
        <v>9</v>
      </c>
      <c r="I12" s="711">
        <v>19</v>
      </c>
      <c r="J12" s="711">
        <v>34</v>
      </c>
      <c r="K12" s="524">
        <f t="shared" si="0"/>
        <v>1.7921146953405017E-2</v>
      </c>
      <c r="L12" s="525">
        <f t="shared" si="0"/>
        <v>2.8662420382165606E-2</v>
      </c>
      <c r="M12" s="525">
        <f t="shared" si="0"/>
        <v>6.5292096219931275E-2</v>
      </c>
      <c r="N12" s="526">
        <f t="shared" si="0"/>
        <v>3.9443155452436193E-2</v>
      </c>
    </row>
    <row r="13" spans="1:14" x14ac:dyDescent="0.25">
      <c r="B13">
        <v>40</v>
      </c>
      <c r="C13" s="711">
        <v>87</v>
      </c>
      <c r="D13" s="711">
        <v>409</v>
      </c>
      <c r="E13" s="711">
        <v>56</v>
      </c>
      <c r="F13" s="712">
        <v>539</v>
      </c>
      <c r="G13" s="711">
        <v>1</v>
      </c>
      <c r="H13" s="711">
        <v>13</v>
      </c>
      <c r="I13" s="711">
        <v>5</v>
      </c>
      <c r="J13" s="711">
        <v>25</v>
      </c>
      <c r="K13" s="524">
        <f t="shared" si="0"/>
        <v>1.1494252873563218E-2</v>
      </c>
      <c r="L13" s="525">
        <f t="shared" si="0"/>
        <v>3.1784841075794622E-2</v>
      </c>
      <c r="M13" s="525">
        <f t="shared" si="0"/>
        <v>8.9285714285714288E-2</v>
      </c>
      <c r="N13" s="526">
        <f t="shared" si="0"/>
        <v>4.6382189239332093E-2</v>
      </c>
    </row>
    <row r="14" spans="1:14" x14ac:dyDescent="0.25">
      <c r="A14" s="11"/>
      <c r="B14">
        <v>41</v>
      </c>
      <c r="C14" s="711">
        <v>234</v>
      </c>
      <c r="D14" s="711">
        <v>73</v>
      </c>
      <c r="E14" s="711">
        <v>55</v>
      </c>
      <c r="F14" s="712">
        <v>182</v>
      </c>
      <c r="G14" s="711">
        <v>11</v>
      </c>
      <c r="H14" s="711">
        <v>2</v>
      </c>
      <c r="I14" s="711">
        <v>3</v>
      </c>
      <c r="J14" s="711">
        <v>8</v>
      </c>
      <c r="K14" s="524">
        <f t="shared" si="0"/>
        <v>4.7008547008547008E-2</v>
      </c>
      <c r="L14" s="525">
        <f t="shared" si="0"/>
        <v>2.7397260273972601E-2</v>
      </c>
      <c r="M14" s="525">
        <f t="shared" si="0"/>
        <v>5.4545454545454543E-2</v>
      </c>
      <c r="N14" s="526">
        <f t="shared" si="0"/>
        <v>4.3956043956043959E-2</v>
      </c>
    </row>
    <row r="15" spans="1:14" x14ac:dyDescent="0.25">
      <c r="B15">
        <v>42</v>
      </c>
      <c r="C15" s="711">
        <v>85</v>
      </c>
      <c r="D15" s="711">
        <v>233</v>
      </c>
      <c r="E15" s="711">
        <v>50</v>
      </c>
      <c r="F15" s="764"/>
      <c r="G15" s="711">
        <v>2</v>
      </c>
      <c r="H15" s="711">
        <v>11</v>
      </c>
      <c r="I15" s="711">
        <v>2</v>
      </c>
      <c r="J15" s="719"/>
      <c r="K15" s="524">
        <f t="shared" si="0"/>
        <v>2.3529411764705882E-2</v>
      </c>
      <c r="L15" s="525">
        <f t="shared" si="0"/>
        <v>4.7210300429184553E-2</v>
      </c>
      <c r="M15" s="525">
        <f t="shared" si="0"/>
        <v>0.04</v>
      </c>
      <c r="N15" s="526" t="str">
        <f t="shared" si="0"/>
        <v>na</v>
      </c>
    </row>
    <row r="16" spans="1:14" x14ac:dyDescent="0.25">
      <c r="B16">
        <v>43</v>
      </c>
      <c r="C16" s="711">
        <v>65</v>
      </c>
      <c r="D16" s="711">
        <v>8</v>
      </c>
      <c r="E16" s="711">
        <v>0</v>
      </c>
      <c r="F16" s="764"/>
      <c r="G16" s="711">
        <v>2</v>
      </c>
      <c r="H16" s="711">
        <v>3</v>
      </c>
      <c r="I16" s="711">
        <v>0</v>
      </c>
      <c r="J16" s="719"/>
      <c r="K16" s="524">
        <f t="shared" si="0"/>
        <v>3.0769230769230771E-2</v>
      </c>
      <c r="L16" s="525">
        <f t="shared" si="0"/>
        <v>0.375</v>
      </c>
      <c r="M16" s="525" t="str">
        <f t="shared" si="0"/>
        <v>na</v>
      </c>
      <c r="N16" s="526" t="str">
        <f t="shared" si="0"/>
        <v>na</v>
      </c>
    </row>
    <row r="17" spans="1:19" x14ac:dyDescent="0.25">
      <c r="B17">
        <v>44</v>
      </c>
      <c r="C17" s="743">
        <v>0</v>
      </c>
      <c r="D17" s="763"/>
      <c r="E17" s="763"/>
      <c r="F17" s="764"/>
      <c r="G17" s="713">
        <v>0</v>
      </c>
      <c r="H17" s="763"/>
      <c r="I17" s="763"/>
      <c r="J17" s="763"/>
      <c r="K17" s="524" t="str">
        <f>IF(C17&gt;0,G17/C17,"na")</f>
        <v>na</v>
      </c>
      <c r="L17" s="525" t="str">
        <f>IF(D17&gt;0,H17/D17,"na")</f>
        <v>na</v>
      </c>
      <c r="M17" s="525" t="str">
        <f>IF(E17&gt;0,I17/E17,"na")</f>
        <v>na</v>
      </c>
      <c r="N17" s="526" t="str">
        <f>IF(F17&gt;0,J17/F17,"na")</f>
        <v>na</v>
      </c>
    </row>
    <row r="18" spans="1:19" x14ac:dyDescent="0.25">
      <c r="B18">
        <v>45</v>
      </c>
      <c r="C18" s="769"/>
      <c r="D18" s="766"/>
      <c r="E18" s="766"/>
      <c r="F18" s="767"/>
      <c r="G18" s="763"/>
      <c r="H18" s="763"/>
      <c r="I18" s="763"/>
      <c r="J18" s="763"/>
      <c r="K18" s="412" t="str">
        <f t="shared" si="0"/>
        <v>na</v>
      </c>
      <c r="L18" s="229" t="str">
        <f t="shared" si="0"/>
        <v>na</v>
      </c>
      <c r="M18" s="229" t="str">
        <f t="shared" si="0"/>
        <v>na</v>
      </c>
      <c r="N18" s="413" t="str">
        <f t="shared" si="0"/>
        <v>na</v>
      </c>
    </row>
    <row r="19" spans="1:19" x14ac:dyDescent="0.25">
      <c r="B19" t="s">
        <v>184</v>
      </c>
      <c r="C19" s="274">
        <f t="shared" ref="C19:J19" si="1">SUM(C5:C18)</f>
        <v>4651</v>
      </c>
      <c r="D19" s="42">
        <f t="shared" si="1"/>
        <v>4589</v>
      </c>
      <c r="E19" s="42">
        <f t="shared" si="1"/>
        <v>892</v>
      </c>
      <c r="F19" s="42">
        <f t="shared" si="1"/>
        <v>4423</v>
      </c>
      <c r="G19" s="329">
        <f t="shared" si="1"/>
        <v>115</v>
      </c>
      <c r="H19" s="195">
        <f t="shared" si="1"/>
        <v>193</v>
      </c>
      <c r="I19" s="195">
        <f t="shared" si="1"/>
        <v>56</v>
      </c>
      <c r="J19" s="403">
        <f t="shared" si="1"/>
        <v>147</v>
      </c>
      <c r="K19" s="527">
        <f>IF(C19&gt;0,G19/C19,"na")</f>
        <v>2.4725865405289184E-2</v>
      </c>
      <c r="L19" s="528">
        <f>IF(D19&gt;0,H19/D19,"na")</f>
        <v>4.2057093048594466E-2</v>
      </c>
      <c r="M19" s="528">
        <f>IF(E19&gt;0,I19/E19,"na")</f>
        <v>6.2780269058295965E-2</v>
      </c>
      <c r="N19" s="529">
        <f>IF(F19&gt;0,J19/F19,"na")</f>
        <v>3.3235360614967215E-2</v>
      </c>
    </row>
    <row r="20" spans="1:19" x14ac:dyDescent="0.25">
      <c r="F20">
        <f>SUM(C19:F19)</f>
        <v>14555</v>
      </c>
      <c r="J20">
        <f>SUM(G19:J19)</f>
        <v>511</v>
      </c>
      <c r="N20" s="530">
        <f>J20/F20</f>
        <v>3.510821023703195E-2</v>
      </c>
    </row>
    <row r="22" spans="1:19" ht="13" x14ac:dyDescent="0.3">
      <c r="C22" s="2" t="s">
        <v>123</v>
      </c>
    </row>
    <row r="23" spans="1:19" x14ac:dyDescent="0.25">
      <c r="C23" s="900" t="s">
        <v>268</v>
      </c>
      <c r="D23" s="901"/>
      <c r="E23" s="901"/>
      <c r="F23" s="901"/>
      <c r="G23" s="902"/>
      <c r="H23" s="900" t="s">
        <v>269</v>
      </c>
      <c r="I23" s="901"/>
      <c r="J23" s="901"/>
      <c r="K23" s="901"/>
      <c r="L23" s="902"/>
      <c r="M23" s="900" t="s">
        <v>56</v>
      </c>
      <c r="N23" s="901"/>
      <c r="O23" s="901"/>
      <c r="P23" s="901"/>
      <c r="Q23" s="902"/>
      <c r="R23" s="417"/>
    </row>
    <row r="24" spans="1:19" x14ac:dyDescent="0.25">
      <c r="B24" t="s">
        <v>134</v>
      </c>
      <c r="C24" s="274">
        <v>1</v>
      </c>
      <c r="D24" s="42">
        <v>2</v>
      </c>
      <c r="E24" s="42">
        <v>3</v>
      </c>
      <c r="F24" s="42">
        <v>4</v>
      </c>
      <c r="G24" s="134">
        <v>5</v>
      </c>
      <c r="H24" s="274">
        <v>1</v>
      </c>
      <c r="I24" s="42">
        <v>2</v>
      </c>
      <c r="J24" s="42">
        <v>3</v>
      </c>
      <c r="K24" s="42">
        <v>4</v>
      </c>
      <c r="L24" s="134">
        <v>5</v>
      </c>
      <c r="M24" s="274">
        <v>1</v>
      </c>
      <c r="N24" s="42">
        <v>2</v>
      </c>
      <c r="O24" s="42">
        <v>3</v>
      </c>
      <c r="P24" s="42">
        <v>4</v>
      </c>
      <c r="Q24" s="134">
        <v>5</v>
      </c>
      <c r="R24" s="44" t="s">
        <v>282</v>
      </c>
      <c r="S24" t="s">
        <v>283</v>
      </c>
    </row>
    <row r="25" spans="1:19" ht="13" x14ac:dyDescent="0.3">
      <c r="A25" s="34">
        <f>'2017 Comm catch'!A25</f>
        <v>0</v>
      </c>
      <c r="B25">
        <v>32</v>
      </c>
      <c r="C25" s="765"/>
      <c r="D25" s="765"/>
      <c r="E25" s="765"/>
      <c r="F25" s="765"/>
      <c r="G25" s="768"/>
      <c r="H25" s="719"/>
      <c r="I25" s="719"/>
      <c r="J25" s="719"/>
      <c r="K25" s="719"/>
      <c r="L25" s="768"/>
      <c r="M25" s="3" t="str">
        <f t="shared" ref="M25:Q38" si="2">IF(C25&gt;0,H25/C25,"na")</f>
        <v>na</v>
      </c>
      <c r="N25" s="3" t="str">
        <f t="shared" si="2"/>
        <v>na</v>
      </c>
      <c r="O25" s="3" t="str">
        <f t="shared" si="2"/>
        <v>na</v>
      </c>
      <c r="P25" s="3" t="str">
        <f t="shared" si="2"/>
        <v>na</v>
      </c>
      <c r="Q25" s="407" t="str">
        <f t="shared" si="2"/>
        <v>na</v>
      </c>
      <c r="R25" s="525"/>
    </row>
    <row r="26" spans="1:19" ht="13" x14ac:dyDescent="0.3">
      <c r="A26" s="34">
        <f>'2017 Comm catch'!A26</f>
        <v>0</v>
      </c>
      <c r="B26">
        <v>33</v>
      </c>
      <c r="C26" s="763"/>
      <c r="D26" s="763"/>
      <c r="E26" s="763"/>
      <c r="F26" s="763"/>
      <c r="G26" s="764"/>
      <c r="H26" s="719"/>
      <c r="I26" s="719"/>
      <c r="J26" s="719"/>
      <c r="K26" s="719"/>
      <c r="L26" s="764"/>
      <c r="M26" s="3" t="str">
        <f t="shared" si="2"/>
        <v>na</v>
      </c>
      <c r="N26" s="3" t="str">
        <f t="shared" si="2"/>
        <v>na</v>
      </c>
      <c r="O26" s="3" t="str">
        <f t="shared" si="2"/>
        <v>na</v>
      </c>
      <c r="P26" s="3" t="str">
        <f t="shared" si="2"/>
        <v>na</v>
      </c>
      <c r="Q26" s="409" t="str">
        <f t="shared" si="2"/>
        <v>na</v>
      </c>
      <c r="R26" s="525"/>
    </row>
    <row r="27" spans="1:19" ht="13" x14ac:dyDescent="0.3">
      <c r="A27" s="34" t="str">
        <f>'2017 Comm catch'!A27</f>
        <v>9-inch</v>
      </c>
      <c r="B27">
        <v>34</v>
      </c>
      <c r="C27" s="763"/>
      <c r="D27" s="763"/>
      <c r="E27" s="763"/>
      <c r="F27" s="713">
        <v>12</v>
      </c>
      <c r="G27" s="712">
        <v>13</v>
      </c>
      <c r="H27" s="719"/>
      <c r="I27" s="719"/>
      <c r="J27" s="719"/>
      <c r="K27" s="711">
        <v>8</v>
      </c>
      <c r="L27" s="712">
        <v>11</v>
      </c>
      <c r="M27" s="3" t="str">
        <f t="shared" si="2"/>
        <v>na</v>
      </c>
      <c r="N27" s="3" t="str">
        <f t="shared" si="2"/>
        <v>na</v>
      </c>
      <c r="O27" s="3" t="str">
        <f t="shared" si="2"/>
        <v>na</v>
      </c>
      <c r="P27" s="3">
        <f t="shared" si="2"/>
        <v>0.66666666666666663</v>
      </c>
      <c r="Q27" s="409">
        <f t="shared" si="2"/>
        <v>0.84615384615384615</v>
      </c>
      <c r="R27" s="525"/>
    </row>
    <row r="28" spans="1:19" ht="13" x14ac:dyDescent="0.3">
      <c r="A28" s="34" t="str">
        <f>'2017 Comm catch'!A28</f>
        <v>9-inch</v>
      </c>
      <c r="B28">
        <v>35</v>
      </c>
      <c r="C28" s="763"/>
      <c r="D28" s="763"/>
      <c r="E28" s="763"/>
      <c r="F28" s="713">
        <v>44</v>
      </c>
      <c r="G28" s="712">
        <v>30</v>
      </c>
      <c r="H28" s="719"/>
      <c r="I28" s="719"/>
      <c r="J28" s="719"/>
      <c r="K28" s="711">
        <v>36</v>
      </c>
      <c r="L28" s="712">
        <v>22</v>
      </c>
      <c r="M28" s="3" t="str">
        <f t="shared" si="2"/>
        <v>na</v>
      </c>
      <c r="N28" s="3" t="str">
        <f t="shared" si="2"/>
        <v>na</v>
      </c>
      <c r="O28" s="3" t="str">
        <f t="shared" si="2"/>
        <v>na</v>
      </c>
      <c r="P28" s="3">
        <f t="shared" si="2"/>
        <v>0.81818181818181823</v>
      </c>
      <c r="Q28" s="409">
        <f t="shared" si="2"/>
        <v>0.73333333333333328</v>
      </c>
      <c r="R28" s="525"/>
      <c r="S28" s="656">
        <f t="shared" ref="S28:S31" si="3">SUM(K28:L28)/SUM(F28:G28)</f>
        <v>0.78378378378378377</v>
      </c>
    </row>
    <row r="29" spans="1:19" ht="13" x14ac:dyDescent="0.3">
      <c r="A29" s="34">
        <f>'2017 Comm catch'!A29</f>
        <v>0</v>
      </c>
      <c r="B29">
        <v>36</v>
      </c>
      <c r="C29" s="763"/>
      <c r="D29" s="763"/>
      <c r="E29" s="763"/>
      <c r="F29" s="763"/>
      <c r="G29" s="764"/>
      <c r="H29" s="719"/>
      <c r="I29" s="719"/>
      <c r="J29" s="719"/>
      <c r="K29" s="719"/>
      <c r="L29" s="764"/>
      <c r="M29" s="3" t="str">
        <f t="shared" si="2"/>
        <v>na</v>
      </c>
      <c r="N29" s="3" t="str">
        <f t="shared" si="2"/>
        <v>na</v>
      </c>
      <c r="O29" s="3" t="str">
        <f t="shared" si="2"/>
        <v>na</v>
      </c>
      <c r="P29" s="3" t="str">
        <f t="shared" si="2"/>
        <v>na</v>
      </c>
      <c r="Q29" s="409" t="str">
        <f t="shared" si="2"/>
        <v>na</v>
      </c>
      <c r="R29" s="525"/>
      <c r="S29" s="656"/>
    </row>
    <row r="30" spans="1:19" ht="13" x14ac:dyDescent="0.3">
      <c r="A30" s="34">
        <f>'2017 Comm catch'!A30</f>
        <v>0</v>
      </c>
      <c r="B30">
        <v>37</v>
      </c>
      <c r="C30" s="763"/>
      <c r="D30" s="763"/>
      <c r="E30" s="763"/>
      <c r="F30" s="763"/>
      <c r="G30" s="764"/>
      <c r="H30" s="719"/>
      <c r="I30" s="719"/>
      <c r="J30" s="719"/>
      <c r="K30" s="719"/>
      <c r="L30" s="764"/>
      <c r="M30" s="3" t="str">
        <f t="shared" si="2"/>
        <v>na</v>
      </c>
      <c r="N30" s="3" t="str">
        <f t="shared" si="2"/>
        <v>na</v>
      </c>
      <c r="O30" s="3" t="str">
        <f t="shared" si="2"/>
        <v>na</v>
      </c>
      <c r="P30" s="3" t="str">
        <f t="shared" si="2"/>
        <v>na</v>
      </c>
      <c r="Q30" s="409" t="str">
        <f t="shared" si="2"/>
        <v>na</v>
      </c>
      <c r="R30" s="525"/>
    </row>
    <row r="31" spans="1:19" ht="13" x14ac:dyDescent="0.3">
      <c r="A31" s="34" t="str">
        <f>'2017 Comm catch'!A31</f>
        <v>9-inch</v>
      </c>
      <c r="B31">
        <v>38</v>
      </c>
      <c r="C31" s="763"/>
      <c r="D31" s="763"/>
      <c r="E31" s="763"/>
      <c r="F31" s="713">
        <v>128</v>
      </c>
      <c r="G31" s="712">
        <v>32</v>
      </c>
      <c r="H31" s="719"/>
      <c r="I31" s="719"/>
      <c r="J31" s="719"/>
      <c r="K31" s="711">
        <v>89</v>
      </c>
      <c r="L31" s="712">
        <v>19</v>
      </c>
      <c r="M31" s="3" t="str">
        <f t="shared" si="2"/>
        <v>na</v>
      </c>
      <c r="N31" s="3" t="str">
        <f t="shared" si="2"/>
        <v>na</v>
      </c>
      <c r="O31" s="3" t="str">
        <f t="shared" si="2"/>
        <v>na</v>
      </c>
      <c r="P31" s="3">
        <f t="shared" si="2"/>
        <v>0.6953125</v>
      </c>
      <c r="Q31" s="409">
        <f t="shared" si="2"/>
        <v>0.59375</v>
      </c>
      <c r="R31" s="525"/>
      <c r="S31" s="656">
        <f t="shared" si="3"/>
        <v>0.67500000000000004</v>
      </c>
    </row>
    <row r="32" spans="1:19" ht="13" x14ac:dyDescent="0.3">
      <c r="A32" s="34">
        <f>'2017 Comm catch'!A32</f>
        <v>0</v>
      </c>
      <c r="B32">
        <v>39</v>
      </c>
      <c r="C32" s="763"/>
      <c r="D32" s="763"/>
      <c r="E32" s="763"/>
      <c r="F32" s="763"/>
      <c r="G32" s="763"/>
      <c r="H32" s="775"/>
      <c r="I32" s="719"/>
      <c r="J32" s="719"/>
      <c r="K32" s="719"/>
      <c r="L32" s="764"/>
      <c r="M32" s="3" t="str">
        <f t="shared" si="2"/>
        <v>na</v>
      </c>
      <c r="N32" s="3" t="str">
        <f t="shared" si="2"/>
        <v>na</v>
      </c>
      <c r="O32" s="3" t="str">
        <f t="shared" si="2"/>
        <v>na</v>
      </c>
      <c r="P32" s="3" t="str">
        <f t="shared" si="2"/>
        <v>na</v>
      </c>
      <c r="Q32" s="409" t="str">
        <f t="shared" si="2"/>
        <v>na</v>
      </c>
      <c r="R32" s="525"/>
      <c r="S32" s="656"/>
    </row>
    <row r="33" spans="1:19" ht="13" x14ac:dyDescent="0.3">
      <c r="A33" s="34">
        <f>'2017 Comm catch'!A33</f>
        <v>0</v>
      </c>
      <c r="B33">
        <v>40</v>
      </c>
      <c r="C33" s="763"/>
      <c r="D33" s="763"/>
      <c r="E33" s="763"/>
      <c r="F33" s="763"/>
      <c r="G33" s="764"/>
      <c r="H33" s="719"/>
      <c r="I33" s="719"/>
      <c r="J33" s="719"/>
      <c r="K33" s="719"/>
      <c r="L33" s="764"/>
      <c r="M33" s="3" t="str">
        <f>IF(C33&gt;0,H33/C33,"na")</f>
        <v>na</v>
      </c>
      <c r="N33" s="3" t="str">
        <f>IF(D33&gt;0,I33/D33,"na")</f>
        <v>na</v>
      </c>
      <c r="O33" s="3" t="str">
        <f>IF(E33&gt;0,J33/E33,"na")</f>
        <v>na</v>
      </c>
      <c r="P33" s="3" t="str">
        <f>IF(F33&gt;0,K33/F33,"na")</f>
        <v>na</v>
      </c>
      <c r="Q33" s="409" t="str">
        <f>IF(G33&gt;0,L33/G33,"na")</f>
        <v>na</v>
      </c>
      <c r="R33" s="525"/>
      <c r="S33" s="656"/>
    </row>
    <row r="34" spans="1:19" ht="13" x14ac:dyDescent="0.3">
      <c r="A34" s="34">
        <f>'2017 Comm catch'!A34</f>
        <v>0</v>
      </c>
      <c r="B34">
        <v>41</v>
      </c>
      <c r="C34" s="763"/>
      <c r="D34" s="763"/>
      <c r="E34" s="763"/>
      <c r="F34" s="763"/>
      <c r="G34" s="764"/>
      <c r="H34" s="719"/>
      <c r="I34" s="719"/>
      <c r="J34" s="719"/>
      <c r="K34" s="719"/>
      <c r="L34" s="764"/>
      <c r="M34" s="3" t="str">
        <f t="shared" si="2"/>
        <v>na</v>
      </c>
      <c r="N34" s="3" t="str">
        <f t="shared" si="2"/>
        <v>na</v>
      </c>
      <c r="O34" s="3" t="str">
        <f t="shared" si="2"/>
        <v>na</v>
      </c>
      <c r="P34" s="3" t="str">
        <f t="shared" si="2"/>
        <v>na</v>
      </c>
      <c r="Q34" s="409" t="str">
        <f t="shared" si="2"/>
        <v>na</v>
      </c>
      <c r="R34" s="525"/>
      <c r="S34" s="656"/>
    </row>
    <row r="35" spans="1:19" ht="13" x14ac:dyDescent="0.3">
      <c r="A35" s="34">
        <f>'2017 Comm catch'!A35</f>
        <v>0</v>
      </c>
      <c r="B35">
        <v>41</v>
      </c>
      <c r="C35" s="719"/>
      <c r="D35" s="719"/>
      <c r="E35" s="763"/>
      <c r="F35" s="763"/>
      <c r="G35" s="763"/>
      <c r="H35" s="775"/>
      <c r="I35" s="763"/>
      <c r="J35" s="763"/>
      <c r="K35" s="763"/>
      <c r="L35" s="764"/>
      <c r="M35" s="3" t="str">
        <f t="shared" si="2"/>
        <v>na</v>
      </c>
      <c r="N35" s="3" t="str">
        <f t="shared" si="2"/>
        <v>na</v>
      </c>
      <c r="O35" s="3" t="str">
        <f t="shared" si="2"/>
        <v>na</v>
      </c>
      <c r="P35" s="3" t="str">
        <f t="shared" si="2"/>
        <v>na</v>
      </c>
      <c r="Q35" s="409" t="str">
        <f t="shared" si="2"/>
        <v>na</v>
      </c>
      <c r="R35" s="525"/>
      <c r="S35" s="656"/>
    </row>
    <row r="36" spans="1:19" ht="13" x14ac:dyDescent="0.3">
      <c r="A36" s="34">
        <f>'2017 Comm catch'!A36</f>
        <v>0</v>
      </c>
      <c r="B36">
        <v>42</v>
      </c>
      <c r="C36" s="763"/>
      <c r="D36" s="763"/>
      <c r="E36" s="763"/>
      <c r="F36" s="763"/>
      <c r="G36" s="763"/>
      <c r="H36" s="775"/>
      <c r="I36" s="719"/>
      <c r="J36" s="719"/>
      <c r="K36" s="719"/>
      <c r="L36" s="764"/>
      <c r="M36" s="3" t="str">
        <f>N36</f>
        <v>na</v>
      </c>
      <c r="N36" s="3" t="str">
        <f t="shared" si="2"/>
        <v>na</v>
      </c>
      <c r="O36" s="3" t="str">
        <f t="shared" si="2"/>
        <v>na</v>
      </c>
      <c r="P36" s="3" t="str">
        <f t="shared" si="2"/>
        <v>na</v>
      </c>
      <c r="Q36" s="409" t="str">
        <f t="shared" si="2"/>
        <v>na</v>
      </c>
      <c r="R36" s="525"/>
      <c r="S36" s="656"/>
    </row>
    <row r="37" spans="1:19" ht="13" x14ac:dyDescent="0.3">
      <c r="A37" s="34">
        <f>'2017 Comm catch'!A37</f>
        <v>0</v>
      </c>
      <c r="B37">
        <v>43</v>
      </c>
      <c r="C37" s="763"/>
      <c r="D37" s="763"/>
      <c r="E37" s="763"/>
      <c r="F37" s="763"/>
      <c r="G37" s="764"/>
      <c r="H37" s="719"/>
      <c r="I37" s="719"/>
      <c r="J37" s="719"/>
      <c r="K37" s="719"/>
      <c r="L37" s="764"/>
      <c r="M37" s="3" t="str">
        <f>IF(C37&gt;0,H37/C37,"na")</f>
        <v>na</v>
      </c>
      <c r="N37" s="3" t="str">
        <f t="shared" si="2"/>
        <v>na</v>
      </c>
      <c r="O37" s="3" t="str">
        <f t="shared" si="2"/>
        <v>na</v>
      </c>
      <c r="P37" s="3" t="str">
        <f t="shared" si="2"/>
        <v>na</v>
      </c>
      <c r="Q37" s="409" t="str">
        <f t="shared" si="2"/>
        <v>na</v>
      </c>
      <c r="R37" s="525"/>
      <c r="S37" s="656"/>
    </row>
    <row r="38" spans="1:19" ht="13" x14ac:dyDescent="0.3">
      <c r="A38" s="34">
        <f>'2017 Comm catch'!A38</f>
        <v>0</v>
      </c>
      <c r="B38">
        <v>44</v>
      </c>
      <c r="C38" s="763"/>
      <c r="D38" s="763"/>
      <c r="E38" s="763"/>
      <c r="F38" s="763"/>
      <c r="G38" s="764"/>
      <c r="H38" s="719"/>
      <c r="I38" s="719"/>
      <c r="J38" s="719"/>
      <c r="K38" s="719"/>
      <c r="L38" s="764"/>
      <c r="M38" s="3" t="str">
        <f>IF(C38&gt;0,H38/C38,"na")</f>
        <v>na</v>
      </c>
      <c r="N38" s="3" t="str">
        <f>IF(D38&gt;0,I38/D38,"na")</f>
        <v>na</v>
      </c>
      <c r="O38" s="3" t="str">
        <f t="shared" si="2"/>
        <v>na</v>
      </c>
      <c r="P38" s="3" t="str">
        <f t="shared" si="2"/>
        <v>na</v>
      </c>
      <c r="Q38" s="409" t="str">
        <f t="shared" si="2"/>
        <v>na</v>
      </c>
      <c r="R38" s="525"/>
      <c r="S38" s="656"/>
    </row>
    <row r="39" spans="1:19" x14ac:dyDescent="0.25">
      <c r="A39">
        <f>'2017 Comm catch'!A39</f>
        <v>0</v>
      </c>
      <c r="B39">
        <v>45</v>
      </c>
      <c r="C39" s="766"/>
      <c r="D39" s="766"/>
      <c r="E39" s="766"/>
      <c r="F39" s="766"/>
      <c r="G39" s="767"/>
      <c r="H39" s="719"/>
      <c r="I39" s="719"/>
      <c r="J39" s="719"/>
      <c r="K39" s="719"/>
      <c r="L39" s="764"/>
      <c r="M39" s="3" t="str">
        <f>IF(C39&gt;0,H39/C39,"na")</f>
        <v>na</v>
      </c>
      <c r="N39" s="3" t="str">
        <f t="shared" ref="N39:P40" si="4">IF(D39&gt;0,I39/D39,"na")</f>
        <v>na</v>
      </c>
      <c r="O39" s="3" t="str">
        <f t="shared" si="4"/>
        <v>na</v>
      </c>
      <c r="P39" s="3" t="str">
        <f t="shared" si="4"/>
        <v>na</v>
      </c>
      <c r="Q39" s="409" t="str">
        <f>IF(G39&gt;0,L39/G39,"na")</f>
        <v>na</v>
      </c>
      <c r="R39" s="402"/>
    </row>
    <row r="40" spans="1:19" x14ac:dyDescent="0.25">
      <c r="B40" t="s">
        <v>184</v>
      </c>
      <c r="C40" s="329">
        <f>SUM(C25:C39)</f>
        <v>0</v>
      </c>
      <c r="D40" s="195">
        <f t="shared" ref="D40:L40" si="5">SUM(D25:D39)</f>
        <v>0</v>
      </c>
      <c r="E40" s="195">
        <f t="shared" si="5"/>
        <v>0</v>
      </c>
      <c r="F40" s="195">
        <f t="shared" si="5"/>
        <v>184</v>
      </c>
      <c r="G40" s="330">
        <f t="shared" si="5"/>
        <v>75</v>
      </c>
      <c r="H40" s="329">
        <f t="shared" si="5"/>
        <v>0</v>
      </c>
      <c r="I40" s="195">
        <f t="shared" si="5"/>
        <v>0</v>
      </c>
      <c r="J40" s="195">
        <f t="shared" si="5"/>
        <v>0</v>
      </c>
      <c r="K40" s="195">
        <f t="shared" si="5"/>
        <v>133</v>
      </c>
      <c r="L40" s="404">
        <f t="shared" si="5"/>
        <v>52</v>
      </c>
      <c r="M40" s="223" t="str">
        <f>IF(C40&gt;0,H40/C40,"na")</f>
        <v>na</v>
      </c>
      <c r="N40" s="528" t="str">
        <f t="shared" si="4"/>
        <v>na</v>
      </c>
      <c r="O40" s="528" t="str">
        <f t="shared" si="4"/>
        <v>na</v>
      </c>
      <c r="P40" s="528">
        <f t="shared" si="4"/>
        <v>0.72282608695652173</v>
      </c>
      <c r="Q40" s="529">
        <f>IF(G40&gt;0,L40/G40,"na")</f>
        <v>0.69333333333333336</v>
      </c>
      <c r="R40" s="525"/>
    </row>
    <row r="41" spans="1:19" x14ac:dyDescent="0.25">
      <c r="C41" s="44"/>
      <c r="D41" s="44"/>
      <c r="E41" s="44"/>
      <c r="F41" s="44"/>
      <c r="G41" s="44"/>
      <c r="H41" s="44"/>
      <c r="I41" s="44"/>
      <c r="J41" s="44"/>
      <c r="K41" s="44"/>
      <c r="L41" s="44"/>
      <c r="M41" s="44"/>
      <c r="N41" s="44"/>
      <c r="O41" s="44"/>
      <c r="P41" s="44"/>
      <c r="Q41" s="531"/>
      <c r="R41" s="531"/>
    </row>
  </sheetData>
  <mergeCells count="6">
    <mergeCell ref="C3:F3"/>
    <mergeCell ref="G3:J3"/>
    <mergeCell ref="K3:N3"/>
    <mergeCell ref="C23:G23"/>
    <mergeCell ref="H23:L23"/>
    <mergeCell ref="M23:Q23"/>
  </mergeCells>
  <pageMargins left="0.75" right="0.75" top="1" bottom="1" header="0.5" footer="0.5"/>
  <pageSetup orientation="portrait" r:id="rId1"/>
  <headerFooter alignWithMargins="0"/>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F41"/>
  <sheetViews>
    <sheetView topLeftCell="A4" zoomScale="110" zoomScaleNormal="110" workbookViewId="0">
      <pane xSplit="2" topLeftCell="C1" activePane="topRight" state="frozen"/>
      <selection activeCell="I30" sqref="I30"/>
      <selection pane="topRight" activeCell="I30" sqref="I30"/>
    </sheetView>
  </sheetViews>
  <sheetFormatPr defaultColWidth="9.1796875" defaultRowHeight="13" x14ac:dyDescent="0.3"/>
  <cols>
    <col min="1" max="1" width="21" style="32" bestFit="1" customWidth="1"/>
    <col min="2" max="2" width="11.7265625" style="34" bestFit="1" customWidth="1"/>
    <col min="3" max="3" width="11.7265625" style="33" bestFit="1" customWidth="1"/>
    <col min="4" max="4" width="12" style="33" bestFit="1" customWidth="1"/>
    <col min="5" max="5" width="12.453125" style="33" bestFit="1" customWidth="1"/>
    <col min="6" max="6" width="10.26953125" style="33" bestFit="1" customWidth="1"/>
    <col min="7" max="7" width="12.7265625" style="33" bestFit="1" customWidth="1"/>
    <col min="8" max="8" width="10.26953125" style="33" bestFit="1" customWidth="1"/>
    <col min="9" max="9" width="8.1796875" style="33" bestFit="1" customWidth="1"/>
    <col min="10" max="10" width="7.54296875" style="33" bestFit="1" customWidth="1"/>
    <col min="11" max="11" width="11.54296875" style="33" bestFit="1" customWidth="1"/>
    <col min="12" max="12" width="11.453125" style="33" bestFit="1" customWidth="1"/>
    <col min="13" max="13" width="8.1796875" style="33" bestFit="1" customWidth="1"/>
    <col min="14" max="14" width="10" style="33" bestFit="1" customWidth="1"/>
    <col min="15" max="15" width="11.54296875" style="33" bestFit="1" customWidth="1"/>
    <col min="16" max="16" width="10.26953125" style="33" bestFit="1" customWidth="1"/>
    <col min="17" max="17" width="8.1796875" style="33" bestFit="1" customWidth="1"/>
    <col min="18" max="18" width="9.26953125" style="33" bestFit="1" customWidth="1"/>
    <col min="19" max="19" width="7.7265625" style="33" bestFit="1" customWidth="1"/>
    <col min="20" max="20" width="7.26953125" style="33" customWidth="1"/>
    <col min="21" max="21" width="5.54296875" style="33" customWidth="1"/>
    <col min="22" max="22" width="5" style="33" bestFit="1" customWidth="1"/>
    <col min="23" max="23" width="8.54296875" style="33" bestFit="1" customWidth="1"/>
    <col min="24" max="24" width="6.7265625" style="33" customWidth="1"/>
    <col min="25" max="25" width="5" style="32" bestFit="1" customWidth="1"/>
    <col min="26" max="26" width="8.26953125" style="32" bestFit="1" customWidth="1"/>
    <col min="27" max="27" width="8.26953125" style="32" customWidth="1"/>
    <col min="28" max="28" width="7" style="32" bestFit="1" customWidth="1"/>
    <col min="29" max="29" width="12" style="32" bestFit="1" customWidth="1"/>
    <col min="30" max="30" width="9.26953125" style="32" bestFit="1" customWidth="1"/>
    <col min="31" max="31" width="2.54296875" style="32" customWidth="1"/>
    <col min="32" max="16384" width="9.1796875" style="32"/>
  </cols>
  <sheetData>
    <row r="1" spans="1:24" x14ac:dyDescent="0.3">
      <c r="A1" s="34" t="s">
        <v>342</v>
      </c>
    </row>
    <row r="2" spans="1:24" x14ac:dyDescent="0.3">
      <c r="C2" s="34" t="s">
        <v>330</v>
      </c>
    </row>
    <row r="3" spans="1:24" x14ac:dyDescent="0.3">
      <c r="C3" s="903" t="s">
        <v>208</v>
      </c>
      <c r="D3" s="904"/>
      <c r="E3" s="904"/>
      <c r="F3" s="905"/>
      <c r="G3" s="903" t="s">
        <v>264</v>
      </c>
      <c r="H3" s="904"/>
      <c r="I3" s="904"/>
      <c r="J3" s="905"/>
      <c r="K3" s="903" t="s">
        <v>261</v>
      </c>
      <c r="L3" s="904"/>
      <c r="M3" s="904"/>
      <c r="N3" s="905"/>
      <c r="O3" s="903" t="s">
        <v>262</v>
      </c>
      <c r="P3" s="904"/>
      <c r="Q3" s="904"/>
      <c r="R3" s="905"/>
      <c r="S3" s="781" t="s">
        <v>339</v>
      </c>
      <c r="T3" s="781"/>
      <c r="U3" s="781"/>
      <c r="V3" s="781"/>
      <c r="W3" s="165"/>
      <c r="X3" s="165"/>
    </row>
    <row r="4" spans="1:24" x14ac:dyDescent="0.3">
      <c r="B4" s="34" t="s">
        <v>134</v>
      </c>
      <c r="C4" s="547" t="s">
        <v>31</v>
      </c>
      <c r="D4" s="202" t="s">
        <v>62</v>
      </c>
      <c r="E4" s="202" t="s">
        <v>260</v>
      </c>
      <c r="F4" s="548" t="s">
        <v>203</v>
      </c>
      <c r="G4" s="547" t="s">
        <v>31</v>
      </c>
      <c r="H4" s="202" t="s">
        <v>62</v>
      </c>
      <c r="I4" s="202" t="s">
        <v>260</v>
      </c>
      <c r="J4" s="548" t="s">
        <v>203</v>
      </c>
      <c r="K4" s="549" t="s">
        <v>31</v>
      </c>
      <c r="L4" s="208" t="s">
        <v>62</v>
      </c>
      <c r="M4" s="208" t="s">
        <v>260</v>
      </c>
      <c r="N4" s="550" t="s">
        <v>203</v>
      </c>
      <c r="O4" s="549" t="s">
        <v>31</v>
      </c>
      <c r="P4" s="208" t="s">
        <v>62</v>
      </c>
      <c r="Q4" s="208" t="s">
        <v>260</v>
      </c>
      <c r="R4" s="550" t="s">
        <v>203</v>
      </c>
      <c r="S4" s="781" t="s">
        <v>335</v>
      </c>
      <c r="T4" s="781" t="s">
        <v>336</v>
      </c>
      <c r="U4" s="781" t="s">
        <v>337</v>
      </c>
      <c r="V4" s="781" t="s">
        <v>338</v>
      </c>
      <c r="W4" s="208"/>
      <c r="X4" s="208"/>
    </row>
    <row r="5" spans="1:24" x14ac:dyDescent="0.3">
      <c r="B5" s="34">
        <v>32</v>
      </c>
      <c r="C5" s="789">
        <v>0</v>
      </c>
      <c r="D5" s="773"/>
      <c r="E5" s="773"/>
      <c r="F5" s="774"/>
      <c r="G5" s="551" t="str">
        <f>'2017 comm sample'!K5</f>
        <v>na</v>
      </c>
      <c r="H5" s="552" t="str">
        <f>'2017 comm sample'!L5</f>
        <v>na</v>
      </c>
      <c r="I5" s="552" t="str">
        <f>'2017 comm sample'!M5</f>
        <v>na</v>
      </c>
      <c r="J5" s="552" t="str">
        <f>'2017 comm sample'!N5</f>
        <v>na</v>
      </c>
      <c r="K5" s="553" t="str">
        <f>IF(C5&gt;0,'2017 comm sample'!C5/'2017 Comm catch'!C5,"na")</f>
        <v>na</v>
      </c>
      <c r="L5" s="554" t="str">
        <f>IF(D5&gt;0,'2017 comm sample'!D5/'2017 Comm catch'!D5,"na")</f>
        <v>na</v>
      </c>
      <c r="M5" s="554" t="str">
        <f>IF(E5&gt;0,'2017 comm sample'!E5/'2017 Comm catch'!E5,"na")</f>
        <v>na</v>
      </c>
      <c r="N5" s="554" t="str">
        <f>IF(F5&gt;0,'2017 comm sample'!F5/'2017 Comm catch'!F5,"na")</f>
        <v>na</v>
      </c>
      <c r="O5" s="555" t="str">
        <f t="shared" ref="O5:R18" si="0">IF(G5&lt;&gt;"na",C5*G5,"na")</f>
        <v>na</v>
      </c>
      <c r="P5" s="556" t="str">
        <f t="shared" si="0"/>
        <v>na</v>
      </c>
      <c r="Q5" s="556" t="str">
        <f t="shared" si="0"/>
        <v>na</v>
      </c>
      <c r="R5" s="557" t="str">
        <f t="shared" si="0"/>
        <v>na</v>
      </c>
      <c r="S5" s="514"/>
      <c r="T5" s="514"/>
      <c r="U5" s="514"/>
      <c r="V5" s="514"/>
      <c r="W5" s="514"/>
      <c r="X5" s="514"/>
    </row>
    <row r="6" spans="1:24" x14ac:dyDescent="0.3">
      <c r="B6" s="34">
        <v>33</v>
      </c>
      <c r="C6" s="789">
        <v>3</v>
      </c>
      <c r="D6" s="773"/>
      <c r="E6" s="773"/>
      <c r="F6" s="774"/>
      <c r="G6" s="551">
        <f>'2017 comm sample'!K6</f>
        <v>0</v>
      </c>
      <c r="H6" s="552" t="str">
        <f>'2017 comm sample'!L6</f>
        <v>na</v>
      </c>
      <c r="I6" s="552" t="str">
        <f>'2017 comm sample'!M6</f>
        <v>na</v>
      </c>
      <c r="J6" s="552" t="str">
        <f>'2017 comm sample'!N6</f>
        <v>na</v>
      </c>
      <c r="K6" s="558">
        <f>IF(C6&gt;0,'2017 comm sample'!C6/'2017 Comm catch'!C6,"na")</f>
        <v>0.33333333333333331</v>
      </c>
      <c r="L6" s="559" t="str">
        <f>IF(D6&gt;0,'2017 comm sample'!D6/'2017 Comm catch'!D6,"na")</f>
        <v>na</v>
      </c>
      <c r="M6" s="559" t="str">
        <f>IF(E6&gt;0,'2017 comm sample'!E6/'2017 Comm catch'!E6,"na")</f>
        <v>na</v>
      </c>
      <c r="N6" s="559" t="str">
        <f>IF(F6&gt;0,'2017 comm sample'!F6/'2017 Comm catch'!F6,"na")</f>
        <v>na</v>
      </c>
      <c r="O6" s="560">
        <f t="shared" si="0"/>
        <v>0</v>
      </c>
      <c r="P6" s="514" t="str">
        <f t="shared" si="0"/>
        <v>na</v>
      </c>
      <c r="Q6" s="514" t="str">
        <f t="shared" si="0"/>
        <v>na</v>
      </c>
      <c r="R6" s="563" t="str">
        <f t="shared" si="0"/>
        <v>na</v>
      </c>
      <c r="S6" s="514"/>
      <c r="T6" s="514"/>
      <c r="U6" s="514"/>
      <c r="V6" s="514"/>
      <c r="W6" s="514"/>
      <c r="X6" s="514"/>
    </row>
    <row r="7" spans="1:24" x14ac:dyDescent="0.3">
      <c r="B7" s="34">
        <v>34</v>
      </c>
      <c r="C7" s="789">
        <v>47</v>
      </c>
      <c r="D7" s="773"/>
      <c r="E7" s="776"/>
      <c r="F7" s="790">
        <v>14</v>
      </c>
      <c r="G7" s="551">
        <f>'2017 comm sample'!K7</f>
        <v>0</v>
      </c>
      <c r="H7" s="552" t="str">
        <f>'2017 comm sample'!L7</f>
        <v>na</v>
      </c>
      <c r="I7" s="552" t="str">
        <f>'2017 comm sample'!M7</f>
        <v>na</v>
      </c>
      <c r="J7" s="552">
        <f>'2017 comm sample'!N7</f>
        <v>0.5</v>
      </c>
      <c r="K7" s="558">
        <f>IF(C7&gt;0,'2017 comm sample'!C7/'2017 Comm catch'!C7,"na")</f>
        <v>0.46808510638297873</v>
      </c>
      <c r="L7" s="559" t="str">
        <f>IF(D7&gt;0,'2017 comm sample'!D7/'2017 Comm catch'!D7,"na")</f>
        <v>na</v>
      </c>
      <c r="M7" s="559" t="str">
        <f>IF(E7&gt;0,'2017 comm sample'!E7/'2017 Comm catch'!E7,"na")</f>
        <v>na</v>
      </c>
      <c r="N7" s="559">
        <f>IF(F7&gt;0,'2017 comm sample'!F7/'2017 Comm catch'!F7,"na")</f>
        <v>0.14285714285714285</v>
      </c>
      <c r="O7" s="560">
        <f t="shared" si="0"/>
        <v>0</v>
      </c>
      <c r="P7" s="514" t="str">
        <f t="shared" si="0"/>
        <v>na</v>
      </c>
      <c r="Q7" s="514" t="str">
        <f t="shared" si="0"/>
        <v>na</v>
      </c>
      <c r="R7" s="563">
        <f t="shared" si="0"/>
        <v>7</v>
      </c>
      <c r="S7" s="514"/>
      <c r="T7" s="514"/>
      <c r="U7" s="514"/>
      <c r="V7" s="514"/>
      <c r="W7" s="514"/>
      <c r="X7" s="514"/>
    </row>
    <row r="8" spans="1:24" x14ac:dyDescent="0.3">
      <c r="B8" s="34">
        <v>35</v>
      </c>
      <c r="C8" s="789">
        <v>82</v>
      </c>
      <c r="D8" s="791">
        <v>142</v>
      </c>
      <c r="E8" s="790">
        <v>3</v>
      </c>
      <c r="F8" s="790">
        <v>15</v>
      </c>
      <c r="G8" s="551">
        <f>'2017 comm sample'!K8</f>
        <v>4.3478260869565216E-2</v>
      </c>
      <c r="H8" s="552">
        <f>'2017 comm sample'!L8</f>
        <v>0.14925373134328357</v>
      </c>
      <c r="I8" s="552" t="str">
        <f>'2017 comm sample'!M8</f>
        <v>na</v>
      </c>
      <c r="J8" s="552">
        <f>'2017 comm sample'!N8</f>
        <v>0.18181818181818182</v>
      </c>
      <c r="K8" s="558">
        <f>IF(C8&gt;0,'2017 comm sample'!C8/'2017 Comm catch'!C8,"na")</f>
        <v>0.56097560975609762</v>
      </c>
      <c r="L8" s="559">
        <f>IF(D8&gt;0,'2017 comm sample'!D8/'2017 Comm catch'!D8,"na")</f>
        <v>0.47183098591549294</v>
      </c>
      <c r="M8" s="559">
        <f>IF(E8&gt;0,'2017 comm sample'!E8/'2017 Comm catch'!E8,"na")</f>
        <v>0</v>
      </c>
      <c r="N8" s="559">
        <f>IF(F8&gt;0,'2017 comm sample'!F8/'2017 Comm catch'!F8,"na")</f>
        <v>0.73333333333333328</v>
      </c>
      <c r="O8" s="560">
        <f t="shared" si="0"/>
        <v>3.5652173913043477</v>
      </c>
      <c r="P8" s="514">
        <f t="shared" si="0"/>
        <v>21.194029850746269</v>
      </c>
      <c r="Q8" s="514" t="str">
        <f t="shared" si="0"/>
        <v>na</v>
      </c>
      <c r="R8" s="563">
        <f t="shared" si="0"/>
        <v>2.7272727272727275</v>
      </c>
      <c r="S8" s="514"/>
      <c r="T8" s="514"/>
      <c r="U8" s="802">
        <f>E8*AVERAGE(I9:I10)</f>
        <v>5.1020408163265307E-2</v>
      </c>
      <c r="V8" s="514"/>
      <c r="W8" s="514"/>
      <c r="X8" s="514"/>
    </row>
    <row r="9" spans="1:24" x14ac:dyDescent="0.3">
      <c r="B9" s="34">
        <v>36</v>
      </c>
      <c r="C9" s="789">
        <v>2639</v>
      </c>
      <c r="D9" s="790">
        <v>1141</v>
      </c>
      <c r="E9" s="790">
        <v>69</v>
      </c>
      <c r="F9" s="790">
        <v>523</v>
      </c>
      <c r="G9" s="551">
        <f>'2017 comm sample'!K9</f>
        <v>1.9791666666666666E-2</v>
      </c>
      <c r="H9" s="552">
        <f>'2017 comm sample'!L9</f>
        <v>0.11467116357504216</v>
      </c>
      <c r="I9" s="552">
        <f>'2017 comm sample'!M9</f>
        <v>0</v>
      </c>
      <c r="J9" s="552">
        <f>'2017 comm sample'!N9</f>
        <v>3.6363636363636362E-2</v>
      </c>
      <c r="K9" s="558">
        <f>IF(C9&gt;0,'2017 comm sample'!C9/'2017 Comm catch'!C9,"na")</f>
        <v>0.36377415687760517</v>
      </c>
      <c r="L9" s="559">
        <f>IF(D9&gt;0,'2017 comm sample'!D9/'2017 Comm catch'!D9,"na")</f>
        <v>0.51971954425942157</v>
      </c>
      <c r="M9" s="559">
        <f>IF(E9&gt;0,'2017 comm sample'!E9/'2017 Comm catch'!E9,"na")</f>
        <v>0.60869565217391308</v>
      </c>
      <c r="N9" s="559">
        <f>IF(F9&gt;0,'2017 comm sample'!F9/'2017 Comm catch'!F9,"na")</f>
        <v>0.10516252390057361</v>
      </c>
      <c r="O9" s="560">
        <f t="shared" si="0"/>
        <v>52.23020833333333</v>
      </c>
      <c r="P9" s="514">
        <f t="shared" si="0"/>
        <v>130.83979763912311</v>
      </c>
      <c r="Q9" s="514">
        <f t="shared" si="0"/>
        <v>0</v>
      </c>
      <c r="R9" s="563">
        <f t="shared" si="0"/>
        <v>19.018181818181816</v>
      </c>
      <c r="S9" s="514"/>
      <c r="T9" s="514"/>
      <c r="U9" s="514"/>
      <c r="V9" s="514"/>
      <c r="W9" s="514"/>
      <c r="X9" s="514"/>
    </row>
    <row r="10" spans="1:24" x14ac:dyDescent="0.3">
      <c r="B10" s="34">
        <v>37</v>
      </c>
      <c r="C10" s="789">
        <v>3265</v>
      </c>
      <c r="D10" s="790">
        <v>3774</v>
      </c>
      <c r="E10" s="790">
        <v>488</v>
      </c>
      <c r="F10" s="790">
        <v>1611</v>
      </c>
      <c r="G10" s="551">
        <f>'2017 comm sample'!K10</f>
        <v>3.1567080045095827E-2</v>
      </c>
      <c r="H10" s="552">
        <f>'2017 comm sample'!L10</f>
        <v>2.3019634394041977E-2</v>
      </c>
      <c r="I10" s="552">
        <f>'2017 comm sample'!M10</f>
        <v>3.4013605442176874E-2</v>
      </c>
      <c r="J10" s="552">
        <f>'2017 comm sample'!N10</f>
        <v>3.8291605301914583E-2</v>
      </c>
      <c r="K10" s="558">
        <f>IF(C10&gt;0,'2017 comm sample'!C10/'2017 Comm catch'!C10,"na")</f>
        <v>0.27166921898928026</v>
      </c>
      <c r="L10" s="559">
        <f>IF(D10&gt;0,'2017 comm sample'!D10/'2017 Comm catch'!D10,"na")</f>
        <v>0.39136195018547959</v>
      </c>
      <c r="M10" s="559">
        <f>IF(E10&gt;0,'2017 comm sample'!E10/'2017 Comm catch'!E10,"na")</f>
        <v>0.30122950819672129</v>
      </c>
      <c r="N10" s="559">
        <f>IF(F10&gt;0,'2017 comm sample'!F10/'2017 Comm catch'!F10,"na")</f>
        <v>0.42147734326505276</v>
      </c>
      <c r="O10" s="560">
        <f t="shared" si="0"/>
        <v>103.06651634723788</v>
      </c>
      <c r="P10" s="514">
        <f t="shared" si="0"/>
        <v>86.876100203114419</v>
      </c>
      <c r="Q10" s="514">
        <f t="shared" si="0"/>
        <v>16.598639455782315</v>
      </c>
      <c r="R10" s="563">
        <f t="shared" si="0"/>
        <v>61.68777614138439</v>
      </c>
      <c r="S10" s="514"/>
      <c r="T10" s="514"/>
      <c r="U10" s="514"/>
      <c r="V10" s="514"/>
      <c r="W10" s="514"/>
      <c r="X10" s="514"/>
    </row>
    <row r="11" spans="1:24" x14ac:dyDescent="0.3">
      <c r="B11" s="34">
        <v>38</v>
      </c>
      <c r="C11" s="789">
        <v>5571</v>
      </c>
      <c r="D11" s="790">
        <v>4974</v>
      </c>
      <c r="E11" s="790">
        <v>960</v>
      </c>
      <c r="F11" s="790">
        <v>4378</v>
      </c>
      <c r="G11" s="551">
        <f>'2017 comm sample'!K11</f>
        <v>2.3446658851113716E-2</v>
      </c>
      <c r="H11" s="552">
        <f>'2017 comm sample'!L11</f>
        <v>3.03886925795053E-2</v>
      </c>
      <c r="I11" s="552">
        <f>'2017 comm sample'!M11</f>
        <v>8.7649402390438252E-2</v>
      </c>
      <c r="J11" s="552">
        <f>'2017 comm sample'!N11</f>
        <v>2.3411371237458192E-2</v>
      </c>
      <c r="K11" s="558">
        <f>IF(C11&gt;0,'2017 comm sample'!C11/'2017 Comm catch'!C11,"na")</f>
        <v>0.30622868425776339</v>
      </c>
      <c r="L11" s="559">
        <f>IF(D11&gt;0,'2017 comm sample'!D11/'2017 Comm catch'!D11,"na")</f>
        <v>0.28447929232006436</v>
      </c>
      <c r="M11" s="559">
        <f>IF(E11&gt;0,'2017 comm sample'!E11/'2017 Comm catch'!E11,"na")</f>
        <v>0.26145833333333335</v>
      </c>
      <c r="N11" s="559">
        <f>IF(F11&gt;0,'2017 comm sample'!F11/'2017 Comm catch'!F11,"na")</f>
        <v>0.47807217907720423</v>
      </c>
      <c r="O11" s="560">
        <f t="shared" si="0"/>
        <v>130.62133645955453</v>
      </c>
      <c r="P11" s="514">
        <f t="shared" si="0"/>
        <v>151.15335689045935</v>
      </c>
      <c r="Q11" s="514">
        <f t="shared" si="0"/>
        <v>84.143426294820728</v>
      </c>
      <c r="R11" s="563">
        <f t="shared" si="0"/>
        <v>102.49498327759197</v>
      </c>
      <c r="S11" s="514"/>
      <c r="T11" s="514"/>
      <c r="U11" s="514"/>
      <c r="V11" s="514"/>
      <c r="W11" s="514"/>
      <c r="X11" s="514"/>
    </row>
    <row r="12" spans="1:24" x14ac:dyDescent="0.3">
      <c r="B12" s="34">
        <v>39</v>
      </c>
      <c r="C12" s="789">
        <v>786</v>
      </c>
      <c r="D12" s="790">
        <v>1392</v>
      </c>
      <c r="E12" s="790">
        <v>596</v>
      </c>
      <c r="F12" s="790">
        <v>1460</v>
      </c>
      <c r="G12" s="551">
        <f>'2017 comm sample'!K12</f>
        <v>1.7921146953405017E-2</v>
      </c>
      <c r="H12" s="552">
        <f>'2017 comm sample'!L12</f>
        <v>2.8662420382165606E-2</v>
      </c>
      <c r="I12" s="552">
        <f>'2017 comm sample'!M12</f>
        <v>6.5292096219931275E-2</v>
      </c>
      <c r="J12" s="552">
        <f>'2017 comm sample'!N12</f>
        <v>3.9443155452436193E-2</v>
      </c>
      <c r="K12" s="558">
        <f>IF(C12&gt;0,'2017 comm sample'!C12/'2017 Comm catch'!C12,"na")</f>
        <v>0.70992366412213737</v>
      </c>
      <c r="L12" s="559">
        <f>IF(D12&gt;0,'2017 comm sample'!D12/'2017 Comm catch'!D12,"na")</f>
        <v>0.22557471264367815</v>
      </c>
      <c r="M12" s="559">
        <f>IF(E12&gt;0,'2017 comm sample'!E12/'2017 Comm catch'!E12,"na")</f>
        <v>0.48825503355704697</v>
      </c>
      <c r="N12" s="559">
        <f>IF(F12&gt;0,'2017 comm sample'!F12/'2017 Comm catch'!F12,"na")</f>
        <v>0.59041095890410955</v>
      </c>
      <c r="O12" s="560">
        <f t="shared" si="0"/>
        <v>14.086021505376344</v>
      </c>
      <c r="P12" s="514">
        <f t="shared" si="0"/>
        <v>39.898089171974526</v>
      </c>
      <c r="Q12" s="514">
        <f t="shared" si="0"/>
        <v>38.914089347079042</v>
      </c>
      <c r="R12" s="563">
        <f t="shared" si="0"/>
        <v>57.587006960556842</v>
      </c>
      <c r="S12" s="514"/>
      <c r="T12" s="514"/>
      <c r="U12" s="514"/>
      <c r="V12" s="514"/>
      <c r="W12" s="514"/>
      <c r="X12" s="514"/>
    </row>
    <row r="13" spans="1:24" x14ac:dyDescent="0.3">
      <c r="B13" s="34">
        <v>40</v>
      </c>
      <c r="C13" s="789">
        <v>516</v>
      </c>
      <c r="D13" s="790">
        <v>512</v>
      </c>
      <c r="E13" s="790">
        <v>173</v>
      </c>
      <c r="F13" s="790">
        <v>916</v>
      </c>
      <c r="G13" s="551">
        <f>'2017 comm sample'!K13</f>
        <v>1.1494252873563218E-2</v>
      </c>
      <c r="H13" s="552">
        <f>'2017 comm sample'!L13</f>
        <v>3.1784841075794622E-2</v>
      </c>
      <c r="I13" s="552">
        <f>'2017 comm sample'!M13</f>
        <v>8.9285714285714288E-2</v>
      </c>
      <c r="J13" s="552">
        <f>'2017 comm sample'!N13</f>
        <v>4.6382189239332093E-2</v>
      </c>
      <c r="K13" s="558">
        <f>IF(C13&gt;0,'2017 comm sample'!C13/'2017 Comm catch'!C13,"na")</f>
        <v>0.16860465116279069</v>
      </c>
      <c r="L13" s="559">
        <f>IF(D13&gt;0,'2017 comm sample'!D13/'2017 Comm catch'!D13,"na")</f>
        <v>0.798828125</v>
      </c>
      <c r="M13" s="559">
        <f>IF(E13&gt;0,'2017 comm sample'!E13/'2017 Comm catch'!E13,"na")</f>
        <v>0.32369942196531792</v>
      </c>
      <c r="N13" s="559">
        <f>IF(F13&gt;0,'2017 comm sample'!F13/'2017 Comm catch'!F13,"na")</f>
        <v>0.58842794759825323</v>
      </c>
      <c r="O13" s="560">
        <f t="shared" si="0"/>
        <v>5.931034482758621</v>
      </c>
      <c r="P13" s="514">
        <f t="shared" si="0"/>
        <v>16.273838630806846</v>
      </c>
      <c r="Q13" s="514">
        <f t="shared" si="0"/>
        <v>15.446428571428571</v>
      </c>
      <c r="R13" s="563">
        <f t="shared" si="0"/>
        <v>42.486085343228197</v>
      </c>
      <c r="S13" s="514"/>
      <c r="T13" s="514"/>
      <c r="U13" s="514"/>
      <c r="V13" s="514"/>
      <c r="W13" s="514"/>
      <c r="X13" s="514"/>
    </row>
    <row r="14" spans="1:24" x14ac:dyDescent="0.3">
      <c r="A14" s="11"/>
      <c r="B14" s="34">
        <v>41</v>
      </c>
      <c r="C14" s="789">
        <v>395</v>
      </c>
      <c r="D14" s="791">
        <v>80</v>
      </c>
      <c r="E14" s="790">
        <v>84</v>
      </c>
      <c r="F14" s="790">
        <v>465</v>
      </c>
      <c r="G14" s="551">
        <f>'2017 comm sample'!K14</f>
        <v>4.7008547008547008E-2</v>
      </c>
      <c r="H14" s="552">
        <f>'2017 comm sample'!L14</f>
        <v>2.7397260273972601E-2</v>
      </c>
      <c r="I14" s="552">
        <f>'2017 comm sample'!M14</f>
        <v>5.4545454545454543E-2</v>
      </c>
      <c r="J14" s="552">
        <f>'2017 comm sample'!N14</f>
        <v>4.3956043956043959E-2</v>
      </c>
      <c r="K14" s="558">
        <f>IF(C14&gt;0,'2017 comm sample'!C14/'2017 Comm catch'!C14,"na")</f>
        <v>0.59240506329113929</v>
      </c>
      <c r="L14" s="559">
        <f>IF(D14&gt;0,'2017 comm sample'!D14/'2017 Comm catch'!D14,"na")</f>
        <v>0.91249999999999998</v>
      </c>
      <c r="M14" s="559">
        <f>IF(E14&gt;0,'2017 comm sample'!E14/'2017 Comm catch'!E14,"na")</f>
        <v>0.65476190476190477</v>
      </c>
      <c r="N14" s="559">
        <f>IF(F14&gt;0,'2017 comm sample'!F14/'2017 Comm catch'!F14,"na")</f>
        <v>0.39139784946236561</v>
      </c>
      <c r="O14" s="560">
        <f t="shared" si="0"/>
        <v>18.568376068376068</v>
      </c>
      <c r="P14" s="514">
        <f t="shared" si="0"/>
        <v>2.1917808219178081</v>
      </c>
      <c r="Q14" s="514">
        <f t="shared" si="0"/>
        <v>4.581818181818182</v>
      </c>
      <c r="R14" s="563">
        <f t="shared" si="0"/>
        <v>20.439560439560442</v>
      </c>
      <c r="S14" s="514"/>
      <c r="T14" s="514"/>
      <c r="U14" s="514"/>
      <c r="V14" s="514"/>
      <c r="W14" s="514"/>
      <c r="X14" s="514"/>
    </row>
    <row r="15" spans="1:24" x14ac:dyDescent="0.3">
      <c r="A15" s="11"/>
      <c r="B15" s="34">
        <v>42</v>
      </c>
      <c r="C15" s="789">
        <v>179</v>
      </c>
      <c r="D15" s="791">
        <v>492</v>
      </c>
      <c r="E15" s="790">
        <v>71</v>
      </c>
      <c r="F15" s="776"/>
      <c r="G15" s="551">
        <f>'2017 comm sample'!K15</f>
        <v>2.3529411764705882E-2</v>
      </c>
      <c r="H15" s="552">
        <f>'2017 comm sample'!L15</f>
        <v>4.7210300429184553E-2</v>
      </c>
      <c r="I15" s="552">
        <f>'2017 comm sample'!M15</f>
        <v>0.04</v>
      </c>
      <c r="J15" s="552" t="str">
        <f>'2017 comm sample'!N15</f>
        <v>na</v>
      </c>
      <c r="K15" s="558">
        <f>IF(C15&gt;0,'2017 comm sample'!C15/'2017 Comm catch'!C15,"na")</f>
        <v>0.47486033519553073</v>
      </c>
      <c r="L15" s="559">
        <f>IF(D15&gt;0,'2017 comm sample'!D15/'2017 Comm catch'!D15,"na")</f>
        <v>0.47357723577235772</v>
      </c>
      <c r="M15" s="559">
        <f>IF(E15&gt;0,'2017 comm sample'!E15/'2017 Comm catch'!E15,"na")</f>
        <v>0.70422535211267601</v>
      </c>
      <c r="N15" s="559" t="str">
        <f>IF(F15&gt;0,'2017 comm sample'!F15/'2017 Comm catch'!F15,"na")</f>
        <v>na</v>
      </c>
      <c r="O15" s="560">
        <f t="shared" si="0"/>
        <v>4.2117647058823531</v>
      </c>
      <c r="P15" s="514">
        <f t="shared" si="0"/>
        <v>23.2274678111588</v>
      </c>
      <c r="Q15" s="514">
        <f t="shared" si="0"/>
        <v>2.84</v>
      </c>
      <c r="R15" s="563" t="str">
        <f t="shared" si="0"/>
        <v>na</v>
      </c>
      <c r="S15" s="514"/>
      <c r="T15" s="514"/>
      <c r="U15" s="514"/>
      <c r="V15" s="514"/>
      <c r="W15" s="514"/>
      <c r="X15" s="514"/>
    </row>
    <row r="16" spans="1:24" x14ac:dyDescent="0.3">
      <c r="A16" s="11"/>
      <c r="B16" s="34">
        <v>43</v>
      </c>
      <c r="C16" s="789">
        <v>120</v>
      </c>
      <c r="D16" s="791">
        <v>27</v>
      </c>
      <c r="E16" s="790">
        <v>16</v>
      </c>
      <c r="F16" s="776"/>
      <c r="G16" s="551">
        <f>'2017 comm sample'!K16</f>
        <v>3.0769230769230771E-2</v>
      </c>
      <c r="H16" s="552">
        <f>'2017 comm sample'!L16</f>
        <v>0.375</v>
      </c>
      <c r="I16" s="552" t="str">
        <f>'2017 comm sample'!M16</f>
        <v>na</v>
      </c>
      <c r="J16" s="552" t="str">
        <f>'2017 comm sample'!N16</f>
        <v>na</v>
      </c>
      <c r="K16" s="558">
        <f>IF(C16&gt;0,'2017 comm sample'!C16/'2017 Comm catch'!C16,"na")</f>
        <v>0.54166666666666663</v>
      </c>
      <c r="L16" s="559">
        <f>IF(D16&gt;0,'2017 comm sample'!D16/'2017 Comm catch'!D16,"na")</f>
        <v>0.29629629629629628</v>
      </c>
      <c r="M16" s="559">
        <f>IF(E16&gt;0,'2017 comm sample'!E16/'2017 Comm catch'!E16,"na")</f>
        <v>0</v>
      </c>
      <c r="N16" s="559" t="str">
        <f>IF(F16&gt;0,'2017 comm sample'!F16/'2017 Comm catch'!F16,"na")</f>
        <v>na</v>
      </c>
      <c r="O16" s="560">
        <f t="shared" si="0"/>
        <v>3.6923076923076925</v>
      </c>
      <c r="P16" s="514">
        <f t="shared" si="0"/>
        <v>10.125</v>
      </c>
      <c r="Q16" s="514" t="str">
        <f t="shared" si="0"/>
        <v>na</v>
      </c>
      <c r="R16" s="563" t="str">
        <f t="shared" si="0"/>
        <v>na</v>
      </c>
      <c r="S16" s="514"/>
      <c r="T16" s="514"/>
      <c r="U16" s="802">
        <f>E16*I15</f>
        <v>0.64</v>
      </c>
      <c r="V16" s="514"/>
      <c r="W16" s="514"/>
      <c r="X16" s="514"/>
    </row>
    <row r="17" spans="1:32" x14ac:dyDescent="0.3">
      <c r="B17" s="34">
        <v>44</v>
      </c>
      <c r="C17" s="789">
        <v>0</v>
      </c>
      <c r="D17" s="773"/>
      <c r="E17" s="776"/>
      <c r="F17" s="776"/>
      <c r="G17" s="551" t="str">
        <f>'2017 comm sample'!K17</f>
        <v>na</v>
      </c>
      <c r="H17" s="552" t="str">
        <f>'2017 comm sample'!L17</f>
        <v>na</v>
      </c>
      <c r="I17" s="552" t="str">
        <f>'2017 comm sample'!M17</f>
        <v>na</v>
      </c>
      <c r="J17" s="552" t="str">
        <f>'2017 comm sample'!N17</f>
        <v>na</v>
      </c>
      <c r="K17" s="558" t="str">
        <f>IF(C17&gt;0,'2017 comm sample'!C17/'2017 Comm catch'!C17,"na")</f>
        <v>na</v>
      </c>
      <c r="L17" s="559" t="str">
        <f>IF(D17&gt;0,'2017 comm sample'!D17/'2017 Comm catch'!D17,"na")</f>
        <v>na</v>
      </c>
      <c r="M17" s="559" t="str">
        <f>IF(E17&gt;0,'2017 comm sample'!E17/'2017 Comm catch'!E17,"na")</f>
        <v>na</v>
      </c>
      <c r="N17" s="559" t="str">
        <f>IF(F17&gt;0,'2017 comm sample'!F17/'2017 Comm catch'!F17,"na")</f>
        <v>na</v>
      </c>
      <c r="O17" s="560" t="str">
        <f t="shared" si="0"/>
        <v>na</v>
      </c>
      <c r="P17" s="514" t="str">
        <f t="shared" si="0"/>
        <v>na</v>
      </c>
      <c r="Q17" s="514" t="str">
        <f t="shared" si="0"/>
        <v>na</v>
      </c>
      <c r="R17" s="563" t="str">
        <f t="shared" si="0"/>
        <v>na</v>
      </c>
      <c r="S17" s="802">
        <f>C17*G16</f>
        <v>0</v>
      </c>
      <c r="T17" s="514"/>
      <c r="U17" s="514"/>
      <c r="V17" s="514"/>
      <c r="W17" s="514"/>
      <c r="X17" s="514"/>
    </row>
    <row r="18" spans="1:32" x14ac:dyDescent="0.3">
      <c r="B18" s="34">
        <v>45</v>
      </c>
      <c r="C18" s="803"/>
      <c r="D18" s="788"/>
      <c r="E18" s="777"/>
      <c r="F18" s="778"/>
      <c r="G18" s="567" t="str">
        <f>'2017 comm sample'!K18</f>
        <v>na</v>
      </c>
      <c r="H18" s="568" t="str">
        <f>'2017 comm sample'!L18</f>
        <v>na</v>
      </c>
      <c r="I18" s="568" t="str">
        <f>'2017 comm sample'!M18</f>
        <v>na</v>
      </c>
      <c r="J18" s="568" t="str">
        <f>'2017 comm sample'!N18</f>
        <v>na</v>
      </c>
      <c r="K18" s="569" t="str">
        <f>IF(C18&gt;0,'2017 comm sample'!C18/'2017 Comm catch'!C18,"na")</f>
        <v>na</v>
      </c>
      <c r="L18" s="570" t="str">
        <f>IF(D18&gt;0,'2017 comm sample'!D18/'2017 Comm catch'!D18,"na")</f>
        <v>na</v>
      </c>
      <c r="M18" s="570" t="str">
        <f>IF(E18&gt;0,'2017 comm sample'!E18/'2017 Comm catch'!E18,"na")</f>
        <v>na</v>
      </c>
      <c r="N18" s="570" t="str">
        <f>IF(F18&gt;0,'2017 comm sample'!F18/'2017 Comm catch'!F18,"na")</f>
        <v>na</v>
      </c>
      <c r="O18" s="560" t="str">
        <f t="shared" si="0"/>
        <v>na</v>
      </c>
      <c r="P18" s="514" t="str">
        <f t="shared" si="0"/>
        <v>na</v>
      </c>
      <c r="Q18" s="514" t="str">
        <f t="shared" si="0"/>
        <v>na</v>
      </c>
      <c r="R18" s="563" t="str">
        <f t="shared" si="0"/>
        <v>na</v>
      </c>
      <c r="S18" s="514"/>
      <c r="T18" s="514"/>
      <c r="U18" s="514"/>
      <c r="V18" s="514"/>
      <c r="W18" s="514"/>
      <c r="X18" s="514"/>
    </row>
    <row r="19" spans="1:32" x14ac:dyDescent="0.3">
      <c r="B19" s="34" t="s">
        <v>184</v>
      </c>
      <c r="C19" s="757">
        <f>SUM(C5:C18)</f>
        <v>13603</v>
      </c>
      <c r="D19" s="624">
        <f>SUM(D5:D18)</f>
        <v>12534</v>
      </c>
      <c r="E19" s="624">
        <f>SUM(E5:E18)</f>
        <v>2460</v>
      </c>
      <c r="F19" s="758">
        <f>SUM(F5:F18)</f>
        <v>9382</v>
      </c>
      <c r="G19" s="571">
        <f>'2016 comm sample'!K19</f>
        <v>2.564102564102564E-2</v>
      </c>
      <c r="H19" s="571">
        <f>'2016 comm sample'!L19</f>
        <v>2.761922297919352E-2</v>
      </c>
      <c r="I19" s="571">
        <f>'2016 comm sample'!M19</f>
        <v>0.13043478260869565</v>
      </c>
      <c r="J19" s="571">
        <f>'2016 comm sample'!N19</f>
        <v>3.2103210321032104E-2</v>
      </c>
      <c r="K19" s="721">
        <f>IF(C19&gt;0,'2016 comm sample'!C19/'2017 Comm catch'!C19,"na")</f>
        <v>0.3870469749320003</v>
      </c>
      <c r="L19" s="722">
        <f>IF(D19&gt;0,'2016 comm sample'!D19/'2017 Comm catch'!D19,"na")</f>
        <v>0.43330142013722672</v>
      </c>
      <c r="M19" s="722">
        <f>IF(E19&gt;0,'2016 comm sample'!E19/'2017 Comm catch'!E19,"na")</f>
        <v>0.26178861788617885</v>
      </c>
      <c r="N19" s="723">
        <f>IF(F19&gt;0,'2016 comm sample'!F19/'2017 Comm catch'!F19,"na")</f>
        <v>0.35525474312513322</v>
      </c>
      <c r="O19" s="572">
        <f>SUM(O5:O18)</f>
        <v>335.97278298613105</v>
      </c>
      <c r="P19" s="573">
        <f>SUM(P5:P18)</f>
        <v>481.7794610193011</v>
      </c>
      <c r="Q19" s="573">
        <f>SUM(Q5:Q18)</f>
        <v>162.52440185092885</v>
      </c>
      <c r="R19" s="574">
        <f>SUM(R5:R18)</f>
        <v>313.44086670777637</v>
      </c>
      <c r="S19" s="575"/>
      <c r="T19" s="575"/>
      <c r="U19" s="575"/>
      <c r="V19" s="575"/>
      <c r="W19" s="575"/>
      <c r="X19" s="575"/>
    </row>
    <row r="20" spans="1:32" x14ac:dyDescent="0.3">
      <c r="B20" s="208"/>
      <c r="C20" s="208"/>
      <c r="D20" s="208"/>
      <c r="E20" s="208"/>
      <c r="F20" s="575"/>
      <c r="G20" s="34"/>
      <c r="H20" s="34"/>
      <c r="I20" s="208"/>
      <c r="J20" s="576"/>
      <c r="K20" s="208"/>
      <c r="L20" s="208"/>
      <c r="M20" s="208"/>
      <c r="N20" s="577"/>
      <c r="O20" s="208"/>
      <c r="P20" s="208"/>
      <c r="Q20" s="208"/>
      <c r="R20" s="575"/>
      <c r="S20" s="575"/>
      <c r="T20" s="575"/>
      <c r="U20" s="575"/>
      <c r="V20" s="575"/>
      <c r="W20" s="575"/>
      <c r="X20" s="575"/>
    </row>
    <row r="21" spans="1:32" x14ac:dyDescent="0.3">
      <c r="B21" s="208"/>
      <c r="C21" s="457"/>
      <c r="D21" s="457"/>
      <c r="E21" s="457"/>
      <c r="F21" s="514"/>
      <c r="I21" s="457"/>
      <c r="J21" s="457"/>
      <c r="K21" s="457"/>
      <c r="L21" s="457"/>
      <c r="M21" s="457"/>
      <c r="N21" s="457"/>
      <c r="O21" s="457"/>
      <c r="P21" s="457"/>
      <c r="Q21" s="457"/>
      <c r="R21" s="514"/>
      <c r="S21" s="514"/>
      <c r="T21" s="514"/>
      <c r="U21" s="514"/>
      <c r="V21" s="514"/>
      <c r="W21" s="514"/>
      <c r="X21" s="514"/>
    </row>
    <row r="22" spans="1:32" x14ac:dyDescent="0.3">
      <c r="C22" s="34" t="s">
        <v>123</v>
      </c>
      <c r="H22" s="457"/>
      <c r="I22" s="457"/>
      <c r="J22" s="457"/>
      <c r="Y22" s="33"/>
      <c r="Z22" s="33"/>
      <c r="AA22" s="33"/>
    </row>
    <row r="23" spans="1:32" x14ac:dyDescent="0.3">
      <c r="C23" s="903" t="s">
        <v>263</v>
      </c>
      <c r="D23" s="904"/>
      <c r="E23" s="904"/>
      <c r="F23" s="904"/>
      <c r="G23" s="904"/>
      <c r="H23" s="904"/>
      <c r="I23" s="904"/>
      <c r="J23" s="905"/>
      <c r="K23" s="903" t="s">
        <v>264</v>
      </c>
      <c r="L23" s="904"/>
      <c r="M23" s="904"/>
      <c r="N23" s="904"/>
      <c r="O23" s="905"/>
      <c r="P23" s="903" t="s">
        <v>261</v>
      </c>
      <c r="Q23" s="904"/>
      <c r="R23" s="904"/>
      <c r="S23" s="904"/>
      <c r="T23" s="904"/>
      <c r="U23" s="697" t="s">
        <v>323</v>
      </c>
      <c r="V23" s="698"/>
      <c r="W23" s="698"/>
      <c r="X23" s="698"/>
      <c r="Y23" s="698"/>
      <c r="Z23" s="698"/>
      <c r="AA23" s="698"/>
      <c r="AB23" s="699"/>
      <c r="AC23" s="34" t="s">
        <v>328</v>
      </c>
    </row>
    <row r="24" spans="1:32" x14ac:dyDescent="0.3">
      <c r="B24" s="34" t="s">
        <v>134</v>
      </c>
      <c r="C24" s="547">
        <v>1</v>
      </c>
      <c r="D24" s="202">
        <v>2</v>
      </c>
      <c r="E24" s="202">
        <v>3</v>
      </c>
      <c r="F24" s="202"/>
      <c r="G24" s="202">
        <v>4</v>
      </c>
      <c r="H24" s="202">
        <v>5</v>
      </c>
      <c r="I24" s="202"/>
      <c r="J24" s="548" t="s">
        <v>272</v>
      </c>
      <c r="K24" s="367">
        <v>1</v>
      </c>
      <c r="L24" s="175">
        <v>2</v>
      </c>
      <c r="M24" s="175">
        <v>3</v>
      </c>
      <c r="N24" s="175">
        <v>4</v>
      </c>
      <c r="O24" s="368">
        <v>5</v>
      </c>
      <c r="P24" s="367">
        <v>1</v>
      </c>
      <c r="Q24" s="175">
        <v>2</v>
      </c>
      <c r="R24" s="175">
        <v>3</v>
      </c>
      <c r="S24" s="175">
        <v>4</v>
      </c>
      <c r="T24" s="175">
        <v>5</v>
      </c>
      <c r="U24" s="367">
        <v>1</v>
      </c>
      <c r="V24" s="175">
        <v>2</v>
      </c>
      <c r="W24" s="175">
        <v>3</v>
      </c>
      <c r="X24" s="175"/>
      <c r="Y24" s="175">
        <v>4</v>
      </c>
      <c r="Z24" s="175">
        <v>5</v>
      </c>
      <c r="AA24" s="175"/>
      <c r="AB24" s="368" t="s">
        <v>272</v>
      </c>
      <c r="AC24" s="32" t="str">
        <f>'2013 comm sample'!R24</f>
        <v>Z1-3 Agg</v>
      </c>
      <c r="AD24" s="32" t="str">
        <f>'2013 comm sample'!S24</f>
        <v>Z4-5 Agg</v>
      </c>
      <c r="AE24" s="73"/>
      <c r="AF24" s="73"/>
    </row>
    <row r="25" spans="1:32" x14ac:dyDescent="0.3">
      <c r="A25" s="34"/>
      <c r="B25" s="34">
        <v>32</v>
      </c>
      <c r="C25" s="716"/>
      <c r="D25" s="717"/>
      <c r="E25" s="717"/>
      <c r="F25" s="700"/>
      <c r="G25" s="794"/>
      <c r="H25" s="794"/>
      <c r="I25" s="700"/>
      <c r="J25" s="579"/>
      <c r="K25" s="532" t="str">
        <f>'2017 comm sample'!M25</f>
        <v>na</v>
      </c>
      <c r="L25" s="532" t="str">
        <f>'2017 comm sample'!N25</f>
        <v>na</v>
      </c>
      <c r="M25" s="532" t="str">
        <f>'2017 comm sample'!O25</f>
        <v>na</v>
      </c>
      <c r="N25" s="532" t="str">
        <f>'2017 comm sample'!P25</f>
        <v>na</v>
      </c>
      <c r="O25" s="533" t="str">
        <f>'2017 comm sample'!Q25</f>
        <v>na</v>
      </c>
      <c r="P25" s="559" t="str">
        <f>IF(C25&gt;0,'2017 comm sample'!C25/'2017 Comm catch'!C25,"na")</f>
        <v>na</v>
      </c>
      <c r="Q25" s="559" t="str">
        <f>IF(D25&gt;0,'2017 comm sample'!D25/'2017 Comm catch'!D25,"na")</f>
        <v>na</v>
      </c>
      <c r="R25" s="33" t="str">
        <f>IF(E25&gt;0,'2017 comm sample'!E25/'2017 Comm catch'!E25,"na")</f>
        <v>na</v>
      </c>
      <c r="S25" s="554" t="str">
        <f>IF(G25&gt;0,'2017 comm sample'!F25/'2017 Comm catch'!G25,"na")</f>
        <v>na</v>
      </c>
      <c r="T25" s="554" t="str">
        <f>IF(H25&gt;0,'2017 comm sample'!G25/'2017 Comm catch'!H25,"na")</f>
        <v>na</v>
      </c>
      <c r="U25" s="560">
        <f t="shared" ref="U25:W39" si="1">IF(K25&lt;&gt;"na",C25*K25,0)</f>
        <v>0</v>
      </c>
      <c r="V25" s="514">
        <f t="shared" si="1"/>
        <v>0</v>
      </c>
      <c r="W25" s="514">
        <f t="shared" si="1"/>
        <v>0</v>
      </c>
      <c r="X25" s="705">
        <f t="shared" ref="X25:X38" si="2">SUM(U25:W25)</f>
        <v>0</v>
      </c>
      <c r="Y25" s="514">
        <f t="shared" ref="Y25:Z39" si="3">IF(N25&lt;&gt;"na",G25*N25,0)</f>
        <v>0</v>
      </c>
      <c r="Z25" s="514">
        <f t="shared" si="3"/>
        <v>0</v>
      </c>
      <c r="AA25" s="705">
        <f t="shared" ref="AA25:AA38" si="4">SUM(Y25:Z25)</f>
        <v>0</v>
      </c>
      <c r="AB25" s="580">
        <f>X25+AA25</f>
        <v>0</v>
      </c>
    </row>
    <row r="26" spans="1:32" x14ac:dyDescent="0.3">
      <c r="A26" s="34"/>
      <c r="B26" s="34">
        <v>33</v>
      </c>
      <c r="C26" s="718"/>
      <c r="D26" s="714"/>
      <c r="E26" s="714"/>
      <c r="F26" s="701"/>
      <c r="G26" s="773"/>
      <c r="H26" s="773"/>
      <c r="I26" s="704">
        <f t="shared" ref="I26:I38" si="5">SUM(G26:H26)</f>
        <v>0</v>
      </c>
      <c r="J26" s="515">
        <f>F26+I26</f>
        <v>0</v>
      </c>
      <c r="K26" s="532" t="str">
        <f>'2017 comm sample'!M26</f>
        <v>na</v>
      </c>
      <c r="L26" s="532" t="str">
        <f>'2017 comm sample'!N26</f>
        <v>na</v>
      </c>
      <c r="M26" s="532" t="str">
        <f>'2017 comm sample'!O26</f>
        <v>na</v>
      </c>
      <c r="N26" s="532" t="str">
        <f>'2017 comm sample'!P26</f>
        <v>na</v>
      </c>
      <c r="O26" s="533" t="str">
        <f>'2017 comm sample'!Q26</f>
        <v>na</v>
      </c>
      <c r="P26" s="559" t="str">
        <f>IF(C26&gt;0,'2017 comm sample'!C26/'2017 Comm catch'!C26,"na")</f>
        <v>na</v>
      </c>
      <c r="Q26" s="559" t="str">
        <f>IF(D26&gt;0,'2017 comm sample'!D26/'2017 Comm catch'!D26,"na")</f>
        <v>na</v>
      </c>
      <c r="R26" s="559" t="str">
        <f>IF(E26&gt;0,'2017 comm sample'!E26/'2017 Comm catch'!E26,"na")</f>
        <v>na</v>
      </c>
      <c r="S26" s="559" t="str">
        <f>IF(G26&gt;0,'2017 comm sample'!F26/'2017 Comm catch'!G26,"na")</f>
        <v>na</v>
      </c>
      <c r="T26" s="559" t="str">
        <f>IF(H26&gt;0,'2017 comm sample'!G26/'2017 Comm catch'!H26,"na")</f>
        <v>na</v>
      </c>
      <c r="U26" s="560">
        <f t="shared" si="1"/>
        <v>0</v>
      </c>
      <c r="V26" s="514">
        <f t="shared" si="1"/>
        <v>0</v>
      </c>
      <c r="W26" s="514">
        <f t="shared" si="1"/>
        <v>0</v>
      </c>
      <c r="X26" s="705">
        <f t="shared" si="2"/>
        <v>0</v>
      </c>
      <c r="Y26" s="514">
        <f t="shared" si="3"/>
        <v>0</v>
      </c>
      <c r="Z26" s="514">
        <f t="shared" si="3"/>
        <v>0</v>
      </c>
      <c r="AA26" s="705">
        <f t="shared" si="4"/>
        <v>0</v>
      </c>
      <c r="AB26" s="580">
        <f t="shared" ref="AB26:AB40" si="6">X26+AA26</f>
        <v>0</v>
      </c>
    </row>
    <row r="27" spans="1:32" x14ac:dyDescent="0.3">
      <c r="A27" s="34" t="s">
        <v>324</v>
      </c>
      <c r="B27" s="34">
        <v>34</v>
      </c>
      <c r="C27" s="718"/>
      <c r="D27" s="714"/>
      <c r="E27" s="714"/>
      <c r="F27" s="701"/>
      <c r="G27" s="797">
        <v>39</v>
      </c>
      <c r="H27" s="797">
        <v>18</v>
      </c>
      <c r="I27" s="704">
        <f t="shared" si="5"/>
        <v>57</v>
      </c>
      <c r="J27" s="515">
        <f t="shared" ref="J27:J39" si="7">F27+I27</f>
        <v>57</v>
      </c>
      <c r="K27" s="532" t="str">
        <f>'2017 comm sample'!M27</f>
        <v>na</v>
      </c>
      <c r="L27" s="532" t="str">
        <f>'2017 comm sample'!N27</f>
        <v>na</v>
      </c>
      <c r="M27" s="532" t="str">
        <f>'2017 comm sample'!O27</f>
        <v>na</v>
      </c>
      <c r="N27" s="532">
        <f>'2017 comm sample'!P27</f>
        <v>0.66666666666666663</v>
      </c>
      <c r="O27" s="533">
        <f>'2017 comm sample'!Q27</f>
        <v>0.84615384615384615</v>
      </c>
      <c r="P27" s="559" t="str">
        <f>IF(C27&gt;0,'2017 comm sample'!C27/'2017 Comm catch'!C27,"na")</f>
        <v>na</v>
      </c>
      <c r="Q27" s="559" t="str">
        <f>IF(D27&gt;0,'2017 comm sample'!D27/'2017 Comm catch'!D27,"na")</f>
        <v>na</v>
      </c>
      <c r="R27" s="559" t="str">
        <f>IF(E27&gt;0,'2017 comm sample'!E27/'2017 Comm catch'!E27,"na")</f>
        <v>na</v>
      </c>
      <c r="S27" s="559">
        <f>IF(G27&gt;0,'2017 comm sample'!F27/'2017 Comm catch'!G27,"na")</f>
        <v>0.30769230769230771</v>
      </c>
      <c r="T27" s="559">
        <f>IF(H27&gt;0,'2017 comm sample'!G27/'2017 Comm catch'!H27,"na")</f>
        <v>0.72222222222222221</v>
      </c>
      <c r="U27" s="560">
        <f t="shared" si="1"/>
        <v>0</v>
      </c>
      <c r="V27" s="514">
        <f t="shared" si="1"/>
        <v>0</v>
      </c>
      <c r="W27" s="514">
        <f t="shared" si="1"/>
        <v>0</v>
      </c>
      <c r="X27" s="705">
        <f t="shared" si="2"/>
        <v>0</v>
      </c>
      <c r="Y27" s="514">
        <f t="shared" si="3"/>
        <v>26</v>
      </c>
      <c r="Z27" s="514">
        <f t="shared" si="3"/>
        <v>15.23076923076923</v>
      </c>
      <c r="AA27" s="705">
        <f t="shared" si="4"/>
        <v>41.230769230769226</v>
      </c>
      <c r="AB27" s="806">
        <f t="shared" si="6"/>
        <v>41.230769230769226</v>
      </c>
    </row>
    <row r="28" spans="1:32" x14ac:dyDescent="0.3">
      <c r="A28" s="34" t="s">
        <v>324</v>
      </c>
      <c r="B28" s="34">
        <v>35</v>
      </c>
      <c r="C28" s="718"/>
      <c r="D28" s="714"/>
      <c r="E28" s="714"/>
      <c r="F28" s="701"/>
      <c r="G28" s="797">
        <v>87</v>
      </c>
      <c r="H28" s="797">
        <v>74</v>
      </c>
      <c r="I28" s="704">
        <f t="shared" si="5"/>
        <v>161</v>
      </c>
      <c r="J28" s="515">
        <f t="shared" si="7"/>
        <v>161</v>
      </c>
      <c r="K28" s="532" t="str">
        <f>'2017 comm sample'!M28</f>
        <v>na</v>
      </c>
      <c r="L28" s="532" t="str">
        <f>'2017 comm sample'!N28</f>
        <v>na</v>
      </c>
      <c r="M28" s="532" t="str">
        <f>'2017 comm sample'!O28</f>
        <v>na</v>
      </c>
      <c r="N28" s="532">
        <f>'2017 comm sample'!P28</f>
        <v>0.81818181818181823</v>
      </c>
      <c r="O28" s="533">
        <f>'2017 comm sample'!Q28</f>
        <v>0.73333333333333328</v>
      </c>
      <c r="P28" s="559" t="str">
        <f>IF(C28&gt;0,'2017 comm sample'!C28/'2017 Comm catch'!C28,"na")</f>
        <v>na</v>
      </c>
      <c r="Q28" s="559" t="str">
        <f>IF(D28&gt;0,'2017 comm sample'!D28/'2017 Comm catch'!D28,"na")</f>
        <v>na</v>
      </c>
      <c r="R28" s="559" t="str">
        <f>IF(E28&gt;0,'2017 comm sample'!E28/'2017 Comm catch'!E28,"na")</f>
        <v>na</v>
      </c>
      <c r="S28" s="559">
        <f>IF(G28&gt;0,'2017 comm sample'!F28/'2017 Comm catch'!G28,"na")</f>
        <v>0.50574712643678166</v>
      </c>
      <c r="T28" s="559">
        <f>IF(H28&gt;0,'2017 comm sample'!G28/'2017 Comm catch'!H28,"na")</f>
        <v>0.40540540540540543</v>
      </c>
      <c r="U28" s="560">
        <f t="shared" si="1"/>
        <v>0</v>
      </c>
      <c r="V28" s="514">
        <f t="shared" si="1"/>
        <v>0</v>
      </c>
      <c r="W28" s="514">
        <f t="shared" si="1"/>
        <v>0</v>
      </c>
      <c r="X28" s="705">
        <f t="shared" si="2"/>
        <v>0</v>
      </c>
      <c r="Y28" s="514">
        <f t="shared" si="3"/>
        <v>71.181818181818187</v>
      </c>
      <c r="Z28" s="514">
        <f t="shared" si="3"/>
        <v>54.266666666666666</v>
      </c>
      <c r="AA28" s="705">
        <f t="shared" si="4"/>
        <v>125.44848484848485</v>
      </c>
      <c r="AB28" s="806">
        <f t="shared" si="6"/>
        <v>125.44848484848485</v>
      </c>
      <c r="AD28" s="585"/>
    </row>
    <row r="29" spans="1:32" x14ac:dyDescent="0.3">
      <c r="A29" s="34"/>
      <c r="B29" s="34">
        <v>36</v>
      </c>
      <c r="C29" s="718"/>
      <c r="D29" s="714"/>
      <c r="E29" s="714"/>
      <c r="F29" s="701"/>
      <c r="G29" s="804"/>
      <c r="H29" s="804"/>
      <c r="I29" s="704">
        <f t="shared" si="5"/>
        <v>0</v>
      </c>
      <c r="J29" s="515">
        <f t="shared" si="7"/>
        <v>0</v>
      </c>
      <c r="K29" s="532" t="str">
        <f>'2017 comm sample'!M29</f>
        <v>na</v>
      </c>
      <c r="L29" s="532" t="str">
        <f>'2017 comm sample'!N29</f>
        <v>na</v>
      </c>
      <c r="M29" s="532" t="str">
        <f>'2017 comm sample'!O29</f>
        <v>na</v>
      </c>
      <c r="N29" s="532" t="str">
        <f>'2017 comm sample'!P29</f>
        <v>na</v>
      </c>
      <c r="O29" s="533" t="str">
        <f>'2017 comm sample'!Q29</f>
        <v>na</v>
      </c>
      <c r="P29" s="559" t="str">
        <f>IF(C29&gt;0,'2017 comm sample'!C29/'2017 Comm catch'!C29,"na")</f>
        <v>na</v>
      </c>
      <c r="Q29" s="559" t="str">
        <f>IF(D29&gt;0,'2017 comm sample'!D29/'2017 Comm catch'!D29,"na")</f>
        <v>na</v>
      </c>
      <c r="R29" s="559" t="str">
        <f>IF(E29&gt;0,'2017 comm sample'!E29/'2017 Comm catch'!E29,"na")</f>
        <v>na</v>
      </c>
      <c r="S29" s="559" t="str">
        <f>IF(G29&gt;0,'2017 comm sample'!F29/'2017 Comm catch'!G29,"na")</f>
        <v>na</v>
      </c>
      <c r="T29" s="559" t="str">
        <f>IF(H29&gt;0,'2017 comm sample'!G29/'2017 Comm catch'!H29,"na")</f>
        <v>na</v>
      </c>
      <c r="U29" s="560">
        <f t="shared" si="1"/>
        <v>0</v>
      </c>
      <c r="V29" s="514">
        <f t="shared" si="1"/>
        <v>0</v>
      </c>
      <c r="W29" s="514">
        <f t="shared" si="1"/>
        <v>0</v>
      </c>
      <c r="X29" s="705">
        <f t="shared" si="2"/>
        <v>0</v>
      </c>
      <c r="Y29" s="514">
        <f t="shared" si="3"/>
        <v>0</v>
      </c>
      <c r="Z29" s="514">
        <f t="shared" si="3"/>
        <v>0</v>
      </c>
      <c r="AA29" s="705">
        <f t="shared" si="4"/>
        <v>0</v>
      </c>
      <c r="AB29" s="580">
        <f t="shared" si="6"/>
        <v>0</v>
      </c>
      <c r="AD29" s="585"/>
    </row>
    <row r="30" spans="1:32" x14ac:dyDescent="0.3">
      <c r="A30"/>
      <c r="B30" s="34">
        <v>37</v>
      </c>
      <c r="C30" s="718"/>
      <c r="D30" s="714"/>
      <c r="E30" s="714"/>
      <c r="F30" s="701"/>
      <c r="G30" s="773"/>
      <c r="H30" s="773"/>
      <c r="I30" s="701">
        <f t="shared" si="5"/>
        <v>0</v>
      </c>
      <c r="J30" s="515">
        <f t="shared" si="7"/>
        <v>0</v>
      </c>
      <c r="K30" s="532" t="str">
        <f>'2017 comm sample'!M30</f>
        <v>na</v>
      </c>
      <c r="L30" s="532" t="str">
        <f>'2017 comm sample'!N30</f>
        <v>na</v>
      </c>
      <c r="M30" s="532" t="str">
        <f>'2017 comm sample'!O30</f>
        <v>na</v>
      </c>
      <c r="N30" s="532" t="str">
        <f>'2017 comm sample'!P30</f>
        <v>na</v>
      </c>
      <c r="O30" s="533" t="str">
        <f>'2017 comm sample'!Q30</f>
        <v>na</v>
      </c>
      <c r="P30" s="558" t="str">
        <f>IF(C30&gt;0,'2017 comm sample'!C30/'2017 Comm catch'!C30,"na")</f>
        <v>na</v>
      </c>
      <c r="Q30" s="559" t="str">
        <f>IF(D30&gt;0,'2017 comm sample'!D30/'2017 Comm catch'!D30,"na")</f>
        <v>na</v>
      </c>
      <c r="R30" s="559" t="str">
        <f>IF(E30&gt;0,'2017 comm sample'!E30/'2017 Comm catch'!E30,"na")</f>
        <v>na</v>
      </c>
      <c r="S30" s="559" t="str">
        <f>IF(G30&gt;0,'2017 comm sample'!F30/'2017 Comm catch'!G30,"na")</f>
        <v>na</v>
      </c>
      <c r="T30" s="559" t="str">
        <f>IF(H30&gt;0,'2017 comm sample'!G30/'2017 Comm catch'!H30,"na")</f>
        <v>na</v>
      </c>
      <c r="U30" s="560">
        <f t="shared" si="1"/>
        <v>0</v>
      </c>
      <c r="V30" s="514">
        <f t="shared" si="1"/>
        <v>0</v>
      </c>
      <c r="W30" s="514">
        <f t="shared" si="1"/>
        <v>0</v>
      </c>
      <c r="X30" s="705">
        <f t="shared" si="2"/>
        <v>0</v>
      </c>
      <c r="Y30" s="514">
        <f t="shared" si="3"/>
        <v>0</v>
      </c>
      <c r="Z30" s="514">
        <f t="shared" si="3"/>
        <v>0</v>
      </c>
      <c r="AA30" s="705">
        <f t="shared" si="4"/>
        <v>0</v>
      </c>
      <c r="AB30" s="580">
        <f t="shared" si="6"/>
        <v>0</v>
      </c>
    </row>
    <row r="31" spans="1:32" x14ac:dyDescent="0.3">
      <c r="A31" s="34" t="s">
        <v>324</v>
      </c>
      <c r="B31" s="34">
        <v>38</v>
      </c>
      <c r="C31" s="718"/>
      <c r="D31" s="714"/>
      <c r="E31" s="714"/>
      <c r="F31" s="701"/>
      <c r="G31" s="791">
        <v>523</v>
      </c>
      <c r="H31" s="791">
        <v>190</v>
      </c>
      <c r="I31" s="701">
        <f t="shared" si="5"/>
        <v>713</v>
      </c>
      <c r="J31" s="515">
        <f t="shared" si="7"/>
        <v>713</v>
      </c>
      <c r="K31" s="532" t="str">
        <f>'2017 comm sample'!M31</f>
        <v>na</v>
      </c>
      <c r="L31" s="532" t="str">
        <f>'2017 comm sample'!N31</f>
        <v>na</v>
      </c>
      <c r="M31" s="532" t="str">
        <f>'2017 comm sample'!O31</f>
        <v>na</v>
      </c>
      <c r="N31" s="532">
        <f>'2017 comm sample'!P31</f>
        <v>0.6953125</v>
      </c>
      <c r="O31" s="533">
        <f>'2017 comm sample'!Q31</f>
        <v>0.59375</v>
      </c>
      <c r="P31" s="558" t="str">
        <f>IF(C31&gt;0,'2017 comm sample'!C31/'2017 Comm catch'!C31,"na")</f>
        <v>na</v>
      </c>
      <c r="Q31" s="559" t="str">
        <f>IF(D31&gt;0,'2017 comm sample'!D31/'2017 Comm catch'!D31,"na")</f>
        <v>na</v>
      </c>
      <c r="R31" s="559" t="str">
        <f>IF(E31&gt;0,'2017 comm sample'!E31/'2017 Comm catch'!E31,"na")</f>
        <v>na</v>
      </c>
      <c r="S31" s="559">
        <f>IF(G31&gt;0,'2017 comm sample'!F31/'2017 Comm catch'!G31,"na")</f>
        <v>0.24474187380497131</v>
      </c>
      <c r="T31" s="559">
        <f>IF(H31&gt;0,'2017 comm sample'!G31/'2017 Comm catch'!H31,"na")</f>
        <v>0.16842105263157894</v>
      </c>
      <c r="U31" s="560">
        <f t="shared" si="1"/>
        <v>0</v>
      </c>
      <c r="V31" s="514">
        <f t="shared" si="1"/>
        <v>0</v>
      </c>
      <c r="W31" s="514">
        <f t="shared" si="1"/>
        <v>0</v>
      </c>
      <c r="X31" s="705">
        <f t="shared" si="2"/>
        <v>0</v>
      </c>
      <c r="Y31" s="514">
        <f t="shared" si="3"/>
        <v>363.6484375</v>
      </c>
      <c r="Z31" s="514">
        <f t="shared" si="3"/>
        <v>112.8125</v>
      </c>
      <c r="AA31" s="705">
        <f t="shared" si="4"/>
        <v>476.4609375</v>
      </c>
      <c r="AB31" s="580">
        <f t="shared" si="6"/>
        <v>476.4609375</v>
      </c>
      <c r="AD31" s="805">
        <f>I31*'2017 comm sample'!S31</f>
        <v>481.27500000000003</v>
      </c>
    </row>
    <row r="32" spans="1:32" x14ac:dyDescent="0.3">
      <c r="A32" s="34"/>
      <c r="B32" s="34">
        <v>39</v>
      </c>
      <c r="C32" s="718"/>
      <c r="D32" s="714"/>
      <c r="E32" s="714"/>
      <c r="F32" s="701">
        <f t="shared" ref="F32:F38" si="8">SUM(C32:E32)</f>
        <v>0</v>
      </c>
      <c r="G32" s="799"/>
      <c r="H32" s="799"/>
      <c r="I32" s="704">
        <f t="shared" si="5"/>
        <v>0</v>
      </c>
      <c r="J32" s="737">
        <f t="shared" si="7"/>
        <v>0</v>
      </c>
      <c r="K32" s="532" t="str">
        <f>'2017 comm sample'!M32</f>
        <v>na</v>
      </c>
      <c r="L32" s="532" t="str">
        <f>'2017 comm sample'!N32</f>
        <v>na</v>
      </c>
      <c r="M32" s="532" t="str">
        <f>'2017 comm sample'!O32</f>
        <v>na</v>
      </c>
      <c r="N32" s="532" t="str">
        <f>'2017 comm sample'!P32</f>
        <v>na</v>
      </c>
      <c r="O32" s="533" t="str">
        <f>'2017 comm sample'!Q32</f>
        <v>na</v>
      </c>
      <c r="P32" s="558" t="str">
        <f>IF(C32&gt;0,'2017 comm sample'!C32/'2017 Comm catch'!C32,"na")</f>
        <v>na</v>
      </c>
      <c r="Q32" s="559" t="str">
        <f>IF(D32&gt;0,'2017 comm sample'!D32/'2017 Comm catch'!D32,"na")</f>
        <v>na</v>
      </c>
      <c r="R32" s="559" t="str">
        <f>IF(E32&gt;0,'2017 comm sample'!E32/'2017 Comm catch'!E32,"na")</f>
        <v>na</v>
      </c>
      <c r="S32" s="559" t="str">
        <f>IF(G32&gt;0,'2017 comm sample'!F32/'2017 Comm catch'!G32,"na")</f>
        <v>na</v>
      </c>
      <c r="T32" s="559" t="str">
        <f>IF(H32&gt;0,'2017 comm sample'!G32/'2017 Comm catch'!H32,"na")</f>
        <v>na</v>
      </c>
      <c r="U32" s="583">
        <f>IF(K32&lt;&gt;"na",C32*L32,0)</f>
        <v>0</v>
      </c>
      <c r="V32" s="584">
        <f t="shared" si="1"/>
        <v>0</v>
      </c>
      <c r="W32" s="514">
        <f t="shared" si="1"/>
        <v>0</v>
      </c>
      <c r="X32" s="706">
        <f t="shared" si="2"/>
        <v>0</v>
      </c>
      <c r="Y32" s="584">
        <f t="shared" si="3"/>
        <v>0</v>
      </c>
      <c r="Z32" s="584">
        <f t="shared" si="3"/>
        <v>0</v>
      </c>
      <c r="AA32" s="705">
        <f t="shared" si="4"/>
        <v>0</v>
      </c>
      <c r="AB32" s="580">
        <f t="shared" si="6"/>
        <v>0</v>
      </c>
      <c r="AC32" s="585"/>
      <c r="AD32" s="585"/>
      <c r="AE32" s="585"/>
      <c r="AF32" s="585"/>
    </row>
    <row r="33" spans="1:32" x14ac:dyDescent="0.3">
      <c r="A33" s="34"/>
      <c r="B33" s="34">
        <v>40</v>
      </c>
      <c r="C33" s="718"/>
      <c r="D33" s="714"/>
      <c r="E33" s="714"/>
      <c r="F33" s="701">
        <f>SUM(C33:E33)</f>
        <v>0</v>
      </c>
      <c r="G33" s="799"/>
      <c r="H33" s="799"/>
      <c r="I33" s="704">
        <f>SUM(G33:H33)</f>
        <v>0</v>
      </c>
      <c r="J33" s="515">
        <f>F33+I33</f>
        <v>0</v>
      </c>
      <c r="K33" s="532" t="str">
        <f>'2017 comm sample'!M33</f>
        <v>na</v>
      </c>
      <c r="L33" s="532" t="str">
        <f>'2017 comm sample'!N33</f>
        <v>na</v>
      </c>
      <c r="M33" s="532" t="str">
        <f>'2017 comm sample'!O33</f>
        <v>na</v>
      </c>
      <c r="N33" s="532" t="str">
        <f>'2017 comm sample'!P33</f>
        <v>na</v>
      </c>
      <c r="O33" s="533" t="str">
        <f>'2017 comm sample'!Q33</f>
        <v>na</v>
      </c>
      <c r="P33" s="558" t="str">
        <f>IF(C33&gt;0,'2017 comm sample'!C33/'2017 Comm catch'!C33,"na")</f>
        <v>na</v>
      </c>
      <c r="Q33" s="559" t="str">
        <f>IF(D33&gt;0,'2017 comm sample'!D33/'2017 Comm catch'!D33,"na")</f>
        <v>na</v>
      </c>
      <c r="R33" s="559" t="str">
        <f>IF(E33&gt;0,'2017 comm sample'!E33/'2017 Comm catch'!E33,"na")</f>
        <v>na</v>
      </c>
      <c r="S33" s="559" t="str">
        <f>IF(G33&gt;0,'2017 comm sample'!F33/'2017 Comm catch'!G33,"na")</f>
        <v>na</v>
      </c>
      <c r="T33" s="559" t="str">
        <f>IF(H33&gt;0,'2017 comm sample'!G33/'2017 Comm catch'!H33,"na")</f>
        <v>na</v>
      </c>
      <c r="U33" s="583">
        <f>IF(K33&lt;&gt;"na",C33*L33,0)</f>
        <v>0</v>
      </c>
      <c r="V33" s="514">
        <f>IF(L33&lt;&gt;"na",D33*L33,0)</f>
        <v>0</v>
      </c>
      <c r="W33" s="514">
        <f t="shared" si="1"/>
        <v>0</v>
      </c>
      <c r="X33" s="705">
        <f t="shared" si="2"/>
        <v>0</v>
      </c>
      <c r="Y33" s="584">
        <f t="shared" si="3"/>
        <v>0</v>
      </c>
      <c r="Z33" s="584">
        <f t="shared" si="3"/>
        <v>0</v>
      </c>
      <c r="AA33" s="705">
        <f t="shared" si="4"/>
        <v>0</v>
      </c>
      <c r="AB33" s="580">
        <f>X33+AA33</f>
        <v>0</v>
      </c>
      <c r="AC33" s="585"/>
      <c r="AD33" s="585"/>
      <c r="AE33" s="585"/>
      <c r="AF33" s="585"/>
    </row>
    <row r="34" spans="1:32" x14ac:dyDescent="0.3">
      <c r="A34" s="34"/>
      <c r="B34" s="34">
        <v>41</v>
      </c>
      <c r="C34" s="718"/>
      <c r="D34" s="714"/>
      <c r="E34" s="714"/>
      <c r="F34" s="701">
        <f t="shared" si="8"/>
        <v>0</v>
      </c>
      <c r="G34" s="795"/>
      <c r="H34" s="795"/>
      <c r="I34" s="704">
        <f t="shared" si="5"/>
        <v>0</v>
      </c>
      <c r="J34" s="515">
        <f t="shared" si="7"/>
        <v>0</v>
      </c>
      <c r="K34" s="532" t="str">
        <f>'2017 comm sample'!M34</f>
        <v>na</v>
      </c>
      <c r="L34" s="532" t="str">
        <f>'2017 comm sample'!N34</f>
        <v>na</v>
      </c>
      <c r="M34" s="532" t="str">
        <f>'2017 comm sample'!O34</f>
        <v>na</v>
      </c>
      <c r="N34" s="532" t="str">
        <f>'2017 comm sample'!P34</f>
        <v>na</v>
      </c>
      <c r="O34" s="533" t="str">
        <f>'2017 comm sample'!Q34</f>
        <v>na</v>
      </c>
      <c r="P34" s="558" t="str">
        <f>IF(C34&gt;0,'2017 comm sample'!C34/'2017 Comm catch'!C34,"na")</f>
        <v>na</v>
      </c>
      <c r="Q34" s="559" t="str">
        <f>IF(D34&gt;0,'2017 comm sample'!D34/'2017 Comm catch'!D34,"na")</f>
        <v>na</v>
      </c>
      <c r="R34" s="559" t="str">
        <f>IF(E34&gt;0,'2017 comm sample'!E34/'2017 Comm catch'!E34,"na")</f>
        <v>na</v>
      </c>
      <c r="S34" s="559" t="str">
        <f>IF(G34&gt;0,'2017 comm sample'!F34/'2017 Comm catch'!G34,"na")</f>
        <v>na</v>
      </c>
      <c r="T34" s="559" t="str">
        <f>IF(H34&gt;0,'2017 comm sample'!G34/'2017 Comm catch'!H34,"na")</f>
        <v>na</v>
      </c>
      <c r="U34" s="560">
        <f t="shared" si="1"/>
        <v>0</v>
      </c>
      <c r="V34" s="514">
        <f t="shared" si="1"/>
        <v>0</v>
      </c>
      <c r="W34" s="514">
        <f t="shared" si="1"/>
        <v>0</v>
      </c>
      <c r="X34" s="705">
        <f t="shared" si="2"/>
        <v>0</v>
      </c>
      <c r="Y34" s="514">
        <f t="shared" si="3"/>
        <v>0</v>
      </c>
      <c r="Z34" s="514">
        <f>IF(O34&lt;&gt;"na",H34*O34,0)</f>
        <v>0</v>
      </c>
      <c r="AA34" s="705">
        <f t="shared" si="4"/>
        <v>0</v>
      </c>
      <c r="AB34" s="580">
        <f t="shared" si="6"/>
        <v>0</v>
      </c>
      <c r="AC34" s="585"/>
      <c r="AD34" s="585"/>
      <c r="AE34" s="657"/>
    </row>
    <row r="35" spans="1:32" x14ac:dyDescent="0.3">
      <c r="A35" s="34"/>
      <c r="B35" s="34">
        <v>41</v>
      </c>
      <c r="C35" s="718"/>
      <c r="D35" s="714"/>
      <c r="E35" s="714"/>
      <c r="F35" s="701">
        <f t="shared" ref="F35" si="9">SUM(C35:E35)</f>
        <v>0</v>
      </c>
      <c r="G35" s="795"/>
      <c r="H35" s="795"/>
      <c r="I35" s="704">
        <f t="shared" si="5"/>
        <v>0</v>
      </c>
      <c r="J35" s="515">
        <f t="shared" si="7"/>
        <v>0</v>
      </c>
      <c r="K35" s="532" t="str">
        <f>'2017 comm sample'!M35</f>
        <v>na</v>
      </c>
      <c r="L35" s="532" t="str">
        <f>'2017 comm sample'!N35</f>
        <v>na</v>
      </c>
      <c r="M35" s="532" t="str">
        <f>'2017 comm sample'!O35</f>
        <v>na</v>
      </c>
      <c r="N35" s="532" t="str">
        <f>'2017 comm sample'!P35</f>
        <v>na</v>
      </c>
      <c r="O35" s="533" t="str">
        <f>'2017 comm sample'!Q35</f>
        <v>na</v>
      </c>
      <c r="P35" s="558" t="str">
        <f>IF(C35&gt;0,'2017 comm sample'!C35/'2017 Comm catch'!C35,"na")</f>
        <v>na</v>
      </c>
      <c r="Q35" s="559" t="str">
        <f>IF(D35&gt;0,'2017 comm sample'!D35/'2017 Comm catch'!D35,"na")</f>
        <v>na</v>
      </c>
      <c r="R35" s="559" t="str">
        <f>IF(E35&gt;0,'2017 comm sample'!E35/'2017 Comm catch'!E35,"na")</f>
        <v>na</v>
      </c>
      <c r="S35" s="559" t="str">
        <f>IF(G35&gt;0,'2017 comm sample'!F35/'2017 Comm catch'!G35,"na")</f>
        <v>na</v>
      </c>
      <c r="T35" s="559" t="str">
        <f>IF(H35&gt;0,'2017 comm sample'!G35/'2017 Comm catch'!H35,"na")</f>
        <v>na</v>
      </c>
      <c r="U35" s="560">
        <f t="shared" si="1"/>
        <v>0</v>
      </c>
      <c r="V35" s="514">
        <f t="shared" si="1"/>
        <v>0</v>
      </c>
      <c r="W35" s="514">
        <f t="shared" si="1"/>
        <v>0</v>
      </c>
      <c r="X35" s="705">
        <f t="shared" si="2"/>
        <v>0</v>
      </c>
      <c r="Y35" s="514">
        <f t="shared" si="3"/>
        <v>0</v>
      </c>
      <c r="Z35" s="514">
        <f>IF(O35&lt;&gt;"na",H35*O35,0)</f>
        <v>0</v>
      </c>
      <c r="AA35" s="705">
        <f t="shared" si="4"/>
        <v>0</v>
      </c>
      <c r="AB35" s="580">
        <f t="shared" si="6"/>
        <v>0</v>
      </c>
      <c r="AC35" s="585"/>
      <c r="AD35" s="585"/>
      <c r="AE35" s="657"/>
    </row>
    <row r="36" spans="1:32" x14ac:dyDescent="0.3">
      <c r="A36" s="34"/>
      <c r="B36" s="34">
        <v>42</v>
      </c>
      <c r="C36" s="718"/>
      <c r="D36" s="714"/>
      <c r="E36" s="714"/>
      <c r="F36" s="701">
        <f t="shared" si="8"/>
        <v>0</v>
      </c>
      <c r="G36" s="773"/>
      <c r="H36" s="773"/>
      <c r="I36" s="704">
        <f t="shared" si="5"/>
        <v>0</v>
      </c>
      <c r="J36" s="515">
        <f t="shared" si="7"/>
        <v>0</v>
      </c>
      <c r="K36" s="532" t="str">
        <f>'2017 comm sample'!M36</f>
        <v>na</v>
      </c>
      <c r="L36" s="532" t="str">
        <f>'2017 comm sample'!N36</f>
        <v>na</v>
      </c>
      <c r="M36" s="532" t="str">
        <f>'2017 comm sample'!O36</f>
        <v>na</v>
      </c>
      <c r="N36" s="532" t="str">
        <f>'2017 comm sample'!P36</f>
        <v>na</v>
      </c>
      <c r="O36" s="533" t="str">
        <f>'2017 comm sample'!Q36</f>
        <v>na</v>
      </c>
      <c r="P36" s="558" t="str">
        <f>IF(C36&gt;0,'2017 comm sample'!C36/'2017 Comm catch'!C36,"na")</f>
        <v>na</v>
      </c>
      <c r="Q36" s="559" t="str">
        <f>IF(D36&gt;0,'2017 comm sample'!D36/'2017 Comm catch'!D36,"na")</f>
        <v>na</v>
      </c>
      <c r="R36" s="559" t="str">
        <f>IF(E36&gt;0,'2017 comm sample'!E36/'2017 Comm catch'!E36,"na")</f>
        <v>na</v>
      </c>
      <c r="S36" s="559" t="str">
        <f>IF(G36&gt;0,'2017 comm sample'!F36/'2017 Comm catch'!G36,"na")</f>
        <v>na</v>
      </c>
      <c r="T36" s="559" t="str">
        <f>IF(H36&gt;0,'2017 comm sample'!G36/'2017 Comm catch'!H36,"na")</f>
        <v>na</v>
      </c>
      <c r="U36" s="560">
        <f t="shared" si="1"/>
        <v>0</v>
      </c>
      <c r="V36" s="514">
        <f t="shared" si="1"/>
        <v>0</v>
      </c>
      <c r="W36" s="514">
        <f t="shared" si="1"/>
        <v>0</v>
      </c>
      <c r="X36" s="705">
        <f t="shared" si="2"/>
        <v>0</v>
      </c>
      <c r="Y36" s="514">
        <f t="shared" si="3"/>
        <v>0</v>
      </c>
      <c r="Z36" s="514">
        <f t="shared" si="3"/>
        <v>0</v>
      </c>
      <c r="AA36" s="705">
        <f t="shared" si="4"/>
        <v>0</v>
      </c>
      <c r="AB36" s="580">
        <f t="shared" si="6"/>
        <v>0</v>
      </c>
      <c r="AC36" s="793"/>
      <c r="AD36" s="585"/>
    </row>
    <row r="37" spans="1:32" x14ac:dyDescent="0.3">
      <c r="A37" s="34"/>
      <c r="B37" s="34">
        <v>43</v>
      </c>
      <c r="C37" s="718"/>
      <c r="D37" s="714"/>
      <c r="E37" s="714"/>
      <c r="F37" s="701">
        <f t="shared" si="8"/>
        <v>0</v>
      </c>
      <c r="G37" s="773"/>
      <c r="H37" s="773"/>
      <c r="I37" s="704">
        <f t="shared" si="5"/>
        <v>0</v>
      </c>
      <c r="J37" s="515">
        <f t="shared" si="7"/>
        <v>0</v>
      </c>
      <c r="K37" s="532" t="str">
        <f>'2017 comm sample'!M37</f>
        <v>na</v>
      </c>
      <c r="L37" s="532" t="str">
        <f>'2017 comm sample'!N37</f>
        <v>na</v>
      </c>
      <c r="M37" s="532" t="str">
        <f>'2017 comm sample'!O37</f>
        <v>na</v>
      </c>
      <c r="N37" s="532" t="str">
        <f>'2017 comm sample'!P37</f>
        <v>na</v>
      </c>
      <c r="O37" s="532" t="str">
        <f>'2017 comm sample'!Q37</f>
        <v>na</v>
      </c>
      <c r="P37" s="558" t="str">
        <f>IF(C37&gt;0,'2017 comm sample'!C37/'2017 Comm catch'!C37,"na")</f>
        <v>na</v>
      </c>
      <c r="Q37" s="559" t="str">
        <f>IF(D37&gt;0,'2017 comm sample'!D37/'2017 Comm catch'!D37,"na")</f>
        <v>na</v>
      </c>
      <c r="R37" s="559" t="str">
        <f>IF(E37&gt;0,'2017 comm sample'!E37/'2017 Comm catch'!E37,"na")</f>
        <v>na</v>
      </c>
      <c r="S37" s="559" t="str">
        <f>IF(G37&gt;0,'2017 comm sample'!F37/'2017 Comm catch'!G37,"na")</f>
        <v>na</v>
      </c>
      <c r="T37" s="559" t="str">
        <f>IF(H37&gt;0,'2017 comm sample'!G37/'2017 Comm catch'!H37,"na")</f>
        <v>na</v>
      </c>
      <c r="U37" s="560">
        <f t="shared" si="1"/>
        <v>0</v>
      </c>
      <c r="V37" s="514">
        <f t="shared" si="1"/>
        <v>0</v>
      </c>
      <c r="W37" s="514">
        <f t="shared" si="1"/>
        <v>0</v>
      </c>
      <c r="X37" s="705">
        <f t="shared" si="2"/>
        <v>0</v>
      </c>
      <c r="Y37" s="514">
        <f t="shared" si="3"/>
        <v>0</v>
      </c>
      <c r="Z37" s="514">
        <f t="shared" si="3"/>
        <v>0</v>
      </c>
      <c r="AA37" s="705">
        <f t="shared" si="4"/>
        <v>0</v>
      </c>
      <c r="AB37" s="580">
        <f t="shared" si="6"/>
        <v>0</v>
      </c>
      <c r="AC37" s="793"/>
      <c r="AD37" s="585"/>
    </row>
    <row r="38" spans="1:32" x14ac:dyDescent="0.3">
      <c r="A38" s="34"/>
      <c r="B38" s="34">
        <v>44</v>
      </c>
      <c r="C38" s="718"/>
      <c r="D38" s="714"/>
      <c r="E38" s="714"/>
      <c r="F38" s="714">
        <f t="shared" si="8"/>
        <v>0</v>
      </c>
      <c r="G38" s="773"/>
      <c r="H38" s="773"/>
      <c r="I38" s="719">
        <f t="shared" si="5"/>
        <v>0</v>
      </c>
      <c r="J38" s="515">
        <f t="shared" si="7"/>
        <v>0</v>
      </c>
      <c r="K38" s="532" t="str">
        <f>'2017 comm sample'!M38</f>
        <v>na</v>
      </c>
      <c r="L38" s="532" t="str">
        <f>'2017 comm sample'!N38</f>
        <v>na</v>
      </c>
      <c r="M38" s="532" t="str">
        <f>'2017 comm sample'!O38</f>
        <v>na</v>
      </c>
      <c r="N38" s="532" t="str">
        <f>'2017 comm sample'!P38</f>
        <v>na</v>
      </c>
      <c r="O38" s="533" t="str">
        <f>'2017 comm sample'!Q38</f>
        <v>na</v>
      </c>
      <c r="P38" s="558" t="str">
        <f>IF(C38&gt;0,'2017 comm sample'!C38/'2017 Comm catch'!C38,"na")</f>
        <v>na</v>
      </c>
      <c r="Q38" s="559" t="str">
        <f>IF(D38&gt;0,'2017 comm sample'!D38/'2017 Comm catch'!D38,"na")</f>
        <v>na</v>
      </c>
      <c r="R38" s="559" t="str">
        <f>IF(E38&gt;0,'2017 comm sample'!E38/'2017 Comm catch'!E38,"na")</f>
        <v>na</v>
      </c>
      <c r="S38" s="559" t="str">
        <f>IF(G38&gt;0,'2017 comm sample'!F38/'2017 Comm catch'!G38,"na")</f>
        <v>na</v>
      </c>
      <c r="T38" s="559" t="str">
        <f>IF(H38&gt;0,'2017 comm sample'!G38/'2017 Comm catch'!H38,"na")</f>
        <v>na</v>
      </c>
      <c r="U38" s="560">
        <f t="shared" si="1"/>
        <v>0</v>
      </c>
      <c r="V38" s="514">
        <f t="shared" si="1"/>
        <v>0</v>
      </c>
      <c r="W38" s="514">
        <f t="shared" si="1"/>
        <v>0</v>
      </c>
      <c r="X38" s="705">
        <f t="shared" si="2"/>
        <v>0</v>
      </c>
      <c r="Y38" s="514">
        <f t="shared" si="3"/>
        <v>0</v>
      </c>
      <c r="Z38" s="514">
        <f t="shared" si="3"/>
        <v>0</v>
      </c>
      <c r="AA38" s="705">
        <f t="shared" si="4"/>
        <v>0</v>
      </c>
      <c r="AB38" s="580">
        <f t="shared" si="6"/>
        <v>0</v>
      </c>
      <c r="AC38" s="585"/>
      <c r="AD38" s="585"/>
    </row>
    <row r="39" spans="1:32" x14ac:dyDescent="0.3">
      <c r="B39" s="34">
        <v>45</v>
      </c>
      <c r="C39" s="750"/>
      <c r="D39" s="751"/>
      <c r="E39" s="751"/>
      <c r="F39" s="751"/>
      <c r="G39" s="796"/>
      <c r="H39" s="796"/>
      <c r="I39" s="751"/>
      <c r="J39" s="566">
        <f t="shared" si="7"/>
        <v>0</v>
      </c>
      <c r="K39" s="534" t="str">
        <f>'2017 comm sample'!M39</f>
        <v>na</v>
      </c>
      <c r="L39" s="534" t="str">
        <f>'2017 comm sample'!N39</f>
        <v>na</v>
      </c>
      <c r="M39" s="534" t="str">
        <f>'2017 comm sample'!O39</f>
        <v>na</v>
      </c>
      <c r="N39" s="534" t="str">
        <f>'2017 comm sample'!P39</f>
        <v>na</v>
      </c>
      <c r="O39" s="535" t="str">
        <f>'2017 comm sample'!Q39</f>
        <v>na</v>
      </c>
      <c r="P39" s="569" t="str">
        <f>IF(C39&gt;0,'2017 comm sample'!C39/'2017 Comm catch'!C39,"na")</f>
        <v>na</v>
      </c>
      <c r="Q39" s="570" t="str">
        <f>IF(D39&gt;0,'2017 comm sample'!D39/'2017 Comm catch'!D39,"na")</f>
        <v>na</v>
      </c>
      <c r="R39" s="570" t="str">
        <f>IF(E39&gt;0,'2017 comm sample'!E39/'2017 Comm catch'!E39,"na")</f>
        <v>na</v>
      </c>
      <c r="S39" s="570" t="str">
        <f>IF(G39&gt;0,'2017 comm sample'!F39/'2017 Comm catch'!G39,"na")</f>
        <v>na</v>
      </c>
      <c r="T39" s="570" t="str">
        <f>IF(H39&gt;0,'2017 comm sample'!G39/'2017 Comm catch'!H39,"na")</f>
        <v>na</v>
      </c>
      <c r="U39" s="588">
        <f t="shared" si="1"/>
        <v>0</v>
      </c>
      <c r="V39" s="589">
        <f t="shared" si="1"/>
        <v>0</v>
      </c>
      <c r="W39" s="589">
        <f t="shared" si="1"/>
        <v>0</v>
      </c>
      <c r="X39" s="707"/>
      <c r="Y39" s="589">
        <f t="shared" si="3"/>
        <v>0</v>
      </c>
      <c r="Z39" s="589">
        <f t="shared" si="3"/>
        <v>0</v>
      </c>
      <c r="AA39" s="707"/>
      <c r="AB39" s="590">
        <f t="shared" si="6"/>
        <v>0</v>
      </c>
    </row>
    <row r="40" spans="1:32" x14ac:dyDescent="0.3">
      <c r="B40" s="591" t="s">
        <v>184</v>
      </c>
      <c r="C40" s="592">
        <f>SUM(C25:C39)</f>
        <v>0</v>
      </c>
      <c r="D40" s="593">
        <f>SUM(D25:D39)</f>
        <v>0</v>
      </c>
      <c r="E40" s="593">
        <f>SUM(E25:E39)</f>
        <v>0</v>
      </c>
      <c r="F40" s="593"/>
      <c r="G40" s="593">
        <f>SUM(G25:G39)</f>
        <v>649</v>
      </c>
      <c r="H40" s="593">
        <f>SUM(H25:H39)</f>
        <v>282</v>
      </c>
      <c r="I40" s="593"/>
      <c r="J40" s="594">
        <f>SUM(C40:H40)</f>
        <v>931</v>
      </c>
      <c r="K40" s="595" t="str">
        <f>'2017 comm sample'!M40</f>
        <v>na</v>
      </c>
      <c r="L40" s="595" t="str">
        <f>'2017 comm sample'!N40</f>
        <v>na</v>
      </c>
      <c r="M40" s="595" t="str">
        <f>'2017 comm sample'!O40</f>
        <v>na</v>
      </c>
      <c r="N40" s="595">
        <f>'2017 comm sample'!P40</f>
        <v>0.72282608695652173</v>
      </c>
      <c r="O40" s="595">
        <f>'2017 comm sample'!Q40</f>
        <v>0.69333333333333336</v>
      </c>
      <c r="P40" s="596" t="str">
        <f>IF(C40&gt;0,'2017 comm sample'!C40/'2017 Comm catch'!C40,"na")</f>
        <v>na</v>
      </c>
      <c r="Q40" s="596" t="str">
        <f>IF(D40&gt;0,'2017 comm sample'!D40/'2017 Comm catch'!D40,"na")</f>
        <v>na</v>
      </c>
      <c r="R40" s="596" t="str">
        <f>IF(E40&gt;0,'2017 comm sample'!E40/'2017 Comm catch'!E40,"na")</f>
        <v>na</v>
      </c>
      <c r="S40" s="596">
        <f>IF(G40&gt;0,'2017 comm sample'!F40/'2017 Comm catch'!G40,"na")</f>
        <v>0.28351309707241912</v>
      </c>
      <c r="T40" s="596">
        <f>IF(H40&gt;0,'2017 comm sample'!G40/'2017 Comm catch'!H40,"na")</f>
        <v>0.26595744680851063</v>
      </c>
      <c r="U40" s="588">
        <f t="shared" ref="U40:AA40" si="10">SUM(U25:U39)</f>
        <v>0</v>
      </c>
      <c r="V40" s="589">
        <f t="shared" si="10"/>
        <v>0</v>
      </c>
      <c r="W40" s="589">
        <f t="shared" si="10"/>
        <v>0</v>
      </c>
      <c r="X40" s="589">
        <f t="shared" si="10"/>
        <v>0</v>
      </c>
      <c r="Y40" s="589">
        <f t="shared" si="10"/>
        <v>460.83025568181819</v>
      </c>
      <c r="Z40" s="589">
        <f t="shared" si="10"/>
        <v>182.30993589743588</v>
      </c>
      <c r="AA40" s="589">
        <f t="shared" si="10"/>
        <v>643.14019157925406</v>
      </c>
      <c r="AB40" s="590">
        <f t="shared" si="6"/>
        <v>643.14019157925406</v>
      </c>
    </row>
    <row r="41" spans="1:32" x14ac:dyDescent="0.3">
      <c r="B41" s="591"/>
      <c r="C41" s="597"/>
      <c r="D41" s="597"/>
      <c r="E41" s="597">
        <f>E40+D40+C40</f>
        <v>0</v>
      </c>
      <c r="F41" s="597"/>
      <c r="G41" s="597"/>
      <c r="J41" s="597"/>
      <c r="K41" s="597"/>
      <c r="L41" s="597"/>
      <c r="M41" s="597"/>
      <c r="N41" s="597"/>
      <c r="O41" s="598"/>
      <c r="P41" s="597"/>
      <c r="Q41" s="597"/>
      <c r="R41" s="597"/>
      <c r="S41" s="597"/>
      <c r="T41" s="599"/>
      <c r="U41" s="597"/>
      <c r="V41" s="597"/>
      <c r="W41" s="597"/>
      <c r="X41" s="597"/>
      <c r="Y41" s="597"/>
      <c r="Z41" s="33"/>
      <c r="AA41" s="33"/>
      <c r="AB41" s="597"/>
      <c r="AC41" s="647"/>
    </row>
  </sheetData>
  <mergeCells count="7">
    <mergeCell ref="C3:F3"/>
    <mergeCell ref="G3:J3"/>
    <mergeCell ref="K3:N3"/>
    <mergeCell ref="O3:R3"/>
    <mergeCell ref="C23:J23"/>
    <mergeCell ref="K23:O23"/>
    <mergeCell ref="P23:T23"/>
  </mergeCells>
  <conditionalFormatting sqref="K5:N18">
    <cfRule type="cellIs" dxfId="67" priority="5" operator="equal">
      <formula>"na"</formula>
    </cfRule>
    <cfRule type="cellIs" dxfId="66" priority="6" operator="greaterThan">
      <formula>1</formula>
    </cfRule>
    <cfRule type="cellIs" dxfId="65" priority="7" operator="lessThan">
      <formula>0.2</formula>
    </cfRule>
    <cfRule type="cellIs" dxfId="64" priority="12" stopIfTrue="1" operator="equal">
      <formula>0</formula>
    </cfRule>
  </conditionalFormatting>
  <conditionalFormatting sqref="P25:T34 P36:T39">
    <cfRule type="cellIs" dxfId="63" priority="8" stopIfTrue="1" operator="equal">
      <formula>"na"</formula>
    </cfRule>
    <cfRule type="cellIs" dxfId="62" priority="9" operator="greaterThan">
      <formula>1</formula>
    </cfRule>
    <cfRule type="cellIs" dxfId="61" priority="10" operator="lessThan">
      <formula>0.2</formula>
    </cfRule>
    <cfRule type="cellIs" dxfId="60" priority="11" stopIfTrue="1" operator="equal">
      <formula>0</formula>
    </cfRule>
  </conditionalFormatting>
  <conditionalFormatting sqref="P35:T35">
    <cfRule type="cellIs" dxfId="59" priority="1" stopIfTrue="1" operator="equal">
      <formula>"na"</formula>
    </cfRule>
    <cfRule type="cellIs" dxfId="58" priority="2" operator="greaterThan">
      <formula>1</formula>
    </cfRule>
    <cfRule type="cellIs" dxfId="57" priority="3" operator="lessThan">
      <formula>0.2</formula>
    </cfRule>
    <cfRule type="cellIs" dxfId="56" priority="4" stopIfTrue="1" operator="equal">
      <formula>0</formula>
    </cfRule>
  </conditionalFormatting>
  <pageMargins left="0.75" right="0.75" top="1" bottom="1" header="0.5" footer="0.5"/>
  <pageSetup scale="49" orientation="landscape" r:id="rId1"/>
  <headerFooter alignWithMargins="0"/>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S41"/>
  <sheetViews>
    <sheetView zoomScale="110" zoomScaleNormal="110" workbookViewId="0">
      <pane xSplit="2" topLeftCell="C1" activePane="topRight" state="frozen"/>
      <selection activeCell="I30" sqref="I30"/>
      <selection pane="topRight" activeCell="I30" sqref="I30"/>
    </sheetView>
  </sheetViews>
  <sheetFormatPr defaultRowHeight="12.5" x14ac:dyDescent="0.25"/>
  <cols>
    <col min="1" max="1" width="20.7265625" bestFit="1" customWidth="1"/>
    <col min="2" max="2" width="5.81640625" bestFit="1" customWidth="1"/>
    <col min="3" max="3" width="11.1796875" bestFit="1" customWidth="1"/>
    <col min="4" max="4" width="9.453125" bestFit="1" customWidth="1"/>
    <col min="5" max="5" width="7.453125" bestFit="1" customWidth="1"/>
    <col min="6" max="6" width="7.1796875" bestFit="1" customWidth="1"/>
    <col min="7" max="7" width="11.1796875" bestFit="1" customWidth="1"/>
    <col min="8" max="8" width="9.453125" bestFit="1" customWidth="1"/>
    <col min="9" max="9" width="7.453125" bestFit="1" customWidth="1"/>
    <col min="10" max="10" width="7.1796875" bestFit="1" customWidth="1"/>
    <col min="11" max="11" width="11.1796875" bestFit="1" customWidth="1"/>
    <col min="12" max="12" width="9.453125" bestFit="1" customWidth="1"/>
    <col min="13" max="14" width="8.26953125" customWidth="1"/>
    <col min="15" max="15" width="7" bestFit="1" customWidth="1"/>
    <col min="16" max="17" width="8.26953125" bestFit="1" customWidth="1"/>
  </cols>
  <sheetData>
    <row r="2" spans="1:14" ht="13" x14ac:dyDescent="0.3">
      <c r="C2" s="34" t="s">
        <v>330</v>
      </c>
    </row>
    <row r="3" spans="1:14" x14ac:dyDescent="0.25">
      <c r="C3" s="900" t="s">
        <v>265</v>
      </c>
      <c r="D3" s="901"/>
      <c r="E3" s="901"/>
      <c r="F3" s="902"/>
      <c r="G3" s="900" t="s">
        <v>266</v>
      </c>
      <c r="H3" s="901"/>
      <c r="I3" s="901"/>
      <c r="J3" s="902"/>
      <c r="K3" s="900" t="s">
        <v>267</v>
      </c>
      <c r="L3" s="901"/>
      <c r="M3" s="901"/>
      <c r="N3" s="902"/>
    </row>
    <row r="4" spans="1:14" x14ac:dyDescent="0.25">
      <c r="B4" t="s">
        <v>134</v>
      </c>
      <c r="C4" s="274" t="s">
        <v>31</v>
      </c>
      <c r="D4" s="42" t="s">
        <v>62</v>
      </c>
      <c r="E4" s="42" t="s">
        <v>260</v>
      </c>
      <c r="F4" s="134" t="s">
        <v>203</v>
      </c>
      <c r="G4" s="274" t="s">
        <v>31</v>
      </c>
      <c r="H4" s="42" t="s">
        <v>62</v>
      </c>
      <c r="I4" s="42" t="s">
        <v>260</v>
      </c>
      <c r="J4" s="134" t="s">
        <v>203</v>
      </c>
      <c r="K4" s="274" t="s">
        <v>31</v>
      </c>
      <c r="L4" s="42" t="s">
        <v>62</v>
      </c>
      <c r="M4" s="42" t="s">
        <v>260</v>
      </c>
      <c r="N4" s="134" t="s">
        <v>203</v>
      </c>
    </row>
    <row r="5" spans="1:14" x14ac:dyDescent="0.25">
      <c r="B5">
        <v>32</v>
      </c>
      <c r="C5" s="711">
        <v>0</v>
      </c>
      <c r="D5" s="719"/>
      <c r="E5" s="719"/>
      <c r="F5" s="760">
        <v>0</v>
      </c>
      <c r="G5" s="711">
        <v>0</v>
      </c>
      <c r="H5" s="719"/>
      <c r="I5" s="719"/>
      <c r="J5" s="711">
        <v>0</v>
      </c>
      <c r="K5" s="521" t="str">
        <f t="shared" ref="K5:N18" si="0">IF(C5&gt;0,G5/C5,"na")</f>
        <v>na</v>
      </c>
      <c r="L5" s="522" t="str">
        <f t="shared" si="0"/>
        <v>na</v>
      </c>
      <c r="M5" s="522" t="str">
        <f t="shared" si="0"/>
        <v>na</v>
      </c>
      <c r="N5" s="523" t="str">
        <f t="shared" si="0"/>
        <v>na</v>
      </c>
    </row>
    <row r="6" spans="1:14" x14ac:dyDescent="0.25">
      <c r="B6">
        <v>33</v>
      </c>
      <c r="C6" s="711">
        <v>2</v>
      </c>
      <c r="D6" s="719"/>
      <c r="E6" s="719"/>
      <c r="F6" s="712">
        <v>1</v>
      </c>
      <c r="G6" s="711">
        <v>0</v>
      </c>
      <c r="H6" s="719"/>
      <c r="I6" s="719"/>
      <c r="J6" s="711">
        <v>0</v>
      </c>
      <c r="K6" s="524">
        <f t="shared" si="0"/>
        <v>0</v>
      </c>
      <c r="L6" s="525" t="str">
        <f t="shared" si="0"/>
        <v>na</v>
      </c>
      <c r="M6" s="525" t="str">
        <f t="shared" si="0"/>
        <v>na</v>
      </c>
      <c r="N6" s="526">
        <f t="shared" si="0"/>
        <v>0</v>
      </c>
    </row>
    <row r="7" spans="1:14" x14ac:dyDescent="0.25">
      <c r="B7">
        <v>34</v>
      </c>
      <c r="C7" s="711">
        <v>3</v>
      </c>
      <c r="D7" s="719"/>
      <c r="E7" s="719"/>
      <c r="F7" s="712">
        <v>1</v>
      </c>
      <c r="G7" s="711">
        <v>0</v>
      </c>
      <c r="H7" s="719"/>
      <c r="I7" s="719"/>
      <c r="J7" s="711">
        <v>0</v>
      </c>
      <c r="K7" s="524">
        <f t="shared" si="0"/>
        <v>0</v>
      </c>
      <c r="L7" s="525" t="str">
        <f t="shared" si="0"/>
        <v>na</v>
      </c>
      <c r="M7" s="525" t="str">
        <f t="shared" si="0"/>
        <v>na</v>
      </c>
      <c r="N7" s="526">
        <f t="shared" si="0"/>
        <v>0</v>
      </c>
    </row>
    <row r="8" spans="1:14" x14ac:dyDescent="0.25">
      <c r="B8">
        <v>35</v>
      </c>
      <c r="C8" s="711">
        <v>28</v>
      </c>
      <c r="D8" s="711">
        <v>18</v>
      </c>
      <c r="E8" s="711">
        <v>2</v>
      </c>
      <c r="F8" s="712">
        <v>32</v>
      </c>
      <c r="G8" s="711">
        <v>2</v>
      </c>
      <c r="H8" s="711">
        <v>1</v>
      </c>
      <c r="I8" s="711">
        <v>1</v>
      </c>
      <c r="J8" s="711">
        <v>3</v>
      </c>
      <c r="K8" s="524">
        <f t="shared" si="0"/>
        <v>7.1428571428571425E-2</v>
      </c>
      <c r="L8" s="525">
        <f t="shared" si="0"/>
        <v>5.5555555555555552E-2</v>
      </c>
      <c r="M8" s="525">
        <f t="shared" si="0"/>
        <v>0.5</v>
      </c>
      <c r="N8" s="526">
        <f t="shared" si="0"/>
        <v>9.375E-2</v>
      </c>
    </row>
    <row r="9" spans="1:14" x14ac:dyDescent="0.25">
      <c r="B9">
        <v>36</v>
      </c>
      <c r="C9" s="711">
        <v>774</v>
      </c>
      <c r="D9" s="711">
        <v>484</v>
      </c>
      <c r="E9" s="711">
        <v>21</v>
      </c>
      <c r="F9" s="712">
        <v>226</v>
      </c>
      <c r="G9" s="711">
        <v>41</v>
      </c>
      <c r="H9" s="711">
        <v>22</v>
      </c>
      <c r="I9" s="711">
        <v>5</v>
      </c>
      <c r="J9" s="711">
        <v>4</v>
      </c>
      <c r="K9" s="524">
        <f t="shared" si="0"/>
        <v>5.2971576227390182E-2</v>
      </c>
      <c r="L9" s="525">
        <f t="shared" si="0"/>
        <v>4.5454545454545456E-2</v>
      </c>
      <c r="M9" s="525">
        <f t="shared" si="0"/>
        <v>0.23809523809523808</v>
      </c>
      <c r="N9" s="526">
        <f t="shared" si="0"/>
        <v>1.7699115044247787E-2</v>
      </c>
    </row>
    <row r="10" spans="1:14" x14ac:dyDescent="0.25">
      <c r="B10">
        <v>37</v>
      </c>
      <c r="C10" s="711">
        <v>1685</v>
      </c>
      <c r="D10" s="711">
        <v>1028</v>
      </c>
      <c r="E10" s="711">
        <v>144</v>
      </c>
      <c r="F10" s="712">
        <v>910</v>
      </c>
      <c r="G10" s="711">
        <v>36</v>
      </c>
      <c r="H10" s="711">
        <v>31</v>
      </c>
      <c r="I10" s="711">
        <v>10</v>
      </c>
      <c r="J10" s="711">
        <v>13</v>
      </c>
      <c r="K10" s="524">
        <f t="shared" si="0"/>
        <v>2.1364985163204748E-2</v>
      </c>
      <c r="L10" s="525">
        <f t="shared" si="0"/>
        <v>3.0155642023346304E-2</v>
      </c>
      <c r="M10" s="525">
        <f t="shared" si="0"/>
        <v>6.9444444444444448E-2</v>
      </c>
      <c r="N10" s="526">
        <f t="shared" si="0"/>
        <v>1.4285714285714285E-2</v>
      </c>
    </row>
    <row r="11" spans="1:14" x14ac:dyDescent="0.25">
      <c r="B11">
        <v>38</v>
      </c>
      <c r="C11" s="711">
        <v>1519</v>
      </c>
      <c r="D11" s="711">
        <v>1476</v>
      </c>
      <c r="E11" s="711">
        <v>200</v>
      </c>
      <c r="F11" s="712">
        <v>706</v>
      </c>
      <c r="G11" s="711">
        <v>26</v>
      </c>
      <c r="H11" s="711">
        <v>41</v>
      </c>
      <c r="I11" s="711">
        <v>14</v>
      </c>
      <c r="J11" s="711">
        <v>23</v>
      </c>
      <c r="K11" s="524">
        <f t="shared" si="0"/>
        <v>1.7116524028966424E-2</v>
      </c>
      <c r="L11" s="525">
        <f t="shared" si="0"/>
        <v>2.7777777777777776E-2</v>
      </c>
      <c r="M11" s="525">
        <f t="shared" si="0"/>
        <v>7.0000000000000007E-2</v>
      </c>
      <c r="N11" s="526">
        <f t="shared" si="0"/>
        <v>3.2577903682719546E-2</v>
      </c>
    </row>
    <row r="12" spans="1:14" x14ac:dyDescent="0.25">
      <c r="B12">
        <v>39</v>
      </c>
      <c r="C12" s="711">
        <v>680</v>
      </c>
      <c r="D12" s="711">
        <v>1078</v>
      </c>
      <c r="E12" s="711">
        <v>192</v>
      </c>
      <c r="F12" s="712">
        <v>873</v>
      </c>
      <c r="G12" s="711">
        <v>11</v>
      </c>
      <c r="H12" s="711">
        <v>28</v>
      </c>
      <c r="I12" s="711">
        <v>27</v>
      </c>
      <c r="J12" s="711">
        <v>48</v>
      </c>
      <c r="K12" s="524">
        <f t="shared" si="0"/>
        <v>1.6176470588235296E-2</v>
      </c>
      <c r="L12" s="525">
        <f t="shared" si="0"/>
        <v>2.5974025974025976E-2</v>
      </c>
      <c r="M12" s="525">
        <f t="shared" si="0"/>
        <v>0.140625</v>
      </c>
      <c r="N12" s="526">
        <f t="shared" si="0"/>
        <v>5.4982817869415807E-2</v>
      </c>
    </row>
    <row r="13" spans="1:14" x14ac:dyDescent="0.25">
      <c r="B13">
        <v>40</v>
      </c>
      <c r="C13" s="711">
        <v>69</v>
      </c>
      <c r="D13" s="711">
        <v>383</v>
      </c>
      <c r="E13" s="711">
        <v>27</v>
      </c>
      <c r="F13" s="712">
        <v>279</v>
      </c>
      <c r="G13" s="711">
        <v>1</v>
      </c>
      <c r="H13" s="711">
        <v>14</v>
      </c>
      <c r="I13" s="711">
        <v>9</v>
      </c>
      <c r="J13" s="711">
        <v>7</v>
      </c>
      <c r="K13" s="524">
        <f t="shared" si="0"/>
        <v>1.4492753623188406E-2</v>
      </c>
      <c r="L13" s="525">
        <f t="shared" si="0"/>
        <v>3.6553524804177548E-2</v>
      </c>
      <c r="M13" s="525">
        <f t="shared" si="0"/>
        <v>0.33333333333333331</v>
      </c>
      <c r="N13" s="526">
        <f t="shared" si="0"/>
        <v>2.5089605734767026E-2</v>
      </c>
    </row>
    <row r="14" spans="1:14" x14ac:dyDescent="0.25">
      <c r="A14" s="11" t="s">
        <v>341</v>
      </c>
      <c r="B14">
        <v>41</v>
      </c>
      <c r="C14" s="711">
        <v>237</v>
      </c>
      <c r="D14" s="711">
        <v>607</v>
      </c>
      <c r="E14" s="711">
        <v>19</v>
      </c>
      <c r="F14" s="712">
        <v>263</v>
      </c>
      <c r="G14" s="711">
        <v>9</v>
      </c>
      <c r="H14" s="711">
        <v>9</v>
      </c>
      <c r="I14" s="711">
        <v>5</v>
      </c>
      <c r="J14" s="711">
        <v>8</v>
      </c>
      <c r="K14" s="524">
        <f t="shared" si="0"/>
        <v>3.7974683544303799E-2</v>
      </c>
      <c r="L14" s="525">
        <f t="shared" si="0"/>
        <v>1.4827018121911038E-2</v>
      </c>
      <c r="M14" s="525">
        <f t="shared" si="0"/>
        <v>0.26315789473684209</v>
      </c>
      <c r="N14" s="526">
        <f t="shared" si="0"/>
        <v>3.0418250950570342E-2</v>
      </c>
    </row>
    <row r="15" spans="1:14" x14ac:dyDescent="0.25">
      <c r="B15">
        <v>42</v>
      </c>
      <c r="C15" s="711">
        <v>198</v>
      </c>
      <c r="D15" s="711">
        <v>316</v>
      </c>
      <c r="E15" s="711">
        <v>25</v>
      </c>
      <c r="F15" s="712">
        <v>42</v>
      </c>
      <c r="G15" s="711">
        <v>3</v>
      </c>
      <c r="H15" s="711">
        <v>3</v>
      </c>
      <c r="I15" s="711">
        <v>9</v>
      </c>
      <c r="J15" s="711">
        <v>1</v>
      </c>
      <c r="K15" s="524">
        <f t="shared" si="0"/>
        <v>1.5151515151515152E-2</v>
      </c>
      <c r="L15" s="525">
        <f t="shared" si="0"/>
        <v>9.4936708860759497E-3</v>
      </c>
      <c r="M15" s="525">
        <f t="shared" si="0"/>
        <v>0.36</v>
      </c>
      <c r="N15" s="526">
        <f t="shared" si="0"/>
        <v>2.3809523809523808E-2</v>
      </c>
    </row>
    <row r="16" spans="1:14" x14ac:dyDescent="0.25">
      <c r="B16">
        <v>43</v>
      </c>
      <c r="C16" s="711">
        <v>70</v>
      </c>
      <c r="D16" s="711">
        <v>37</v>
      </c>
      <c r="E16" s="711">
        <v>7</v>
      </c>
      <c r="F16" s="712">
        <v>0</v>
      </c>
      <c r="G16" s="711">
        <v>6</v>
      </c>
      <c r="H16" s="711">
        <v>0</v>
      </c>
      <c r="I16" s="711">
        <v>2</v>
      </c>
      <c r="J16" s="711">
        <v>0</v>
      </c>
      <c r="K16" s="524">
        <f t="shared" si="0"/>
        <v>8.5714285714285715E-2</v>
      </c>
      <c r="L16" s="525">
        <f t="shared" si="0"/>
        <v>0</v>
      </c>
      <c r="M16" s="525">
        <f t="shared" si="0"/>
        <v>0.2857142857142857</v>
      </c>
      <c r="N16" s="526" t="str">
        <f t="shared" si="0"/>
        <v>na</v>
      </c>
    </row>
    <row r="17" spans="1:19" x14ac:dyDescent="0.25">
      <c r="B17">
        <v>44</v>
      </c>
      <c r="C17" s="743">
        <v>0</v>
      </c>
      <c r="D17" s="713">
        <v>4</v>
      </c>
      <c r="E17" s="713">
        <v>7</v>
      </c>
      <c r="F17" s="764"/>
      <c r="G17" s="713">
        <v>0</v>
      </c>
      <c r="H17" s="713">
        <v>1</v>
      </c>
      <c r="I17" s="713">
        <v>2</v>
      </c>
      <c r="J17" s="763"/>
      <c r="K17" s="524" t="str">
        <f>IF(C17&gt;0,G17/C17,"na")</f>
        <v>na</v>
      </c>
      <c r="L17" s="525">
        <f>IF(D17&gt;0,H17/D17,"na")</f>
        <v>0.25</v>
      </c>
      <c r="M17" s="525">
        <f>IF(E17&gt;0,I17/E17,"na")</f>
        <v>0.2857142857142857</v>
      </c>
      <c r="N17" s="526" t="str">
        <f>IF(F17&gt;0,J17/F17,"na")</f>
        <v>na</v>
      </c>
    </row>
    <row r="18" spans="1:19" x14ac:dyDescent="0.25">
      <c r="B18">
        <v>45</v>
      </c>
      <c r="C18" s="801">
        <v>0</v>
      </c>
      <c r="D18" s="766"/>
      <c r="E18" s="766"/>
      <c r="F18" s="767"/>
      <c r="G18" s="713">
        <v>0</v>
      </c>
      <c r="H18" s="763"/>
      <c r="I18" s="763"/>
      <c r="J18" s="763"/>
      <c r="K18" s="412" t="str">
        <f t="shared" si="0"/>
        <v>na</v>
      </c>
      <c r="L18" s="229" t="str">
        <f t="shared" si="0"/>
        <v>na</v>
      </c>
      <c r="M18" s="229" t="str">
        <f t="shared" si="0"/>
        <v>na</v>
      </c>
      <c r="N18" s="413" t="str">
        <f t="shared" si="0"/>
        <v>na</v>
      </c>
    </row>
    <row r="19" spans="1:19" x14ac:dyDescent="0.25">
      <c r="B19" t="s">
        <v>184</v>
      </c>
      <c r="C19" s="274">
        <f t="shared" ref="C19:J19" si="1">SUM(C5:C18)</f>
        <v>5265</v>
      </c>
      <c r="D19" s="42">
        <f t="shared" si="1"/>
        <v>5431</v>
      </c>
      <c r="E19" s="42">
        <f t="shared" si="1"/>
        <v>644</v>
      </c>
      <c r="F19" s="42">
        <f t="shared" si="1"/>
        <v>3333</v>
      </c>
      <c r="G19" s="329">
        <f t="shared" si="1"/>
        <v>135</v>
      </c>
      <c r="H19" s="195">
        <f t="shared" si="1"/>
        <v>150</v>
      </c>
      <c r="I19" s="195">
        <f t="shared" si="1"/>
        <v>84</v>
      </c>
      <c r="J19" s="403">
        <f t="shared" si="1"/>
        <v>107</v>
      </c>
      <c r="K19" s="527">
        <f>IF(C19&gt;0,G19/C19,"na")</f>
        <v>2.564102564102564E-2</v>
      </c>
      <c r="L19" s="528">
        <f>IF(D19&gt;0,H19/D19,"na")</f>
        <v>2.761922297919352E-2</v>
      </c>
      <c r="M19" s="528">
        <f>IF(E19&gt;0,I19/E19,"na")</f>
        <v>0.13043478260869565</v>
      </c>
      <c r="N19" s="529">
        <f>IF(F19&gt;0,J19/F19,"na")</f>
        <v>3.2103210321032104E-2</v>
      </c>
    </row>
    <row r="20" spans="1:19" x14ac:dyDescent="0.25">
      <c r="F20">
        <f>SUM(C19:F19)</f>
        <v>14673</v>
      </c>
      <c r="J20">
        <f>SUM(G19:J19)</f>
        <v>476</v>
      </c>
      <c r="N20" s="530">
        <f>J20/F20</f>
        <v>3.2440537040823281E-2</v>
      </c>
    </row>
    <row r="22" spans="1:19" ht="13" x14ac:dyDescent="0.3">
      <c r="C22" s="2" t="s">
        <v>123</v>
      </c>
    </row>
    <row r="23" spans="1:19" x14ac:dyDescent="0.25">
      <c r="C23" s="900" t="s">
        <v>268</v>
      </c>
      <c r="D23" s="901"/>
      <c r="E23" s="901"/>
      <c r="F23" s="901"/>
      <c r="G23" s="902"/>
      <c r="H23" s="900" t="s">
        <v>269</v>
      </c>
      <c r="I23" s="901"/>
      <c r="J23" s="901"/>
      <c r="K23" s="901"/>
      <c r="L23" s="902"/>
      <c r="M23" s="900" t="s">
        <v>56</v>
      </c>
      <c r="N23" s="901"/>
      <c r="O23" s="901"/>
      <c r="P23" s="901"/>
      <c r="Q23" s="902"/>
      <c r="R23" s="417"/>
    </row>
    <row r="24" spans="1:19" x14ac:dyDescent="0.25">
      <c r="B24" t="s">
        <v>134</v>
      </c>
      <c r="C24" s="274">
        <v>1</v>
      </c>
      <c r="D24" s="42">
        <v>2</v>
      </c>
      <c r="E24" s="42">
        <v>3</v>
      </c>
      <c r="F24" s="42">
        <v>4</v>
      </c>
      <c r="G24" s="134">
        <v>5</v>
      </c>
      <c r="H24" s="274">
        <v>1</v>
      </c>
      <c r="I24" s="42">
        <v>2</v>
      </c>
      <c r="J24" s="42">
        <v>3</v>
      </c>
      <c r="K24" s="42">
        <v>4</v>
      </c>
      <c r="L24" s="134">
        <v>5</v>
      </c>
      <c r="M24" s="274">
        <v>1</v>
      </c>
      <c r="N24" s="42">
        <v>2</v>
      </c>
      <c r="O24" s="42">
        <v>3</v>
      </c>
      <c r="P24" s="42">
        <v>4</v>
      </c>
      <c r="Q24" s="134">
        <v>5</v>
      </c>
      <c r="R24" s="44" t="s">
        <v>282</v>
      </c>
      <c r="S24" t="s">
        <v>283</v>
      </c>
    </row>
    <row r="25" spans="1:19" ht="13" x14ac:dyDescent="0.3">
      <c r="A25" s="34">
        <f>'2016 Comm catch'!A25</f>
        <v>0</v>
      </c>
      <c r="B25">
        <v>32</v>
      </c>
      <c r="C25" s="765"/>
      <c r="D25" s="765"/>
      <c r="E25" s="765"/>
      <c r="F25" s="765"/>
      <c r="G25" s="768"/>
      <c r="H25" s="719"/>
      <c r="I25" s="719"/>
      <c r="J25" s="719"/>
      <c r="K25" s="719"/>
      <c r="L25" s="768"/>
      <c r="M25" s="3" t="str">
        <f t="shared" ref="M25:Q38" si="2">IF(C25&gt;0,H25/C25,"na")</f>
        <v>na</v>
      </c>
      <c r="N25" s="3" t="str">
        <f t="shared" si="2"/>
        <v>na</v>
      </c>
      <c r="O25" s="3" t="str">
        <f t="shared" si="2"/>
        <v>na</v>
      </c>
      <c r="P25" s="3" t="str">
        <f t="shared" si="2"/>
        <v>na</v>
      </c>
      <c r="Q25" s="407" t="str">
        <f t="shared" si="2"/>
        <v>na</v>
      </c>
      <c r="R25" s="525"/>
    </row>
    <row r="26" spans="1:19" ht="13" x14ac:dyDescent="0.3">
      <c r="A26" s="34" t="str">
        <f>'2016 Comm catch'!A26</f>
        <v>9-inch</v>
      </c>
      <c r="B26">
        <v>33</v>
      </c>
      <c r="C26" s="763"/>
      <c r="D26" s="763"/>
      <c r="E26" s="763"/>
      <c r="F26" s="713">
        <v>3</v>
      </c>
      <c r="G26" s="712">
        <v>0</v>
      </c>
      <c r="H26" s="719"/>
      <c r="I26" s="719"/>
      <c r="J26" s="719"/>
      <c r="K26" s="711">
        <v>1</v>
      </c>
      <c r="L26" s="712">
        <v>0</v>
      </c>
      <c r="M26" s="3" t="str">
        <f t="shared" si="2"/>
        <v>na</v>
      </c>
      <c r="N26" s="3" t="str">
        <f t="shared" si="2"/>
        <v>na</v>
      </c>
      <c r="O26" s="3" t="str">
        <f t="shared" si="2"/>
        <v>na</v>
      </c>
      <c r="P26" s="3">
        <f t="shared" si="2"/>
        <v>0.33333333333333331</v>
      </c>
      <c r="Q26" s="409" t="str">
        <f t="shared" si="2"/>
        <v>na</v>
      </c>
      <c r="R26" s="525"/>
    </row>
    <row r="27" spans="1:19" ht="13" x14ac:dyDescent="0.3">
      <c r="A27" s="34" t="str">
        <f>'2016 Comm catch'!A27</f>
        <v>9-inch</v>
      </c>
      <c r="B27">
        <v>34</v>
      </c>
      <c r="C27" s="763"/>
      <c r="D27" s="763"/>
      <c r="E27" s="763"/>
      <c r="F27" s="713">
        <v>16</v>
      </c>
      <c r="G27" s="712">
        <v>6</v>
      </c>
      <c r="H27" s="719"/>
      <c r="I27" s="719"/>
      <c r="J27" s="719"/>
      <c r="K27" s="711">
        <v>7</v>
      </c>
      <c r="L27" s="712">
        <v>6</v>
      </c>
      <c r="M27" s="3" t="str">
        <f t="shared" si="2"/>
        <v>na</v>
      </c>
      <c r="N27" s="3" t="str">
        <f t="shared" si="2"/>
        <v>na</v>
      </c>
      <c r="O27" s="3" t="str">
        <f t="shared" si="2"/>
        <v>na</v>
      </c>
      <c r="P27" s="3">
        <f t="shared" si="2"/>
        <v>0.4375</v>
      </c>
      <c r="Q27" s="409">
        <f t="shared" si="2"/>
        <v>1</v>
      </c>
      <c r="R27" s="525"/>
    </row>
    <row r="28" spans="1:19" ht="13" x14ac:dyDescent="0.3">
      <c r="A28" s="34" t="str">
        <f>'2016 Comm catch'!A28</f>
        <v>9-inch</v>
      </c>
      <c r="B28">
        <v>35</v>
      </c>
      <c r="C28" s="763"/>
      <c r="D28" s="763"/>
      <c r="E28" s="763"/>
      <c r="F28" s="713">
        <v>61</v>
      </c>
      <c r="G28" s="712">
        <v>25</v>
      </c>
      <c r="H28" s="719"/>
      <c r="I28" s="719"/>
      <c r="J28" s="719"/>
      <c r="K28" s="711">
        <v>22</v>
      </c>
      <c r="L28" s="712">
        <v>8</v>
      </c>
      <c r="M28" s="3" t="str">
        <f t="shared" si="2"/>
        <v>na</v>
      </c>
      <c r="N28" s="3" t="str">
        <f t="shared" si="2"/>
        <v>na</v>
      </c>
      <c r="O28" s="3" t="str">
        <f t="shared" si="2"/>
        <v>na</v>
      </c>
      <c r="P28" s="3">
        <f t="shared" si="2"/>
        <v>0.36065573770491804</v>
      </c>
      <c r="Q28" s="409">
        <f t="shared" si="2"/>
        <v>0.32</v>
      </c>
      <c r="R28" s="525"/>
      <c r="S28" s="656">
        <f t="shared" ref="S28:S35" si="3">SUM(K28:L28)/SUM(F28:G28)</f>
        <v>0.34883720930232559</v>
      </c>
    </row>
    <row r="29" spans="1:19" ht="13" x14ac:dyDescent="0.3">
      <c r="A29" s="34" t="str">
        <f>'2016 Comm catch'!A29</f>
        <v>9-inch</v>
      </c>
      <c r="B29">
        <v>36</v>
      </c>
      <c r="C29" s="763"/>
      <c r="D29" s="763"/>
      <c r="E29" s="763"/>
      <c r="F29" s="713">
        <v>40</v>
      </c>
      <c r="G29" s="712">
        <v>16</v>
      </c>
      <c r="H29" s="719"/>
      <c r="I29" s="719"/>
      <c r="J29" s="719"/>
      <c r="K29" s="711">
        <v>18</v>
      </c>
      <c r="L29" s="712">
        <v>3</v>
      </c>
      <c r="M29" s="3" t="str">
        <f t="shared" si="2"/>
        <v>na</v>
      </c>
      <c r="N29" s="3" t="str">
        <f t="shared" si="2"/>
        <v>na</v>
      </c>
      <c r="O29" s="3" t="str">
        <f t="shared" si="2"/>
        <v>na</v>
      </c>
      <c r="P29" s="3">
        <f t="shared" si="2"/>
        <v>0.45</v>
      </c>
      <c r="Q29" s="409">
        <f t="shared" si="2"/>
        <v>0.1875</v>
      </c>
      <c r="R29" s="525"/>
      <c r="S29" s="656">
        <f t="shared" si="3"/>
        <v>0.375</v>
      </c>
    </row>
    <row r="30" spans="1:19" ht="13" x14ac:dyDescent="0.3">
      <c r="A30" s="34">
        <f>'2016 Comm catch'!A30</f>
        <v>0</v>
      </c>
      <c r="B30">
        <v>37</v>
      </c>
      <c r="C30" s="763"/>
      <c r="D30" s="763"/>
      <c r="E30" s="763"/>
      <c r="F30" s="763"/>
      <c r="G30" s="764"/>
      <c r="H30" s="719"/>
      <c r="I30" s="719"/>
      <c r="J30" s="719"/>
      <c r="K30" s="719"/>
      <c r="L30" s="764"/>
      <c r="M30" s="3" t="str">
        <f t="shared" si="2"/>
        <v>na</v>
      </c>
      <c r="N30" s="3" t="str">
        <f t="shared" si="2"/>
        <v>na</v>
      </c>
      <c r="O30" s="3" t="str">
        <f t="shared" si="2"/>
        <v>na</v>
      </c>
      <c r="P30" s="3" t="str">
        <f t="shared" si="2"/>
        <v>na</v>
      </c>
      <c r="Q30" s="409" t="str">
        <f t="shared" si="2"/>
        <v>na</v>
      </c>
      <c r="R30" s="525"/>
    </row>
    <row r="31" spans="1:19" ht="13" x14ac:dyDescent="0.3">
      <c r="A31" s="34">
        <f>'2016 Comm catch'!A31</f>
        <v>0</v>
      </c>
      <c r="B31">
        <v>38</v>
      </c>
      <c r="C31" s="763"/>
      <c r="D31" s="763"/>
      <c r="E31" s="763"/>
      <c r="F31" s="763"/>
      <c r="G31" s="764"/>
      <c r="H31" s="719"/>
      <c r="I31" s="719"/>
      <c r="J31" s="719"/>
      <c r="K31" s="719"/>
      <c r="L31" s="764"/>
      <c r="M31" s="3" t="str">
        <f t="shared" si="2"/>
        <v>na</v>
      </c>
      <c r="N31" s="3" t="str">
        <f t="shared" si="2"/>
        <v>na</v>
      </c>
      <c r="O31" s="3" t="str">
        <f t="shared" si="2"/>
        <v>na</v>
      </c>
      <c r="P31" s="3" t="str">
        <f t="shared" si="2"/>
        <v>na</v>
      </c>
      <c r="Q31" s="409" t="str">
        <f t="shared" si="2"/>
        <v>na</v>
      </c>
      <c r="R31" s="525"/>
      <c r="S31" s="656" t="e">
        <f t="shared" si="3"/>
        <v>#DIV/0!</v>
      </c>
    </row>
    <row r="32" spans="1:19" ht="13" x14ac:dyDescent="0.3">
      <c r="A32" s="34" t="str">
        <f>'2016 Comm catch'!A32</f>
        <v>8-inch</v>
      </c>
      <c r="B32">
        <v>39</v>
      </c>
      <c r="C32" s="763"/>
      <c r="D32" s="763"/>
      <c r="E32" s="763"/>
      <c r="F32" s="713">
        <v>70</v>
      </c>
      <c r="G32" s="713">
        <v>60</v>
      </c>
      <c r="H32" s="775"/>
      <c r="I32" s="719"/>
      <c r="J32" s="719"/>
      <c r="K32" s="711">
        <v>23</v>
      </c>
      <c r="L32" s="712">
        <v>25</v>
      </c>
      <c r="M32" s="3" t="str">
        <f t="shared" si="2"/>
        <v>na</v>
      </c>
      <c r="N32" s="3" t="str">
        <f t="shared" si="2"/>
        <v>na</v>
      </c>
      <c r="O32" s="3" t="str">
        <f t="shared" si="2"/>
        <v>na</v>
      </c>
      <c r="P32" s="3">
        <f t="shared" si="2"/>
        <v>0.32857142857142857</v>
      </c>
      <c r="Q32" s="409">
        <f t="shared" si="2"/>
        <v>0.41666666666666669</v>
      </c>
      <c r="R32" s="525"/>
      <c r="S32" s="656">
        <f t="shared" si="3"/>
        <v>0.36923076923076925</v>
      </c>
    </row>
    <row r="33" spans="1:19" ht="13" x14ac:dyDescent="0.3">
      <c r="A33" s="34" t="str">
        <f>'2016 Comm catch'!A33</f>
        <v>8-inch</v>
      </c>
      <c r="B33">
        <v>40</v>
      </c>
      <c r="C33" s="763"/>
      <c r="D33" s="763"/>
      <c r="E33" s="763"/>
      <c r="F33" s="763"/>
      <c r="G33" s="764"/>
      <c r="H33" s="719"/>
      <c r="I33" s="719"/>
      <c r="J33" s="719"/>
      <c r="K33" s="719"/>
      <c r="L33" s="764"/>
      <c r="M33" s="3" t="str">
        <f>IF(C33&gt;0,H33/C33,"na")</f>
        <v>na</v>
      </c>
      <c r="N33" s="3" t="str">
        <f>IF(D33&gt;0,I33/D33,"na")</f>
        <v>na</v>
      </c>
      <c r="O33" s="3" t="str">
        <f>IF(E33&gt;0,J33/E33,"na")</f>
        <v>na</v>
      </c>
      <c r="P33" s="3" t="str">
        <f>IF(F33&gt;0,K33/F33,"na")</f>
        <v>na</v>
      </c>
      <c r="Q33" s="409" t="str">
        <f>IF(G33&gt;0,L33/G33,"na")</f>
        <v>na</v>
      </c>
      <c r="R33" s="525" t="e">
        <f t="shared" ref="R33:R37" si="4">SUM(H33:J33)/SUM(C33:E33)</f>
        <v>#DIV/0!</v>
      </c>
      <c r="S33" s="656" t="e">
        <f t="shared" si="3"/>
        <v>#DIV/0!</v>
      </c>
    </row>
    <row r="34" spans="1:19" ht="13" x14ac:dyDescent="0.3">
      <c r="A34" s="34">
        <f>'2016 Comm catch'!A34</f>
        <v>0</v>
      </c>
      <c r="B34">
        <v>41</v>
      </c>
      <c r="C34" s="763"/>
      <c r="D34" s="763"/>
      <c r="E34" s="763"/>
      <c r="F34" s="763"/>
      <c r="G34" s="764"/>
      <c r="H34" s="719"/>
      <c r="I34" s="719"/>
      <c r="J34" s="719"/>
      <c r="K34" s="719"/>
      <c r="L34" s="764"/>
      <c r="M34" s="3" t="str">
        <f t="shared" si="2"/>
        <v>na</v>
      </c>
      <c r="N34" s="3" t="str">
        <f t="shared" si="2"/>
        <v>na</v>
      </c>
      <c r="O34" s="3" t="str">
        <f t="shared" si="2"/>
        <v>na</v>
      </c>
      <c r="P34" s="3" t="str">
        <f t="shared" si="2"/>
        <v>na</v>
      </c>
      <c r="Q34" s="409" t="str">
        <f t="shared" si="2"/>
        <v>na</v>
      </c>
      <c r="R34" s="525" t="e">
        <f t="shared" si="4"/>
        <v>#DIV/0!</v>
      </c>
      <c r="S34" s="656"/>
    </row>
    <row r="35" spans="1:19" ht="13" x14ac:dyDescent="0.3">
      <c r="A35" s="34">
        <f>'2016 Comm catch'!A35</f>
        <v>0</v>
      </c>
      <c r="B35">
        <v>41</v>
      </c>
      <c r="C35" s="719"/>
      <c r="D35" s="719"/>
      <c r="E35" s="763"/>
      <c r="F35" s="763"/>
      <c r="G35" s="763"/>
      <c r="H35" s="775"/>
      <c r="I35" s="763"/>
      <c r="J35" s="763"/>
      <c r="K35" s="763"/>
      <c r="L35" s="764"/>
      <c r="M35" s="3" t="str">
        <f t="shared" si="2"/>
        <v>na</v>
      </c>
      <c r="N35" s="3" t="str">
        <f t="shared" si="2"/>
        <v>na</v>
      </c>
      <c r="O35" s="3" t="str">
        <f t="shared" si="2"/>
        <v>na</v>
      </c>
      <c r="P35" s="3" t="str">
        <f t="shared" si="2"/>
        <v>na</v>
      </c>
      <c r="Q35" s="409" t="str">
        <f t="shared" si="2"/>
        <v>na</v>
      </c>
      <c r="R35" s="525" t="e">
        <f t="shared" si="4"/>
        <v>#DIV/0!</v>
      </c>
      <c r="S35" s="656" t="e">
        <f t="shared" si="3"/>
        <v>#DIV/0!</v>
      </c>
    </row>
    <row r="36" spans="1:19" ht="13" x14ac:dyDescent="0.3">
      <c r="A36" s="34">
        <f>'2016 Comm catch'!A36</f>
        <v>0</v>
      </c>
      <c r="B36">
        <v>42</v>
      </c>
      <c r="C36" s="763"/>
      <c r="D36" s="763"/>
      <c r="E36" s="763"/>
      <c r="F36" s="763"/>
      <c r="G36" s="763"/>
      <c r="H36" s="775"/>
      <c r="I36" s="719"/>
      <c r="J36" s="719"/>
      <c r="K36" s="719"/>
      <c r="L36" s="764"/>
      <c r="M36" s="3" t="str">
        <f>N36</f>
        <v>na</v>
      </c>
      <c r="N36" s="3" t="str">
        <f t="shared" si="2"/>
        <v>na</v>
      </c>
      <c r="O36" s="3" t="str">
        <f t="shared" si="2"/>
        <v>na</v>
      </c>
      <c r="P36" s="3" t="str">
        <f t="shared" si="2"/>
        <v>na</v>
      </c>
      <c r="Q36" s="409" t="str">
        <f t="shared" si="2"/>
        <v>na</v>
      </c>
      <c r="R36" s="525" t="e">
        <f t="shared" si="4"/>
        <v>#DIV/0!</v>
      </c>
      <c r="S36" s="656"/>
    </row>
    <row r="37" spans="1:19" ht="13" x14ac:dyDescent="0.3">
      <c r="A37" s="34">
        <f>'2016 Comm catch'!A37</f>
        <v>0</v>
      </c>
      <c r="B37">
        <v>43</v>
      </c>
      <c r="C37" s="763"/>
      <c r="D37" s="763"/>
      <c r="E37" s="763"/>
      <c r="F37" s="763"/>
      <c r="G37" s="764"/>
      <c r="H37" s="719"/>
      <c r="I37" s="719"/>
      <c r="J37" s="719"/>
      <c r="K37" s="719"/>
      <c r="L37" s="764"/>
      <c r="M37" s="3" t="str">
        <f>IF(C37&gt;0,H37/C37,"na")</f>
        <v>na</v>
      </c>
      <c r="N37" s="3" t="str">
        <f t="shared" si="2"/>
        <v>na</v>
      </c>
      <c r="O37" s="3" t="str">
        <f t="shared" si="2"/>
        <v>na</v>
      </c>
      <c r="P37" s="3" t="str">
        <f t="shared" si="2"/>
        <v>na</v>
      </c>
      <c r="Q37" s="409" t="str">
        <f t="shared" si="2"/>
        <v>na</v>
      </c>
      <c r="R37" s="525" t="e">
        <f t="shared" si="4"/>
        <v>#DIV/0!</v>
      </c>
      <c r="S37" s="656"/>
    </row>
    <row r="38" spans="1:19" ht="13" x14ac:dyDescent="0.3">
      <c r="A38" s="34">
        <f>'2016 Comm catch'!A38</f>
        <v>0</v>
      </c>
      <c r="B38">
        <v>44</v>
      </c>
      <c r="C38" s="763"/>
      <c r="D38" s="763"/>
      <c r="E38" s="763"/>
      <c r="F38" s="763"/>
      <c r="G38" s="764"/>
      <c r="H38" s="719"/>
      <c r="I38" s="719"/>
      <c r="J38" s="719"/>
      <c r="K38" s="719"/>
      <c r="L38" s="764"/>
      <c r="M38" s="3" t="str">
        <f>IF(C38&gt;0,H38/C38,"na")</f>
        <v>na</v>
      </c>
      <c r="N38" s="3" t="str">
        <f>IF(D38&gt;0,I38/D38,"na")</f>
        <v>na</v>
      </c>
      <c r="O38" s="3" t="str">
        <f t="shared" si="2"/>
        <v>na</v>
      </c>
      <c r="P38" s="3" t="str">
        <f t="shared" si="2"/>
        <v>na</v>
      </c>
      <c r="Q38" s="409" t="str">
        <f t="shared" si="2"/>
        <v>na</v>
      </c>
      <c r="R38" s="525"/>
      <c r="S38" s="656"/>
    </row>
    <row r="39" spans="1:19" x14ac:dyDescent="0.25">
      <c r="A39">
        <f>'2016 Comm catch'!A39</f>
        <v>0</v>
      </c>
      <c r="B39">
        <v>45</v>
      </c>
      <c r="C39" s="766"/>
      <c r="D39" s="766"/>
      <c r="E39" s="766"/>
      <c r="F39" s="766"/>
      <c r="G39" s="767"/>
      <c r="H39" s="719"/>
      <c r="I39" s="719"/>
      <c r="J39" s="719"/>
      <c r="K39" s="719"/>
      <c r="L39" s="764"/>
      <c r="M39" s="3" t="str">
        <f>IF(C39&gt;0,H39/C39,"na")</f>
        <v>na</v>
      </c>
      <c r="N39" s="3" t="str">
        <f t="shared" ref="N39:P40" si="5">IF(D39&gt;0,I39/D39,"na")</f>
        <v>na</v>
      </c>
      <c r="O39" s="3" t="str">
        <f t="shared" si="5"/>
        <v>na</v>
      </c>
      <c r="P39" s="3" t="str">
        <f t="shared" si="5"/>
        <v>na</v>
      </c>
      <c r="Q39" s="409" t="str">
        <f>IF(G39&gt;0,L39/G39,"na")</f>
        <v>na</v>
      </c>
      <c r="R39" s="402"/>
    </row>
    <row r="40" spans="1:19" x14ac:dyDescent="0.25">
      <c r="B40" t="s">
        <v>184</v>
      </c>
      <c r="C40" s="329">
        <f>SUM(C25:C39)</f>
        <v>0</v>
      </c>
      <c r="D40" s="195">
        <f t="shared" ref="D40:L40" si="6">SUM(D25:D39)</f>
        <v>0</v>
      </c>
      <c r="E40" s="195">
        <f t="shared" si="6"/>
        <v>0</v>
      </c>
      <c r="F40" s="195">
        <f t="shared" si="6"/>
        <v>190</v>
      </c>
      <c r="G40" s="330">
        <f t="shared" si="6"/>
        <v>107</v>
      </c>
      <c r="H40" s="329">
        <f t="shared" si="6"/>
        <v>0</v>
      </c>
      <c r="I40" s="195">
        <f t="shared" si="6"/>
        <v>0</v>
      </c>
      <c r="J40" s="195">
        <f t="shared" si="6"/>
        <v>0</v>
      </c>
      <c r="K40" s="195">
        <f t="shared" si="6"/>
        <v>71</v>
      </c>
      <c r="L40" s="404">
        <f t="shared" si="6"/>
        <v>42</v>
      </c>
      <c r="M40" s="223" t="str">
        <f>IF(C40&gt;0,H40/C40,"na")</f>
        <v>na</v>
      </c>
      <c r="N40" s="528" t="str">
        <f t="shared" si="5"/>
        <v>na</v>
      </c>
      <c r="O40" s="528" t="str">
        <f t="shared" si="5"/>
        <v>na</v>
      </c>
      <c r="P40" s="528">
        <f t="shared" si="5"/>
        <v>0.37368421052631579</v>
      </c>
      <c r="Q40" s="529">
        <f>IF(G40&gt;0,L40/G40,"na")</f>
        <v>0.3925233644859813</v>
      </c>
      <c r="R40" s="525"/>
    </row>
    <row r="41" spans="1:19" x14ac:dyDescent="0.25">
      <c r="C41" s="44"/>
      <c r="D41" s="44"/>
      <c r="E41" s="44"/>
      <c r="F41" s="44"/>
      <c r="G41" s="44"/>
      <c r="H41" s="44"/>
      <c r="I41" s="44"/>
      <c r="J41" s="44"/>
      <c r="K41" s="44"/>
      <c r="L41" s="44"/>
      <c r="M41" s="44"/>
      <c r="N41" s="44"/>
      <c r="O41" s="44"/>
      <c r="P41" s="44"/>
      <c r="Q41" s="531"/>
      <c r="R41" s="531"/>
    </row>
  </sheetData>
  <mergeCells count="6">
    <mergeCell ref="C3:F3"/>
    <mergeCell ref="G3:J3"/>
    <mergeCell ref="K3:N3"/>
    <mergeCell ref="C23:G23"/>
    <mergeCell ref="H23:L23"/>
    <mergeCell ref="M23:Q23"/>
  </mergeCells>
  <pageMargins left="0.75" right="0.75" top="1" bottom="1" header="0.5" footer="0.5"/>
  <pageSetup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F41"/>
  <sheetViews>
    <sheetView topLeftCell="A4" zoomScale="110" zoomScaleNormal="110" workbookViewId="0">
      <pane xSplit="2" topLeftCell="C1" activePane="topRight" state="frozen"/>
      <selection activeCell="I30" sqref="I30"/>
      <selection pane="topRight" activeCell="I30" sqref="I30"/>
    </sheetView>
  </sheetViews>
  <sheetFormatPr defaultColWidth="9.1796875" defaultRowHeight="13" x14ac:dyDescent="0.3"/>
  <cols>
    <col min="1" max="1" width="21" style="32" bestFit="1" customWidth="1"/>
    <col min="2" max="2" width="11.7265625" style="34" bestFit="1" customWidth="1"/>
    <col min="3" max="3" width="11.7265625" style="33" bestFit="1" customWidth="1"/>
    <col min="4" max="4" width="12" style="33" bestFit="1" customWidth="1"/>
    <col min="5" max="5" width="12.453125" style="33" bestFit="1" customWidth="1"/>
    <col min="6" max="6" width="10.26953125" style="33" bestFit="1" customWidth="1"/>
    <col min="7" max="7" width="12.7265625" style="33" bestFit="1" customWidth="1"/>
    <col min="8" max="8" width="10.26953125" style="33" bestFit="1" customWidth="1"/>
    <col min="9" max="9" width="8.1796875" style="33" bestFit="1" customWidth="1"/>
    <col min="10" max="10" width="7.54296875" style="33" bestFit="1" customWidth="1"/>
    <col min="11" max="11" width="11.54296875" style="33" bestFit="1" customWidth="1"/>
    <col min="12" max="12" width="11.453125" style="33" bestFit="1" customWidth="1"/>
    <col min="13" max="13" width="8.1796875" style="33" bestFit="1" customWidth="1"/>
    <col min="14" max="14" width="10" style="33" bestFit="1" customWidth="1"/>
    <col min="15" max="15" width="11.54296875" style="33" bestFit="1" customWidth="1"/>
    <col min="16" max="16" width="10.26953125" style="33" bestFit="1" customWidth="1"/>
    <col min="17" max="17" width="8.1796875" style="33" bestFit="1" customWidth="1"/>
    <col min="18" max="18" width="9.26953125" style="33" bestFit="1" customWidth="1"/>
    <col min="19" max="19" width="7.7265625" style="33" bestFit="1" customWidth="1"/>
    <col min="20" max="20" width="7.26953125" style="33" customWidth="1"/>
    <col min="21" max="21" width="5.54296875" style="33" customWidth="1"/>
    <col min="22" max="22" width="5" style="33" bestFit="1" customWidth="1"/>
    <col min="23" max="23" width="8.54296875" style="33" bestFit="1" customWidth="1"/>
    <col min="24" max="24" width="6.7265625" style="33" customWidth="1"/>
    <col min="25" max="25" width="5" style="32" bestFit="1" customWidth="1"/>
    <col min="26" max="26" width="8.26953125" style="32" bestFit="1" customWidth="1"/>
    <col min="27" max="27" width="8.26953125" style="32" customWidth="1"/>
    <col min="28" max="28" width="7" style="32" bestFit="1" customWidth="1"/>
    <col min="29" max="29" width="12" style="32" bestFit="1" customWidth="1"/>
    <col min="30" max="30" width="9.26953125" style="32" bestFit="1" customWidth="1"/>
    <col min="31" max="31" width="2.54296875" style="32" customWidth="1"/>
    <col min="32" max="16384" width="9.1796875" style="32"/>
  </cols>
  <sheetData>
    <row r="1" spans="1:24" x14ac:dyDescent="0.3">
      <c r="A1" s="34" t="s">
        <v>340</v>
      </c>
    </row>
    <row r="2" spans="1:24" x14ac:dyDescent="0.3">
      <c r="C2" s="34" t="s">
        <v>330</v>
      </c>
    </row>
    <row r="3" spans="1:24" x14ac:dyDescent="0.3">
      <c r="C3" s="903" t="s">
        <v>208</v>
      </c>
      <c r="D3" s="904"/>
      <c r="E3" s="904"/>
      <c r="F3" s="905"/>
      <c r="G3" s="903" t="s">
        <v>264</v>
      </c>
      <c r="H3" s="904"/>
      <c r="I3" s="904"/>
      <c r="J3" s="905"/>
      <c r="K3" s="903" t="s">
        <v>261</v>
      </c>
      <c r="L3" s="904"/>
      <c r="M3" s="904"/>
      <c r="N3" s="905"/>
      <c r="O3" s="903" t="s">
        <v>262</v>
      </c>
      <c r="P3" s="904"/>
      <c r="Q3" s="904"/>
      <c r="R3" s="905"/>
      <c r="S3" s="781" t="s">
        <v>339</v>
      </c>
      <c r="T3" s="781"/>
      <c r="U3" s="781"/>
      <c r="V3" s="781"/>
      <c r="W3" s="165"/>
      <c r="X3" s="165"/>
    </row>
    <row r="4" spans="1:24" x14ac:dyDescent="0.3">
      <c r="B4" s="34" t="s">
        <v>134</v>
      </c>
      <c r="C4" s="547" t="s">
        <v>31</v>
      </c>
      <c r="D4" s="202" t="s">
        <v>62</v>
      </c>
      <c r="E4" s="202" t="s">
        <v>260</v>
      </c>
      <c r="F4" s="548" t="s">
        <v>203</v>
      </c>
      <c r="G4" s="547" t="s">
        <v>31</v>
      </c>
      <c r="H4" s="202" t="s">
        <v>62</v>
      </c>
      <c r="I4" s="202" t="s">
        <v>260</v>
      </c>
      <c r="J4" s="548" t="s">
        <v>203</v>
      </c>
      <c r="K4" s="549" t="s">
        <v>31</v>
      </c>
      <c r="L4" s="208" t="s">
        <v>62</v>
      </c>
      <c r="M4" s="208" t="s">
        <v>260</v>
      </c>
      <c r="N4" s="550" t="s">
        <v>203</v>
      </c>
      <c r="O4" s="549" t="s">
        <v>31</v>
      </c>
      <c r="P4" s="208" t="s">
        <v>62</v>
      </c>
      <c r="Q4" s="208" t="s">
        <v>260</v>
      </c>
      <c r="R4" s="550" t="s">
        <v>203</v>
      </c>
      <c r="S4" s="781" t="s">
        <v>335</v>
      </c>
      <c r="T4" s="781" t="s">
        <v>336</v>
      </c>
      <c r="U4" s="781" t="s">
        <v>337</v>
      </c>
      <c r="V4" s="781" t="s">
        <v>338</v>
      </c>
      <c r="W4" s="208"/>
      <c r="X4" s="208"/>
    </row>
    <row r="5" spans="1:24" x14ac:dyDescent="0.3">
      <c r="B5" s="34">
        <v>32</v>
      </c>
      <c r="C5" s="789">
        <v>0</v>
      </c>
      <c r="D5" s="773"/>
      <c r="E5" s="773"/>
      <c r="F5" s="792">
        <v>0</v>
      </c>
      <c r="G5" s="551" t="str">
        <f>'2016 comm sample'!K5</f>
        <v>na</v>
      </c>
      <c r="H5" s="552" t="str">
        <f>'2016 comm sample'!L5</f>
        <v>na</v>
      </c>
      <c r="I5" s="552" t="str">
        <f>'2016 comm sample'!M5</f>
        <v>na</v>
      </c>
      <c r="J5" s="552" t="str">
        <f>'2016 comm sample'!N5</f>
        <v>na</v>
      </c>
      <c r="K5" s="553" t="str">
        <f>IF(C5&gt;0,'2016 comm sample'!C5/'2016 Comm catch'!C5,"na")</f>
        <v>na</v>
      </c>
      <c r="L5" s="554" t="str">
        <f>IF(D5&gt;0,'2016 comm sample'!D5/'2016 Comm catch'!D5,"na")</f>
        <v>na</v>
      </c>
      <c r="M5" s="554" t="str">
        <f>IF(E5&gt;0,'2016 comm sample'!E5/'2016 Comm catch'!E5,"na")</f>
        <v>na</v>
      </c>
      <c r="N5" s="554" t="str">
        <f>IF(F5&gt;0,'2016 comm sample'!F5/'2016 Comm catch'!F5,"na")</f>
        <v>na</v>
      </c>
      <c r="O5" s="555" t="str">
        <f t="shared" ref="O5:R18" si="0">IF(G5&lt;&gt;"na",C5*G5,"na")</f>
        <v>na</v>
      </c>
      <c r="P5" s="556" t="str">
        <f t="shared" si="0"/>
        <v>na</v>
      </c>
      <c r="Q5" s="556" t="str">
        <f t="shared" si="0"/>
        <v>na</v>
      </c>
      <c r="R5" s="557" t="str">
        <f t="shared" si="0"/>
        <v>na</v>
      </c>
      <c r="S5" s="514"/>
      <c r="T5" s="514"/>
      <c r="U5" s="514"/>
      <c r="V5" s="514"/>
      <c r="W5" s="514"/>
      <c r="X5" s="514"/>
    </row>
    <row r="6" spans="1:24" x14ac:dyDescent="0.3">
      <c r="B6" s="34">
        <v>33</v>
      </c>
      <c r="C6" s="789">
        <v>2</v>
      </c>
      <c r="D6" s="773"/>
      <c r="E6" s="773"/>
      <c r="F6" s="792">
        <v>1</v>
      </c>
      <c r="G6" s="551">
        <f>'2016 comm sample'!K6</f>
        <v>0</v>
      </c>
      <c r="H6" s="552" t="str">
        <f>'2016 comm sample'!L6</f>
        <v>na</v>
      </c>
      <c r="I6" s="552" t="str">
        <f>'2016 comm sample'!M6</f>
        <v>na</v>
      </c>
      <c r="J6" s="552">
        <f>'2016 comm sample'!N6</f>
        <v>0</v>
      </c>
      <c r="K6" s="558">
        <f>IF(C6&gt;0,'2016 comm sample'!C6/'2016 Comm catch'!C6,"na")</f>
        <v>1</v>
      </c>
      <c r="L6" s="559" t="str">
        <f>IF(D6&gt;0,'2016 comm sample'!D6/'2016 Comm catch'!D6,"na")</f>
        <v>na</v>
      </c>
      <c r="M6" s="559" t="str">
        <f>IF(E6&gt;0,'2016 comm sample'!E6/'2016 Comm catch'!E6,"na")</f>
        <v>na</v>
      </c>
      <c r="N6" s="559">
        <f>IF(F6&gt;0,'2016 comm sample'!F6/'2016 Comm catch'!F6,"na")</f>
        <v>1</v>
      </c>
      <c r="O6" s="560">
        <f t="shared" si="0"/>
        <v>0</v>
      </c>
      <c r="P6" s="514" t="str">
        <f t="shared" si="0"/>
        <v>na</v>
      </c>
      <c r="Q6" s="514" t="str">
        <f t="shared" si="0"/>
        <v>na</v>
      </c>
      <c r="R6" s="563">
        <f t="shared" si="0"/>
        <v>0</v>
      </c>
      <c r="S6" s="514"/>
      <c r="T6" s="514"/>
      <c r="U6" s="514"/>
      <c r="V6" s="514"/>
      <c r="W6" s="514"/>
      <c r="X6" s="514"/>
    </row>
    <row r="7" spans="1:24" x14ac:dyDescent="0.3">
      <c r="B7" s="34">
        <v>34</v>
      </c>
      <c r="C7" s="789">
        <v>14</v>
      </c>
      <c r="D7" s="773"/>
      <c r="E7" s="776"/>
      <c r="F7" s="790">
        <v>1</v>
      </c>
      <c r="G7" s="551">
        <f>'2016 comm sample'!K7</f>
        <v>0</v>
      </c>
      <c r="H7" s="552" t="str">
        <f>'2016 comm sample'!L7</f>
        <v>na</v>
      </c>
      <c r="I7" s="552" t="str">
        <f>'2016 comm sample'!M7</f>
        <v>na</v>
      </c>
      <c r="J7" s="552">
        <f>'2016 comm sample'!N7</f>
        <v>0</v>
      </c>
      <c r="K7" s="558">
        <f>IF(C7&gt;0,'2016 comm sample'!C7/'2016 Comm catch'!C7,"na")</f>
        <v>0.21428571428571427</v>
      </c>
      <c r="L7" s="559" t="str">
        <f>IF(D7&gt;0,'2016 comm sample'!D7/'2016 Comm catch'!D7,"na")</f>
        <v>na</v>
      </c>
      <c r="M7" s="559" t="str">
        <f>IF(E7&gt;0,'2016 comm sample'!E7/'2016 Comm catch'!E7,"na")</f>
        <v>na</v>
      </c>
      <c r="N7" s="559">
        <f>IF(F7&gt;0,'2016 comm sample'!F7/'2016 Comm catch'!F7,"na")</f>
        <v>1</v>
      </c>
      <c r="O7" s="560">
        <f t="shared" si="0"/>
        <v>0</v>
      </c>
      <c r="P7" s="514" t="str">
        <f t="shared" si="0"/>
        <v>na</v>
      </c>
      <c r="Q7" s="514" t="str">
        <f t="shared" si="0"/>
        <v>na</v>
      </c>
      <c r="R7" s="563">
        <f t="shared" si="0"/>
        <v>0</v>
      </c>
      <c r="S7" s="514"/>
      <c r="T7" s="514"/>
      <c r="U7" s="514"/>
      <c r="V7" s="514"/>
      <c r="W7" s="514"/>
      <c r="X7" s="514"/>
    </row>
    <row r="8" spans="1:24" x14ac:dyDescent="0.3">
      <c r="B8" s="34">
        <v>35</v>
      </c>
      <c r="C8" s="789">
        <v>114</v>
      </c>
      <c r="D8" s="791">
        <v>20</v>
      </c>
      <c r="E8" s="790">
        <v>10</v>
      </c>
      <c r="F8" s="790">
        <v>75</v>
      </c>
      <c r="G8" s="551">
        <f>'2016 comm sample'!K8</f>
        <v>7.1428571428571425E-2</v>
      </c>
      <c r="H8" s="552">
        <f>'2016 comm sample'!L8</f>
        <v>5.5555555555555552E-2</v>
      </c>
      <c r="I8" s="552">
        <f>'2016 comm sample'!M8</f>
        <v>0.5</v>
      </c>
      <c r="J8" s="552">
        <f>'2016 comm sample'!N8</f>
        <v>9.375E-2</v>
      </c>
      <c r="K8" s="558">
        <f>IF(C8&gt;0,'2016 comm sample'!C8/'2016 Comm catch'!C8,"na")</f>
        <v>0.24561403508771928</v>
      </c>
      <c r="L8" s="559">
        <f>IF(D8&gt;0,'2016 comm sample'!D8/'2016 Comm catch'!D8,"na")</f>
        <v>0.9</v>
      </c>
      <c r="M8" s="559">
        <f>IF(E8&gt;0,'2016 comm sample'!E8/'2016 Comm catch'!E8,"na")</f>
        <v>0.2</v>
      </c>
      <c r="N8" s="559">
        <f>IF(F8&gt;0,'2016 comm sample'!F8/'2016 Comm catch'!F8,"na")</f>
        <v>0.42666666666666669</v>
      </c>
      <c r="O8" s="560">
        <f t="shared" si="0"/>
        <v>8.1428571428571423</v>
      </c>
      <c r="P8" s="514">
        <f t="shared" si="0"/>
        <v>1.1111111111111112</v>
      </c>
      <c r="Q8" s="514">
        <f t="shared" si="0"/>
        <v>5</v>
      </c>
      <c r="R8" s="563">
        <f t="shared" si="0"/>
        <v>7.03125</v>
      </c>
      <c r="S8" s="514"/>
      <c r="T8" s="514"/>
      <c r="U8" s="514"/>
      <c r="V8" s="514"/>
      <c r="W8" s="514"/>
      <c r="X8" s="514"/>
    </row>
    <row r="9" spans="1:24" x14ac:dyDescent="0.3">
      <c r="B9" s="34">
        <v>36</v>
      </c>
      <c r="C9" s="789">
        <v>1496</v>
      </c>
      <c r="D9" s="790">
        <v>871</v>
      </c>
      <c r="E9" s="790">
        <v>77</v>
      </c>
      <c r="F9" s="790">
        <v>561</v>
      </c>
      <c r="G9" s="551">
        <f>'2016 comm sample'!K9</f>
        <v>5.2971576227390182E-2</v>
      </c>
      <c r="H9" s="552">
        <f>'2016 comm sample'!L9</f>
        <v>4.5454545454545456E-2</v>
      </c>
      <c r="I9" s="552">
        <f>'2016 comm sample'!M9</f>
        <v>0.23809523809523808</v>
      </c>
      <c r="J9" s="552">
        <f>'2016 comm sample'!N9</f>
        <v>1.7699115044247787E-2</v>
      </c>
      <c r="K9" s="558">
        <f>IF(C9&gt;0,'2016 comm sample'!C9/'2016 Comm catch'!C9,"na")</f>
        <v>0.51737967914438499</v>
      </c>
      <c r="L9" s="559">
        <f>IF(D9&gt;0,'2016 comm sample'!D9/'2016 Comm catch'!D9,"na")</f>
        <v>0.55568312284730192</v>
      </c>
      <c r="M9" s="559">
        <f>IF(E9&gt;0,'2016 comm sample'!E9/'2016 Comm catch'!E9,"na")</f>
        <v>0.27272727272727271</v>
      </c>
      <c r="N9" s="559">
        <f>IF(F9&gt;0,'2016 comm sample'!F9/'2016 Comm catch'!F9,"na")</f>
        <v>0.40285204991087342</v>
      </c>
      <c r="O9" s="560">
        <f t="shared" si="0"/>
        <v>79.245478036175712</v>
      </c>
      <c r="P9" s="514">
        <f t="shared" si="0"/>
        <v>39.590909090909093</v>
      </c>
      <c r="Q9" s="514">
        <f t="shared" si="0"/>
        <v>18.333333333333332</v>
      </c>
      <c r="R9" s="563">
        <f t="shared" si="0"/>
        <v>9.9292035398230087</v>
      </c>
      <c r="S9" s="514"/>
      <c r="T9" s="514"/>
      <c r="U9" s="514"/>
      <c r="V9" s="514"/>
      <c r="W9" s="514"/>
      <c r="X9" s="514"/>
    </row>
    <row r="10" spans="1:24" x14ac:dyDescent="0.3">
      <c r="B10" s="34">
        <v>37</v>
      </c>
      <c r="C10" s="789">
        <v>7698</v>
      </c>
      <c r="D10" s="790">
        <v>3962</v>
      </c>
      <c r="E10" s="790">
        <v>532</v>
      </c>
      <c r="F10" s="790">
        <v>1932</v>
      </c>
      <c r="G10" s="551">
        <f>'2016 comm sample'!K10</f>
        <v>2.1364985163204748E-2</v>
      </c>
      <c r="H10" s="552">
        <f>'2016 comm sample'!L10</f>
        <v>3.0155642023346304E-2</v>
      </c>
      <c r="I10" s="552">
        <f>'2016 comm sample'!M10</f>
        <v>6.9444444444444448E-2</v>
      </c>
      <c r="J10" s="552">
        <f>'2016 comm sample'!N10</f>
        <v>1.4285714285714285E-2</v>
      </c>
      <c r="K10" s="558">
        <f>IF(C10&gt;0,'2016 comm sample'!C10/'2016 Comm catch'!C10,"na")</f>
        <v>0.21888802286308132</v>
      </c>
      <c r="L10" s="559">
        <f>IF(D10&gt;0,'2016 comm sample'!D10/'2016 Comm catch'!D10,"na")</f>
        <v>0.25946491670873295</v>
      </c>
      <c r="M10" s="559">
        <f>IF(E10&gt;0,'2016 comm sample'!E10/'2016 Comm catch'!E10,"na")</f>
        <v>0.27067669172932329</v>
      </c>
      <c r="N10" s="559">
        <f>IF(F10&gt;0,'2016 comm sample'!F10/'2016 Comm catch'!F10,"na")</f>
        <v>0.47101449275362317</v>
      </c>
      <c r="O10" s="560">
        <f t="shared" si="0"/>
        <v>164.46765578635015</v>
      </c>
      <c r="P10" s="514">
        <f t="shared" si="0"/>
        <v>119.47665369649806</v>
      </c>
      <c r="Q10" s="514">
        <f t="shared" si="0"/>
        <v>36.944444444444443</v>
      </c>
      <c r="R10" s="563">
        <f t="shared" si="0"/>
        <v>27.599999999999998</v>
      </c>
      <c r="S10" s="514"/>
      <c r="T10" s="514"/>
      <c r="U10" s="514"/>
      <c r="V10" s="514"/>
      <c r="W10" s="514"/>
      <c r="X10" s="514"/>
    </row>
    <row r="11" spans="1:24" x14ac:dyDescent="0.3">
      <c r="B11" s="34">
        <v>38</v>
      </c>
      <c r="C11" s="789">
        <v>3122</v>
      </c>
      <c r="D11" s="790">
        <v>2739</v>
      </c>
      <c r="E11" s="790">
        <v>327</v>
      </c>
      <c r="F11" s="790">
        <v>1153</v>
      </c>
      <c r="G11" s="551">
        <f>'2016 comm sample'!K11</f>
        <v>1.7116524028966424E-2</v>
      </c>
      <c r="H11" s="552">
        <f>'2016 comm sample'!L11</f>
        <v>2.7777777777777776E-2</v>
      </c>
      <c r="I11" s="552">
        <f>'2016 comm sample'!M11</f>
        <v>7.0000000000000007E-2</v>
      </c>
      <c r="J11" s="552">
        <f>'2016 comm sample'!N11</f>
        <v>3.2577903682719546E-2</v>
      </c>
      <c r="K11" s="558">
        <f>IF(C11&gt;0,'2016 comm sample'!C11/'2016 Comm catch'!C11,"na")</f>
        <v>0.48654708520179374</v>
      </c>
      <c r="L11" s="559">
        <f>IF(D11&gt;0,'2016 comm sample'!D11/'2016 Comm catch'!D11,"na")</f>
        <v>0.53888280394304489</v>
      </c>
      <c r="M11" s="559">
        <f>IF(E11&gt;0,'2016 comm sample'!E11/'2016 Comm catch'!E11,"na")</f>
        <v>0.6116207951070336</v>
      </c>
      <c r="N11" s="559">
        <f>IF(F11&gt;0,'2016 comm sample'!F11/'2016 Comm catch'!F11,"na")</f>
        <v>0.61231569817866438</v>
      </c>
      <c r="O11" s="560">
        <f t="shared" si="0"/>
        <v>53.437788018433174</v>
      </c>
      <c r="P11" s="514">
        <f t="shared" si="0"/>
        <v>76.083333333333329</v>
      </c>
      <c r="Q11" s="514">
        <f t="shared" si="0"/>
        <v>22.89</v>
      </c>
      <c r="R11" s="563">
        <f t="shared" si="0"/>
        <v>37.562322946175634</v>
      </c>
      <c r="S11" s="514"/>
      <c r="T11" s="514"/>
      <c r="U11" s="514"/>
      <c r="V11" s="514"/>
      <c r="W11" s="514"/>
      <c r="X11" s="514"/>
    </row>
    <row r="12" spans="1:24" x14ac:dyDescent="0.3">
      <c r="B12" s="34">
        <v>39</v>
      </c>
      <c r="C12" s="789">
        <v>2194</v>
      </c>
      <c r="D12" s="790">
        <v>1521</v>
      </c>
      <c r="E12" s="790">
        <v>281</v>
      </c>
      <c r="F12" s="790">
        <v>1571</v>
      </c>
      <c r="G12" s="551">
        <f>'2016 comm sample'!K12</f>
        <v>1.6176470588235296E-2</v>
      </c>
      <c r="H12" s="552">
        <f>'2016 comm sample'!L12</f>
        <v>2.5974025974025976E-2</v>
      </c>
      <c r="I12" s="552">
        <f>'2016 comm sample'!M12</f>
        <v>0.140625</v>
      </c>
      <c r="J12" s="552">
        <f>'2016 comm sample'!N12</f>
        <v>5.4982817869415807E-2</v>
      </c>
      <c r="K12" s="558">
        <f>IF(C12&gt;0,'2016 comm sample'!C12/'2016 Comm catch'!C12,"na")</f>
        <v>0.30993618960802188</v>
      </c>
      <c r="L12" s="559">
        <f>IF(D12&gt;0,'2016 comm sample'!D12/'2016 Comm catch'!D12,"na")</f>
        <v>0.70874424720578566</v>
      </c>
      <c r="M12" s="559">
        <f>IF(E12&gt;0,'2016 comm sample'!E12/'2016 Comm catch'!E12,"na")</f>
        <v>0.68327402135231319</v>
      </c>
      <c r="N12" s="559">
        <f>IF(F12&gt;0,'2016 comm sample'!F12/'2016 Comm catch'!F12,"na")</f>
        <v>0.55569700827498414</v>
      </c>
      <c r="O12" s="560">
        <f t="shared" si="0"/>
        <v>35.491176470588236</v>
      </c>
      <c r="P12" s="514">
        <f t="shared" si="0"/>
        <v>39.506493506493506</v>
      </c>
      <c r="Q12" s="514">
        <f t="shared" si="0"/>
        <v>39.515625</v>
      </c>
      <c r="R12" s="563">
        <f t="shared" si="0"/>
        <v>86.378006872852225</v>
      </c>
      <c r="S12" s="514"/>
      <c r="T12" s="514"/>
      <c r="U12" s="514"/>
      <c r="V12" s="514"/>
      <c r="W12" s="514"/>
      <c r="X12" s="514"/>
    </row>
    <row r="13" spans="1:24" x14ac:dyDescent="0.3">
      <c r="B13" s="34">
        <v>40</v>
      </c>
      <c r="C13" s="789">
        <v>266</v>
      </c>
      <c r="D13" s="790">
        <v>661</v>
      </c>
      <c r="E13" s="790">
        <v>107</v>
      </c>
      <c r="F13" s="790">
        <v>453</v>
      </c>
      <c r="G13" s="551">
        <f>'2016 comm sample'!K13</f>
        <v>1.4492753623188406E-2</v>
      </c>
      <c r="H13" s="552">
        <f>'2016 comm sample'!L13</f>
        <v>3.6553524804177548E-2</v>
      </c>
      <c r="I13" s="552">
        <f>'2016 comm sample'!M13</f>
        <v>0.33333333333333331</v>
      </c>
      <c r="J13" s="552">
        <f>'2016 comm sample'!N13</f>
        <v>2.5089605734767026E-2</v>
      </c>
      <c r="K13" s="558">
        <f>IF(C13&gt;0,'2016 comm sample'!C13/'2016 Comm catch'!C13,"na")</f>
        <v>0.25939849624060152</v>
      </c>
      <c r="L13" s="559">
        <f>IF(D13&gt;0,'2016 comm sample'!D13/'2016 Comm catch'!D13,"na")</f>
        <v>0.57942511346444781</v>
      </c>
      <c r="M13" s="559">
        <f>IF(E13&gt;0,'2016 comm sample'!E13/'2016 Comm catch'!E13,"na")</f>
        <v>0.25233644859813081</v>
      </c>
      <c r="N13" s="559">
        <f>IF(F13&gt;0,'2016 comm sample'!F13/'2016 Comm catch'!F13,"na")</f>
        <v>0.61589403973509937</v>
      </c>
      <c r="O13" s="560">
        <f t="shared" si="0"/>
        <v>3.8550724637681162</v>
      </c>
      <c r="P13" s="514">
        <f t="shared" si="0"/>
        <v>24.161879895561359</v>
      </c>
      <c r="Q13" s="514">
        <f t="shared" si="0"/>
        <v>35.666666666666664</v>
      </c>
      <c r="R13" s="563">
        <f t="shared" si="0"/>
        <v>11.365591397849462</v>
      </c>
      <c r="S13" s="514"/>
      <c r="T13" s="514"/>
      <c r="U13" s="514"/>
      <c r="V13" s="514"/>
      <c r="W13" s="514"/>
      <c r="X13" s="514"/>
    </row>
    <row r="14" spans="1:24" x14ac:dyDescent="0.3">
      <c r="A14" s="11" t="s">
        <v>341</v>
      </c>
      <c r="B14" s="34">
        <v>41</v>
      </c>
      <c r="C14" s="789">
        <v>514</v>
      </c>
      <c r="D14" s="791">
        <v>990</v>
      </c>
      <c r="E14" s="790">
        <v>42</v>
      </c>
      <c r="F14" s="790">
        <v>366</v>
      </c>
      <c r="G14" s="551">
        <f>'2016 comm sample'!K14</f>
        <v>3.7974683544303799E-2</v>
      </c>
      <c r="H14" s="552">
        <f>'2016 comm sample'!L14</f>
        <v>1.4827018121911038E-2</v>
      </c>
      <c r="I14" s="552">
        <f>'2016 comm sample'!M14</f>
        <v>0.26315789473684209</v>
      </c>
      <c r="J14" s="552">
        <f>'2016 comm sample'!N14</f>
        <v>3.0418250950570342E-2</v>
      </c>
      <c r="K14" s="558">
        <f>IF(C14&gt;0,'2016 comm sample'!C14/'2016 Comm catch'!C14,"na")</f>
        <v>0.46108949416342415</v>
      </c>
      <c r="L14" s="559">
        <f>IF(D14&gt;0,'2016 comm sample'!D14/'2016 Comm catch'!D14,"na")</f>
        <v>0.61313131313131308</v>
      </c>
      <c r="M14" s="559">
        <f>IF(E14&gt;0,'2016 comm sample'!E14/'2016 Comm catch'!E14,"na")</f>
        <v>0.45238095238095238</v>
      </c>
      <c r="N14" s="559">
        <f>IF(F14&gt;0,'2016 comm sample'!F14/'2016 Comm catch'!F14,"na")</f>
        <v>0.71857923497267762</v>
      </c>
      <c r="O14" s="560">
        <f t="shared" si="0"/>
        <v>19.518987341772153</v>
      </c>
      <c r="P14" s="514">
        <f t="shared" si="0"/>
        <v>14.678747940691927</v>
      </c>
      <c r="Q14" s="514">
        <f t="shared" si="0"/>
        <v>11.052631578947368</v>
      </c>
      <c r="R14" s="563">
        <f t="shared" si="0"/>
        <v>11.133079847908744</v>
      </c>
      <c r="S14" s="514"/>
      <c r="T14" s="514"/>
      <c r="U14" s="514"/>
      <c r="V14" s="514"/>
      <c r="W14" s="514"/>
      <c r="X14" s="514"/>
    </row>
    <row r="15" spans="1:24" x14ac:dyDescent="0.3">
      <c r="A15" s="11" t="s">
        <v>341</v>
      </c>
      <c r="B15" s="34">
        <v>42</v>
      </c>
      <c r="C15" s="789">
        <v>268</v>
      </c>
      <c r="D15" s="791">
        <v>425</v>
      </c>
      <c r="E15" s="790">
        <v>85</v>
      </c>
      <c r="F15" s="790">
        <v>49</v>
      </c>
      <c r="G15" s="551">
        <f>'2016 comm sample'!K15</f>
        <v>1.5151515151515152E-2</v>
      </c>
      <c r="H15" s="552">
        <f>'2016 comm sample'!L15</f>
        <v>9.4936708860759497E-3</v>
      </c>
      <c r="I15" s="552">
        <f>'2016 comm sample'!M15</f>
        <v>0.36</v>
      </c>
      <c r="J15" s="552">
        <f>'2016 comm sample'!N15</f>
        <v>2.3809523809523808E-2</v>
      </c>
      <c r="K15" s="558">
        <f>IF(C15&gt;0,'2016 comm sample'!C15/'2016 Comm catch'!C15,"na")</f>
        <v>0.73880597014925375</v>
      </c>
      <c r="L15" s="559">
        <f>IF(D15&gt;0,'2016 comm sample'!D15/'2016 Comm catch'!D15,"na")</f>
        <v>0.74352941176470588</v>
      </c>
      <c r="M15" s="559">
        <f>IF(E15&gt;0,'2016 comm sample'!E15/'2016 Comm catch'!E15,"na")</f>
        <v>0.29411764705882354</v>
      </c>
      <c r="N15" s="559">
        <f>IF(F15&gt;0,'2016 comm sample'!F15/'2016 Comm catch'!F15,"na")</f>
        <v>0.8571428571428571</v>
      </c>
      <c r="O15" s="560">
        <f t="shared" si="0"/>
        <v>4.0606060606060606</v>
      </c>
      <c r="P15" s="514">
        <f t="shared" si="0"/>
        <v>4.0348101265822782</v>
      </c>
      <c r="Q15" s="514">
        <f t="shared" si="0"/>
        <v>30.599999999999998</v>
      </c>
      <c r="R15" s="563">
        <f t="shared" si="0"/>
        <v>1.1666666666666665</v>
      </c>
      <c r="S15" s="514"/>
      <c r="T15" s="514"/>
      <c r="U15" s="514"/>
      <c r="V15" s="514"/>
      <c r="W15" s="514"/>
      <c r="X15" s="514"/>
    </row>
    <row r="16" spans="1:24" x14ac:dyDescent="0.3">
      <c r="A16" s="11" t="s">
        <v>341</v>
      </c>
      <c r="B16" s="34">
        <v>43</v>
      </c>
      <c r="C16" s="789">
        <v>90</v>
      </c>
      <c r="D16" s="791">
        <v>82</v>
      </c>
      <c r="E16" s="790">
        <v>21</v>
      </c>
      <c r="F16" s="790">
        <v>0</v>
      </c>
      <c r="G16" s="551">
        <f>'2016 comm sample'!K16</f>
        <v>8.5714285714285715E-2</v>
      </c>
      <c r="H16" s="552">
        <f>'2016 comm sample'!L16</f>
        <v>0</v>
      </c>
      <c r="I16" s="552">
        <f>'2016 comm sample'!M16</f>
        <v>0.2857142857142857</v>
      </c>
      <c r="J16" s="552" t="str">
        <f>'2016 comm sample'!N16</f>
        <v>na</v>
      </c>
      <c r="K16" s="558">
        <f>IF(C16&gt;0,'2016 comm sample'!C16/'2016 Comm catch'!C16,"na")</f>
        <v>0.77777777777777779</v>
      </c>
      <c r="L16" s="559">
        <f>IF(D16&gt;0,'2016 comm sample'!D16/'2016 Comm catch'!D16,"na")</f>
        <v>0.45121951219512196</v>
      </c>
      <c r="M16" s="559">
        <f>IF(E16&gt;0,'2016 comm sample'!E16/'2016 Comm catch'!E16,"na")</f>
        <v>0.33333333333333331</v>
      </c>
      <c r="N16" s="559" t="str">
        <f>IF(F16&gt;0,'2016 comm sample'!F16/'2016 Comm catch'!F16,"na")</f>
        <v>na</v>
      </c>
      <c r="O16" s="560">
        <f t="shared" si="0"/>
        <v>7.7142857142857144</v>
      </c>
      <c r="P16" s="514">
        <f t="shared" si="0"/>
        <v>0</v>
      </c>
      <c r="Q16" s="514">
        <f t="shared" si="0"/>
        <v>6</v>
      </c>
      <c r="R16" s="563" t="str">
        <f t="shared" si="0"/>
        <v>na</v>
      </c>
      <c r="S16" s="514"/>
      <c r="T16" s="514"/>
      <c r="U16" s="514"/>
      <c r="V16" s="514"/>
      <c r="W16" s="514"/>
      <c r="X16" s="514"/>
    </row>
    <row r="17" spans="1:32" x14ac:dyDescent="0.3">
      <c r="B17" s="34">
        <v>44</v>
      </c>
      <c r="C17" s="789">
        <v>6</v>
      </c>
      <c r="D17" s="791">
        <v>13</v>
      </c>
      <c r="E17" s="790">
        <v>11</v>
      </c>
      <c r="F17" s="776"/>
      <c r="G17" s="551" t="str">
        <f>'2016 comm sample'!K17</f>
        <v>na</v>
      </c>
      <c r="H17" s="552">
        <f>'2016 comm sample'!L17</f>
        <v>0.25</v>
      </c>
      <c r="I17" s="552">
        <f>'2016 comm sample'!M17</f>
        <v>0.2857142857142857</v>
      </c>
      <c r="J17" s="552" t="str">
        <f>'2016 comm sample'!N17</f>
        <v>na</v>
      </c>
      <c r="K17" s="558">
        <f>IF(C17&gt;0,'2016 comm sample'!C17/'2016 Comm catch'!C17,"na")</f>
        <v>0</v>
      </c>
      <c r="L17" s="559">
        <f>IF(D17&gt;0,'2016 comm sample'!D17/'2016 Comm catch'!D17,"na")</f>
        <v>0.30769230769230771</v>
      </c>
      <c r="M17" s="559">
        <f>IF(E17&gt;0,'2016 comm sample'!E17/'2016 Comm catch'!E17,"na")</f>
        <v>0.63636363636363635</v>
      </c>
      <c r="N17" s="559" t="str">
        <f>IF(F17&gt;0,'2016 comm sample'!F17/'2016 Comm catch'!F17,"na")</f>
        <v>na</v>
      </c>
      <c r="O17" s="560" t="str">
        <f t="shared" si="0"/>
        <v>na</v>
      </c>
      <c r="P17" s="514">
        <f t="shared" si="0"/>
        <v>3.25</v>
      </c>
      <c r="Q17" s="514">
        <f t="shared" si="0"/>
        <v>3.1428571428571428</v>
      </c>
      <c r="R17" s="563" t="str">
        <f t="shared" si="0"/>
        <v>na</v>
      </c>
      <c r="S17" s="802">
        <f>C17*G16</f>
        <v>0.51428571428571423</v>
      </c>
      <c r="T17" s="514"/>
      <c r="U17" s="514"/>
      <c r="V17" s="514"/>
      <c r="W17" s="514"/>
      <c r="X17" s="514"/>
    </row>
    <row r="18" spans="1:32" x14ac:dyDescent="0.3">
      <c r="B18" s="34">
        <v>45</v>
      </c>
      <c r="C18" s="800">
        <v>0</v>
      </c>
      <c r="D18" s="788"/>
      <c r="E18" s="777"/>
      <c r="F18" s="778"/>
      <c r="G18" s="567" t="str">
        <f>'2016 comm sample'!K18</f>
        <v>na</v>
      </c>
      <c r="H18" s="568" t="str">
        <f>'2016 comm sample'!L18</f>
        <v>na</v>
      </c>
      <c r="I18" s="568" t="str">
        <f>'2016 comm sample'!M18</f>
        <v>na</v>
      </c>
      <c r="J18" s="568" t="str">
        <f>'2016 comm sample'!N18</f>
        <v>na</v>
      </c>
      <c r="K18" s="569" t="str">
        <f>IF(C18&gt;0,'2016 comm sample'!C18/'2016 Comm catch'!C18,"na")</f>
        <v>na</v>
      </c>
      <c r="L18" s="570" t="str">
        <f>IF(D18&gt;0,'2016 comm sample'!D18/'2016 Comm catch'!D18,"na")</f>
        <v>na</v>
      </c>
      <c r="M18" s="570" t="str">
        <f>IF(E18&gt;0,'2016 comm sample'!E18/'2016 Comm catch'!E18,"na")</f>
        <v>na</v>
      </c>
      <c r="N18" s="570" t="str">
        <f>IF(F18&gt;0,'2016 comm sample'!F18/'2016 Comm catch'!F18,"na")</f>
        <v>na</v>
      </c>
      <c r="O18" s="560" t="str">
        <f t="shared" si="0"/>
        <v>na</v>
      </c>
      <c r="P18" s="514" t="str">
        <f t="shared" si="0"/>
        <v>na</v>
      </c>
      <c r="Q18" s="514" t="str">
        <f t="shared" si="0"/>
        <v>na</v>
      </c>
      <c r="R18" s="563" t="str">
        <f t="shared" si="0"/>
        <v>na</v>
      </c>
      <c r="S18" s="514"/>
      <c r="T18" s="514"/>
      <c r="U18" s="514"/>
      <c r="V18" s="514"/>
      <c r="W18" s="514"/>
      <c r="X18" s="514"/>
    </row>
    <row r="19" spans="1:32" x14ac:dyDescent="0.3">
      <c r="B19" s="34" t="s">
        <v>184</v>
      </c>
      <c r="C19" s="757">
        <f>SUM(C5:C18)</f>
        <v>15784</v>
      </c>
      <c r="D19" s="624">
        <f>SUM(D5:D18)</f>
        <v>11284</v>
      </c>
      <c r="E19" s="624">
        <f>SUM(E5:E18)</f>
        <v>1493</v>
      </c>
      <c r="F19" s="758">
        <f>SUM(F5:F18)</f>
        <v>6162</v>
      </c>
      <c r="G19" s="571">
        <f>'2016 comm sample'!K19</f>
        <v>2.564102564102564E-2</v>
      </c>
      <c r="H19" s="571">
        <f>'2016 comm sample'!L19</f>
        <v>2.761922297919352E-2</v>
      </c>
      <c r="I19" s="571">
        <f>'2016 comm sample'!M19</f>
        <v>0.13043478260869565</v>
      </c>
      <c r="J19" s="571">
        <f>'2016 comm sample'!N19</f>
        <v>3.2103210321032104E-2</v>
      </c>
      <c r="K19" s="721">
        <f>IF(C19&gt;0,'2016 comm sample'!C19/'2016 Comm catch'!C19,"na")</f>
        <v>0.33356563608717688</v>
      </c>
      <c r="L19" s="722">
        <f>IF(D19&gt;0,'2016 comm sample'!D19/'2016 Comm catch'!D19,"na")</f>
        <v>0.48130095710740872</v>
      </c>
      <c r="M19" s="722">
        <f>IF(E19&gt;0,'2016 comm sample'!E19/'2016 Comm catch'!E19,"na")</f>
        <v>0.43134628265237779</v>
      </c>
      <c r="N19" s="723">
        <f>IF(F19&gt;0,'2016 comm sample'!F19/'2016 Comm catch'!F19,"na")</f>
        <v>0.54089581304771173</v>
      </c>
      <c r="O19" s="572">
        <f>SUM(O5:O18)</f>
        <v>375.93390703483652</v>
      </c>
      <c r="P19" s="573">
        <f>SUM(P5:P18)</f>
        <v>321.89393870118067</v>
      </c>
      <c r="Q19" s="573">
        <f>SUM(Q5:Q18)</f>
        <v>209.14555816624895</v>
      </c>
      <c r="R19" s="574">
        <f>SUM(R5:R18)</f>
        <v>192.16612127127573</v>
      </c>
      <c r="S19" s="575"/>
      <c r="T19" s="575"/>
      <c r="U19" s="575"/>
      <c r="V19" s="575"/>
      <c r="W19" s="575"/>
      <c r="X19" s="575"/>
    </row>
    <row r="20" spans="1:32" x14ac:dyDescent="0.3">
      <c r="B20" s="208"/>
      <c r="C20" s="208"/>
      <c r="D20" s="208"/>
      <c r="E20" s="208"/>
      <c r="F20" s="575"/>
      <c r="G20" s="34"/>
      <c r="H20" s="34"/>
      <c r="I20" s="208"/>
      <c r="J20" s="576"/>
      <c r="K20" s="208"/>
      <c r="L20" s="208"/>
      <c r="M20" s="208"/>
      <c r="N20" s="577"/>
      <c r="O20" s="208"/>
      <c r="P20" s="208"/>
      <c r="Q20" s="208"/>
      <c r="R20" s="575"/>
      <c r="S20" s="575"/>
      <c r="T20" s="575"/>
      <c r="U20" s="575"/>
      <c r="V20" s="575"/>
      <c r="W20" s="575"/>
      <c r="X20" s="575"/>
    </row>
    <row r="21" spans="1:32" x14ac:dyDescent="0.3">
      <c r="B21" s="208"/>
      <c r="C21" s="457"/>
      <c r="D21" s="457"/>
      <c r="E21" s="457"/>
      <c r="F21" s="514"/>
      <c r="I21" s="457"/>
      <c r="J21" s="457"/>
      <c r="K21" s="457"/>
      <c r="L21" s="457"/>
      <c r="M21" s="457"/>
      <c r="N21" s="457"/>
      <c r="O21" s="457"/>
      <c r="P21" s="457"/>
      <c r="Q21" s="457"/>
      <c r="R21" s="514"/>
      <c r="S21" s="514"/>
      <c r="T21" s="514"/>
      <c r="U21" s="514"/>
      <c r="V21" s="514"/>
      <c r="W21" s="514"/>
      <c r="X21" s="514"/>
    </row>
    <row r="22" spans="1:32" x14ac:dyDescent="0.3">
      <c r="C22" s="34" t="s">
        <v>123</v>
      </c>
      <c r="H22" s="457"/>
      <c r="I22" s="457"/>
      <c r="J22" s="457"/>
      <c r="Y22" s="33"/>
      <c r="Z22" s="33"/>
      <c r="AA22" s="33"/>
    </row>
    <row r="23" spans="1:32" x14ac:dyDescent="0.3">
      <c r="C23" s="903" t="s">
        <v>263</v>
      </c>
      <c r="D23" s="904"/>
      <c r="E23" s="904"/>
      <c r="F23" s="904"/>
      <c r="G23" s="904"/>
      <c r="H23" s="904"/>
      <c r="I23" s="904"/>
      <c r="J23" s="905"/>
      <c r="K23" s="903" t="s">
        <v>264</v>
      </c>
      <c r="L23" s="904"/>
      <c r="M23" s="904"/>
      <c r="N23" s="904"/>
      <c r="O23" s="905"/>
      <c r="P23" s="903" t="s">
        <v>261</v>
      </c>
      <c r="Q23" s="904"/>
      <c r="R23" s="904"/>
      <c r="S23" s="904"/>
      <c r="T23" s="904"/>
      <c r="U23" s="697" t="s">
        <v>323</v>
      </c>
      <c r="V23" s="698"/>
      <c r="W23" s="698"/>
      <c r="X23" s="698"/>
      <c r="Y23" s="698"/>
      <c r="Z23" s="698"/>
      <c r="AA23" s="698"/>
      <c r="AB23" s="699"/>
      <c r="AC23" s="34" t="s">
        <v>328</v>
      </c>
    </row>
    <row r="24" spans="1:32" x14ac:dyDescent="0.3">
      <c r="B24" s="34" t="s">
        <v>134</v>
      </c>
      <c r="C24" s="547">
        <v>1</v>
      </c>
      <c r="D24" s="202">
        <v>2</v>
      </c>
      <c r="E24" s="202">
        <v>3</v>
      </c>
      <c r="F24" s="202"/>
      <c r="G24" s="202">
        <v>4</v>
      </c>
      <c r="H24" s="202">
        <v>5</v>
      </c>
      <c r="I24" s="202"/>
      <c r="J24" s="548" t="s">
        <v>272</v>
      </c>
      <c r="K24" s="367">
        <v>1</v>
      </c>
      <c r="L24" s="175">
        <v>2</v>
      </c>
      <c r="M24" s="175">
        <v>3</v>
      </c>
      <c r="N24" s="175">
        <v>4</v>
      </c>
      <c r="O24" s="368">
        <v>5</v>
      </c>
      <c r="P24" s="367">
        <v>1</v>
      </c>
      <c r="Q24" s="175">
        <v>2</v>
      </c>
      <c r="R24" s="175">
        <v>3</v>
      </c>
      <c r="S24" s="175">
        <v>4</v>
      </c>
      <c r="T24" s="175">
        <v>5</v>
      </c>
      <c r="U24" s="367">
        <v>1</v>
      </c>
      <c r="V24" s="175">
        <v>2</v>
      </c>
      <c r="W24" s="175">
        <v>3</v>
      </c>
      <c r="X24" s="175"/>
      <c r="Y24" s="175">
        <v>4</v>
      </c>
      <c r="Z24" s="175">
        <v>5</v>
      </c>
      <c r="AA24" s="175"/>
      <c r="AB24" s="368" t="s">
        <v>272</v>
      </c>
      <c r="AC24" s="32" t="str">
        <f>'2013 comm sample'!R24</f>
        <v>Z1-3 Agg</v>
      </c>
      <c r="AD24" s="32" t="str">
        <f>'2013 comm sample'!S24</f>
        <v>Z4-5 Agg</v>
      </c>
      <c r="AE24" s="73"/>
      <c r="AF24" s="73"/>
    </row>
    <row r="25" spans="1:32" x14ac:dyDescent="0.3">
      <c r="A25" s="34"/>
      <c r="B25" s="34">
        <v>32</v>
      </c>
      <c r="C25" s="716"/>
      <c r="D25" s="717"/>
      <c r="E25" s="717"/>
      <c r="F25" s="700"/>
      <c r="G25" s="794"/>
      <c r="H25" s="794"/>
      <c r="I25" s="700"/>
      <c r="J25" s="579"/>
      <c r="K25" s="532" t="str">
        <f>'2016 comm sample'!M25</f>
        <v>na</v>
      </c>
      <c r="L25" s="532" t="str">
        <f>'2016 comm sample'!N25</f>
        <v>na</v>
      </c>
      <c r="M25" s="532" t="str">
        <f>'2016 comm sample'!O25</f>
        <v>na</v>
      </c>
      <c r="N25" s="532" t="str">
        <f>'2016 comm sample'!P25</f>
        <v>na</v>
      </c>
      <c r="O25" s="533" t="str">
        <f>'2016 comm sample'!Q25</f>
        <v>na</v>
      </c>
      <c r="P25" s="559" t="str">
        <f>IF(C25&gt;0,'2016 comm sample'!C25/'2016 Comm catch'!C25,"na")</f>
        <v>na</v>
      </c>
      <c r="Q25" s="559" t="str">
        <f>IF(D25&gt;0,'2016 comm sample'!D25/'2016 Comm catch'!D25,"na")</f>
        <v>na</v>
      </c>
      <c r="R25" s="33" t="str">
        <f>IF(E25&gt;0,'2016 comm sample'!E25/'2016 Comm catch'!E25,"na")</f>
        <v>na</v>
      </c>
      <c r="S25" s="554" t="str">
        <f>IF(G25&gt;0,'2016 comm sample'!F25/'2016 Comm catch'!G25,"na")</f>
        <v>na</v>
      </c>
      <c r="T25" s="554" t="str">
        <f>IF(H25&gt;0,'2016 comm sample'!G25/'2016 Comm catch'!H25,"na")</f>
        <v>na</v>
      </c>
      <c r="U25" s="560">
        <f t="shared" ref="U25:W39" si="1">IF(K25&lt;&gt;"na",C25*K25,0)</f>
        <v>0</v>
      </c>
      <c r="V25" s="514">
        <f t="shared" si="1"/>
        <v>0</v>
      </c>
      <c r="W25" s="514">
        <f t="shared" si="1"/>
        <v>0</v>
      </c>
      <c r="X25" s="705">
        <f t="shared" ref="X25:X38" si="2">SUM(U25:W25)</f>
        <v>0</v>
      </c>
      <c r="Y25" s="514">
        <f t="shared" ref="Y25:Z39" si="3">IF(N25&lt;&gt;"na",G25*N25,0)</f>
        <v>0</v>
      </c>
      <c r="Z25" s="514">
        <f t="shared" si="3"/>
        <v>0</v>
      </c>
      <c r="AA25" s="705">
        <f t="shared" ref="AA25:AA38" si="4">SUM(Y25:Z25)</f>
        <v>0</v>
      </c>
      <c r="AB25" s="580">
        <f>X25+AA25</f>
        <v>0</v>
      </c>
    </row>
    <row r="26" spans="1:32" x14ac:dyDescent="0.3">
      <c r="A26" s="34" t="s">
        <v>324</v>
      </c>
      <c r="B26" s="34">
        <v>33</v>
      </c>
      <c r="C26" s="718"/>
      <c r="D26" s="714"/>
      <c r="E26" s="714"/>
      <c r="F26" s="701"/>
      <c r="G26" s="791">
        <v>13</v>
      </c>
      <c r="H26" s="791">
        <v>0</v>
      </c>
      <c r="I26" s="704">
        <f t="shared" ref="I26:I38" si="5">SUM(G26:H26)</f>
        <v>13</v>
      </c>
      <c r="J26" s="515">
        <f>F26+I26</f>
        <v>13</v>
      </c>
      <c r="K26" s="532" t="str">
        <f>'2016 comm sample'!M26</f>
        <v>na</v>
      </c>
      <c r="L26" s="532" t="str">
        <f>'2016 comm sample'!N26</f>
        <v>na</v>
      </c>
      <c r="M26" s="532" t="str">
        <f>'2016 comm sample'!O26</f>
        <v>na</v>
      </c>
      <c r="N26" s="532">
        <f>'2016 comm sample'!P26</f>
        <v>0.33333333333333331</v>
      </c>
      <c r="O26" s="533" t="str">
        <f>'2016 comm sample'!Q26</f>
        <v>na</v>
      </c>
      <c r="P26" s="559" t="str">
        <f>IF(C26&gt;0,'2016 comm sample'!C26/'2016 Comm catch'!C26,"na")</f>
        <v>na</v>
      </c>
      <c r="Q26" s="559" t="str">
        <f>IF(D26&gt;0,'2016 comm sample'!D26/'2016 Comm catch'!D26,"na")</f>
        <v>na</v>
      </c>
      <c r="R26" s="559" t="str">
        <f>IF(E26&gt;0,'2016 comm sample'!E26/'2016 Comm catch'!E26,"na")</f>
        <v>na</v>
      </c>
      <c r="S26" s="559">
        <f>IF(G26&gt;0,'2016 comm sample'!F26/'2016 Comm catch'!G26,"na")</f>
        <v>0.23076923076923078</v>
      </c>
      <c r="T26" s="559" t="str">
        <f>IF(H26&gt;0,'2016 comm sample'!G26/'2016 Comm catch'!H26,"na")</f>
        <v>na</v>
      </c>
      <c r="U26" s="560">
        <f t="shared" si="1"/>
        <v>0</v>
      </c>
      <c r="V26" s="514">
        <f t="shared" si="1"/>
        <v>0</v>
      </c>
      <c r="W26" s="514">
        <f t="shared" si="1"/>
        <v>0</v>
      </c>
      <c r="X26" s="705">
        <f t="shared" si="2"/>
        <v>0</v>
      </c>
      <c r="Y26" s="514">
        <f t="shared" si="3"/>
        <v>4.333333333333333</v>
      </c>
      <c r="Z26" s="514">
        <f t="shared" si="3"/>
        <v>0</v>
      </c>
      <c r="AA26" s="705">
        <f t="shared" si="4"/>
        <v>4.333333333333333</v>
      </c>
      <c r="AB26" s="580">
        <f t="shared" ref="AB26:AB40" si="6">X26+AA26</f>
        <v>4.333333333333333</v>
      </c>
    </row>
    <row r="27" spans="1:32" x14ac:dyDescent="0.3">
      <c r="A27" s="34" t="s">
        <v>324</v>
      </c>
      <c r="B27" s="34">
        <v>34</v>
      </c>
      <c r="C27" s="718"/>
      <c r="D27" s="714"/>
      <c r="E27" s="714"/>
      <c r="F27" s="701"/>
      <c r="G27" s="797">
        <v>31</v>
      </c>
      <c r="H27" s="797">
        <v>14</v>
      </c>
      <c r="I27" s="704">
        <f t="shared" si="5"/>
        <v>45</v>
      </c>
      <c r="J27" s="515">
        <f t="shared" ref="J27:J39" si="7">F27+I27</f>
        <v>45</v>
      </c>
      <c r="K27" s="532" t="str">
        <f>'2016 comm sample'!M27</f>
        <v>na</v>
      </c>
      <c r="L27" s="532" t="str">
        <f>'2016 comm sample'!N27</f>
        <v>na</v>
      </c>
      <c r="M27" s="532" t="str">
        <f>'2016 comm sample'!O27</f>
        <v>na</v>
      </c>
      <c r="N27" s="532">
        <f>'2016 comm sample'!P27</f>
        <v>0.4375</v>
      </c>
      <c r="O27" s="533">
        <f>'2016 comm sample'!Q27</f>
        <v>1</v>
      </c>
      <c r="P27" s="559" t="str">
        <f>IF(C27&gt;0,'2016 comm sample'!C27/'2016 Comm catch'!C27,"na")</f>
        <v>na</v>
      </c>
      <c r="Q27" s="559" t="str">
        <f>IF(D27&gt;0,'2016 comm sample'!D27/'2016 Comm catch'!D27,"na")</f>
        <v>na</v>
      </c>
      <c r="R27" s="559" t="str">
        <f>IF(E27&gt;0,'2016 comm sample'!E27/'2016 Comm catch'!E27,"na")</f>
        <v>na</v>
      </c>
      <c r="S27" s="559">
        <f>IF(G27&gt;0,'2016 comm sample'!F27/'2016 Comm catch'!G27,"na")</f>
        <v>0.5161290322580645</v>
      </c>
      <c r="T27" s="559">
        <f>IF(H27&gt;0,'2016 comm sample'!G27/'2016 Comm catch'!H27,"na")</f>
        <v>0.42857142857142855</v>
      </c>
      <c r="U27" s="560">
        <f t="shared" si="1"/>
        <v>0</v>
      </c>
      <c r="V27" s="514">
        <f t="shared" si="1"/>
        <v>0</v>
      </c>
      <c r="W27" s="514">
        <f t="shared" si="1"/>
        <v>0</v>
      </c>
      <c r="X27" s="705">
        <f t="shared" si="2"/>
        <v>0</v>
      </c>
      <c r="Y27" s="514">
        <f t="shared" si="3"/>
        <v>13.5625</v>
      </c>
      <c r="Z27" s="514">
        <f t="shared" si="3"/>
        <v>14</v>
      </c>
      <c r="AA27" s="705">
        <f t="shared" si="4"/>
        <v>27.5625</v>
      </c>
      <c r="AB27" s="580">
        <f t="shared" si="6"/>
        <v>27.5625</v>
      </c>
    </row>
    <row r="28" spans="1:32" x14ac:dyDescent="0.3">
      <c r="A28" s="34" t="s">
        <v>324</v>
      </c>
      <c r="B28" s="34">
        <v>35</v>
      </c>
      <c r="C28" s="718"/>
      <c r="D28" s="714"/>
      <c r="E28" s="714"/>
      <c r="F28" s="701"/>
      <c r="G28" s="797">
        <v>145</v>
      </c>
      <c r="H28" s="797">
        <v>63</v>
      </c>
      <c r="I28" s="704">
        <f t="shared" si="5"/>
        <v>208</v>
      </c>
      <c r="J28" s="515">
        <f t="shared" si="7"/>
        <v>208</v>
      </c>
      <c r="K28" s="532" t="str">
        <f>'2016 comm sample'!M28</f>
        <v>na</v>
      </c>
      <c r="L28" s="532" t="str">
        <f>'2016 comm sample'!N28</f>
        <v>na</v>
      </c>
      <c r="M28" s="532" t="str">
        <f>'2016 comm sample'!O28</f>
        <v>na</v>
      </c>
      <c r="N28" s="532">
        <f>'2016 comm sample'!P28</f>
        <v>0.36065573770491804</v>
      </c>
      <c r="O28" s="533">
        <f>'2016 comm sample'!Q28</f>
        <v>0.32</v>
      </c>
      <c r="P28" s="559" t="str">
        <f>IF(C28&gt;0,'2016 comm sample'!C28/'2016 Comm catch'!C28,"na")</f>
        <v>na</v>
      </c>
      <c r="Q28" s="559" t="str">
        <f>IF(D28&gt;0,'2016 comm sample'!D28/'2016 Comm catch'!D28,"na")</f>
        <v>na</v>
      </c>
      <c r="R28" s="559" t="str">
        <f>IF(E28&gt;0,'2016 comm sample'!E28/'2016 Comm catch'!E28,"na")</f>
        <v>na</v>
      </c>
      <c r="S28" s="559">
        <f>IF(G28&gt;0,'2016 comm sample'!F28/'2016 Comm catch'!G28,"na")</f>
        <v>0.4206896551724138</v>
      </c>
      <c r="T28" s="559">
        <f>IF(H28&gt;0,'2016 comm sample'!G28/'2016 Comm catch'!H28,"na")</f>
        <v>0.3968253968253968</v>
      </c>
      <c r="U28" s="560">
        <f t="shared" si="1"/>
        <v>0</v>
      </c>
      <c r="V28" s="514">
        <f t="shared" si="1"/>
        <v>0</v>
      </c>
      <c r="W28" s="514">
        <f t="shared" si="1"/>
        <v>0</v>
      </c>
      <c r="X28" s="705">
        <f t="shared" si="2"/>
        <v>0</v>
      </c>
      <c r="Y28" s="514">
        <f t="shared" si="3"/>
        <v>52.295081967213115</v>
      </c>
      <c r="Z28" s="514">
        <f t="shared" si="3"/>
        <v>20.16</v>
      </c>
      <c r="AA28" s="705">
        <f t="shared" si="4"/>
        <v>72.455081967213118</v>
      </c>
      <c r="AB28" s="580">
        <f t="shared" si="6"/>
        <v>72.455081967213118</v>
      </c>
      <c r="AD28" s="585"/>
    </row>
    <row r="29" spans="1:32" x14ac:dyDescent="0.3">
      <c r="A29" s="34" t="s">
        <v>324</v>
      </c>
      <c r="B29" s="34">
        <v>36</v>
      </c>
      <c r="C29" s="718"/>
      <c r="D29" s="714"/>
      <c r="E29" s="714"/>
      <c r="F29" s="701"/>
      <c r="G29" s="797">
        <v>93</v>
      </c>
      <c r="H29" s="797">
        <v>49</v>
      </c>
      <c r="I29" s="704">
        <f t="shared" si="5"/>
        <v>142</v>
      </c>
      <c r="J29" s="515">
        <f t="shared" si="7"/>
        <v>142</v>
      </c>
      <c r="K29" s="532" t="str">
        <f>'2016 comm sample'!M29</f>
        <v>na</v>
      </c>
      <c r="L29" s="532" t="str">
        <f>'2016 comm sample'!N29</f>
        <v>na</v>
      </c>
      <c r="M29" s="532" t="str">
        <f>'2016 comm sample'!O29</f>
        <v>na</v>
      </c>
      <c r="N29" s="532">
        <f>'2016 comm sample'!P29</f>
        <v>0.45</v>
      </c>
      <c r="O29" s="533">
        <f>'2016 comm sample'!Q29</f>
        <v>0.1875</v>
      </c>
      <c r="P29" s="559" t="str">
        <f>IF(C29&gt;0,'2016 comm sample'!C29/'2016 Comm catch'!C29,"na")</f>
        <v>na</v>
      </c>
      <c r="Q29" s="559" t="str">
        <f>IF(D29&gt;0,'2016 comm sample'!D29/'2016 Comm catch'!D29,"na")</f>
        <v>na</v>
      </c>
      <c r="R29" s="559" t="str">
        <f>IF(E29&gt;0,'2016 comm sample'!E29/'2016 Comm catch'!E29,"na")</f>
        <v>na</v>
      </c>
      <c r="S29" s="559">
        <f>IF(G29&gt;0,'2016 comm sample'!F29/'2016 Comm catch'!G29,"na")</f>
        <v>0.43010752688172044</v>
      </c>
      <c r="T29" s="559">
        <f>IF(H29&gt;0,'2016 comm sample'!G29/'2016 Comm catch'!H29,"na")</f>
        <v>0.32653061224489793</v>
      </c>
      <c r="U29" s="560">
        <f t="shared" si="1"/>
        <v>0</v>
      </c>
      <c r="V29" s="514">
        <f t="shared" si="1"/>
        <v>0</v>
      </c>
      <c r="W29" s="514">
        <f t="shared" si="1"/>
        <v>0</v>
      </c>
      <c r="X29" s="705">
        <f t="shared" si="2"/>
        <v>0</v>
      </c>
      <c r="Y29" s="514">
        <f t="shared" si="3"/>
        <v>41.85</v>
      </c>
      <c r="Z29" s="514">
        <f t="shared" si="3"/>
        <v>9.1875</v>
      </c>
      <c r="AA29" s="705">
        <f t="shared" si="4"/>
        <v>51.037500000000001</v>
      </c>
      <c r="AB29" s="580">
        <f t="shared" si="6"/>
        <v>51.037500000000001</v>
      </c>
      <c r="AD29" s="585"/>
    </row>
    <row r="30" spans="1:32" x14ac:dyDescent="0.3">
      <c r="A30"/>
      <c r="B30" s="34">
        <v>37</v>
      </c>
      <c r="C30" s="718"/>
      <c r="D30" s="714"/>
      <c r="E30" s="714"/>
      <c r="F30" s="701"/>
      <c r="G30" s="773"/>
      <c r="H30" s="773"/>
      <c r="I30" s="701">
        <f t="shared" si="5"/>
        <v>0</v>
      </c>
      <c r="J30" s="515">
        <f t="shared" si="7"/>
        <v>0</v>
      </c>
      <c r="K30" s="532" t="str">
        <f>'2016 comm sample'!M30</f>
        <v>na</v>
      </c>
      <c r="L30" s="532" t="str">
        <f>'2016 comm sample'!N30</f>
        <v>na</v>
      </c>
      <c r="M30" s="532" t="str">
        <f>'2016 comm sample'!O30</f>
        <v>na</v>
      </c>
      <c r="N30" s="532" t="str">
        <f>'2016 comm sample'!P30</f>
        <v>na</v>
      </c>
      <c r="O30" s="533" t="str">
        <f>'2016 comm sample'!Q30</f>
        <v>na</v>
      </c>
      <c r="P30" s="558" t="str">
        <f>IF(C30&gt;0,'2016 comm sample'!C30/'2016 Comm catch'!C30,"na")</f>
        <v>na</v>
      </c>
      <c r="Q30" s="559" t="str">
        <f>IF(D30&gt;0,'2016 comm sample'!D30/'2016 Comm catch'!D30,"na")</f>
        <v>na</v>
      </c>
      <c r="R30" s="559" t="str">
        <f>IF(E30&gt;0,'2016 comm sample'!E30/'2016 Comm catch'!E30,"na")</f>
        <v>na</v>
      </c>
      <c r="S30" s="559" t="str">
        <f>IF(G30&gt;0,'2016 comm sample'!F30/'2016 Comm catch'!G30,"na")</f>
        <v>na</v>
      </c>
      <c r="T30" s="559" t="str">
        <f>IF(H30&gt;0,'2016 comm sample'!G30/'2016 Comm catch'!H30,"na")</f>
        <v>na</v>
      </c>
      <c r="U30" s="560">
        <f t="shared" si="1"/>
        <v>0</v>
      </c>
      <c r="V30" s="514">
        <f t="shared" si="1"/>
        <v>0</v>
      </c>
      <c r="W30" s="514">
        <f t="shared" si="1"/>
        <v>0</v>
      </c>
      <c r="X30" s="705">
        <f t="shared" si="2"/>
        <v>0</v>
      </c>
      <c r="Y30" s="514">
        <f t="shared" si="3"/>
        <v>0</v>
      </c>
      <c r="Z30" s="514">
        <f t="shared" si="3"/>
        <v>0</v>
      </c>
      <c r="AA30" s="705">
        <f t="shared" si="4"/>
        <v>0</v>
      </c>
      <c r="AB30" s="580">
        <f t="shared" si="6"/>
        <v>0</v>
      </c>
    </row>
    <row r="31" spans="1:32" x14ac:dyDescent="0.3">
      <c r="A31" s="34"/>
      <c r="B31" s="34">
        <v>38</v>
      </c>
      <c r="C31" s="718"/>
      <c r="D31" s="714"/>
      <c r="E31" s="714"/>
      <c r="F31" s="701"/>
      <c r="G31" s="773"/>
      <c r="H31" s="773"/>
      <c r="I31" s="701">
        <f t="shared" si="5"/>
        <v>0</v>
      </c>
      <c r="J31" s="515">
        <f t="shared" si="7"/>
        <v>0</v>
      </c>
      <c r="K31" s="532" t="str">
        <f>'2016 comm sample'!M31</f>
        <v>na</v>
      </c>
      <c r="L31" s="532" t="str">
        <f>'2016 comm sample'!N31</f>
        <v>na</v>
      </c>
      <c r="M31" s="532" t="str">
        <f>'2016 comm sample'!O31</f>
        <v>na</v>
      </c>
      <c r="N31" s="532" t="str">
        <f>'2016 comm sample'!P31</f>
        <v>na</v>
      </c>
      <c r="O31" s="533" t="str">
        <f>'2016 comm sample'!Q31</f>
        <v>na</v>
      </c>
      <c r="P31" s="558" t="str">
        <f>IF(C31&gt;0,'2016 comm sample'!C31/'2016 Comm catch'!C31,"na")</f>
        <v>na</v>
      </c>
      <c r="Q31" s="559" t="str">
        <f>IF(D31&gt;0,'2016 comm sample'!D31/'2016 Comm catch'!D31,"na")</f>
        <v>na</v>
      </c>
      <c r="R31" s="559" t="str">
        <f>IF(E31&gt;0,'2016 comm sample'!E31/'2016 Comm catch'!E31,"na")</f>
        <v>na</v>
      </c>
      <c r="S31" s="559" t="str">
        <f>IF(G31&gt;0,'2016 comm sample'!F31/'2016 Comm catch'!G31,"na")</f>
        <v>na</v>
      </c>
      <c r="T31" s="559" t="str">
        <f>IF(H31&gt;0,'2016 comm sample'!G31/'2016 Comm catch'!H31,"na")</f>
        <v>na</v>
      </c>
      <c r="U31" s="560">
        <f t="shared" si="1"/>
        <v>0</v>
      </c>
      <c r="V31" s="514">
        <f t="shared" si="1"/>
        <v>0</v>
      </c>
      <c r="W31" s="514">
        <f t="shared" si="1"/>
        <v>0</v>
      </c>
      <c r="X31" s="705">
        <f t="shared" si="2"/>
        <v>0</v>
      </c>
      <c r="Y31" s="514">
        <f t="shared" si="3"/>
        <v>0</v>
      </c>
      <c r="Z31" s="514">
        <f t="shared" si="3"/>
        <v>0</v>
      </c>
      <c r="AA31" s="705">
        <f t="shared" si="4"/>
        <v>0</v>
      </c>
      <c r="AB31" s="580">
        <f t="shared" si="6"/>
        <v>0</v>
      </c>
      <c r="AD31" s="585"/>
    </row>
    <row r="32" spans="1:32" x14ac:dyDescent="0.3">
      <c r="A32" s="34" t="s">
        <v>322</v>
      </c>
      <c r="B32" s="34">
        <v>39</v>
      </c>
      <c r="C32" s="718"/>
      <c r="D32" s="714"/>
      <c r="E32" s="714"/>
      <c r="F32" s="701">
        <f t="shared" ref="F32:F38" si="8">SUM(C32:E32)</f>
        <v>0</v>
      </c>
      <c r="G32" s="798">
        <v>160</v>
      </c>
      <c r="H32" s="798">
        <v>97</v>
      </c>
      <c r="I32" s="704">
        <f t="shared" si="5"/>
        <v>257</v>
      </c>
      <c r="J32" s="737">
        <f t="shared" si="7"/>
        <v>257</v>
      </c>
      <c r="K32" s="532" t="str">
        <f>'2016 comm sample'!M32</f>
        <v>na</v>
      </c>
      <c r="L32" s="532" t="str">
        <f>'2016 comm sample'!N32</f>
        <v>na</v>
      </c>
      <c r="M32" s="532" t="str">
        <f>'2016 comm sample'!O32</f>
        <v>na</v>
      </c>
      <c r="N32" s="532">
        <f>'2016 comm sample'!P32</f>
        <v>0.32857142857142857</v>
      </c>
      <c r="O32" s="533">
        <f>'2016 comm sample'!Q32</f>
        <v>0.41666666666666669</v>
      </c>
      <c r="P32" s="558" t="str">
        <f>IF(C32&gt;0,'2016 comm sample'!C32/'2016 Comm catch'!C32,"na")</f>
        <v>na</v>
      </c>
      <c r="Q32" s="559" t="str">
        <f>IF(D32&gt;0,'2016 comm sample'!D32/'2016 Comm catch'!D32,"na")</f>
        <v>na</v>
      </c>
      <c r="R32" s="559" t="str">
        <f>IF(E32&gt;0,'2016 comm sample'!E32/'2016 Comm catch'!E32,"na")</f>
        <v>na</v>
      </c>
      <c r="S32" s="559">
        <f>IF(G32&gt;0,'2016 comm sample'!F32/'2016 Comm catch'!G32,"na")</f>
        <v>0.4375</v>
      </c>
      <c r="T32" s="559">
        <f>IF(H32&gt;0,'2016 comm sample'!G32/'2016 Comm catch'!H32,"na")</f>
        <v>0.61855670103092786</v>
      </c>
      <c r="U32" s="583">
        <f>IF(K32&lt;&gt;"na",C32*L32,0)</f>
        <v>0</v>
      </c>
      <c r="V32" s="584">
        <f t="shared" si="1"/>
        <v>0</v>
      </c>
      <c r="W32" s="514">
        <f t="shared" si="1"/>
        <v>0</v>
      </c>
      <c r="X32" s="706">
        <f t="shared" si="2"/>
        <v>0</v>
      </c>
      <c r="Y32" s="584">
        <f t="shared" si="3"/>
        <v>52.571428571428569</v>
      </c>
      <c r="Z32" s="584">
        <f t="shared" si="3"/>
        <v>40.416666666666671</v>
      </c>
      <c r="AA32" s="705">
        <f t="shared" si="4"/>
        <v>92.988095238095241</v>
      </c>
      <c r="AB32" s="580">
        <f t="shared" si="6"/>
        <v>92.988095238095241</v>
      </c>
      <c r="AC32" s="585"/>
      <c r="AD32" s="585"/>
      <c r="AE32" s="585"/>
      <c r="AF32" s="585"/>
    </row>
    <row r="33" spans="1:32" x14ac:dyDescent="0.3">
      <c r="A33" s="34" t="s">
        <v>322</v>
      </c>
      <c r="B33" s="34">
        <v>40</v>
      </c>
      <c r="C33" s="718"/>
      <c r="D33" s="714"/>
      <c r="E33" s="714"/>
      <c r="F33" s="701">
        <f>SUM(C33:E33)</f>
        <v>0</v>
      </c>
      <c r="G33" s="799"/>
      <c r="H33" s="799"/>
      <c r="I33" s="704">
        <f>SUM(G33:H33)</f>
        <v>0</v>
      </c>
      <c r="J33" s="515">
        <f>F33+I33</f>
        <v>0</v>
      </c>
      <c r="K33" s="532" t="str">
        <f>'2016 comm sample'!M33</f>
        <v>na</v>
      </c>
      <c r="L33" s="532" t="str">
        <f>'2016 comm sample'!N33</f>
        <v>na</v>
      </c>
      <c r="M33" s="532" t="str">
        <f>'2016 comm sample'!O33</f>
        <v>na</v>
      </c>
      <c r="N33" s="532" t="str">
        <f>'2016 comm sample'!P33</f>
        <v>na</v>
      </c>
      <c r="O33" s="533" t="str">
        <f>'2016 comm sample'!Q33</f>
        <v>na</v>
      </c>
      <c r="P33" s="558" t="str">
        <f>IF(C33&gt;0,'2016 comm sample'!C33/'2016 Comm catch'!C33,"na")</f>
        <v>na</v>
      </c>
      <c r="Q33" s="559" t="str">
        <f>IF(D33&gt;0,'2016 comm sample'!D33/'2016 Comm catch'!D33,"na")</f>
        <v>na</v>
      </c>
      <c r="R33" s="559" t="str">
        <f>IF(E33&gt;0,'2016 comm sample'!E33/'2016 Comm catch'!E33,"na")</f>
        <v>na</v>
      </c>
      <c r="S33" s="559" t="str">
        <f>IF(G33&gt;0,'2016 comm sample'!F33/'2016 Comm catch'!G33,"na")</f>
        <v>na</v>
      </c>
      <c r="T33" s="559" t="str">
        <f>IF(H33&gt;0,'2016 comm sample'!G33/'2016 Comm catch'!H33,"na")</f>
        <v>na</v>
      </c>
      <c r="U33" s="583">
        <f>IF(K33&lt;&gt;"na",C33*L33,0)</f>
        <v>0</v>
      </c>
      <c r="V33" s="514">
        <f>IF(L33&lt;&gt;"na",D33*L33,0)</f>
        <v>0</v>
      </c>
      <c r="W33" s="514">
        <f t="shared" si="1"/>
        <v>0</v>
      </c>
      <c r="X33" s="705">
        <f t="shared" si="2"/>
        <v>0</v>
      </c>
      <c r="Y33" s="584">
        <f t="shared" si="3"/>
        <v>0</v>
      </c>
      <c r="Z33" s="584">
        <f t="shared" si="3"/>
        <v>0</v>
      </c>
      <c r="AA33" s="705">
        <f t="shared" si="4"/>
        <v>0</v>
      </c>
      <c r="AB33" s="580">
        <f>X33+AA33</f>
        <v>0</v>
      </c>
      <c r="AC33" s="585"/>
      <c r="AD33" s="585"/>
      <c r="AE33" s="585"/>
      <c r="AF33" s="585"/>
    </row>
    <row r="34" spans="1:32" x14ac:dyDescent="0.3">
      <c r="A34" s="34"/>
      <c r="B34" s="34">
        <v>41</v>
      </c>
      <c r="C34" s="718"/>
      <c r="D34" s="714"/>
      <c r="E34" s="714"/>
      <c r="F34" s="701">
        <f t="shared" si="8"/>
        <v>0</v>
      </c>
      <c r="G34" s="795"/>
      <c r="H34" s="795"/>
      <c r="I34" s="704">
        <f t="shared" si="5"/>
        <v>0</v>
      </c>
      <c r="J34" s="515">
        <f t="shared" si="7"/>
        <v>0</v>
      </c>
      <c r="K34" s="532" t="str">
        <f>'2016 comm sample'!M34</f>
        <v>na</v>
      </c>
      <c r="L34" s="532" t="str">
        <f>'2016 comm sample'!N34</f>
        <v>na</v>
      </c>
      <c r="M34" s="532" t="str">
        <f>'2016 comm sample'!O34</f>
        <v>na</v>
      </c>
      <c r="N34" s="532" t="str">
        <f>'2016 comm sample'!P34</f>
        <v>na</v>
      </c>
      <c r="O34" s="533" t="str">
        <f>'2016 comm sample'!Q34</f>
        <v>na</v>
      </c>
      <c r="P34" s="558" t="str">
        <f>IF(C34&gt;0,'2016 comm sample'!C34/'2016 Comm catch'!C34,"na")</f>
        <v>na</v>
      </c>
      <c r="Q34" s="559" t="str">
        <f>IF(D34&gt;0,'2016 comm sample'!D34/'2016 Comm catch'!D34,"na")</f>
        <v>na</v>
      </c>
      <c r="R34" s="559" t="str">
        <f>IF(E34&gt;0,'2016 comm sample'!E34/'2016 Comm catch'!E34,"na")</f>
        <v>na</v>
      </c>
      <c r="S34" s="559" t="str">
        <f>IF(G34&gt;0,'2016 comm sample'!F34/'2016 Comm catch'!G34,"na")</f>
        <v>na</v>
      </c>
      <c r="T34" s="559" t="str">
        <f>IF(H34&gt;0,'2016 comm sample'!G34/'2016 Comm catch'!H34,"na")</f>
        <v>na</v>
      </c>
      <c r="U34" s="560">
        <f t="shared" si="1"/>
        <v>0</v>
      </c>
      <c r="V34" s="514">
        <f t="shared" si="1"/>
        <v>0</v>
      </c>
      <c r="W34" s="514">
        <f t="shared" si="1"/>
        <v>0</v>
      </c>
      <c r="X34" s="705">
        <f t="shared" si="2"/>
        <v>0</v>
      </c>
      <c r="Y34" s="514">
        <f t="shared" si="3"/>
        <v>0</v>
      </c>
      <c r="Z34" s="514">
        <f>IF(O34&lt;&gt;"na",H34*O34,0)</f>
        <v>0</v>
      </c>
      <c r="AA34" s="705">
        <f t="shared" si="4"/>
        <v>0</v>
      </c>
      <c r="AB34" s="580">
        <f t="shared" si="6"/>
        <v>0</v>
      </c>
      <c r="AC34" s="585"/>
      <c r="AD34" s="585"/>
      <c r="AE34" s="657"/>
    </row>
    <row r="35" spans="1:32" x14ac:dyDescent="0.3">
      <c r="A35" s="34"/>
      <c r="B35" s="34">
        <v>41</v>
      </c>
      <c r="C35" s="718"/>
      <c r="D35" s="714"/>
      <c r="E35" s="714"/>
      <c r="F35" s="701">
        <f t="shared" ref="F35" si="9">SUM(C35:E35)</f>
        <v>0</v>
      </c>
      <c r="G35" s="795"/>
      <c r="H35" s="795"/>
      <c r="I35" s="704">
        <f t="shared" si="5"/>
        <v>0</v>
      </c>
      <c r="J35" s="515">
        <f t="shared" si="7"/>
        <v>0</v>
      </c>
      <c r="K35" s="532" t="str">
        <f>'2016 comm sample'!M35</f>
        <v>na</v>
      </c>
      <c r="L35" s="532" t="str">
        <f>'2016 comm sample'!N35</f>
        <v>na</v>
      </c>
      <c r="M35" s="532" t="str">
        <f>'2016 comm sample'!O35</f>
        <v>na</v>
      </c>
      <c r="N35" s="532" t="str">
        <f>'2016 comm sample'!P35</f>
        <v>na</v>
      </c>
      <c r="O35" s="533" t="str">
        <f>'2016 comm sample'!Q35</f>
        <v>na</v>
      </c>
      <c r="P35" s="558" t="str">
        <f>IF(C35&gt;0,'2016 comm sample'!C35/'2016 Comm catch'!C35,"na")</f>
        <v>na</v>
      </c>
      <c r="Q35" s="559" t="str">
        <f>IF(D35&gt;0,'2016 comm sample'!D35/'2016 Comm catch'!D35,"na")</f>
        <v>na</v>
      </c>
      <c r="R35" s="559" t="str">
        <f>IF(E35&gt;0,'2016 comm sample'!E35/'2016 Comm catch'!E35,"na")</f>
        <v>na</v>
      </c>
      <c r="S35" s="559" t="str">
        <f>IF(G35&gt;0,'2016 comm sample'!F35/'2016 Comm catch'!G35,"na")</f>
        <v>na</v>
      </c>
      <c r="T35" s="559" t="str">
        <f>IF(H35&gt;0,'2016 comm sample'!G35/'2016 Comm catch'!H35,"na")</f>
        <v>na</v>
      </c>
      <c r="U35" s="560">
        <f t="shared" si="1"/>
        <v>0</v>
      </c>
      <c r="V35" s="514">
        <f t="shared" si="1"/>
        <v>0</v>
      </c>
      <c r="W35" s="514">
        <f t="shared" si="1"/>
        <v>0</v>
      </c>
      <c r="X35" s="705">
        <f t="shared" si="2"/>
        <v>0</v>
      </c>
      <c r="Y35" s="514">
        <f t="shared" si="3"/>
        <v>0</v>
      </c>
      <c r="Z35" s="514">
        <f>IF(O35&lt;&gt;"na",H35*O35,0)</f>
        <v>0</v>
      </c>
      <c r="AA35" s="705">
        <f t="shared" si="4"/>
        <v>0</v>
      </c>
      <c r="AB35" s="580">
        <f t="shared" si="6"/>
        <v>0</v>
      </c>
      <c r="AC35" s="585"/>
      <c r="AD35" s="585"/>
      <c r="AE35" s="657"/>
    </row>
    <row r="36" spans="1:32" x14ac:dyDescent="0.3">
      <c r="A36" s="34"/>
      <c r="B36" s="34">
        <v>42</v>
      </c>
      <c r="C36" s="718"/>
      <c r="D36" s="714"/>
      <c r="E36" s="714"/>
      <c r="F36" s="701">
        <f t="shared" si="8"/>
        <v>0</v>
      </c>
      <c r="G36" s="773"/>
      <c r="H36" s="773"/>
      <c r="I36" s="704">
        <f t="shared" si="5"/>
        <v>0</v>
      </c>
      <c r="J36" s="515">
        <f t="shared" si="7"/>
        <v>0</v>
      </c>
      <c r="K36" s="532" t="str">
        <f>'2016 comm sample'!M36</f>
        <v>na</v>
      </c>
      <c r="L36" s="532" t="str">
        <f>'2016 comm sample'!N36</f>
        <v>na</v>
      </c>
      <c r="M36" s="532" t="str">
        <f>'2016 comm sample'!O36</f>
        <v>na</v>
      </c>
      <c r="N36" s="532" t="str">
        <f>'2016 comm sample'!P36</f>
        <v>na</v>
      </c>
      <c r="O36" s="533" t="str">
        <f>'2016 comm sample'!Q36</f>
        <v>na</v>
      </c>
      <c r="P36" s="558" t="str">
        <f>IF(C36&gt;0,'2016 comm sample'!C36/'2016 Comm catch'!C36,"na")</f>
        <v>na</v>
      </c>
      <c r="Q36" s="559" t="str">
        <f>IF(D36&gt;0,'2016 comm sample'!D36/'2016 Comm catch'!D36,"na")</f>
        <v>na</v>
      </c>
      <c r="R36" s="559" t="str">
        <f>IF(E36&gt;0,'2016 comm sample'!E36/'2016 Comm catch'!E36,"na")</f>
        <v>na</v>
      </c>
      <c r="S36" s="559" t="str">
        <f>IF(G36&gt;0,'2016 comm sample'!F36/'2016 Comm catch'!G36,"na")</f>
        <v>na</v>
      </c>
      <c r="T36" s="559" t="str">
        <f>IF(H36&gt;0,'2016 comm sample'!G36/'2016 Comm catch'!H36,"na")</f>
        <v>na</v>
      </c>
      <c r="U36" s="560">
        <f t="shared" si="1"/>
        <v>0</v>
      </c>
      <c r="V36" s="514">
        <f t="shared" si="1"/>
        <v>0</v>
      </c>
      <c r="W36" s="514">
        <f t="shared" si="1"/>
        <v>0</v>
      </c>
      <c r="X36" s="705">
        <f t="shared" si="2"/>
        <v>0</v>
      </c>
      <c r="Y36" s="514">
        <f t="shared" si="3"/>
        <v>0</v>
      </c>
      <c r="Z36" s="514">
        <f t="shared" si="3"/>
        <v>0</v>
      </c>
      <c r="AA36" s="705">
        <f t="shared" si="4"/>
        <v>0</v>
      </c>
      <c r="AB36" s="580">
        <f t="shared" si="6"/>
        <v>0</v>
      </c>
      <c r="AC36" s="793"/>
      <c r="AD36" s="585"/>
    </row>
    <row r="37" spans="1:32" x14ac:dyDescent="0.3">
      <c r="A37" s="34"/>
      <c r="B37" s="34">
        <v>43</v>
      </c>
      <c r="C37" s="718"/>
      <c r="D37" s="714"/>
      <c r="E37" s="714"/>
      <c r="F37" s="701">
        <f t="shared" si="8"/>
        <v>0</v>
      </c>
      <c r="G37" s="773"/>
      <c r="H37" s="773"/>
      <c r="I37" s="704">
        <f t="shared" si="5"/>
        <v>0</v>
      </c>
      <c r="J37" s="515">
        <f t="shared" si="7"/>
        <v>0</v>
      </c>
      <c r="K37" s="532" t="str">
        <f>'2016 comm sample'!M37</f>
        <v>na</v>
      </c>
      <c r="L37" s="532" t="str">
        <f>'2016 comm sample'!N37</f>
        <v>na</v>
      </c>
      <c r="M37" s="532" t="str">
        <f>'2016 comm sample'!O37</f>
        <v>na</v>
      </c>
      <c r="N37" s="532" t="str">
        <f>'2016 comm sample'!P37</f>
        <v>na</v>
      </c>
      <c r="O37" s="532" t="str">
        <f>'2016 comm sample'!Q37</f>
        <v>na</v>
      </c>
      <c r="P37" s="558" t="str">
        <f>IF(C37&gt;0,'2016 comm sample'!C37/'2016 Comm catch'!C37,"na")</f>
        <v>na</v>
      </c>
      <c r="Q37" s="559" t="str">
        <f>IF(D37&gt;0,'2016 comm sample'!D37/'2016 Comm catch'!D37,"na")</f>
        <v>na</v>
      </c>
      <c r="R37" s="559" t="str">
        <f>IF(E37&gt;0,'2016 comm sample'!E37/'2016 Comm catch'!E37,"na")</f>
        <v>na</v>
      </c>
      <c r="S37" s="559" t="str">
        <f>IF(G37&gt;0,'2016 comm sample'!F37/'2016 Comm catch'!G37,"na")</f>
        <v>na</v>
      </c>
      <c r="T37" s="559" t="str">
        <f>IF(H37&gt;0,'2016 comm sample'!G37/'2016 Comm catch'!H37,"na")</f>
        <v>na</v>
      </c>
      <c r="U37" s="560">
        <f t="shared" si="1"/>
        <v>0</v>
      </c>
      <c r="V37" s="514">
        <f t="shared" si="1"/>
        <v>0</v>
      </c>
      <c r="W37" s="514">
        <f t="shared" si="1"/>
        <v>0</v>
      </c>
      <c r="X37" s="705">
        <f t="shared" si="2"/>
        <v>0</v>
      </c>
      <c r="Y37" s="514">
        <f t="shared" si="3"/>
        <v>0</v>
      </c>
      <c r="Z37" s="514">
        <f t="shared" si="3"/>
        <v>0</v>
      </c>
      <c r="AA37" s="705">
        <f t="shared" si="4"/>
        <v>0</v>
      </c>
      <c r="AB37" s="580">
        <f t="shared" si="6"/>
        <v>0</v>
      </c>
      <c r="AC37" s="793"/>
      <c r="AD37" s="585"/>
    </row>
    <row r="38" spans="1:32" x14ac:dyDescent="0.3">
      <c r="A38" s="34"/>
      <c r="B38" s="34">
        <v>44</v>
      </c>
      <c r="C38" s="718"/>
      <c r="D38" s="714"/>
      <c r="E38" s="714"/>
      <c r="F38" s="714">
        <f t="shared" si="8"/>
        <v>0</v>
      </c>
      <c r="G38" s="773"/>
      <c r="H38" s="773"/>
      <c r="I38" s="719">
        <f t="shared" si="5"/>
        <v>0</v>
      </c>
      <c r="J38" s="515">
        <f t="shared" si="7"/>
        <v>0</v>
      </c>
      <c r="K38" s="532" t="str">
        <f>'2016 comm sample'!M38</f>
        <v>na</v>
      </c>
      <c r="L38" s="532" t="str">
        <f>'2016 comm sample'!N38</f>
        <v>na</v>
      </c>
      <c r="M38" s="532" t="str">
        <f>'2016 comm sample'!O38</f>
        <v>na</v>
      </c>
      <c r="N38" s="532" t="str">
        <f>'2016 comm sample'!P38</f>
        <v>na</v>
      </c>
      <c r="O38" s="533" t="str">
        <f>'2016 comm sample'!Q38</f>
        <v>na</v>
      </c>
      <c r="P38" s="558" t="str">
        <f>IF(C38&gt;0,'2016 comm sample'!C38/'2016 Comm catch'!C38,"na")</f>
        <v>na</v>
      </c>
      <c r="Q38" s="559" t="str">
        <f>IF(D38&gt;0,'2016 comm sample'!D38/'2016 Comm catch'!D38,"na")</f>
        <v>na</v>
      </c>
      <c r="R38" s="559" t="str">
        <f>IF(E38&gt;0,'2016 comm sample'!E38/'2016 Comm catch'!E38,"na")</f>
        <v>na</v>
      </c>
      <c r="S38" s="559" t="str">
        <f>IF(G38&gt;0,'2016 comm sample'!F38/'2016 Comm catch'!G38,"na")</f>
        <v>na</v>
      </c>
      <c r="T38" s="559" t="str">
        <f>IF(H38&gt;0,'2016 comm sample'!G38/'2016 Comm catch'!H38,"na")</f>
        <v>na</v>
      </c>
      <c r="U38" s="560">
        <f t="shared" si="1"/>
        <v>0</v>
      </c>
      <c r="V38" s="514">
        <f t="shared" si="1"/>
        <v>0</v>
      </c>
      <c r="W38" s="514">
        <f t="shared" si="1"/>
        <v>0</v>
      </c>
      <c r="X38" s="705">
        <f t="shared" si="2"/>
        <v>0</v>
      </c>
      <c r="Y38" s="514">
        <f t="shared" si="3"/>
        <v>0</v>
      </c>
      <c r="Z38" s="514">
        <f t="shared" si="3"/>
        <v>0</v>
      </c>
      <c r="AA38" s="705">
        <f t="shared" si="4"/>
        <v>0</v>
      </c>
      <c r="AB38" s="580">
        <f t="shared" si="6"/>
        <v>0</v>
      </c>
      <c r="AC38" s="585"/>
      <c r="AD38" s="585"/>
    </row>
    <row r="39" spans="1:32" x14ac:dyDescent="0.3">
      <c r="B39" s="34">
        <v>45</v>
      </c>
      <c r="C39" s="750"/>
      <c r="D39" s="751"/>
      <c r="E39" s="751"/>
      <c r="F39" s="751"/>
      <c r="G39" s="796"/>
      <c r="H39" s="796"/>
      <c r="I39" s="751"/>
      <c r="J39" s="566">
        <f t="shared" si="7"/>
        <v>0</v>
      </c>
      <c r="K39" s="534" t="str">
        <f>'2016 comm sample'!M39</f>
        <v>na</v>
      </c>
      <c r="L39" s="534" t="str">
        <f>'2016 comm sample'!N39</f>
        <v>na</v>
      </c>
      <c r="M39" s="534" t="str">
        <f>'2016 comm sample'!O39</f>
        <v>na</v>
      </c>
      <c r="N39" s="534" t="str">
        <f>'2016 comm sample'!P39</f>
        <v>na</v>
      </c>
      <c r="O39" s="535" t="str">
        <f>'2016 comm sample'!Q39</f>
        <v>na</v>
      </c>
      <c r="P39" s="569" t="str">
        <f>IF(C39&gt;0,'2016 comm sample'!C39/'2016 Comm catch'!C39,"na")</f>
        <v>na</v>
      </c>
      <c r="Q39" s="570" t="str">
        <f>IF(D39&gt;0,'2016 comm sample'!D39/'2016 Comm catch'!D39,"na")</f>
        <v>na</v>
      </c>
      <c r="R39" s="570" t="str">
        <f>IF(E39&gt;0,'2016 comm sample'!E39/'2016 Comm catch'!E39,"na")</f>
        <v>na</v>
      </c>
      <c r="S39" s="570" t="str">
        <f>IF(G39&gt;0,'2016 comm sample'!F39/'2016 Comm catch'!G39,"na")</f>
        <v>na</v>
      </c>
      <c r="T39" s="570" t="str">
        <f>IF(H39&gt;0,'2016 comm sample'!G39/'2016 Comm catch'!H39,"na")</f>
        <v>na</v>
      </c>
      <c r="U39" s="588">
        <f t="shared" si="1"/>
        <v>0</v>
      </c>
      <c r="V39" s="589">
        <f t="shared" si="1"/>
        <v>0</v>
      </c>
      <c r="W39" s="589">
        <f t="shared" si="1"/>
        <v>0</v>
      </c>
      <c r="X39" s="707"/>
      <c r="Y39" s="589">
        <f t="shared" si="3"/>
        <v>0</v>
      </c>
      <c r="Z39" s="589">
        <f t="shared" si="3"/>
        <v>0</v>
      </c>
      <c r="AA39" s="707"/>
      <c r="AB39" s="590">
        <f t="shared" si="6"/>
        <v>0</v>
      </c>
    </row>
    <row r="40" spans="1:32" x14ac:dyDescent="0.3">
      <c r="B40" s="591" t="s">
        <v>184</v>
      </c>
      <c r="C40" s="592">
        <f>SUM(C25:C39)</f>
        <v>0</v>
      </c>
      <c r="D40" s="593">
        <f>SUM(D25:D39)</f>
        <v>0</v>
      </c>
      <c r="E40" s="593">
        <f>SUM(E25:E39)</f>
        <v>0</v>
      </c>
      <c r="F40" s="593"/>
      <c r="G40" s="593">
        <f>SUM(G25:G39)</f>
        <v>442</v>
      </c>
      <c r="H40" s="593">
        <f>SUM(H25:H39)</f>
        <v>223</v>
      </c>
      <c r="I40" s="593"/>
      <c r="J40" s="594">
        <f>SUM(C40:H40)</f>
        <v>665</v>
      </c>
      <c r="K40" s="595" t="str">
        <f>'2016 comm sample'!M40</f>
        <v>na</v>
      </c>
      <c r="L40" s="595" t="str">
        <f>'2016 comm sample'!N40</f>
        <v>na</v>
      </c>
      <c r="M40" s="595" t="str">
        <f>'2016 comm sample'!O40</f>
        <v>na</v>
      </c>
      <c r="N40" s="595">
        <f>'2016 comm sample'!P40</f>
        <v>0.37368421052631579</v>
      </c>
      <c r="O40" s="595">
        <f>'2016 comm sample'!Q40</f>
        <v>0.3925233644859813</v>
      </c>
      <c r="P40" s="596" t="str">
        <f>IF(C40&gt;0,'2016 comm sample'!C40/'2016 Comm catch'!C40,"na")</f>
        <v>na</v>
      </c>
      <c r="Q40" s="596" t="str">
        <f>IF(D40&gt;0,'2016 comm sample'!D40/'2016 Comm catch'!D40,"na")</f>
        <v>na</v>
      </c>
      <c r="R40" s="596" t="str">
        <f>IF(E40&gt;0,'2016 comm sample'!E40/'2016 Comm catch'!E40,"na")</f>
        <v>na</v>
      </c>
      <c r="S40" s="596">
        <f>IF(G40&gt;0,'2016 comm sample'!F40/'2016 Comm catch'!G40,"na")</f>
        <v>0.42986425339366519</v>
      </c>
      <c r="T40" s="596">
        <f>IF(H40&gt;0,'2016 comm sample'!G40/'2016 Comm catch'!H40,"na")</f>
        <v>0.47982062780269058</v>
      </c>
      <c r="U40" s="588">
        <f t="shared" ref="U40:AA40" si="10">SUM(U25:U39)</f>
        <v>0</v>
      </c>
      <c r="V40" s="589">
        <f t="shared" si="10"/>
        <v>0</v>
      </c>
      <c r="W40" s="589">
        <f t="shared" si="10"/>
        <v>0</v>
      </c>
      <c r="X40" s="589">
        <f t="shared" si="10"/>
        <v>0</v>
      </c>
      <c r="Y40" s="589">
        <f t="shared" si="10"/>
        <v>164.61234387197504</v>
      </c>
      <c r="Z40" s="589">
        <f t="shared" si="10"/>
        <v>83.764166666666668</v>
      </c>
      <c r="AA40" s="589">
        <f t="shared" si="10"/>
        <v>248.3765105386417</v>
      </c>
      <c r="AB40" s="590">
        <f t="shared" si="6"/>
        <v>248.3765105386417</v>
      </c>
    </row>
    <row r="41" spans="1:32" x14ac:dyDescent="0.3">
      <c r="B41" s="591"/>
      <c r="C41" s="597"/>
      <c r="D41" s="597"/>
      <c r="E41" s="597">
        <f>E40+D40+C40</f>
        <v>0</v>
      </c>
      <c r="F41" s="597"/>
      <c r="G41" s="597"/>
      <c r="J41" s="597"/>
      <c r="K41" s="597"/>
      <c r="L41" s="597"/>
      <c r="M41" s="597"/>
      <c r="N41" s="597"/>
      <c r="O41" s="598"/>
      <c r="P41" s="597"/>
      <c r="Q41" s="597"/>
      <c r="R41" s="597"/>
      <c r="S41" s="597"/>
      <c r="T41" s="599"/>
      <c r="U41" s="597"/>
      <c r="V41" s="597"/>
      <c r="W41" s="597"/>
      <c r="X41" s="597"/>
      <c r="Y41" s="597"/>
      <c r="Z41" s="33"/>
      <c r="AA41" s="33"/>
      <c r="AB41" s="597"/>
      <c r="AC41" s="647"/>
    </row>
  </sheetData>
  <mergeCells count="7">
    <mergeCell ref="C3:F3"/>
    <mergeCell ref="G3:J3"/>
    <mergeCell ref="K3:N3"/>
    <mergeCell ref="O3:R3"/>
    <mergeCell ref="C23:J23"/>
    <mergeCell ref="K23:O23"/>
    <mergeCell ref="P23:T23"/>
  </mergeCells>
  <conditionalFormatting sqref="K5:N18">
    <cfRule type="cellIs" dxfId="55" priority="5" operator="equal">
      <formula>"na"</formula>
    </cfRule>
    <cfRule type="cellIs" dxfId="54" priority="6" operator="greaterThan">
      <formula>1</formula>
    </cfRule>
    <cfRule type="cellIs" dxfId="53" priority="7" operator="lessThan">
      <formula>0.2</formula>
    </cfRule>
    <cfRule type="cellIs" dxfId="52" priority="12" stopIfTrue="1" operator="equal">
      <formula>0</formula>
    </cfRule>
  </conditionalFormatting>
  <conditionalFormatting sqref="P25:T34 P36:T39">
    <cfRule type="cellIs" dxfId="51" priority="8" stopIfTrue="1" operator="equal">
      <formula>"na"</formula>
    </cfRule>
    <cfRule type="cellIs" dxfId="50" priority="9" operator="greaterThan">
      <formula>1</formula>
    </cfRule>
    <cfRule type="cellIs" dxfId="49" priority="10" operator="lessThan">
      <formula>0.2</formula>
    </cfRule>
    <cfRule type="cellIs" dxfId="48" priority="11" stopIfTrue="1" operator="equal">
      <formula>0</formula>
    </cfRule>
  </conditionalFormatting>
  <conditionalFormatting sqref="P35:T35">
    <cfRule type="cellIs" dxfId="47" priority="1" stopIfTrue="1" operator="equal">
      <formula>"na"</formula>
    </cfRule>
    <cfRule type="cellIs" dxfId="46" priority="2" operator="greaterThan">
      <formula>1</formula>
    </cfRule>
    <cfRule type="cellIs" dxfId="45" priority="3" operator="lessThan">
      <formula>0.2</formula>
    </cfRule>
    <cfRule type="cellIs" dxfId="44" priority="4" stopIfTrue="1" operator="equal">
      <formula>0</formula>
    </cfRule>
  </conditionalFormatting>
  <pageMargins left="0.75" right="0.75" top="1" bottom="1" header="0.5" footer="0.5"/>
  <pageSetup scale="49" orientation="landscape" r:id="rId1"/>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S41"/>
  <sheetViews>
    <sheetView topLeftCell="A4" zoomScale="110" zoomScaleNormal="110" workbookViewId="0">
      <pane xSplit="2" topLeftCell="C1" activePane="topRight" state="frozen"/>
      <selection activeCell="I30" sqref="I30"/>
      <selection pane="topRight" activeCell="I30" sqref="I30"/>
    </sheetView>
  </sheetViews>
  <sheetFormatPr defaultRowHeight="12.5" x14ac:dyDescent="0.25"/>
  <cols>
    <col min="1" max="1" width="20.7265625" bestFit="1" customWidth="1"/>
    <col min="2" max="2" width="5.81640625" bestFit="1" customWidth="1"/>
    <col min="3" max="3" width="11.1796875" bestFit="1" customWidth="1"/>
    <col min="4" max="4" width="9.453125" bestFit="1" customWidth="1"/>
    <col min="5" max="5" width="7.453125" bestFit="1" customWidth="1"/>
    <col min="6" max="6" width="7.1796875" bestFit="1" customWidth="1"/>
    <col min="7" max="7" width="11.1796875" bestFit="1" customWidth="1"/>
    <col min="8" max="8" width="9.453125" bestFit="1" customWidth="1"/>
    <col min="9" max="9" width="7.453125" bestFit="1" customWidth="1"/>
    <col min="10" max="10" width="7.1796875" bestFit="1" customWidth="1"/>
    <col min="11" max="11" width="11.1796875" bestFit="1" customWidth="1"/>
    <col min="12" max="12" width="9.453125" bestFit="1" customWidth="1"/>
    <col min="13" max="14" width="8.26953125" customWidth="1"/>
    <col min="15" max="15" width="7" bestFit="1" customWidth="1"/>
    <col min="16" max="17" width="8.26953125" bestFit="1" customWidth="1"/>
  </cols>
  <sheetData>
    <row r="2" spans="2:14" ht="13" x14ac:dyDescent="0.3">
      <c r="C2" s="34" t="s">
        <v>330</v>
      </c>
    </row>
    <row r="3" spans="2:14" x14ac:dyDescent="0.25">
      <c r="C3" s="900" t="s">
        <v>265</v>
      </c>
      <c r="D3" s="901"/>
      <c r="E3" s="901"/>
      <c r="F3" s="902"/>
      <c r="G3" s="900" t="s">
        <v>266</v>
      </c>
      <c r="H3" s="901"/>
      <c r="I3" s="901"/>
      <c r="J3" s="902"/>
      <c r="K3" s="900" t="s">
        <v>267</v>
      </c>
      <c r="L3" s="901"/>
      <c r="M3" s="901"/>
      <c r="N3" s="902"/>
    </row>
    <row r="4" spans="2:14" x14ac:dyDescent="0.25">
      <c r="B4" t="s">
        <v>134</v>
      </c>
      <c r="C4" s="274" t="s">
        <v>31</v>
      </c>
      <c r="D4" s="42" t="s">
        <v>62</v>
      </c>
      <c r="E4" s="42" t="s">
        <v>260</v>
      </c>
      <c r="F4" s="134" t="s">
        <v>203</v>
      </c>
      <c r="G4" s="274" t="s">
        <v>31</v>
      </c>
      <c r="H4" s="42" t="s">
        <v>62</v>
      </c>
      <c r="I4" s="42" t="s">
        <v>260</v>
      </c>
      <c r="J4" s="134" t="s">
        <v>203</v>
      </c>
      <c r="K4" s="274" t="s">
        <v>31</v>
      </c>
      <c r="L4" s="42" t="s">
        <v>62</v>
      </c>
      <c r="M4" s="42" t="s">
        <v>260</v>
      </c>
      <c r="N4" s="134" t="s">
        <v>203</v>
      </c>
    </row>
    <row r="5" spans="2:14" x14ac:dyDescent="0.25">
      <c r="B5">
        <v>32</v>
      </c>
      <c r="C5" s="711">
        <v>0</v>
      </c>
      <c r="D5" s="719"/>
      <c r="E5" s="719"/>
      <c r="F5" s="768"/>
      <c r="G5" s="711">
        <v>0</v>
      </c>
      <c r="H5" s="719"/>
      <c r="I5" s="719"/>
      <c r="J5" s="719"/>
      <c r="K5" s="521" t="str">
        <f t="shared" ref="K5:N18" si="0">IF(C5&gt;0,G5/C5,"na")</f>
        <v>na</v>
      </c>
      <c r="L5" s="522" t="str">
        <f t="shared" si="0"/>
        <v>na</v>
      </c>
      <c r="M5" s="522" t="str">
        <f t="shared" si="0"/>
        <v>na</v>
      </c>
      <c r="N5" s="523" t="str">
        <f t="shared" si="0"/>
        <v>na</v>
      </c>
    </row>
    <row r="6" spans="2:14" x14ac:dyDescent="0.25">
      <c r="B6">
        <v>33</v>
      </c>
      <c r="C6" s="711">
        <v>0</v>
      </c>
      <c r="D6" s="719"/>
      <c r="E6" s="719"/>
      <c r="F6" s="764"/>
      <c r="G6" s="711">
        <v>0</v>
      </c>
      <c r="H6" s="719"/>
      <c r="I6" s="719"/>
      <c r="J6" s="719"/>
      <c r="K6" s="524" t="str">
        <f t="shared" si="0"/>
        <v>na</v>
      </c>
      <c r="L6" s="525" t="str">
        <f t="shared" si="0"/>
        <v>na</v>
      </c>
      <c r="M6" s="525" t="str">
        <f t="shared" si="0"/>
        <v>na</v>
      </c>
      <c r="N6" s="526" t="str">
        <f t="shared" si="0"/>
        <v>na</v>
      </c>
    </row>
    <row r="7" spans="2:14" x14ac:dyDescent="0.25">
      <c r="B7">
        <v>34</v>
      </c>
      <c r="C7" s="711">
        <v>2</v>
      </c>
      <c r="D7" s="719"/>
      <c r="E7" s="719"/>
      <c r="F7" s="712">
        <v>3</v>
      </c>
      <c r="G7" s="711">
        <v>1</v>
      </c>
      <c r="H7" s="719"/>
      <c r="I7" s="719"/>
      <c r="J7" s="711">
        <v>0</v>
      </c>
      <c r="K7" s="524">
        <f t="shared" si="0"/>
        <v>0.5</v>
      </c>
      <c r="L7" s="525" t="str">
        <f t="shared" si="0"/>
        <v>na</v>
      </c>
      <c r="M7" s="525" t="str">
        <f t="shared" si="0"/>
        <v>na</v>
      </c>
      <c r="N7" s="526">
        <f t="shared" si="0"/>
        <v>0</v>
      </c>
    </row>
    <row r="8" spans="2:14" x14ac:dyDescent="0.25">
      <c r="B8">
        <v>35</v>
      </c>
      <c r="C8" s="711">
        <v>47</v>
      </c>
      <c r="D8" s="711">
        <v>112</v>
      </c>
      <c r="E8" s="711">
        <v>0</v>
      </c>
      <c r="F8" s="712">
        <v>2</v>
      </c>
      <c r="G8" s="711">
        <v>3</v>
      </c>
      <c r="H8" s="711">
        <v>16</v>
      </c>
      <c r="I8" s="711">
        <v>0</v>
      </c>
      <c r="J8" s="711">
        <v>0</v>
      </c>
      <c r="K8" s="524">
        <f t="shared" si="0"/>
        <v>6.3829787234042548E-2</v>
      </c>
      <c r="L8" s="525">
        <f t="shared" si="0"/>
        <v>0.14285714285714285</v>
      </c>
      <c r="M8" s="525" t="str">
        <f t="shared" si="0"/>
        <v>na</v>
      </c>
      <c r="N8" s="526">
        <f t="shared" si="0"/>
        <v>0</v>
      </c>
    </row>
    <row r="9" spans="2:14" x14ac:dyDescent="0.25">
      <c r="B9">
        <v>36</v>
      </c>
      <c r="C9" s="711">
        <v>1139</v>
      </c>
      <c r="D9" s="711">
        <v>1086</v>
      </c>
      <c r="E9" s="711">
        <v>36</v>
      </c>
      <c r="F9" s="712">
        <v>177</v>
      </c>
      <c r="G9" s="711">
        <v>35</v>
      </c>
      <c r="H9" s="711">
        <v>22</v>
      </c>
      <c r="I9" s="711">
        <v>5</v>
      </c>
      <c r="J9" s="711">
        <v>19</v>
      </c>
      <c r="K9" s="524">
        <f t="shared" si="0"/>
        <v>3.0728709394205442E-2</v>
      </c>
      <c r="L9" s="525">
        <f t="shared" si="0"/>
        <v>2.0257826887661142E-2</v>
      </c>
      <c r="M9" s="525">
        <f t="shared" si="0"/>
        <v>0.1388888888888889</v>
      </c>
      <c r="N9" s="526">
        <f t="shared" si="0"/>
        <v>0.10734463276836158</v>
      </c>
    </row>
    <row r="10" spans="2:14" x14ac:dyDescent="0.25">
      <c r="B10">
        <v>37</v>
      </c>
      <c r="C10" s="711">
        <v>1019</v>
      </c>
      <c r="D10" s="711">
        <v>863</v>
      </c>
      <c r="E10" s="711">
        <v>128</v>
      </c>
      <c r="F10" s="712">
        <v>733</v>
      </c>
      <c r="G10" s="711">
        <v>15</v>
      </c>
      <c r="H10" s="711">
        <v>11</v>
      </c>
      <c r="I10" s="711">
        <v>4</v>
      </c>
      <c r="J10" s="711">
        <v>18</v>
      </c>
      <c r="K10" s="524">
        <f t="shared" si="0"/>
        <v>1.4720314033366046E-2</v>
      </c>
      <c r="L10" s="525">
        <f t="shared" si="0"/>
        <v>1.2746234067207415E-2</v>
      </c>
      <c r="M10" s="525">
        <f t="shared" si="0"/>
        <v>3.125E-2</v>
      </c>
      <c r="N10" s="526">
        <f t="shared" si="0"/>
        <v>2.4556616643929059E-2</v>
      </c>
    </row>
    <row r="11" spans="2:14" x14ac:dyDescent="0.25">
      <c r="B11">
        <v>38</v>
      </c>
      <c r="C11" s="711">
        <v>784</v>
      </c>
      <c r="D11" s="711">
        <v>772</v>
      </c>
      <c r="E11" s="711">
        <v>97</v>
      </c>
      <c r="F11" s="712">
        <v>332</v>
      </c>
      <c r="G11" s="711">
        <v>15</v>
      </c>
      <c r="H11" s="711">
        <v>20</v>
      </c>
      <c r="I11" s="711">
        <v>8</v>
      </c>
      <c r="J11" s="711">
        <v>13</v>
      </c>
      <c r="K11" s="524">
        <f t="shared" si="0"/>
        <v>1.913265306122449E-2</v>
      </c>
      <c r="L11" s="525">
        <f t="shared" si="0"/>
        <v>2.5906735751295335E-2</v>
      </c>
      <c r="M11" s="525">
        <f t="shared" si="0"/>
        <v>8.247422680412371E-2</v>
      </c>
      <c r="N11" s="526">
        <f t="shared" si="0"/>
        <v>3.9156626506024098E-2</v>
      </c>
    </row>
    <row r="12" spans="2:14" x14ac:dyDescent="0.25">
      <c r="B12">
        <v>39</v>
      </c>
      <c r="C12" s="711">
        <v>496</v>
      </c>
      <c r="D12" s="711">
        <v>480</v>
      </c>
      <c r="E12" s="711">
        <v>83</v>
      </c>
      <c r="F12" s="712">
        <v>322</v>
      </c>
      <c r="G12" s="711">
        <v>12</v>
      </c>
      <c r="H12" s="711">
        <v>8</v>
      </c>
      <c r="I12" s="711">
        <v>5</v>
      </c>
      <c r="J12" s="711">
        <v>13</v>
      </c>
      <c r="K12" s="524">
        <f t="shared" si="0"/>
        <v>2.4193548387096774E-2</v>
      </c>
      <c r="L12" s="525">
        <f t="shared" si="0"/>
        <v>1.6666666666666666E-2</v>
      </c>
      <c r="M12" s="525">
        <f t="shared" si="0"/>
        <v>6.0240963855421686E-2</v>
      </c>
      <c r="N12" s="526">
        <f t="shared" si="0"/>
        <v>4.0372670807453416E-2</v>
      </c>
    </row>
    <row r="13" spans="2:14" x14ac:dyDescent="0.25">
      <c r="B13">
        <v>40</v>
      </c>
      <c r="C13" s="711">
        <v>510</v>
      </c>
      <c r="D13" s="711">
        <v>984</v>
      </c>
      <c r="E13" s="711">
        <v>58</v>
      </c>
      <c r="F13" s="712">
        <v>237</v>
      </c>
      <c r="G13" s="711">
        <v>14</v>
      </c>
      <c r="H13" s="711">
        <v>14</v>
      </c>
      <c r="I13" s="711">
        <v>5</v>
      </c>
      <c r="J13" s="711">
        <v>12</v>
      </c>
      <c r="K13" s="524">
        <f t="shared" si="0"/>
        <v>2.7450980392156862E-2</v>
      </c>
      <c r="L13" s="525">
        <f t="shared" si="0"/>
        <v>1.4227642276422764E-2</v>
      </c>
      <c r="M13" s="525">
        <f t="shared" si="0"/>
        <v>8.6206896551724144E-2</v>
      </c>
      <c r="N13" s="526">
        <f t="shared" si="0"/>
        <v>5.0632911392405063E-2</v>
      </c>
    </row>
    <row r="14" spans="2:14" x14ac:dyDescent="0.25">
      <c r="B14">
        <v>41</v>
      </c>
      <c r="C14" s="711">
        <v>179</v>
      </c>
      <c r="D14" s="711">
        <v>127</v>
      </c>
      <c r="E14" s="711">
        <v>66</v>
      </c>
      <c r="F14" s="712">
        <v>180</v>
      </c>
      <c r="G14" s="711">
        <v>3</v>
      </c>
      <c r="H14" s="711">
        <v>5</v>
      </c>
      <c r="I14" s="711">
        <v>4</v>
      </c>
      <c r="J14" s="711">
        <v>10</v>
      </c>
      <c r="K14" s="524">
        <f t="shared" si="0"/>
        <v>1.6759776536312849E-2</v>
      </c>
      <c r="L14" s="525">
        <f t="shared" si="0"/>
        <v>3.937007874015748E-2</v>
      </c>
      <c r="M14" s="525">
        <f t="shared" si="0"/>
        <v>6.0606060606060608E-2</v>
      </c>
      <c r="N14" s="526">
        <f t="shared" si="0"/>
        <v>5.5555555555555552E-2</v>
      </c>
    </row>
    <row r="15" spans="2:14" x14ac:dyDescent="0.25">
      <c r="B15">
        <v>42</v>
      </c>
      <c r="C15" s="711">
        <v>245</v>
      </c>
      <c r="D15" s="711">
        <v>189</v>
      </c>
      <c r="E15" s="711">
        <v>53</v>
      </c>
      <c r="F15" s="712">
        <v>96</v>
      </c>
      <c r="G15" s="711">
        <v>9</v>
      </c>
      <c r="H15" s="711">
        <v>3</v>
      </c>
      <c r="I15" s="711">
        <v>8</v>
      </c>
      <c r="J15" s="711">
        <v>13</v>
      </c>
      <c r="K15" s="524">
        <f t="shared" si="0"/>
        <v>3.6734693877551024E-2</v>
      </c>
      <c r="L15" s="525">
        <f t="shared" si="0"/>
        <v>1.5873015873015872E-2</v>
      </c>
      <c r="M15" s="525">
        <f t="shared" si="0"/>
        <v>0.15094339622641509</v>
      </c>
      <c r="N15" s="526">
        <f t="shared" si="0"/>
        <v>0.13541666666666666</v>
      </c>
    </row>
    <row r="16" spans="2:14" x14ac:dyDescent="0.25">
      <c r="B16">
        <v>43</v>
      </c>
      <c r="C16" s="711">
        <v>1</v>
      </c>
      <c r="D16" s="711">
        <v>5</v>
      </c>
      <c r="E16" s="711">
        <v>7</v>
      </c>
      <c r="F16" s="712">
        <v>0</v>
      </c>
      <c r="G16" s="711">
        <v>1</v>
      </c>
      <c r="H16" s="711">
        <v>0</v>
      </c>
      <c r="I16" s="711">
        <v>2</v>
      </c>
      <c r="J16" s="711">
        <v>0</v>
      </c>
      <c r="K16" s="524">
        <f t="shared" si="0"/>
        <v>1</v>
      </c>
      <c r="L16" s="525">
        <f t="shared" si="0"/>
        <v>0</v>
      </c>
      <c r="M16" s="525">
        <f t="shared" si="0"/>
        <v>0.2857142857142857</v>
      </c>
      <c r="N16" s="526" t="str">
        <f t="shared" si="0"/>
        <v>na</v>
      </c>
    </row>
    <row r="17" spans="1:19" x14ac:dyDescent="0.25">
      <c r="B17">
        <v>44</v>
      </c>
      <c r="C17" s="743">
        <v>55</v>
      </c>
      <c r="D17" s="713">
        <v>56</v>
      </c>
      <c r="E17" s="713">
        <v>0</v>
      </c>
      <c r="F17" s="764"/>
      <c r="G17" s="713">
        <v>5</v>
      </c>
      <c r="H17" s="713">
        <v>2</v>
      </c>
      <c r="I17" s="713">
        <v>0</v>
      </c>
      <c r="J17" s="763"/>
      <c r="K17" s="524">
        <f>IF(C17&gt;0,G17/C17,"na")</f>
        <v>9.0909090909090912E-2</v>
      </c>
      <c r="L17" s="525">
        <f>IF(D17&gt;0,H17/D17,"na")</f>
        <v>3.5714285714285712E-2</v>
      </c>
      <c r="M17" s="525" t="str">
        <f>IF(E17&gt;0,I17/E17,"na")</f>
        <v>na</v>
      </c>
      <c r="N17" s="526" t="str">
        <f>IF(F17&gt;0,J17/F17,"na")</f>
        <v>na</v>
      </c>
    </row>
    <row r="18" spans="1:19" x14ac:dyDescent="0.25">
      <c r="B18">
        <v>45</v>
      </c>
      <c r="C18" s="769"/>
      <c r="D18" s="766"/>
      <c r="E18" s="766"/>
      <c r="F18" s="767"/>
      <c r="G18" s="763"/>
      <c r="H18" s="763"/>
      <c r="I18" s="763"/>
      <c r="J18" s="763"/>
      <c r="K18" s="412" t="str">
        <f t="shared" si="0"/>
        <v>na</v>
      </c>
      <c r="L18" s="229" t="str">
        <f t="shared" si="0"/>
        <v>na</v>
      </c>
      <c r="M18" s="229" t="str">
        <f t="shared" si="0"/>
        <v>na</v>
      </c>
      <c r="N18" s="413" t="str">
        <f t="shared" si="0"/>
        <v>na</v>
      </c>
    </row>
    <row r="19" spans="1:19" x14ac:dyDescent="0.25">
      <c r="B19" t="s">
        <v>184</v>
      </c>
      <c r="C19" s="274">
        <f t="shared" ref="C19:J19" si="1">SUM(C5:C18)</f>
        <v>4477</v>
      </c>
      <c r="D19" s="42">
        <f t="shared" si="1"/>
        <v>4674</v>
      </c>
      <c r="E19" s="42">
        <f t="shared" si="1"/>
        <v>528</v>
      </c>
      <c r="F19" s="42">
        <f t="shared" si="1"/>
        <v>2082</v>
      </c>
      <c r="G19" s="329">
        <f t="shared" si="1"/>
        <v>113</v>
      </c>
      <c r="H19" s="195">
        <f t="shared" si="1"/>
        <v>101</v>
      </c>
      <c r="I19" s="195">
        <f t="shared" si="1"/>
        <v>41</v>
      </c>
      <c r="J19" s="403">
        <f t="shared" si="1"/>
        <v>98</v>
      </c>
      <c r="K19" s="527">
        <f>IF(C19&gt;0,G19/C19,"na")</f>
        <v>2.524011614920706E-2</v>
      </c>
      <c r="L19" s="528">
        <f>IF(D19&gt;0,H19/D19,"na")</f>
        <v>2.1608900299529311E-2</v>
      </c>
      <c r="M19" s="528">
        <f>IF(E19&gt;0,I19/E19,"na")</f>
        <v>7.7651515151515152E-2</v>
      </c>
      <c r="N19" s="529">
        <f>IF(F19&gt;0,J19/F19,"na")</f>
        <v>4.7070124879923153E-2</v>
      </c>
    </row>
    <row r="20" spans="1:19" x14ac:dyDescent="0.25">
      <c r="F20">
        <f>SUM(C19:F19)</f>
        <v>11761</v>
      </c>
      <c r="J20">
        <f>SUM(G19:J19)</f>
        <v>353</v>
      </c>
      <c r="N20" s="530">
        <f>J20/F20</f>
        <v>3.0014454553184251E-2</v>
      </c>
    </row>
    <row r="22" spans="1:19" ht="13" x14ac:dyDescent="0.3">
      <c r="C22" s="2" t="s">
        <v>123</v>
      </c>
    </row>
    <row r="23" spans="1:19" x14ac:dyDescent="0.25">
      <c r="C23" s="900" t="s">
        <v>268</v>
      </c>
      <c r="D23" s="901"/>
      <c r="E23" s="901"/>
      <c r="F23" s="901"/>
      <c r="G23" s="902"/>
      <c r="H23" s="900" t="s">
        <v>269</v>
      </c>
      <c r="I23" s="901"/>
      <c r="J23" s="901"/>
      <c r="K23" s="901"/>
      <c r="L23" s="902"/>
      <c r="M23" s="900" t="s">
        <v>56</v>
      </c>
      <c r="N23" s="901"/>
      <c r="O23" s="901"/>
      <c r="P23" s="901"/>
      <c r="Q23" s="902"/>
      <c r="R23" s="417"/>
    </row>
    <row r="24" spans="1:19" x14ac:dyDescent="0.25">
      <c r="B24" t="s">
        <v>134</v>
      </c>
      <c r="C24" s="274">
        <v>1</v>
      </c>
      <c r="D24" s="42">
        <v>2</v>
      </c>
      <c r="E24" s="42">
        <v>3</v>
      </c>
      <c r="F24" s="42">
        <v>4</v>
      </c>
      <c r="G24" s="134">
        <v>5</v>
      </c>
      <c r="H24" s="274">
        <v>1</v>
      </c>
      <c r="I24" s="42">
        <v>2</v>
      </c>
      <c r="J24" s="42">
        <v>3</v>
      </c>
      <c r="K24" s="42">
        <v>4</v>
      </c>
      <c r="L24" s="134">
        <v>5</v>
      </c>
      <c r="M24" s="274">
        <v>1</v>
      </c>
      <c r="N24" s="42">
        <v>2</v>
      </c>
      <c r="O24" s="42">
        <v>3</v>
      </c>
      <c r="P24" s="42">
        <v>4</v>
      </c>
      <c r="Q24" s="134">
        <v>5</v>
      </c>
      <c r="R24" s="44" t="s">
        <v>282</v>
      </c>
      <c r="S24" t="s">
        <v>283</v>
      </c>
    </row>
    <row r="25" spans="1:19" ht="13" x14ac:dyDescent="0.3">
      <c r="A25" s="34" t="str">
        <f>'2015 Comm catch'!A25</f>
        <v>9-inch</v>
      </c>
      <c r="B25">
        <v>32</v>
      </c>
      <c r="C25" s="765"/>
      <c r="D25" s="765"/>
      <c r="E25" s="765"/>
      <c r="F25" s="765"/>
      <c r="G25" s="768"/>
      <c r="H25" s="719"/>
      <c r="I25" s="719"/>
      <c r="J25" s="719"/>
      <c r="K25" s="719"/>
      <c r="L25" s="768"/>
      <c r="M25" s="3" t="str">
        <f t="shared" ref="M25:Q38" si="2">IF(C25&gt;0,H25/C25,"na")</f>
        <v>na</v>
      </c>
      <c r="N25" s="3" t="str">
        <f t="shared" si="2"/>
        <v>na</v>
      </c>
      <c r="O25" s="3" t="str">
        <f t="shared" si="2"/>
        <v>na</v>
      </c>
      <c r="P25" s="3" t="str">
        <f t="shared" si="2"/>
        <v>na</v>
      </c>
      <c r="Q25" s="407" t="str">
        <f t="shared" si="2"/>
        <v>na</v>
      </c>
      <c r="R25" s="525"/>
    </row>
    <row r="26" spans="1:19" ht="13" x14ac:dyDescent="0.3">
      <c r="A26" s="34" t="str">
        <f>'2015 Comm catch'!A26</f>
        <v>9-inch</v>
      </c>
      <c r="B26">
        <v>33</v>
      </c>
      <c r="C26" s="763"/>
      <c r="D26" s="763"/>
      <c r="E26" s="763"/>
      <c r="F26" s="713">
        <v>1</v>
      </c>
      <c r="G26" s="712">
        <v>0</v>
      </c>
      <c r="H26" s="719"/>
      <c r="I26" s="719"/>
      <c r="J26" s="719"/>
      <c r="K26" s="711">
        <v>0</v>
      </c>
      <c r="L26" s="712">
        <v>0</v>
      </c>
      <c r="M26" s="3" t="str">
        <f t="shared" si="2"/>
        <v>na</v>
      </c>
      <c r="N26" s="3" t="str">
        <f t="shared" si="2"/>
        <v>na</v>
      </c>
      <c r="O26" s="3" t="str">
        <f t="shared" si="2"/>
        <v>na</v>
      </c>
      <c r="P26" s="3">
        <f t="shared" si="2"/>
        <v>0</v>
      </c>
      <c r="Q26" s="409" t="str">
        <f t="shared" si="2"/>
        <v>na</v>
      </c>
      <c r="R26" s="525"/>
    </row>
    <row r="27" spans="1:19" ht="13" x14ac:dyDescent="0.3">
      <c r="A27" s="34" t="str">
        <f>'2015 Comm catch'!A27</f>
        <v>9-inch</v>
      </c>
      <c r="B27">
        <v>34</v>
      </c>
      <c r="C27" s="763"/>
      <c r="D27" s="763"/>
      <c r="E27" s="763"/>
      <c r="F27" s="713">
        <v>7</v>
      </c>
      <c r="G27" s="712">
        <v>5</v>
      </c>
      <c r="H27" s="719"/>
      <c r="I27" s="719"/>
      <c r="J27" s="719"/>
      <c r="K27" s="711">
        <v>6</v>
      </c>
      <c r="L27" s="712">
        <v>5</v>
      </c>
      <c r="M27" s="3" t="str">
        <f t="shared" si="2"/>
        <v>na</v>
      </c>
      <c r="N27" s="3" t="str">
        <f t="shared" si="2"/>
        <v>na</v>
      </c>
      <c r="O27" s="3" t="str">
        <f t="shared" si="2"/>
        <v>na</v>
      </c>
      <c r="P27" s="3">
        <f t="shared" si="2"/>
        <v>0.8571428571428571</v>
      </c>
      <c r="Q27" s="409">
        <f t="shared" si="2"/>
        <v>1</v>
      </c>
      <c r="R27" s="525"/>
    </row>
    <row r="28" spans="1:19" ht="13" x14ac:dyDescent="0.3">
      <c r="A28" s="34" t="str">
        <f>'2015 Comm catch'!A28</f>
        <v>9-inch</v>
      </c>
      <c r="B28">
        <v>35</v>
      </c>
      <c r="C28" s="763"/>
      <c r="D28" s="763"/>
      <c r="E28" s="763"/>
      <c r="F28" s="713">
        <v>27</v>
      </c>
      <c r="G28" s="712">
        <v>6</v>
      </c>
      <c r="H28" s="719"/>
      <c r="I28" s="719"/>
      <c r="J28" s="719"/>
      <c r="K28" s="711">
        <v>18</v>
      </c>
      <c r="L28" s="712">
        <v>5</v>
      </c>
      <c r="M28" s="3" t="str">
        <f t="shared" si="2"/>
        <v>na</v>
      </c>
      <c r="N28" s="3" t="str">
        <f t="shared" si="2"/>
        <v>na</v>
      </c>
      <c r="O28" s="3" t="str">
        <f t="shared" si="2"/>
        <v>na</v>
      </c>
      <c r="P28" s="3">
        <f t="shared" si="2"/>
        <v>0.66666666666666663</v>
      </c>
      <c r="Q28" s="409">
        <f t="shared" si="2"/>
        <v>0.83333333333333337</v>
      </c>
      <c r="R28" s="525"/>
      <c r="S28" s="656">
        <f t="shared" ref="S28:S35" si="3">SUM(K28:L28)/SUM(F28:G28)</f>
        <v>0.69696969696969702</v>
      </c>
    </row>
    <row r="29" spans="1:19" ht="13" x14ac:dyDescent="0.3">
      <c r="A29" s="34" t="str">
        <f>'2015 Comm catch'!A29</f>
        <v>9-inch</v>
      </c>
      <c r="B29">
        <v>36</v>
      </c>
      <c r="C29" s="763"/>
      <c r="D29" s="763"/>
      <c r="E29" s="763"/>
      <c r="F29" s="713">
        <v>26</v>
      </c>
      <c r="G29" s="712">
        <v>2</v>
      </c>
      <c r="H29" s="719"/>
      <c r="I29" s="719"/>
      <c r="J29" s="719"/>
      <c r="K29" s="711">
        <v>20</v>
      </c>
      <c r="L29" s="712">
        <v>2</v>
      </c>
      <c r="M29" s="3" t="str">
        <f t="shared" si="2"/>
        <v>na</v>
      </c>
      <c r="N29" s="3" t="str">
        <f t="shared" si="2"/>
        <v>na</v>
      </c>
      <c r="O29" s="3" t="str">
        <f t="shared" si="2"/>
        <v>na</v>
      </c>
      <c r="P29" s="3">
        <f t="shared" si="2"/>
        <v>0.76923076923076927</v>
      </c>
      <c r="Q29" s="409">
        <f t="shared" si="2"/>
        <v>1</v>
      </c>
      <c r="R29" s="525"/>
      <c r="S29" s="656">
        <f t="shared" si="3"/>
        <v>0.7857142857142857</v>
      </c>
    </row>
    <row r="30" spans="1:19" ht="13" x14ac:dyDescent="0.3">
      <c r="A30" s="34">
        <f>'2015 Comm catch'!A30</f>
        <v>0</v>
      </c>
      <c r="B30">
        <v>37</v>
      </c>
      <c r="C30" s="763"/>
      <c r="D30" s="763"/>
      <c r="E30" s="763"/>
      <c r="F30" s="763"/>
      <c r="G30" s="764"/>
      <c r="H30" s="719"/>
      <c r="I30" s="719"/>
      <c r="J30" s="719"/>
      <c r="K30" s="719"/>
      <c r="L30" s="764"/>
      <c r="M30" s="3" t="str">
        <f t="shared" si="2"/>
        <v>na</v>
      </c>
      <c r="N30" s="3" t="str">
        <f t="shared" si="2"/>
        <v>na</v>
      </c>
      <c r="O30" s="3" t="str">
        <f t="shared" si="2"/>
        <v>na</v>
      </c>
      <c r="P30" s="3" t="str">
        <f t="shared" si="2"/>
        <v>na</v>
      </c>
      <c r="Q30" s="409" t="str">
        <f t="shared" si="2"/>
        <v>na</v>
      </c>
      <c r="R30" s="525"/>
    </row>
    <row r="31" spans="1:19" ht="13" x14ac:dyDescent="0.3">
      <c r="A31" s="34" t="str">
        <f>'2015 Comm catch'!A31</f>
        <v>8-inch</v>
      </c>
      <c r="B31">
        <v>38</v>
      </c>
      <c r="C31" s="763"/>
      <c r="D31" s="763"/>
      <c r="E31" s="763"/>
      <c r="F31" s="713">
        <v>9</v>
      </c>
      <c r="G31" s="712">
        <v>0</v>
      </c>
      <c r="H31" s="719"/>
      <c r="I31" s="719"/>
      <c r="J31" s="719"/>
      <c r="K31" s="711">
        <v>4</v>
      </c>
      <c r="L31" s="712">
        <v>0</v>
      </c>
      <c r="M31" s="3" t="str">
        <f t="shared" si="2"/>
        <v>na</v>
      </c>
      <c r="N31" s="3" t="str">
        <f t="shared" si="2"/>
        <v>na</v>
      </c>
      <c r="O31" s="3" t="str">
        <f t="shared" si="2"/>
        <v>na</v>
      </c>
      <c r="P31" s="3">
        <f t="shared" si="2"/>
        <v>0.44444444444444442</v>
      </c>
      <c r="Q31" s="409" t="str">
        <f t="shared" si="2"/>
        <v>na</v>
      </c>
      <c r="R31" s="525"/>
      <c r="S31" s="656">
        <f t="shared" si="3"/>
        <v>0.44444444444444442</v>
      </c>
    </row>
    <row r="32" spans="1:19" ht="13" x14ac:dyDescent="0.3">
      <c r="A32" s="34" t="str">
        <f>'2015 Comm catch'!A32</f>
        <v>8-inch</v>
      </c>
      <c r="B32">
        <v>39</v>
      </c>
      <c r="C32" s="763"/>
      <c r="D32" s="763"/>
      <c r="E32" s="763"/>
      <c r="F32" s="713">
        <v>57</v>
      </c>
      <c r="G32" s="713">
        <v>16</v>
      </c>
      <c r="H32" s="775"/>
      <c r="I32" s="719"/>
      <c r="J32" s="719"/>
      <c r="K32" s="711">
        <v>28</v>
      </c>
      <c r="L32" s="712">
        <v>10</v>
      </c>
      <c r="M32" s="3" t="str">
        <f t="shared" si="2"/>
        <v>na</v>
      </c>
      <c r="N32" s="3" t="str">
        <f t="shared" si="2"/>
        <v>na</v>
      </c>
      <c r="O32" s="3" t="str">
        <f t="shared" si="2"/>
        <v>na</v>
      </c>
      <c r="P32" s="3">
        <f t="shared" si="2"/>
        <v>0.49122807017543857</v>
      </c>
      <c r="Q32" s="409">
        <f t="shared" si="2"/>
        <v>0.625</v>
      </c>
      <c r="R32" s="525"/>
      <c r="S32" s="656">
        <f t="shared" si="3"/>
        <v>0.52054794520547942</v>
      </c>
    </row>
    <row r="33" spans="1:19" ht="13" x14ac:dyDescent="0.3">
      <c r="A33" s="34" t="str">
        <f>'2015 Comm catch'!A33</f>
        <v>1-3=tangle, 4-5=8-inch</v>
      </c>
      <c r="B33">
        <v>40</v>
      </c>
      <c r="C33" s="713">
        <v>0</v>
      </c>
      <c r="D33" s="713">
        <v>69</v>
      </c>
      <c r="E33" s="713">
        <v>69</v>
      </c>
      <c r="F33" s="713">
        <v>3</v>
      </c>
      <c r="G33" s="712">
        <v>3</v>
      </c>
      <c r="H33" s="711">
        <v>0</v>
      </c>
      <c r="I33" s="711">
        <v>0</v>
      </c>
      <c r="J33" s="711">
        <v>0</v>
      </c>
      <c r="K33" s="711">
        <v>2</v>
      </c>
      <c r="L33" s="712">
        <v>3</v>
      </c>
      <c r="M33" s="3" t="str">
        <f>IF(C33&gt;0,H33/C33,"na")</f>
        <v>na</v>
      </c>
      <c r="N33" s="3">
        <f>IF(D33&gt;0,I33/D33,"na")</f>
        <v>0</v>
      </c>
      <c r="O33" s="3">
        <f>IF(E33&gt;0,J33/E33,"na")</f>
        <v>0</v>
      </c>
      <c r="P33" s="3">
        <f>IF(F33&gt;0,K33/F33,"na")</f>
        <v>0.66666666666666663</v>
      </c>
      <c r="Q33" s="409">
        <f>IF(G33&gt;0,L33/G33,"na")</f>
        <v>1</v>
      </c>
      <c r="R33" s="525">
        <f t="shared" ref="R33:R37" si="4">SUM(H33:J33)/SUM(C33:E33)</f>
        <v>0</v>
      </c>
      <c r="S33" s="656">
        <f t="shared" si="3"/>
        <v>0.83333333333333337</v>
      </c>
    </row>
    <row r="34" spans="1:19" ht="13" x14ac:dyDescent="0.3">
      <c r="A34" s="34" t="str">
        <f>'2015 Comm catch'!A34</f>
        <v>1-3=tangle</v>
      </c>
      <c r="B34">
        <v>41</v>
      </c>
      <c r="C34" s="713">
        <v>0</v>
      </c>
      <c r="D34" s="713">
        <v>92</v>
      </c>
      <c r="E34" s="713">
        <v>129</v>
      </c>
      <c r="F34" s="763"/>
      <c r="G34" s="764"/>
      <c r="H34" s="711">
        <v>0</v>
      </c>
      <c r="I34" s="711">
        <v>0</v>
      </c>
      <c r="J34" s="711">
        <v>0</v>
      </c>
      <c r="K34" s="719"/>
      <c r="L34" s="764"/>
      <c r="M34" s="3" t="str">
        <f t="shared" si="2"/>
        <v>na</v>
      </c>
      <c r="N34" s="3">
        <f t="shared" si="2"/>
        <v>0</v>
      </c>
      <c r="O34" s="3">
        <f t="shared" si="2"/>
        <v>0</v>
      </c>
      <c r="P34" s="3" t="str">
        <f t="shared" si="2"/>
        <v>na</v>
      </c>
      <c r="Q34" s="409" t="str">
        <f t="shared" si="2"/>
        <v>na</v>
      </c>
      <c r="R34" s="525">
        <f t="shared" si="4"/>
        <v>0</v>
      </c>
      <c r="S34" s="656"/>
    </row>
    <row r="35" spans="1:19" ht="13" x14ac:dyDescent="0.3">
      <c r="A35" s="34" t="str">
        <f>'2015 Comm catch'!A35</f>
        <v>1-5=8-inch</v>
      </c>
      <c r="B35">
        <v>41</v>
      </c>
      <c r="C35" s="711">
        <v>0</v>
      </c>
      <c r="D35" s="711">
        <v>0</v>
      </c>
      <c r="E35" s="713">
        <v>12</v>
      </c>
      <c r="F35" s="713">
        <v>8</v>
      </c>
      <c r="G35" s="713">
        <v>5</v>
      </c>
      <c r="H35" s="743">
        <v>0</v>
      </c>
      <c r="I35" s="713">
        <v>0</v>
      </c>
      <c r="J35" s="713">
        <v>4</v>
      </c>
      <c r="K35" s="713">
        <v>4</v>
      </c>
      <c r="L35" s="712">
        <v>1</v>
      </c>
      <c r="M35" s="3" t="str">
        <f t="shared" ref="M35" si="5">IF(C35&gt;0,H35/C35,"na")</f>
        <v>na</v>
      </c>
      <c r="N35" s="3" t="str">
        <f t="shared" ref="N35" si="6">IF(D35&gt;0,I35/D35,"na")</f>
        <v>na</v>
      </c>
      <c r="O35" s="3">
        <f t="shared" ref="O35" si="7">IF(E35&gt;0,J35/E35,"na")</f>
        <v>0.33333333333333331</v>
      </c>
      <c r="P35" s="3">
        <f t="shared" ref="P35" si="8">IF(F35&gt;0,K35/F35,"na")</f>
        <v>0.5</v>
      </c>
      <c r="Q35" s="409">
        <f t="shared" ref="Q35" si="9">IF(G35&gt;0,L35/G35,"na")</f>
        <v>0.2</v>
      </c>
      <c r="R35" s="525">
        <f t="shared" si="4"/>
        <v>0.33333333333333331</v>
      </c>
      <c r="S35" s="656">
        <f t="shared" si="3"/>
        <v>0.38461538461538464</v>
      </c>
    </row>
    <row r="36" spans="1:19" ht="13" x14ac:dyDescent="0.3">
      <c r="A36" s="34" t="str">
        <f>'2015 Comm catch'!A36</f>
        <v>1-3=6-inch</v>
      </c>
      <c r="B36">
        <v>42</v>
      </c>
      <c r="C36" s="713">
        <v>87</v>
      </c>
      <c r="D36" s="713">
        <v>72</v>
      </c>
      <c r="E36" s="713">
        <v>197</v>
      </c>
      <c r="F36" s="763"/>
      <c r="G36" s="763"/>
      <c r="H36" s="743">
        <v>22</v>
      </c>
      <c r="I36" s="711">
        <v>21</v>
      </c>
      <c r="J36" s="711">
        <v>46</v>
      </c>
      <c r="K36" s="719"/>
      <c r="L36" s="764"/>
      <c r="M36" s="3">
        <f>N36</f>
        <v>0.29166666666666669</v>
      </c>
      <c r="N36" s="3">
        <f t="shared" si="2"/>
        <v>0.29166666666666669</v>
      </c>
      <c r="O36" s="3">
        <f t="shared" si="2"/>
        <v>0.233502538071066</v>
      </c>
      <c r="P36" s="3" t="str">
        <f t="shared" si="2"/>
        <v>na</v>
      </c>
      <c r="Q36" s="409" t="str">
        <f t="shared" si="2"/>
        <v>na</v>
      </c>
      <c r="R36" s="525">
        <f t="shared" si="4"/>
        <v>0.25</v>
      </c>
      <c r="S36" s="656"/>
    </row>
    <row r="37" spans="1:19" ht="13" x14ac:dyDescent="0.3">
      <c r="A37" s="34" t="str">
        <f>'2015 Comm catch'!A37</f>
        <v>1-3=6-inch</v>
      </c>
      <c r="B37">
        <v>43</v>
      </c>
      <c r="C37" s="713">
        <v>0</v>
      </c>
      <c r="D37" s="713">
        <v>129</v>
      </c>
      <c r="E37" s="713">
        <v>245</v>
      </c>
      <c r="F37" s="763"/>
      <c r="G37" s="764"/>
      <c r="H37" s="711">
        <v>0</v>
      </c>
      <c r="I37" s="711">
        <v>40</v>
      </c>
      <c r="J37" s="711">
        <v>94</v>
      </c>
      <c r="K37" s="719"/>
      <c r="L37" s="764"/>
      <c r="M37" s="3" t="str">
        <f>IF(C37&gt;0,H37/C37,"na")</f>
        <v>na</v>
      </c>
      <c r="N37" s="3">
        <f t="shared" si="2"/>
        <v>0.31007751937984496</v>
      </c>
      <c r="O37" s="3">
        <f t="shared" si="2"/>
        <v>0.3836734693877551</v>
      </c>
      <c r="P37" s="3" t="str">
        <f t="shared" si="2"/>
        <v>na</v>
      </c>
      <c r="Q37" s="409" t="str">
        <f t="shared" si="2"/>
        <v>na</v>
      </c>
      <c r="R37" s="525">
        <f t="shared" si="4"/>
        <v>0.35828877005347592</v>
      </c>
      <c r="S37" s="656"/>
    </row>
    <row r="38" spans="1:19" ht="13" x14ac:dyDescent="0.3">
      <c r="A38" s="34">
        <f>'2015 Comm catch'!A38</f>
        <v>0</v>
      </c>
      <c r="B38">
        <v>44</v>
      </c>
      <c r="C38" s="763"/>
      <c r="D38" s="763"/>
      <c r="E38" s="763"/>
      <c r="F38" s="763"/>
      <c r="G38" s="764"/>
      <c r="H38" s="719"/>
      <c r="I38" s="719"/>
      <c r="J38" s="719"/>
      <c r="K38" s="719"/>
      <c r="L38" s="764"/>
      <c r="M38" s="3" t="str">
        <f>IF(C38&gt;0,H38/C38,"na")</f>
        <v>na</v>
      </c>
      <c r="N38" s="3" t="str">
        <f>IF(D38&gt;0,I38/D38,"na")</f>
        <v>na</v>
      </c>
      <c r="O38" s="3" t="str">
        <f t="shared" si="2"/>
        <v>na</v>
      </c>
      <c r="P38" s="3" t="str">
        <f t="shared" si="2"/>
        <v>na</v>
      </c>
      <c r="Q38" s="409" t="str">
        <f t="shared" si="2"/>
        <v>na</v>
      </c>
      <c r="R38" s="525"/>
      <c r="S38" s="656"/>
    </row>
    <row r="39" spans="1:19" x14ac:dyDescent="0.25">
      <c r="B39">
        <v>45</v>
      </c>
      <c r="C39" s="766"/>
      <c r="D39" s="766"/>
      <c r="E39" s="766"/>
      <c r="F39" s="766"/>
      <c r="G39" s="767"/>
      <c r="H39" s="719"/>
      <c r="I39" s="719"/>
      <c r="J39" s="719"/>
      <c r="K39" s="719"/>
      <c r="L39" s="764"/>
      <c r="M39" s="3" t="str">
        <f>IF(C39&gt;0,H39/C39,"na")</f>
        <v>na</v>
      </c>
      <c r="N39" s="3" t="str">
        <f t="shared" ref="N39:P40" si="10">IF(D39&gt;0,I39/D39,"na")</f>
        <v>na</v>
      </c>
      <c r="O39" s="3" t="str">
        <f t="shared" si="10"/>
        <v>na</v>
      </c>
      <c r="P39" s="3" t="str">
        <f t="shared" si="10"/>
        <v>na</v>
      </c>
      <c r="Q39" s="409" t="str">
        <f>IF(G39&gt;0,L39/G39,"na")</f>
        <v>na</v>
      </c>
      <c r="R39" s="402"/>
    </row>
    <row r="40" spans="1:19" x14ac:dyDescent="0.25">
      <c r="B40" t="s">
        <v>184</v>
      </c>
      <c r="C40" s="329">
        <f>SUM(C25:C39)</f>
        <v>87</v>
      </c>
      <c r="D40" s="195">
        <f t="shared" ref="D40:L40" si="11">SUM(D25:D39)</f>
        <v>362</v>
      </c>
      <c r="E40" s="195">
        <f t="shared" si="11"/>
        <v>652</v>
      </c>
      <c r="F40" s="195">
        <f t="shared" si="11"/>
        <v>138</v>
      </c>
      <c r="G40" s="330">
        <f t="shared" si="11"/>
        <v>37</v>
      </c>
      <c r="H40" s="329">
        <f t="shared" si="11"/>
        <v>22</v>
      </c>
      <c r="I40" s="195">
        <f t="shared" si="11"/>
        <v>61</v>
      </c>
      <c r="J40" s="195">
        <f t="shared" si="11"/>
        <v>144</v>
      </c>
      <c r="K40" s="195">
        <f t="shared" si="11"/>
        <v>82</v>
      </c>
      <c r="L40" s="404">
        <f t="shared" si="11"/>
        <v>26</v>
      </c>
      <c r="M40" s="223">
        <f>IF(C40&gt;0,H40/C40,"na")</f>
        <v>0.25287356321839083</v>
      </c>
      <c r="N40" s="528">
        <f t="shared" si="10"/>
        <v>0.16850828729281769</v>
      </c>
      <c r="O40" s="528">
        <f t="shared" si="10"/>
        <v>0.22085889570552147</v>
      </c>
      <c r="P40" s="528">
        <f t="shared" si="10"/>
        <v>0.59420289855072461</v>
      </c>
      <c r="Q40" s="529">
        <f>IF(G40&gt;0,L40/G40,"na")</f>
        <v>0.70270270270270274</v>
      </c>
      <c r="R40" s="525"/>
    </row>
    <row r="41" spans="1:19" x14ac:dyDescent="0.25">
      <c r="C41" s="44"/>
      <c r="D41" s="44"/>
      <c r="E41" s="44"/>
      <c r="F41" s="44"/>
      <c r="G41" s="44"/>
      <c r="H41" s="44"/>
      <c r="I41" s="44"/>
      <c r="J41" s="44"/>
      <c r="K41" s="44"/>
      <c r="L41" s="44"/>
      <c r="M41" s="44"/>
      <c r="N41" s="44"/>
      <c r="O41" s="44"/>
      <c r="P41" s="44"/>
      <c r="Q41" s="531"/>
      <c r="R41" s="531"/>
    </row>
  </sheetData>
  <mergeCells count="6">
    <mergeCell ref="C3:F3"/>
    <mergeCell ref="G3:J3"/>
    <mergeCell ref="K3:N3"/>
    <mergeCell ref="C23:G23"/>
    <mergeCell ref="H23:L23"/>
    <mergeCell ref="M23:Q23"/>
  </mergeCells>
  <pageMargins left="0.75" right="0.75" top="1" bottom="1" header="0.5" footer="0.5"/>
  <pageSetup orientation="portrait" r:id="rId1"/>
  <headerFooter alignWithMargins="0"/>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F41"/>
  <sheetViews>
    <sheetView topLeftCell="A7" zoomScale="110" zoomScaleNormal="110" workbookViewId="0">
      <pane xSplit="2" topLeftCell="C1" activePane="topRight" state="frozen"/>
      <selection activeCell="I30" sqref="I30"/>
      <selection pane="topRight" activeCell="I30" sqref="I30"/>
    </sheetView>
  </sheetViews>
  <sheetFormatPr defaultColWidth="9.1796875" defaultRowHeight="13" x14ac:dyDescent="0.3"/>
  <cols>
    <col min="1" max="1" width="21" style="32" bestFit="1" customWidth="1"/>
    <col min="2" max="2" width="11.7265625" style="34" bestFit="1" customWidth="1"/>
    <col min="3" max="3" width="11.7265625" style="33" bestFit="1" customWidth="1"/>
    <col min="4" max="4" width="12" style="33" bestFit="1" customWidth="1"/>
    <col min="5" max="5" width="12.453125" style="33" bestFit="1" customWidth="1"/>
    <col min="6" max="6" width="10.26953125" style="33" bestFit="1" customWidth="1"/>
    <col min="7" max="7" width="12.7265625" style="33" bestFit="1" customWidth="1"/>
    <col min="8" max="8" width="10.26953125" style="33" bestFit="1" customWidth="1"/>
    <col min="9" max="9" width="8.1796875" style="33" bestFit="1" customWidth="1"/>
    <col min="10" max="10" width="7.54296875" style="33" bestFit="1" customWidth="1"/>
    <col min="11" max="11" width="11.54296875" style="33" bestFit="1" customWidth="1"/>
    <col min="12" max="12" width="11.453125" style="33" bestFit="1" customWidth="1"/>
    <col min="13" max="13" width="8.1796875" style="33" bestFit="1" customWidth="1"/>
    <col min="14" max="14" width="10" style="33" bestFit="1" customWidth="1"/>
    <col min="15" max="15" width="11.54296875" style="33" bestFit="1" customWidth="1"/>
    <col min="16" max="16" width="10.26953125" style="33" bestFit="1" customWidth="1"/>
    <col min="17" max="17" width="8.1796875" style="33" bestFit="1" customWidth="1"/>
    <col min="18" max="18" width="9.26953125" style="33" bestFit="1" customWidth="1"/>
    <col min="19" max="19" width="7.7265625" style="33" bestFit="1" customWidth="1"/>
    <col min="20" max="20" width="7.26953125" style="33" customWidth="1"/>
    <col min="21" max="21" width="5.54296875" style="33" customWidth="1"/>
    <col min="22" max="22" width="5" style="33" bestFit="1" customWidth="1"/>
    <col min="23" max="23" width="8.54296875" style="33" bestFit="1" customWidth="1"/>
    <col min="24" max="24" width="6.7265625" style="33" customWidth="1"/>
    <col min="25" max="25" width="5" style="32" bestFit="1" customWidth="1"/>
    <col min="26" max="26" width="8.26953125" style="32" bestFit="1" customWidth="1"/>
    <col min="27" max="27" width="8.26953125" style="32" customWidth="1"/>
    <col min="28" max="28" width="7" style="32" bestFit="1" customWidth="1"/>
    <col min="29" max="29" width="12" style="32" bestFit="1" customWidth="1"/>
    <col min="30" max="30" width="9.26953125" style="32" bestFit="1" customWidth="1"/>
    <col min="31" max="31" width="2.54296875" style="32" customWidth="1"/>
    <col min="32" max="16384" width="9.1796875" style="32"/>
  </cols>
  <sheetData>
    <row r="1" spans="1:24" x14ac:dyDescent="0.3">
      <c r="A1" s="34" t="s">
        <v>340</v>
      </c>
    </row>
    <row r="2" spans="1:24" x14ac:dyDescent="0.3">
      <c r="C2" s="34" t="s">
        <v>330</v>
      </c>
    </row>
    <row r="3" spans="1:24" x14ac:dyDescent="0.3">
      <c r="C3" s="903" t="s">
        <v>208</v>
      </c>
      <c r="D3" s="904"/>
      <c r="E3" s="904"/>
      <c r="F3" s="905"/>
      <c r="G3" s="903" t="s">
        <v>264</v>
      </c>
      <c r="H3" s="904"/>
      <c r="I3" s="904"/>
      <c r="J3" s="905"/>
      <c r="K3" s="903" t="s">
        <v>261</v>
      </c>
      <c r="L3" s="904"/>
      <c r="M3" s="904"/>
      <c r="N3" s="905"/>
      <c r="O3" s="903" t="s">
        <v>262</v>
      </c>
      <c r="P3" s="904"/>
      <c r="Q3" s="904"/>
      <c r="R3" s="905"/>
      <c r="S3" s="781" t="s">
        <v>339</v>
      </c>
      <c r="T3" s="781"/>
      <c r="U3" s="781"/>
      <c r="V3" s="781"/>
      <c r="W3" s="165"/>
      <c r="X3" s="165"/>
    </row>
    <row r="4" spans="1:24" x14ac:dyDescent="0.3">
      <c r="B4" s="34" t="s">
        <v>134</v>
      </c>
      <c r="C4" s="547" t="s">
        <v>31</v>
      </c>
      <c r="D4" s="202" t="s">
        <v>62</v>
      </c>
      <c r="E4" s="202" t="s">
        <v>260</v>
      </c>
      <c r="F4" s="548" t="s">
        <v>203</v>
      </c>
      <c r="G4" s="547" t="s">
        <v>31</v>
      </c>
      <c r="H4" s="202" t="s">
        <v>62</v>
      </c>
      <c r="I4" s="202" t="s">
        <v>260</v>
      </c>
      <c r="J4" s="548" t="s">
        <v>203</v>
      </c>
      <c r="K4" s="549" t="s">
        <v>31</v>
      </c>
      <c r="L4" s="208" t="s">
        <v>62</v>
      </c>
      <c r="M4" s="208" t="s">
        <v>260</v>
      </c>
      <c r="N4" s="550" t="s">
        <v>203</v>
      </c>
      <c r="O4" s="549" t="s">
        <v>31</v>
      </c>
      <c r="P4" s="208" t="s">
        <v>62</v>
      </c>
      <c r="Q4" s="208" t="s">
        <v>260</v>
      </c>
      <c r="R4" s="550" t="s">
        <v>203</v>
      </c>
      <c r="S4" s="781" t="s">
        <v>335</v>
      </c>
      <c r="T4" s="781" t="s">
        <v>336</v>
      </c>
      <c r="U4" s="781" t="s">
        <v>337</v>
      </c>
      <c r="V4" s="781" t="s">
        <v>338</v>
      </c>
      <c r="W4" s="208"/>
      <c r="X4" s="208"/>
    </row>
    <row r="5" spans="1:24" x14ac:dyDescent="0.3">
      <c r="B5" s="34">
        <v>32</v>
      </c>
      <c r="C5" s="782">
        <v>0</v>
      </c>
      <c r="D5" s="773"/>
      <c r="E5" s="773"/>
      <c r="F5" s="774"/>
      <c r="G5" s="551" t="str">
        <f>'2015 comm sample'!K5</f>
        <v>na</v>
      </c>
      <c r="H5" s="552" t="str">
        <f>'2015 comm sample'!L5</f>
        <v>na</v>
      </c>
      <c r="I5" s="552" t="str">
        <f>'2015 comm sample'!M5</f>
        <v>na</v>
      </c>
      <c r="J5" s="552" t="str">
        <f>'2015 comm sample'!N5</f>
        <v>na</v>
      </c>
      <c r="K5" s="553" t="str">
        <f>IF(C5&gt;0,'2015 comm sample'!C5/'2015 Comm catch'!C5,"na")</f>
        <v>na</v>
      </c>
      <c r="L5" s="554" t="str">
        <f>IF(D5&gt;0,'2015 comm sample'!D5/'2015 Comm catch'!D5,"na")</f>
        <v>na</v>
      </c>
      <c r="M5" s="554" t="str">
        <f>IF(E5&gt;0,'2015 comm sample'!E5/'2015 Comm catch'!E5,"na")</f>
        <v>na</v>
      </c>
      <c r="N5" s="554" t="str">
        <f>IF(F5&gt;0,'2015 comm sample'!F5/'2015 Comm catch'!F5,"na")</f>
        <v>na</v>
      </c>
      <c r="O5" s="555" t="str">
        <f t="shared" ref="O5:R18" si="0">IF(G5&lt;&gt;"na",C5*G5,"na")</f>
        <v>na</v>
      </c>
      <c r="P5" s="556" t="str">
        <f t="shared" si="0"/>
        <v>na</v>
      </c>
      <c r="Q5" s="556" t="str">
        <f t="shared" si="0"/>
        <v>na</v>
      </c>
      <c r="R5" s="557" t="str">
        <f t="shared" si="0"/>
        <v>na</v>
      </c>
      <c r="S5" s="514"/>
      <c r="T5" s="514"/>
      <c r="U5" s="514"/>
      <c r="V5" s="514"/>
      <c r="W5" s="514"/>
      <c r="X5" s="514"/>
    </row>
    <row r="6" spans="1:24" x14ac:dyDescent="0.3">
      <c r="B6" s="34">
        <v>33</v>
      </c>
      <c r="C6" s="782">
        <v>0</v>
      </c>
      <c r="D6" s="773"/>
      <c r="E6" s="773"/>
      <c r="F6" s="774"/>
      <c r="G6" s="551" t="str">
        <f>'2015 comm sample'!K6</f>
        <v>na</v>
      </c>
      <c r="H6" s="552" t="str">
        <f>'2015 comm sample'!L6</f>
        <v>na</v>
      </c>
      <c r="I6" s="552" t="str">
        <f>'2015 comm sample'!M6</f>
        <v>na</v>
      </c>
      <c r="J6" s="552" t="str">
        <f>'2015 comm sample'!N6</f>
        <v>na</v>
      </c>
      <c r="K6" s="558" t="str">
        <f>IF(C6&gt;0,'2015 comm sample'!C6/'2015 Comm catch'!C6,"na")</f>
        <v>na</v>
      </c>
      <c r="L6" s="559" t="str">
        <f>IF(D6&gt;0,'2015 comm sample'!D6/'2015 Comm catch'!D6,"na")</f>
        <v>na</v>
      </c>
      <c r="M6" s="559" t="str">
        <f>IF(E6&gt;0,'2015 comm sample'!E6/'2015 Comm catch'!E6,"na")</f>
        <v>na</v>
      </c>
      <c r="N6" s="559" t="str">
        <f>IF(F6&gt;0,'2015 comm sample'!F6/'2015 Comm catch'!F6,"na")</f>
        <v>na</v>
      </c>
      <c r="O6" s="560" t="str">
        <f t="shared" si="0"/>
        <v>na</v>
      </c>
      <c r="P6" s="514" t="str">
        <f t="shared" si="0"/>
        <v>na</v>
      </c>
      <c r="Q6" s="514" t="str">
        <f t="shared" si="0"/>
        <v>na</v>
      </c>
      <c r="R6" s="563" t="str">
        <f t="shared" si="0"/>
        <v>na</v>
      </c>
      <c r="S6" s="514"/>
      <c r="T6" s="514"/>
      <c r="U6" s="514"/>
      <c r="V6" s="514"/>
      <c r="W6" s="514"/>
      <c r="X6" s="514"/>
    </row>
    <row r="7" spans="1:24" x14ac:dyDescent="0.3">
      <c r="B7" s="34">
        <v>34</v>
      </c>
      <c r="C7" s="782">
        <v>3</v>
      </c>
      <c r="D7" s="773"/>
      <c r="E7" s="776"/>
      <c r="F7" s="784">
        <v>4</v>
      </c>
      <c r="G7" s="551">
        <f>'2015 comm sample'!K7</f>
        <v>0.5</v>
      </c>
      <c r="H7" s="552" t="str">
        <f>'2015 comm sample'!L7</f>
        <v>na</v>
      </c>
      <c r="I7" s="552" t="str">
        <f>'2015 comm sample'!M7</f>
        <v>na</v>
      </c>
      <c r="J7" s="552">
        <f>'2015 comm sample'!N7</f>
        <v>0</v>
      </c>
      <c r="K7" s="558">
        <f>IF(C7&gt;0,'2015 comm sample'!C7/'2015 Comm catch'!C7,"na")</f>
        <v>0.66666666666666663</v>
      </c>
      <c r="L7" s="559" t="str">
        <f>IF(D7&gt;0,'2015 comm sample'!D7/'2015 Comm catch'!D7,"na")</f>
        <v>na</v>
      </c>
      <c r="M7" s="559" t="str">
        <f>IF(E7&gt;0,'2015 comm sample'!E7/'2015 Comm catch'!E7,"na")</f>
        <v>na</v>
      </c>
      <c r="N7" s="559">
        <f>IF(F7&gt;0,'2015 comm sample'!F7/'2015 Comm catch'!F7,"na")</f>
        <v>0.75</v>
      </c>
      <c r="O7" s="560">
        <f t="shared" si="0"/>
        <v>1.5</v>
      </c>
      <c r="P7" s="514" t="str">
        <f t="shared" si="0"/>
        <v>na</v>
      </c>
      <c r="Q7" s="514" t="str">
        <f t="shared" si="0"/>
        <v>na</v>
      </c>
      <c r="R7" s="563">
        <f t="shared" si="0"/>
        <v>0</v>
      </c>
      <c r="S7" s="514"/>
      <c r="T7" s="514"/>
      <c r="U7" s="514"/>
      <c r="V7" s="514"/>
      <c r="W7" s="514"/>
      <c r="X7" s="514"/>
    </row>
    <row r="8" spans="1:24" x14ac:dyDescent="0.3">
      <c r="B8" s="34">
        <v>35</v>
      </c>
      <c r="C8" s="782">
        <v>78</v>
      </c>
      <c r="D8" s="783">
        <v>133</v>
      </c>
      <c r="E8" s="784">
        <v>8</v>
      </c>
      <c r="F8" s="784">
        <v>9</v>
      </c>
      <c r="G8" s="551">
        <f>'2015 comm sample'!K8</f>
        <v>6.3829787234042548E-2</v>
      </c>
      <c r="H8" s="552">
        <f>'2015 comm sample'!L8</f>
        <v>0.14285714285714285</v>
      </c>
      <c r="I8" s="552" t="str">
        <f>'2015 comm sample'!M8</f>
        <v>na</v>
      </c>
      <c r="J8" s="552">
        <f>'2015 comm sample'!N8</f>
        <v>0</v>
      </c>
      <c r="K8" s="558">
        <f>IF(C8&gt;0,'2015 comm sample'!C8/'2015 Comm catch'!C8,"na")</f>
        <v>0.60256410256410253</v>
      </c>
      <c r="L8" s="559">
        <f>IF(D8&gt;0,'2015 comm sample'!D8/'2015 Comm catch'!D8,"na")</f>
        <v>0.84210526315789469</v>
      </c>
      <c r="M8" s="559">
        <f>IF(E8&gt;0,'2015 comm sample'!E8/'2015 Comm catch'!E8,"na")</f>
        <v>0</v>
      </c>
      <c r="N8" s="559">
        <f>IF(F8&gt;0,'2015 comm sample'!F8/'2015 Comm catch'!F8,"na")</f>
        <v>0.22222222222222221</v>
      </c>
      <c r="O8" s="560">
        <f t="shared" si="0"/>
        <v>4.9787234042553186</v>
      </c>
      <c r="P8" s="514">
        <f t="shared" si="0"/>
        <v>19</v>
      </c>
      <c r="Q8" s="514" t="str">
        <f t="shared" si="0"/>
        <v>na</v>
      </c>
      <c r="R8" s="563">
        <f t="shared" si="0"/>
        <v>0</v>
      </c>
      <c r="S8" s="514"/>
      <c r="T8" s="514"/>
      <c r="U8" s="780">
        <f>E8*I9</f>
        <v>1.1111111111111112</v>
      </c>
      <c r="V8" s="514"/>
      <c r="W8" s="514"/>
      <c r="X8" s="514"/>
    </row>
    <row r="9" spans="1:24" x14ac:dyDescent="0.3">
      <c r="B9" s="34">
        <v>36</v>
      </c>
      <c r="C9" s="782">
        <v>2901</v>
      </c>
      <c r="D9" s="784">
        <v>2220</v>
      </c>
      <c r="E9" s="784">
        <v>170</v>
      </c>
      <c r="F9" s="784">
        <v>469</v>
      </c>
      <c r="G9" s="551">
        <f>'2015 comm sample'!K9</f>
        <v>3.0728709394205442E-2</v>
      </c>
      <c r="H9" s="552">
        <f>'2015 comm sample'!L9</f>
        <v>2.0257826887661142E-2</v>
      </c>
      <c r="I9" s="552">
        <f>'2015 comm sample'!M9</f>
        <v>0.1388888888888889</v>
      </c>
      <c r="J9" s="552">
        <f>'2015 comm sample'!N9</f>
        <v>0.10734463276836158</v>
      </c>
      <c r="K9" s="558">
        <f>IF(C9&gt;0,'2015 comm sample'!C9/'2015 Comm catch'!C9,"na")</f>
        <v>0.39262323336780419</v>
      </c>
      <c r="L9" s="559">
        <f>IF(D9&gt;0,'2015 comm sample'!D9/'2015 Comm catch'!D9,"na")</f>
        <v>0.48918918918918919</v>
      </c>
      <c r="M9" s="559">
        <f>IF(E9&gt;0,'2015 comm sample'!E9/'2015 Comm catch'!E9,"na")</f>
        <v>0.21176470588235294</v>
      </c>
      <c r="N9" s="559">
        <f>IF(F9&gt;0,'2015 comm sample'!F9/'2015 Comm catch'!F9,"na")</f>
        <v>0.37739872068230279</v>
      </c>
      <c r="O9" s="560">
        <f t="shared" si="0"/>
        <v>89.143985952589986</v>
      </c>
      <c r="P9" s="514">
        <f t="shared" si="0"/>
        <v>44.972375690607734</v>
      </c>
      <c r="Q9" s="514">
        <f t="shared" si="0"/>
        <v>23.611111111111111</v>
      </c>
      <c r="R9" s="563">
        <f t="shared" si="0"/>
        <v>50.344632768361578</v>
      </c>
      <c r="S9" s="514"/>
      <c r="T9" s="514"/>
      <c r="U9" s="514"/>
      <c r="V9" s="514"/>
      <c r="W9" s="514"/>
      <c r="X9" s="514"/>
    </row>
    <row r="10" spans="1:24" x14ac:dyDescent="0.3">
      <c r="B10" s="34">
        <v>37</v>
      </c>
      <c r="C10" s="782">
        <v>1581</v>
      </c>
      <c r="D10" s="784">
        <v>1884</v>
      </c>
      <c r="E10" s="784">
        <v>399</v>
      </c>
      <c r="F10" s="784">
        <v>1184</v>
      </c>
      <c r="G10" s="551">
        <f>'2015 comm sample'!K10</f>
        <v>1.4720314033366046E-2</v>
      </c>
      <c r="H10" s="552">
        <f>'2015 comm sample'!L10</f>
        <v>1.2746234067207415E-2</v>
      </c>
      <c r="I10" s="552">
        <f>'2015 comm sample'!M10</f>
        <v>3.125E-2</v>
      </c>
      <c r="J10" s="552">
        <f>'2015 comm sample'!N10</f>
        <v>2.4556616643929059E-2</v>
      </c>
      <c r="K10" s="558">
        <f>IF(C10&gt;0,'2015 comm sample'!C10/'2015 Comm catch'!C10,"na")</f>
        <v>0.64452877925363694</v>
      </c>
      <c r="L10" s="559">
        <f>IF(D10&gt;0,'2015 comm sample'!D10/'2015 Comm catch'!D10,"na")</f>
        <v>0.45806794055201699</v>
      </c>
      <c r="M10" s="559">
        <f>IF(E10&gt;0,'2015 comm sample'!E10/'2015 Comm catch'!E10,"na")</f>
        <v>0.32080200501253131</v>
      </c>
      <c r="N10" s="559">
        <f>IF(F10&gt;0,'2015 comm sample'!F10/'2015 Comm catch'!F10,"na")</f>
        <v>0.61908783783783783</v>
      </c>
      <c r="O10" s="560">
        <f t="shared" si="0"/>
        <v>23.272816486751719</v>
      </c>
      <c r="P10" s="514">
        <f t="shared" si="0"/>
        <v>24.013904982618772</v>
      </c>
      <c r="Q10" s="514">
        <f t="shared" si="0"/>
        <v>12.46875</v>
      </c>
      <c r="R10" s="563">
        <f t="shared" si="0"/>
        <v>29.075034106412005</v>
      </c>
      <c r="S10" s="514"/>
      <c r="T10" s="514"/>
      <c r="U10" s="514"/>
      <c r="V10" s="514"/>
      <c r="W10" s="514"/>
      <c r="X10" s="514"/>
    </row>
    <row r="11" spans="1:24" x14ac:dyDescent="0.3">
      <c r="B11" s="34">
        <v>38</v>
      </c>
      <c r="C11" s="782">
        <v>2335</v>
      </c>
      <c r="D11" s="784">
        <v>1703</v>
      </c>
      <c r="E11" s="784">
        <v>246</v>
      </c>
      <c r="F11" s="784">
        <v>1054</v>
      </c>
      <c r="G11" s="551">
        <f>'2015 comm sample'!K11</f>
        <v>1.913265306122449E-2</v>
      </c>
      <c r="H11" s="552">
        <f>'2015 comm sample'!L11</f>
        <v>2.5906735751295335E-2</v>
      </c>
      <c r="I11" s="552">
        <f>'2015 comm sample'!M11</f>
        <v>8.247422680412371E-2</v>
      </c>
      <c r="J11" s="552">
        <f>'2015 comm sample'!N11</f>
        <v>3.9156626506024098E-2</v>
      </c>
      <c r="K11" s="558">
        <f>IF(C11&gt;0,'2015 comm sample'!C11/'2015 Comm catch'!C11,"na")</f>
        <v>0.33576017130620983</v>
      </c>
      <c r="L11" s="559">
        <f>IF(D11&gt;0,'2015 comm sample'!D11/'2015 Comm catch'!D11,"na")</f>
        <v>0.45331767469172052</v>
      </c>
      <c r="M11" s="559">
        <f>IF(E11&gt;0,'2015 comm sample'!E11/'2015 Comm catch'!E11,"na")</f>
        <v>0.39430894308943087</v>
      </c>
      <c r="N11" s="559">
        <f>IF(F11&gt;0,'2015 comm sample'!F11/'2015 Comm catch'!F11,"na")</f>
        <v>0.31499051233396586</v>
      </c>
      <c r="O11" s="560">
        <f t="shared" si="0"/>
        <v>44.674744897959187</v>
      </c>
      <c r="P11" s="514">
        <f t="shared" si="0"/>
        <v>44.119170984455955</v>
      </c>
      <c r="Q11" s="514">
        <f t="shared" si="0"/>
        <v>20.288659793814432</v>
      </c>
      <c r="R11" s="563">
        <f t="shared" si="0"/>
        <v>41.2710843373494</v>
      </c>
      <c r="S11" s="514"/>
      <c r="T11" s="514"/>
      <c r="U11" s="514"/>
      <c r="V11" s="514"/>
      <c r="W11" s="514"/>
      <c r="X11" s="514"/>
    </row>
    <row r="12" spans="1:24" x14ac:dyDescent="0.3">
      <c r="B12" s="34">
        <v>39</v>
      </c>
      <c r="C12" s="782">
        <v>1608</v>
      </c>
      <c r="D12" s="783">
        <v>830</v>
      </c>
      <c r="E12" s="784">
        <v>313</v>
      </c>
      <c r="F12" s="784">
        <v>861</v>
      </c>
      <c r="G12" s="551">
        <f>'2015 comm sample'!K12</f>
        <v>2.4193548387096774E-2</v>
      </c>
      <c r="H12" s="552">
        <f>'2015 comm sample'!L12</f>
        <v>1.6666666666666666E-2</v>
      </c>
      <c r="I12" s="552">
        <f>'2015 comm sample'!M12</f>
        <v>6.0240963855421686E-2</v>
      </c>
      <c r="J12" s="552">
        <f>'2015 comm sample'!N12</f>
        <v>4.0372670807453416E-2</v>
      </c>
      <c r="K12" s="558">
        <f>IF(C12&gt;0,'2015 comm sample'!C12/'2015 Comm catch'!C12,"na")</f>
        <v>0.30845771144278605</v>
      </c>
      <c r="L12" s="559">
        <f>IF(D12&gt;0,'2015 comm sample'!D12/'2015 Comm catch'!D12,"na")</f>
        <v>0.57831325301204817</v>
      </c>
      <c r="M12" s="559">
        <f>IF(E12&gt;0,'2015 comm sample'!E12/'2015 Comm catch'!E12,"na")</f>
        <v>0.26517571884984026</v>
      </c>
      <c r="N12" s="559">
        <f>IF(F12&gt;0,'2015 comm sample'!F12/'2015 Comm catch'!F12,"na")</f>
        <v>0.37398373983739835</v>
      </c>
      <c r="O12" s="560">
        <f t="shared" si="0"/>
        <v>38.903225806451609</v>
      </c>
      <c r="P12" s="514">
        <f t="shared" si="0"/>
        <v>13.833333333333334</v>
      </c>
      <c r="Q12" s="514">
        <f t="shared" si="0"/>
        <v>18.855421686746986</v>
      </c>
      <c r="R12" s="563">
        <f t="shared" si="0"/>
        <v>34.760869565217391</v>
      </c>
      <c r="S12" s="514"/>
      <c r="T12" s="514"/>
      <c r="U12" s="514"/>
      <c r="V12" s="514"/>
      <c r="W12" s="514"/>
      <c r="X12" s="514"/>
    </row>
    <row r="13" spans="1:24" x14ac:dyDescent="0.3">
      <c r="B13" s="34">
        <v>40</v>
      </c>
      <c r="C13" s="782">
        <v>1976</v>
      </c>
      <c r="D13" s="784">
        <v>1644</v>
      </c>
      <c r="E13" s="784">
        <v>223</v>
      </c>
      <c r="F13" s="784">
        <v>510</v>
      </c>
      <c r="G13" s="551">
        <f>'2015 comm sample'!K13</f>
        <v>2.7450980392156862E-2</v>
      </c>
      <c r="H13" s="552">
        <f>'2015 comm sample'!L13</f>
        <v>1.4227642276422764E-2</v>
      </c>
      <c r="I13" s="552">
        <f>'2015 comm sample'!M13</f>
        <v>8.6206896551724144E-2</v>
      </c>
      <c r="J13" s="552">
        <f>'2015 comm sample'!N13</f>
        <v>5.0632911392405063E-2</v>
      </c>
      <c r="K13" s="558">
        <f>IF(C13&gt;0,'2015 comm sample'!C13/'2015 Comm catch'!C13,"na")</f>
        <v>0.25809716599190285</v>
      </c>
      <c r="L13" s="559">
        <f>IF(D13&gt;0,'2015 comm sample'!D13/'2015 Comm catch'!D13,"na")</f>
        <v>0.59854014598540151</v>
      </c>
      <c r="M13" s="559">
        <f>IF(E13&gt;0,'2015 comm sample'!E13/'2015 Comm catch'!E13,"na")</f>
        <v>0.26008968609865468</v>
      </c>
      <c r="N13" s="559">
        <f>IF(F13&gt;0,'2015 comm sample'!F13/'2015 Comm catch'!F13,"na")</f>
        <v>0.46470588235294119</v>
      </c>
      <c r="O13" s="560">
        <f t="shared" si="0"/>
        <v>54.24313725490196</v>
      </c>
      <c r="P13" s="514">
        <f t="shared" si="0"/>
        <v>23.390243902439025</v>
      </c>
      <c r="Q13" s="514">
        <f t="shared" si="0"/>
        <v>19.224137931034484</v>
      </c>
      <c r="R13" s="563">
        <f t="shared" si="0"/>
        <v>25.822784810126581</v>
      </c>
      <c r="S13" s="514"/>
      <c r="T13" s="514"/>
      <c r="U13" s="514"/>
      <c r="V13" s="514"/>
      <c r="W13" s="514"/>
      <c r="X13" s="514"/>
    </row>
    <row r="14" spans="1:24" x14ac:dyDescent="0.3">
      <c r="B14" s="34">
        <v>41</v>
      </c>
      <c r="C14" s="782">
        <v>436</v>
      </c>
      <c r="D14" s="783">
        <v>666</v>
      </c>
      <c r="E14" s="784">
        <v>149</v>
      </c>
      <c r="F14" s="784">
        <v>268</v>
      </c>
      <c r="G14" s="551">
        <f>'2015 comm sample'!K14</f>
        <v>1.6759776536312849E-2</v>
      </c>
      <c r="H14" s="552">
        <f>'2015 comm sample'!L14</f>
        <v>3.937007874015748E-2</v>
      </c>
      <c r="I14" s="552">
        <f>'2015 comm sample'!M14</f>
        <v>6.0606060606060608E-2</v>
      </c>
      <c r="J14" s="552">
        <f>'2015 comm sample'!N14</f>
        <v>5.5555555555555552E-2</v>
      </c>
      <c r="K14" s="558">
        <f>IF(C14&gt;0,'2015 comm sample'!C14/'2015 Comm catch'!C14,"na")</f>
        <v>0.41055045871559631</v>
      </c>
      <c r="L14" s="559">
        <f>IF(D14&gt;0,'2015 comm sample'!D14/'2015 Comm catch'!D14,"na")</f>
        <v>0.1906906906906907</v>
      </c>
      <c r="M14" s="559">
        <f>IF(E14&gt;0,'2015 comm sample'!E14/'2015 Comm catch'!E14,"na")</f>
        <v>0.44295302013422821</v>
      </c>
      <c r="N14" s="559">
        <f>IF(F14&gt;0,'2015 comm sample'!F14/'2015 Comm catch'!F14,"na")</f>
        <v>0.67164179104477617</v>
      </c>
      <c r="O14" s="560">
        <f t="shared" si="0"/>
        <v>7.3072625698324023</v>
      </c>
      <c r="P14" s="514">
        <f t="shared" si="0"/>
        <v>26.220472440944881</v>
      </c>
      <c r="Q14" s="514">
        <f t="shared" si="0"/>
        <v>9.0303030303030312</v>
      </c>
      <c r="R14" s="563">
        <f t="shared" si="0"/>
        <v>14.888888888888888</v>
      </c>
      <c r="S14" s="514"/>
      <c r="T14" s="514"/>
      <c r="U14" s="514"/>
      <c r="V14" s="514"/>
      <c r="W14" s="514"/>
      <c r="X14" s="514"/>
    </row>
    <row r="15" spans="1:24" x14ac:dyDescent="0.3">
      <c r="B15" s="34">
        <v>42</v>
      </c>
      <c r="C15" s="782">
        <v>296</v>
      </c>
      <c r="D15" s="783">
        <v>397</v>
      </c>
      <c r="E15" s="784">
        <v>140</v>
      </c>
      <c r="F15" s="784">
        <v>130</v>
      </c>
      <c r="G15" s="551">
        <f>'2015 comm sample'!K15</f>
        <v>3.6734693877551024E-2</v>
      </c>
      <c r="H15" s="552">
        <f>'2015 comm sample'!L15</f>
        <v>1.5873015873015872E-2</v>
      </c>
      <c r="I15" s="552">
        <f>'2015 comm sample'!M15</f>
        <v>0.15094339622641509</v>
      </c>
      <c r="J15" s="552">
        <f>'2015 comm sample'!N15</f>
        <v>0.13541666666666666</v>
      </c>
      <c r="K15" s="558">
        <f>IF(C15&gt;0,'2015 comm sample'!C15/'2015 Comm catch'!C15,"na")</f>
        <v>0.82770270270270274</v>
      </c>
      <c r="L15" s="559">
        <f>IF(D15&gt;0,'2015 comm sample'!D15/'2015 Comm catch'!D15,"na")</f>
        <v>0.47607052896725438</v>
      </c>
      <c r="M15" s="559">
        <f>IF(E15&gt;0,'2015 comm sample'!E15/'2015 Comm catch'!E15,"na")</f>
        <v>0.37857142857142856</v>
      </c>
      <c r="N15" s="559">
        <f>IF(F15&gt;0,'2015 comm sample'!F15/'2015 Comm catch'!F15,"na")</f>
        <v>0.7384615384615385</v>
      </c>
      <c r="O15" s="560">
        <f t="shared" si="0"/>
        <v>10.873469387755103</v>
      </c>
      <c r="P15" s="514">
        <f t="shared" si="0"/>
        <v>6.3015873015873014</v>
      </c>
      <c r="Q15" s="514">
        <f t="shared" si="0"/>
        <v>21.132075471698112</v>
      </c>
      <c r="R15" s="563">
        <f t="shared" si="0"/>
        <v>17.604166666666664</v>
      </c>
      <c r="S15" s="514"/>
      <c r="T15" s="514"/>
      <c r="U15" s="514"/>
      <c r="V15" s="514"/>
      <c r="W15" s="514"/>
      <c r="X15" s="514"/>
    </row>
    <row r="16" spans="1:24" x14ac:dyDescent="0.3">
      <c r="B16" s="34">
        <v>43</v>
      </c>
      <c r="C16" s="782">
        <v>45</v>
      </c>
      <c r="D16" s="783">
        <v>77</v>
      </c>
      <c r="E16" s="784">
        <v>30</v>
      </c>
      <c r="F16" s="784">
        <v>30</v>
      </c>
      <c r="G16" s="551">
        <f>'2015 comm sample'!K16</f>
        <v>1</v>
      </c>
      <c r="H16" s="552">
        <f>'2015 comm sample'!L16</f>
        <v>0</v>
      </c>
      <c r="I16" s="552">
        <f>'2015 comm sample'!M16</f>
        <v>0.2857142857142857</v>
      </c>
      <c r="J16" s="552" t="str">
        <f>'2015 comm sample'!N16</f>
        <v>na</v>
      </c>
      <c r="K16" s="558">
        <f>IF(C16&gt;0,'2015 comm sample'!C16/'2015 Comm catch'!C16,"na")</f>
        <v>2.2222222222222223E-2</v>
      </c>
      <c r="L16" s="559">
        <f>IF(D16&gt;0,'2015 comm sample'!D16/'2015 Comm catch'!D16,"na")</f>
        <v>6.4935064935064929E-2</v>
      </c>
      <c r="M16" s="559">
        <f>IF(E16&gt;0,'2015 comm sample'!E16/'2015 Comm catch'!E16,"na")</f>
        <v>0.23333333333333334</v>
      </c>
      <c r="N16" s="559">
        <f>IF(F16&gt;0,'2015 comm sample'!F16/'2015 Comm catch'!F16,"na")</f>
        <v>0</v>
      </c>
      <c r="O16" s="560">
        <f t="shared" si="0"/>
        <v>45</v>
      </c>
      <c r="P16" s="514">
        <f t="shared" si="0"/>
        <v>0</v>
      </c>
      <c r="Q16" s="514">
        <f t="shared" si="0"/>
        <v>8.5714285714285712</v>
      </c>
      <c r="R16" s="563" t="str">
        <f t="shared" si="0"/>
        <v>na</v>
      </c>
      <c r="S16" s="780">
        <f>C16*G17</f>
        <v>4.0909090909090908</v>
      </c>
      <c r="T16" s="780">
        <f>D16*H17</f>
        <v>2.75</v>
      </c>
      <c r="U16" s="514"/>
      <c r="V16" s="780">
        <f>F16*J15</f>
        <v>4.0625</v>
      </c>
      <c r="W16" s="514"/>
      <c r="X16" s="514"/>
    </row>
    <row r="17" spans="1:32" x14ac:dyDescent="0.3">
      <c r="B17" s="34">
        <v>44</v>
      </c>
      <c r="C17" s="782">
        <v>202</v>
      </c>
      <c r="D17" s="783">
        <v>167</v>
      </c>
      <c r="E17" s="784">
        <v>20</v>
      </c>
      <c r="F17" s="776"/>
      <c r="G17" s="551">
        <f>'2015 comm sample'!K17</f>
        <v>9.0909090909090912E-2</v>
      </c>
      <c r="H17" s="552">
        <f>'2015 comm sample'!L17</f>
        <v>3.5714285714285712E-2</v>
      </c>
      <c r="I17" s="552" t="str">
        <f>'2015 comm sample'!M17</f>
        <v>na</v>
      </c>
      <c r="J17" s="552" t="str">
        <f>'2015 comm sample'!N17</f>
        <v>na</v>
      </c>
      <c r="K17" s="558">
        <f>IF(C17&gt;0,'2015 comm sample'!C17/'2015 Comm catch'!C17,"na")</f>
        <v>0.2722772277227723</v>
      </c>
      <c r="L17" s="559">
        <f>IF(D17&gt;0,'2015 comm sample'!D17/'2015 Comm catch'!D17,"na")</f>
        <v>0.33532934131736525</v>
      </c>
      <c r="M17" s="559">
        <f>IF(E17&gt;0,'2015 comm sample'!E17/'2015 Comm catch'!E17,"na")</f>
        <v>0</v>
      </c>
      <c r="N17" s="559" t="str">
        <f>IF(F17&gt;0,'2015 comm sample'!F17/'2015 Comm catch'!F17,"na")</f>
        <v>na</v>
      </c>
      <c r="O17" s="560">
        <f t="shared" si="0"/>
        <v>18.363636363636363</v>
      </c>
      <c r="P17" s="514">
        <f t="shared" si="0"/>
        <v>5.9642857142857135</v>
      </c>
      <c r="Q17" s="514" t="str">
        <f t="shared" si="0"/>
        <v>na</v>
      </c>
      <c r="R17" s="563" t="str">
        <f t="shared" si="0"/>
        <v>na</v>
      </c>
      <c r="S17" s="514"/>
      <c r="T17" s="514"/>
      <c r="U17" s="780">
        <f>E17*I16</f>
        <v>5.7142857142857135</v>
      </c>
      <c r="V17" s="514"/>
      <c r="W17" s="514"/>
      <c r="X17" s="514"/>
    </row>
    <row r="18" spans="1:32" x14ac:dyDescent="0.3">
      <c r="B18" s="34">
        <v>45</v>
      </c>
      <c r="C18" s="748"/>
      <c r="D18" s="749"/>
      <c r="E18" s="777"/>
      <c r="F18" s="778"/>
      <c r="G18" s="567" t="str">
        <f>'2015 comm sample'!K18</f>
        <v>na</v>
      </c>
      <c r="H18" s="568" t="str">
        <f>'2015 comm sample'!L18</f>
        <v>na</v>
      </c>
      <c r="I18" s="568" t="str">
        <f>'2015 comm sample'!M18</f>
        <v>na</v>
      </c>
      <c r="J18" s="568" t="str">
        <f>'2015 comm sample'!N18</f>
        <v>na</v>
      </c>
      <c r="K18" s="569" t="str">
        <f>IF(C18&gt;0,'2015 comm sample'!C18/'2015 Comm catch'!C18,"na")</f>
        <v>na</v>
      </c>
      <c r="L18" s="570" t="str">
        <f>IF(D18&gt;0,'2015 comm sample'!D18/'2015 Comm catch'!D18,"na")</f>
        <v>na</v>
      </c>
      <c r="M18" s="570" t="str">
        <f>IF(E18&gt;0,'2015 comm sample'!E18/'2015 Comm catch'!E18,"na")</f>
        <v>na</v>
      </c>
      <c r="N18" s="570" t="str">
        <f>IF(F18&gt;0,'2015 comm sample'!F18/'2015 Comm catch'!F18,"na")</f>
        <v>na</v>
      </c>
      <c r="O18" s="560" t="str">
        <f t="shared" si="0"/>
        <v>na</v>
      </c>
      <c r="P18" s="514" t="str">
        <f t="shared" si="0"/>
        <v>na</v>
      </c>
      <c r="Q18" s="514" t="str">
        <f t="shared" si="0"/>
        <v>na</v>
      </c>
      <c r="R18" s="563" t="str">
        <f t="shared" si="0"/>
        <v>na</v>
      </c>
      <c r="S18" s="514"/>
      <c r="T18" s="514"/>
      <c r="U18" s="514"/>
      <c r="V18" s="514"/>
      <c r="W18" s="514"/>
      <c r="X18" s="514"/>
    </row>
    <row r="19" spans="1:32" x14ac:dyDescent="0.3">
      <c r="B19" s="34" t="s">
        <v>184</v>
      </c>
      <c r="C19" s="757">
        <f>SUM(C5:C18)</f>
        <v>11461</v>
      </c>
      <c r="D19" s="624">
        <f>SUM(D5:D18)</f>
        <v>9721</v>
      </c>
      <c r="E19" s="624">
        <f>SUM(E5:E18)</f>
        <v>1698</v>
      </c>
      <c r="F19" s="758">
        <f>SUM(F5:F18)</f>
        <v>4519</v>
      </c>
      <c r="G19" s="571">
        <f>'2015 comm sample'!K19</f>
        <v>2.524011614920706E-2</v>
      </c>
      <c r="H19" s="571">
        <f>'2015 comm sample'!L19</f>
        <v>2.1608900299529311E-2</v>
      </c>
      <c r="I19" s="571">
        <f>'2015 comm sample'!M19</f>
        <v>7.7651515151515152E-2</v>
      </c>
      <c r="J19" s="571">
        <f>'2015 comm sample'!N19</f>
        <v>4.7070124879923153E-2</v>
      </c>
      <c r="K19" s="721">
        <f>IF(C19&gt;0,'2015 comm sample'!C19/'2015 Comm catch'!C19,"na")</f>
        <v>0.39062908995724632</v>
      </c>
      <c r="L19" s="722">
        <f>IF(D19&gt;0,'2015 comm sample'!D19/'2015 Comm catch'!D19,"na")</f>
        <v>0.48081473099475364</v>
      </c>
      <c r="M19" s="722">
        <f>IF(E19&gt;0,'2015 comm sample'!E19/'2015 Comm catch'!E19,"na")</f>
        <v>0.31095406360424027</v>
      </c>
      <c r="N19" s="723">
        <f>IF(F19&gt;0,'2015 comm sample'!F19/'2015 Comm catch'!F19,"na")</f>
        <v>0.46072139853949989</v>
      </c>
      <c r="O19" s="572">
        <f>SUM(O5:O18)</f>
        <v>338.26100212413365</v>
      </c>
      <c r="P19" s="573">
        <f>SUM(P5:P18)</f>
        <v>207.81537435027275</v>
      </c>
      <c r="Q19" s="573">
        <f>SUM(Q5:Q18)</f>
        <v>133.18188759613673</v>
      </c>
      <c r="R19" s="574">
        <f>SUM(R5:R18)</f>
        <v>213.76746114302253</v>
      </c>
      <c r="S19" s="575"/>
      <c r="T19" s="575"/>
      <c r="U19" s="575"/>
      <c r="V19" s="575"/>
      <c r="W19" s="575"/>
      <c r="X19" s="575"/>
    </row>
    <row r="20" spans="1:32" x14ac:dyDescent="0.3">
      <c r="B20" s="208"/>
      <c r="C20" s="208"/>
      <c r="D20" s="208"/>
      <c r="E20" s="208"/>
      <c r="F20" s="575"/>
      <c r="G20" s="34"/>
      <c r="H20" s="34"/>
      <c r="I20" s="208"/>
      <c r="J20" s="576"/>
      <c r="K20" s="208"/>
      <c r="L20" s="208"/>
      <c r="M20" s="208"/>
      <c r="N20" s="577"/>
      <c r="O20" s="208"/>
      <c r="P20" s="208"/>
      <c r="Q20" s="208"/>
      <c r="R20" s="575"/>
      <c r="S20" s="575"/>
      <c r="T20" s="575"/>
      <c r="U20" s="575"/>
      <c r="V20" s="575"/>
      <c r="W20" s="575"/>
      <c r="X20" s="575"/>
    </row>
    <row r="21" spans="1:32" x14ac:dyDescent="0.3">
      <c r="B21" s="208"/>
      <c r="C21" s="457"/>
      <c r="D21" s="457"/>
      <c r="E21" s="457"/>
      <c r="F21" s="514"/>
      <c r="I21" s="457"/>
      <c r="J21" s="457"/>
      <c r="K21" s="457"/>
      <c r="L21" s="457"/>
      <c r="M21" s="457"/>
      <c r="N21" s="457"/>
      <c r="O21" s="457"/>
      <c r="P21" s="457"/>
      <c r="Q21" s="457"/>
      <c r="R21" s="514"/>
      <c r="S21" s="514"/>
      <c r="T21" s="514"/>
      <c r="U21" s="514"/>
      <c r="V21" s="514"/>
      <c r="W21" s="514"/>
      <c r="X21" s="514"/>
    </row>
    <row r="22" spans="1:32" x14ac:dyDescent="0.3">
      <c r="C22" s="34" t="s">
        <v>123</v>
      </c>
      <c r="H22" s="457"/>
      <c r="I22" s="457"/>
      <c r="J22" s="457"/>
      <c r="Y22" s="33"/>
      <c r="Z22" s="33"/>
      <c r="AA22" s="33"/>
    </row>
    <row r="23" spans="1:32" x14ac:dyDescent="0.3">
      <c r="C23" s="903" t="s">
        <v>263</v>
      </c>
      <c r="D23" s="904"/>
      <c r="E23" s="904"/>
      <c r="F23" s="904"/>
      <c r="G23" s="904"/>
      <c r="H23" s="904"/>
      <c r="I23" s="904"/>
      <c r="J23" s="905"/>
      <c r="K23" s="903" t="s">
        <v>264</v>
      </c>
      <c r="L23" s="904"/>
      <c r="M23" s="904"/>
      <c r="N23" s="904"/>
      <c r="O23" s="905"/>
      <c r="P23" s="903" t="s">
        <v>261</v>
      </c>
      <c r="Q23" s="904"/>
      <c r="R23" s="904"/>
      <c r="S23" s="904"/>
      <c r="T23" s="904"/>
      <c r="U23" s="697" t="s">
        <v>323</v>
      </c>
      <c r="V23" s="698"/>
      <c r="W23" s="698"/>
      <c r="X23" s="698"/>
      <c r="Y23" s="698"/>
      <c r="Z23" s="698"/>
      <c r="AA23" s="698"/>
      <c r="AB23" s="699"/>
      <c r="AC23" s="34" t="s">
        <v>328</v>
      </c>
    </row>
    <row r="24" spans="1:32" x14ac:dyDescent="0.3">
      <c r="B24" s="34" t="s">
        <v>134</v>
      </c>
      <c r="C24" s="547">
        <v>1</v>
      </c>
      <c r="D24" s="202">
        <v>2</v>
      </c>
      <c r="E24" s="202">
        <v>3</v>
      </c>
      <c r="F24" s="202"/>
      <c r="G24" s="202">
        <v>4</v>
      </c>
      <c r="H24" s="202">
        <v>5</v>
      </c>
      <c r="I24" s="202"/>
      <c r="J24" s="548" t="s">
        <v>272</v>
      </c>
      <c r="K24" s="367">
        <v>1</v>
      </c>
      <c r="L24" s="175">
        <v>2</v>
      </c>
      <c r="M24" s="175">
        <v>3</v>
      </c>
      <c r="N24" s="175">
        <v>4</v>
      </c>
      <c r="O24" s="368">
        <v>5</v>
      </c>
      <c r="P24" s="367">
        <v>1</v>
      </c>
      <c r="Q24" s="175">
        <v>2</v>
      </c>
      <c r="R24" s="175">
        <v>3</v>
      </c>
      <c r="S24" s="175">
        <v>4</v>
      </c>
      <c r="T24" s="175">
        <v>5</v>
      </c>
      <c r="U24" s="367">
        <v>1</v>
      </c>
      <c r="V24" s="175">
        <v>2</v>
      </c>
      <c r="W24" s="175">
        <v>3</v>
      </c>
      <c r="X24" s="175"/>
      <c r="Y24" s="175">
        <v>4</v>
      </c>
      <c r="Z24" s="175">
        <v>5</v>
      </c>
      <c r="AA24" s="175"/>
      <c r="AB24" s="368" t="s">
        <v>272</v>
      </c>
      <c r="AC24" s="32" t="str">
        <f>'2013 comm sample'!R24</f>
        <v>Z1-3 Agg</v>
      </c>
      <c r="AD24" s="32" t="str">
        <f>'2013 comm sample'!S24</f>
        <v>Z4-5 Agg</v>
      </c>
      <c r="AE24" s="73"/>
      <c r="AF24" s="73"/>
    </row>
    <row r="25" spans="1:32" x14ac:dyDescent="0.3">
      <c r="A25" s="34" t="s">
        <v>324</v>
      </c>
      <c r="B25" s="34">
        <v>32</v>
      </c>
      <c r="C25" s="716"/>
      <c r="D25" s="717"/>
      <c r="E25" s="717"/>
      <c r="F25" s="700"/>
      <c r="G25" s="717"/>
      <c r="H25" s="717"/>
      <c r="I25" s="700"/>
      <c r="J25" s="579"/>
      <c r="K25" s="532" t="str">
        <f>'2015 comm sample'!M25</f>
        <v>na</v>
      </c>
      <c r="L25" s="532" t="str">
        <f>'2015 comm sample'!N25</f>
        <v>na</v>
      </c>
      <c r="M25" s="532" t="str">
        <f>'2015 comm sample'!O25</f>
        <v>na</v>
      </c>
      <c r="N25" s="532" t="str">
        <f>'2015 comm sample'!P25</f>
        <v>na</v>
      </c>
      <c r="O25" s="533" t="str">
        <f>'2015 comm sample'!Q25</f>
        <v>na</v>
      </c>
      <c r="P25" s="559" t="str">
        <f>IF(C25&gt;0,'2015 comm sample'!C25/'2015 Comm catch'!C25,"na")</f>
        <v>na</v>
      </c>
      <c r="Q25" s="559" t="str">
        <f>IF(D25&gt;0,'2015 comm sample'!D25/'2015 Comm catch'!D25,"na")</f>
        <v>na</v>
      </c>
      <c r="R25" s="33" t="str">
        <f>IF(E25&gt;0,'2015 comm sample'!E25/'2015 Comm catch'!E25,"na")</f>
        <v>na</v>
      </c>
      <c r="S25" s="554" t="str">
        <f>IF(G25&gt;0,'2015 comm sample'!F25/'2015 Comm catch'!G25,"na")</f>
        <v>na</v>
      </c>
      <c r="T25" s="554" t="str">
        <f>IF(H25&gt;0,'2015 comm sample'!G25/'2015 Comm catch'!H25,"na")</f>
        <v>na</v>
      </c>
      <c r="U25" s="560">
        <f t="shared" ref="U25:W39" si="1">IF(K25&lt;&gt;"na",C25*K25,0)</f>
        <v>0</v>
      </c>
      <c r="V25" s="514">
        <f t="shared" si="1"/>
        <v>0</v>
      </c>
      <c r="W25" s="514">
        <f t="shared" si="1"/>
        <v>0</v>
      </c>
      <c r="X25" s="705">
        <f t="shared" ref="X25:X38" si="2">SUM(U25:W25)</f>
        <v>0</v>
      </c>
      <c r="Y25" s="514">
        <f t="shared" ref="Y25:Z39" si="3">IF(N25&lt;&gt;"na",G25*N25,0)</f>
        <v>0</v>
      </c>
      <c r="Z25" s="514">
        <f t="shared" si="3"/>
        <v>0</v>
      </c>
      <c r="AA25" s="705">
        <f t="shared" ref="AA25:AA38" si="4">SUM(Y25:Z25)</f>
        <v>0</v>
      </c>
      <c r="AB25" s="580">
        <f>X25+AA25</f>
        <v>0</v>
      </c>
    </row>
    <row r="26" spans="1:32" x14ac:dyDescent="0.3">
      <c r="A26" s="34" t="s">
        <v>324</v>
      </c>
      <c r="B26" s="34">
        <v>33</v>
      </c>
      <c r="C26" s="718"/>
      <c r="D26" s="714"/>
      <c r="E26" s="714"/>
      <c r="F26" s="701"/>
      <c r="G26" s="783">
        <v>2</v>
      </c>
      <c r="H26" s="783">
        <v>1</v>
      </c>
      <c r="I26" s="704">
        <f t="shared" ref="I26:I38" si="5">SUM(G26:H26)</f>
        <v>3</v>
      </c>
      <c r="J26" s="515">
        <f>F26+I26</f>
        <v>3</v>
      </c>
      <c r="K26" s="532" t="str">
        <f>'2015 comm sample'!M26</f>
        <v>na</v>
      </c>
      <c r="L26" s="532" t="str">
        <f>'2015 comm sample'!N26</f>
        <v>na</v>
      </c>
      <c r="M26" s="532" t="str">
        <f>'2015 comm sample'!O26</f>
        <v>na</v>
      </c>
      <c r="N26" s="532">
        <f>'2015 comm sample'!P26</f>
        <v>0</v>
      </c>
      <c r="O26" s="533" t="str">
        <f>'2015 comm sample'!Q26</f>
        <v>na</v>
      </c>
      <c r="P26" s="559" t="str">
        <f>IF(C26&gt;0,'2015 comm sample'!C26/'2015 Comm catch'!C26,"na")</f>
        <v>na</v>
      </c>
      <c r="Q26" s="559" t="str">
        <f>IF(D26&gt;0,'2015 comm sample'!D26/'2015 Comm catch'!D26,"na")</f>
        <v>na</v>
      </c>
      <c r="R26" s="559" t="str">
        <f>IF(E26&gt;0,'2015 comm sample'!E26/'2015 Comm catch'!E26,"na")</f>
        <v>na</v>
      </c>
      <c r="S26" s="559">
        <f>IF(G26&gt;0,'2015 comm sample'!F26/'2015 Comm catch'!G26,"na")</f>
        <v>0.5</v>
      </c>
      <c r="T26" s="559">
        <f>IF(H26&gt;0,'2015 comm sample'!G26/'2015 Comm catch'!H26,"na")</f>
        <v>0</v>
      </c>
      <c r="U26" s="560">
        <f t="shared" si="1"/>
        <v>0</v>
      </c>
      <c r="V26" s="514">
        <f t="shared" si="1"/>
        <v>0</v>
      </c>
      <c r="W26" s="514">
        <f t="shared" si="1"/>
        <v>0</v>
      </c>
      <c r="X26" s="705">
        <f t="shared" si="2"/>
        <v>0</v>
      </c>
      <c r="Y26" s="514">
        <f t="shared" si="3"/>
        <v>0</v>
      </c>
      <c r="Z26" s="514">
        <f t="shared" si="3"/>
        <v>0</v>
      </c>
      <c r="AA26" s="755">
        <f t="shared" si="4"/>
        <v>0</v>
      </c>
      <c r="AB26" s="580">
        <f t="shared" ref="AB26:AB40" si="6">X26+AA26</f>
        <v>0</v>
      </c>
    </row>
    <row r="27" spans="1:32" x14ac:dyDescent="0.3">
      <c r="A27" s="34" t="s">
        <v>324</v>
      </c>
      <c r="B27" s="34">
        <v>34</v>
      </c>
      <c r="C27" s="718"/>
      <c r="D27" s="714"/>
      <c r="E27" s="714"/>
      <c r="F27" s="701"/>
      <c r="G27" s="785">
        <v>21</v>
      </c>
      <c r="H27" s="785">
        <v>10</v>
      </c>
      <c r="I27" s="704">
        <f t="shared" si="5"/>
        <v>31</v>
      </c>
      <c r="J27" s="515">
        <f t="shared" ref="J27:J39" si="7">F27+I27</f>
        <v>31</v>
      </c>
      <c r="K27" s="532" t="str">
        <f>'2015 comm sample'!M27</f>
        <v>na</v>
      </c>
      <c r="L27" s="532" t="str">
        <f>'2015 comm sample'!N27</f>
        <v>na</v>
      </c>
      <c r="M27" s="532" t="str">
        <f>'2015 comm sample'!O27</f>
        <v>na</v>
      </c>
      <c r="N27" s="532">
        <f>'2015 comm sample'!P27</f>
        <v>0.8571428571428571</v>
      </c>
      <c r="O27" s="533">
        <f>'2015 comm sample'!Q27</f>
        <v>1</v>
      </c>
      <c r="P27" s="559" t="str">
        <f>IF(C27&gt;0,'2015 comm sample'!C27/'2015 Comm catch'!C27,"na")</f>
        <v>na</v>
      </c>
      <c r="Q27" s="559" t="str">
        <f>IF(D27&gt;0,'2015 comm sample'!D27/'2015 Comm catch'!D27,"na")</f>
        <v>na</v>
      </c>
      <c r="R27" s="559" t="str">
        <f>IF(E27&gt;0,'2015 comm sample'!E27/'2015 Comm catch'!E27,"na")</f>
        <v>na</v>
      </c>
      <c r="S27" s="559">
        <f>IF(G27&gt;0,'2015 comm sample'!F27/'2015 Comm catch'!G27,"na")</f>
        <v>0.33333333333333331</v>
      </c>
      <c r="T27" s="559">
        <f>IF(H27&gt;0,'2015 comm sample'!G27/'2015 Comm catch'!H27,"na")</f>
        <v>0.5</v>
      </c>
      <c r="U27" s="560">
        <f t="shared" si="1"/>
        <v>0</v>
      </c>
      <c r="V27" s="514">
        <f t="shared" si="1"/>
        <v>0</v>
      </c>
      <c r="W27" s="514">
        <f t="shared" si="1"/>
        <v>0</v>
      </c>
      <c r="X27" s="705">
        <f t="shared" si="2"/>
        <v>0</v>
      </c>
      <c r="Y27" s="514">
        <f t="shared" si="3"/>
        <v>18</v>
      </c>
      <c r="Z27" s="514">
        <f t="shared" si="3"/>
        <v>10</v>
      </c>
      <c r="AA27" s="755">
        <f t="shared" si="4"/>
        <v>28</v>
      </c>
      <c r="AB27" s="580">
        <f t="shared" si="6"/>
        <v>28</v>
      </c>
    </row>
    <row r="28" spans="1:32" x14ac:dyDescent="0.3">
      <c r="A28" s="34" t="s">
        <v>324</v>
      </c>
      <c r="B28" s="34">
        <v>35</v>
      </c>
      <c r="C28" s="718"/>
      <c r="D28" s="714"/>
      <c r="E28" s="714"/>
      <c r="F28" s="701"/>
      <c r="G28" s="785">
        <v>62</v>
      </c>
      <c r="H28" s="785">
        <v>62</v>
      </c>
      <c r="I28" s="704">
        <f t="shared" si="5"/>
        <v>124</v>
      </c>
      <c r="J28" s="515">
        <f t="shared" si="7"/>
        <v>124</v>
      </c>
      <c r="K28" s="532" t="str">
        <f>'2015 comm sample'!M28</f>
        <v>na</v>
      </c>
      <c r="L28" s="532" t="str">
        <f>'2015 comm sample'!N28</f>
        <v>na</v>
      </c>
      <c r="M28" s="532" t="str">
        <f>'2015 comm sample'!O28</f>
        <v>na</v>
      </c>
      <c r="N28" s="532">
        <f>'2015 comm sample'!P28</f>
        <v>0.66666666666666663</v>
      </c>
      <c r="O28" s="533">
        <f>'2015 comm sample'!Q28</f>
        <v>0.83333333333333337</v>
      </c>
      <c r="P28" s="559" t="str">
        <f>IF(C28&gt;0,'2015 comm sample'!C28/'2015 Comm catch'!C28,"na")</f>
        <v>na</v>
      </c>
      <c r="Q28" s="559" t="str">
        <f>IF(D28&gt;0,'2015 comm sample'!D28/'2015 Comm catch'!D28,"na")</f>
        <v>na</v>
      </c>
      <c r="R28" s="559" t="str">
        <f>IF(E28&gt;0,'2015 comm sample'!E28/'2015 Comm catch'!E28,"na")</f>
        <v>na</v>
      </c>
      <c r="S28" s="559">
        <f>IF(G28&gt;0,'2015 comm sample'!F28/'2015 Comm catch'!G28,"na")</f>
        <v>0.43548387096774194</v>
      </c>
      <c r="T28" s="559">
        <f>IF(H28&gt;0,'2015 comm sample'!G28/'2015 Comm catch'!H28,"na")</f>
        <v>9.6774193548387094E-2</v>
      </c>
      <c r="U28" s="560">
        <f t="shared" si="1"/>
        <v>0</v>
      </c>
      <c r="V28" s="514">
        <f t="shared" si="1"/>
        <v>0</v>
      </c>
      <c r="W28" s="514">
        <f t="shared" si="1"/>
        <v>0</v>
      </c>
      <c r="X28" s="705">
        <f t="shared" si="2"/>
        <v>0</v>
      </c>
      <c r="Y28" s="514">
        <f t="shared" si="3"/>
        <v>41.333333333333329</v>
      </c>
      <c r="Z28" s="514">
        <f t="shared" si="3"/>
        <v>51.666666666666671</v>
      </c>
      <c r="AA28" s="705">
        <f t="shared" si="4"/>
        <v>93</v>
      </c>
      <c r="AB28" s="580">
        <f t="shared" si="6"/>
        <v>93</v>
      </c>
      <c r="AD28" s="754">
        <f>I28*'2015 comm sample'!S28</f>
        <v>86.424242424242436</v>
      </c>
    </row>
    <row r="29" spans="1:32" x14ac:dyDescent="0.3">
      <c r="A29" s="34" t="s">
        <v>324</v>
      </c>
      <c r="B29" s="34">
        <v>36</v>
      </c>
      <c r="C29" s="718"/>
      <c r="D29" s="714"/>
      <c r="E29" s="714"/>
      <c r="F29" s="701"/>
      <c r="G29" s="785">
        <v>29</v>
      </c>
      <c r="H29" s="785">
        <v>15</v>
      </c>
      <c r="I29" s="704">
        <f t="shared" si="5"/>
        <v>44</v>
      </c>
      <c r="J29" s="515">
        <f t="shared" si="7"/>
        <v>44</v>
      </c>
      <c r="K29" s="532" t="str">
        <f>'2015 comm sample'!M29</f>
        <v>na</v>
      </c>
      <c r="L29" s="532" t="str">
        <f>'2015 comm sample'!N29</f>
        <v>na</v>
      </c>
      <c r="M29" s="532" t="str">
        <f>'2015 comm sample'!O29</f>
        <v>na</v>
      </c>
      <c r="N29" s="532">
        <f>'2015 comm sample'!P29</f>
        <v>0.76923076923076927</v>
      </c>
      <c r="O29" s="533">
        <f>'2015 comm sample'!Q29</f>
        <v>1</v>
      </c>
      <c r="P29" s="559" t="str">
        <f>IF(C29&gt;0,'2015 comm sample'!C29/'2015 Comm catch'!C29,"na")</f>
        <v>na</v>
      </c>
      <c r="Q29" s="559" t="str">
        <f>IF(D29&gt;0,'2015 comm sample'!D29/'2015 Comm catch'!D29,"na")</f>
        <v>na</v>
      </c>
      <c r="R29" s="559" t="str">
        <f>IF(E29&gt;0,'2015 comm sample'!E29/'2015 Comm catch'!E29,"na")</f>
        <v>na</v>
      </c>
      <c r="S29" s="559">
        <f>IF(G29&gt;0,'2015 comm sample'!F29/'2015 Comm catch'!G29,"na")</f>
        <v>0.89655172413793105</v>
      </c>
      <c r="T29" s="559">
        <f>IF(H29&gt;0,'2015 comm sample'!G29/'2015 Comm catch'!H29,"na")</f>
        <v>0.13333333333333333</v>
      </c>
      <c r="U29" s="560">
        <f t="shared" si="1"/>
        <v>0</v>
      </c>
      <c r="V29" s="514">
        <f t="shared" si="1"/>
        <v>0</v>
      </c>
      <c r="W29" s="514">
        <f t="shared" si="1"/>
        <v>0</v>
      </c>
      <c r="X29" s="705">
        <f t="shared" si="2"/>
        <v>0</v>
      </c>
      <c r="Y29" s="514">
        <f t="shared" si="3"/>
        <v>22.30769230769231</v>
      </c>
      <c r="Z29" s="514">
        <f t="shared" si="3"/>
        <v>15</v>
      </c>
      <c r="AA29" s="705">
        <f t="shared" si="4"/>
        <v>37.307692307692307</v>
      </c>
      <c r="AB29" s="580">
        <f t="shared" si="6"/>
        <v>37.307692307692307</v>
      </c>
      <c r="AD29" s="754">
        <f>I29*'2015 comm sample'!S29</f>
        <v>34.571428571428569</v>
      </c>
    </row>
    <row r="30" spans="1:32" x14ac:dyDescent="0.3">
      <c r="A30"/>
      <c r="B30" s="34">
        <v>37</v>
      </c>
      <c r="C30" s="718"/>
      <c r="D30" s="714"/>
      <c r="E30" s="714"/>
      <c r="F30" s="701"/>
      <c r="G30" s="714"/>
      <c r="H30" s="714"/>
      <c r="I30" s="701">
        <f t="shared" si="5"/>
        <v>0</v>
      </c>
      <c r="J30" s="515">
        <f t="shared" si="7"/>
        <v>0</v>
      </c>
      <c r="K30" s="532" t="str">
        <f>'2015 comm sample'!M30</f>
        <v>na</v>
      </c>
      <c r="L30" s="532" t="str">
        <f>'2015 comm sample'!N30</f>
        <v>na</v>
      </c>
      <c r="M30" s="532" t="str">
        <f>'2015 comm sample'!O30</f>
        <v>na</v>
      </c>
      <c r="N30" s="532" t="str">
        <f>'2015 comm sample'!P30</f>
        <v>na</v>
      </c>
      <c r="O30" s="533" t="str">
        <f>'2015 comm sample'!Q30</f>
        <v>na</v>
      </c>
      <c r="P30" s="558" t="str">
        <f>IF(C30&gt;0,'2015 comm sample'!C30/'2015 Comm catch'!C30,"na")</f>
        <v>na</v>
      </c>
      <c r="Q30" s="559" t="str">
        <f>IF(D30&gt;0,'2015 comm sample'!D30/'2015 Comm catch'!D30,"na")</f>
        <v>na</v>
      </c>
      <c r="R30" s="559" t="str">
        <f>IF(E30&gt;0,'2015 comm sample'!E30/'2015 Comm catch'!E30,"na")</f>
        <v>na</v>
      </c>
      <c r="S30" s="559" t="str">
        <f>IF(G30&gt;0,'2015 comm sample'!F30/'2015 Comm catch'!G30,"na")</f>
        <v>na</v>
      </c>
      <c r="T30" s="559" t="str">
        <f>IF(H30&gt;0,'2015 comm sample'!G30/'2015 Comm catch'!H30,"na")</f>
        <v>na</v>
      </c>
      <c r="U30" s="560">
        <f t="shared" si="1"/>
        <v>0</v>
      </c>
      <c r="V30" s="514">
        <f t="shared" si="1"/>
        <v>0</v>
      </c>
      <c r="W30" s="514">
        <f t="shared" si="1"/>
        <v>0</v>
      </c>
      <c r="X30" s="705">
        <f t="shared" si="2"/>
        <v>0</v>
      </c>
      <c r="Y30" s="514">
        <f t="shared" si="3"/>
        <v>0</v>
      </c>
      <c r="Z30" s="514">
        <f t="shared" si="3"/>
        <v>0</v>
      </c>
      <c r="AA30" s="705">
        <f t="shared" si="4"/>
        <v>0</v>
      </c>
      <c r="AB30" s="580">
        <f t="shared" si="6"/>
        <v>0</v>
      </c>
    </row>
    <row r="31" spans="1:32" x14ac:dyDescent="0.3">
      <c r="A31" s="34" t="s">
        <v>322</v>
      </c>
      <c r="B31" s="34">
        <v>38</v>
      </c>
      <c r="C31" s="718"/>
      <c r="D31" s="714"/>
      <c r="E31" s="714"/>
      <c r="F31" s="701"/>
      <c r="G31" s="783">
        <v>32</v>
      </c>
      <c r="H31" s="783">
        <v>9</v>
      </c>
      <c r="I31" s="701">
        <f t="shared" si="5"/>
        <v>41</v>
      </c>
      <c r="J31" s="515">
        <f t="shared" si="7"/>
        <v>41</v>
      </c>
      <c r="K31" s="532" t="str">
        <f>'2015 comm sample'!M31</f>
        <v>na</v>
      </c>
      <c r="L31" s="532" t="str">
        <f>'2015 comm sample'!N31</f>
        <v>na</v>
      </c>
      <c r="M31" s="532" t="str">
        <f>'2015 comm sample'!O31</f>
        <v>na</v>
      </c>
      <c r="N31" s="532">
        <f>'2015 comm sample'!P31</f>
        <v>0.44444444444444442</v>
      </c>
      <c r="O31" s="533" t="str">
        <f>'2015 comm sample'!Q31</f>
        <v>na</v>
      </c>
      <c r="P31" s="558" t="str">
        <f>IF(C31&gt;0,'2015 comm sample'!C31/'2015 Comm catch'!C31,"na")</f>
        <v>na</v>
      </c>
      <c r="Q31" s="559" t="str">
        <f>IF(D31&gt;0,'2015 comm sample'!D31/'2015 Comm catch'!D31,"na")</f>
        <v>na</v>
      </c>
      <c r="R31" s="559" t="str">
        <f>IF(E31&gt;0,'2015 comm sample'!E31/'2015 Comm catch'!E31,"na")</f>
        <v>na</v>
      </c>
      <c r="S31" s="559">
        <f>IF(G31&gt;0,'2015 comm sample'!F31/'2015 Comm catch'!G31,"na")</f>
        <v>0.28125</v>
      </c>
      <c r="T31" s="559">
        <f>IF(H31&gt;0,'2015 comm sample'!G31/'2015 Comm catch'!H31,"na")</f>
        <v>0</v>
      </c>
      <c r="U31" s="560">
        <f t="shared" si="1"/>
        <v>0</v>
      </c>
      <c r="V31" s="514">
        <f t="shared" si="1"/>
        <v>0</v>
      </c>
      <c r="W31" s="514">
        <f t="shared" si="1"/>
        <v>0</v>
      </c>
      <c r="X31" s="705">
        <f t="shared" si="2"/>
        <v>0</v>
      </c>
      <c r="Y31" s="514">
        <f t="shared" si="3"/>
        <v>14.222222222222221</v>
      </c>
      <c r="Z31" s="514">
        <f t="shared" si="3"/>
        <v>0</v>
      </c>
      <c r="AA31" s="705">
        <f t="shared" si="4"/>
        <v>14.222222222222221</v>
      </c>
      <c r="AB31" s="580">
        <f t="shared" si="6"/>
        <v>14.222222222222221</v>
      </c>
      <c r="AD31" s="754">
        <f>I31*'2015 comm sample'!S31</f>
        <v>18.222222222222221</v>
      </c>
    </row>
    <row r="32" spans="1:32" x14ac:dyDescent="0.3">
      <c r="A32" s="34" t="s">
        <v>322</v>
      </c>
      <c r="B32" s="34">
        <v>39</v>
      </c>
      <c r="C32" s="718"/>
      <c r="D32" s="714"/>
      <c r="E32" s="714"/>
      <c r="F32" s="701">
        <f t="shared" ref="F32:F38" si="8">SUM(C32:E32)</f>
        <v>0</v>
      </c>
      <c r="G32" s="786">
        <v>158</v>
      </c>
      <c r="H32" s="786">
        <v>139</v>
      </c>
      <c r="I32" s="704">
        <f t="shared" si="5"/>
        <v>297</v>
      </c>
      <c r="J32" s="737">
        <f t="shared" si="7"/>
        <v>297</v>
      </c>
      <c r="K32" s="532" t="str">
        <f>'2015 comm sample'!M32</f>
        <v>na</v>
      </c>
      <c r="L32" s="532" t="str">
        <f>'2015 comm sample'!N32</f>
        <v>na</v>
      </c>
      <c r="M32" s="532" t="str">
        <f>'2015 comm sample'!O32</f>
        <v>na</v>
      </c>
      <c r="N32" s="532">
        <f>'2015 comm sample'!P32</f>
        <v>0.49122807017543857</v>
      </c>
      <c r="O32" s="533">
        <f>'2015 comm sample'!Q32</f>
        <v>0.625</v>
      </c>
      <c r="P32" s="558" t="str">
        <f>IF(C32&gt;0,'2015 comm sample'!C32/'2015 Comm catch'!C32,"na")</f>
        <v>na</v>
      </c>
      <c r="Q32" s="559" t="str">
        <f>IF(D32&gt;0,'2015 comm sample'!D32/'2015 Comm catch'!D32,"na")</f>
        <v>na</v>
      </c>
      <c r="R32" s="559" t="str">
        <f>IF(E32&gt;0,'2015 comm sample'!E32/'2015 Comm catch'!E32,"na")</f>
        <v>na</v>
      </c>
      <c r="S32" s="559">
        <f>IF(G32&gt;0,'2015 comm sample'!F32/'2015 Comm catch'!G32,"na")</f>
        <v>0.36075949367088606</v>
      </c>
      <c r="T32" s="559">
        <f>IF(H32&gt;0,'2015 comm sample'!G32/'2015 Comm catch'!H32,"na")</f>
        <v>0.11510791366906475</v>
      </c>
      <c r="U32" s="583">
        <f>IF(K32&lt;&gt;"na",C32*L32,0)</f>
        <v>0</v>
      </c>
      <c r="V32" s="584">
        <f t="shared" si="1"/>
        <v>0</v>
      </c>
      <c r="W32" s="514">
        <f t="shared" si="1"/>
        <v>0</v>
      </c>
      <c r="X32" s="706">
        <f t="shared" si="2"/>
        <v>0</v>
      </c>
      <c r="Y32" s="584">
        <f t="shared" si="3"/>
        <v>77.614035087719287</v>
      </c>
      <c r="Z32" s="584">
        <f t="shared" si="3"/>
        <v>86.875</v>
      </c>
      <c r="AA32" s="705">
        <f t="shared" si="4"/>
        <v>164.48903508771929</v>
      </c>
      <c r="AB32" s="580">
        <f t="shared" si="6"/>
        <v>164.48903508771929</v>
      </c>
      <c r="AC32" s="585"/>
      <c r="AD32" s="754">
        <f>I32*'2015 comm sample'!S32</f>
        <v>154.60273972602738</v>
      </c>
      <c r="AE32" s="585"/>
      <c r="AF32" s="585"/>
    </row>
    <row r="33" spans="1:32" x14ac:dyDescent="0.3">
      <c r="A33" s="34" t="s">
        <v>326</v>
      </c>
      <c r="B33" s="34">
        <v>40</v>
      </c>
      <c r="C33" s="708">
        <v>35</v>
      </c>
      <c r="D33" s="709">
        <v>184</v>
      </c>
      <c r="E33" s="709">
        <v>83</v>
      </c>
      <c r="F33" s="701">
        <f>SUM(C33:E33)</f>
        <v>302</v>
      </c>
      <c r="G33" s="786">
        <v>82</v>
      </c>
      <c r="H33" s="786">
        <v>22</v>
      </c>
      <c r="I33" s="704">
        <f>SUM(G33:H33)</f>
        <v>104</v>
      </c>
      <c r="J33" s="515">
        <f>F33+I33</f>
        <v>406</v>
      </c>
      <c r="K33" s="532" t="str">
        <f>'2015 comm sample'!M33</f>
        <v>na</v>
      </c>
      <c r="L33" s="532">
        <f>'2015 comm sample'!N33</f>
        <v>0</v>
      </c>
      <c r="M33" s="532">
        <f>'2015 comm sample'!O33</f>
        <v>0</v>
      </c>
      <c r="N33" s="532">
        <f>'2015 comm sample'!P33</f>
        <v>0.66666666666666663</v>
      </c>
      <c r="O33" s="533">
        <f>'2015 comm sample'!Q33</f>
        <v>1</v>
      </c>
      <c r="P33" s="558">
        <f>IF(C33&gt;0,'2015 comm sample'!C33/'2015 Comm catch'!C33,"na")</f>
        <v>0</v>
      </c>
      <c r="Q33" s="559">
        <f>IF(D33&gt;0,'2015 comm sample'!D33/'2015 Comm catch'!D33,"na")</f>
        <v>0.375</v>
      </c>
      <c r="R33" s="559">
        <f>IF(E33&gt;0,'2015 comm sample'!E33/'2015 Comm catch'!E33,"na")</f>
        <v>0.83132530120481929</v>
      </c>
      <c r="S33" s="559">
        <f>IF(G33&gt;0,'2015 comm sample'!F33/'2015 Comm catch'!G33,"na")</f>
        <v>3.6585365853658534E-2</v>
      </c>
      <c r="T33" s="559">
        <f>IF(H33&gt;0,'2015 comm sample'!G33/'2015 Comm catch'!H33,"na")</f>
        <v>0.13636363636363635</v>
      </c>
      <c r="U33" s="583">
        <f>IF(K33&lt;&gt;"na",C33*L33,0)</f>
        <v>0</v>
      </c>
      <c r="V33" s="514">
        <f>IF(L33&lt;&gt;"na",D33*L33,0)</f>
        <v>0</v>
      </c>
      <c r="W33" s="514">
        <f t="shared" si="1"/>
        <v>0</v>
      </c>
      <c r="X33" s="705">
        <f t="shared" si="2"/>
        <v>0</v>
      </c>
      <c r="Y33" s="584">
        <f t="shared" si="3"/>
        <v>54.666666666666664</v>
      </c>
      <c r="Z33" s="584">
        <f t="shared" si="3"/>
        <v>22</v>
      </c>
      <c r="AA33" s="705">
        <f t="shared" si="4"/>
        <v>76.666666666666657</v>
      </c>
      <c r="AB33" s="580">
        <f>X33+AA33</f>
        <v>76.666666666666657</v>
      </c>
      <c r="AC33" s="754">
        <f>F33*'2015 comm sample'!R33</f>
        <v>0</v>
      </c>
      <c r="AD33" s="754">
        <f>I33*'2015 comm sample'!S33</f>
        <v>86.666666666666671</v>
      </c>
      <c r="AE33" s="585"/>
      <c r="AF33" s="585"/>
    </row>
    <row r="34" spans="1:32" x14ac:dyDescent="0.3">
      <c r="A34" s="34" t="s">
        <v>332</v>
      </c>
      <c r="B34" s="34">
        <v>41</v>
      </c>
      <c r="C34" s="708">
        <f>17+2</f>
        <v>19</v>
      </c>
      <c r="D34" s="709">
        <f>300+155</f>
        <v>455</v>
      </c>
      <c r="E34" s="709">
        <f>142+46</f>
        <v>188</v>
      </c>
      <c r="F34" s="701">
        <f t="shared" si="8"/>
        <v>662</v>
      </c>
      <c r="G34" s="761"/>
      <c r="H34" s="761"/>
      <c r="I34" s="704">
        <f t="shared" si="5"/>
        <v>0</v>
      </c>
      <c r="J34" s="515">
        <f t="shared" si="7"/>
        <v>662</v>
      </c>
      <c r="K34" s="532" t="str">
        <f>'2015 comm sample'!M34</f>
        <v>na</v>
      </c>
      <c r="L34" s="532">
        <f>'2015 comm sample'!N34</f>
        <v>0</v>
      </c>
      <c r="M34" s="532">
        <f>'2015 comm sample'!O34</f>
        <v>0</v>
      </c>
      <c r="N34" s="532" t="str">
        <f>'2015 comm sample'!P34</f>
        <v>na</v>
      </c>
      <c r="O34" s="533" t="str">
        <f>'2015 comm sample'!Q34</f>
        <v>na</v>
      </c>
      <c r="P34" s="558">
        <f>IF(C34&gt;0,'2015 comm sample'!C34/'2015 Comm catch'!C34,"na")</f>
        <v>0</v>
      </c>
      <c r="Q34" s="559">
        <f>IF(D34&gt;0,'2015 comm sample'!D34/'2015 Comm catch'!D34,"na")</f>
        <v>0.2021978021978022</v>
      </c>
      <c r="R34" s="559">
        <f>IF(E34&gt;0,'2015 comm sample'!E34/'2015 Comm catch'!E34,"na")</f>
        <v>0.68617021276595747</v>
      </c>
      <c r="S34" s="559" t="str">
        <f>IF(G34&gt;0,'2015 comm sample'!F34/'2015 Comm catch'!G34,"na")</f>
        <v>na</v>
      </c>
      <c r="T34" s="559" t="str">
        <f>IF(H34&gt;0,'2015 comm sample'!G34/'2015 Comm catch'!H34,"na")</f>
        <v>na</v>
      </c>
      <c r="U34" s="560">
        <f t="shared" si="1"/>
        <v>0</v>
      </c>
      <c r="V34" s="514">
        <f t="shared" si="1"/>
        <v>0</v>
      </c>
      <c r="W34" s="514">
        <f t="shared" si="1"/>
        <v>0</v>
      </c>
      <c r="X34" s="705">
        <f t="shared" si="2"/>
        <v>0</v>
      </c>
      <c r="Y34" s="514">
        <f t="shared" si="3"/>
        <v>0</v>
      </c>
      <c r="Z34" s="514">
        <f>IF(O34&lt;&gt;"na",H34*O34,0)</f>
        <v>0</v>
      </c>
      <c r="AA34" s="705">
        <f t="shared" si="4"/>
        <v>0</v>
      </c>
      <c r="AB34" s="580">
        <f t="shared" si="6"/>
        <v>0</v>
      </c>
      <c r="AC34" s="754">
        <f>F34*'2015 comm sample'!R34</f>
        <v>0</v>
      </c>
      <c r="AD34" s="585"/>
      <c r="AE34" s="657"/>
    </row>
    <row r="35" spans="1:32" x14ac:dyDescent="0.3">
      <c r="A35" s="34" t="s">
        <v>333</v>
      </c>
      <c r="B35" s="34">
        <v>41</v>
      </c>
      <c r="C35" s="708">
        <v>0</v>
      </c>
      <c r="D35" s="709">
        <v>23</v>
      </c>
      <c r="E35" s="709">
        <v>11</v>
      </c>
      <c r="F35" s="701">
        <f t="shared" ref="F35" si="9">SUM(C35:E35)</f>
        <v>34</v>
      </c>
      <c r="G35" s="787">
        <v>141</v>
      </c>
      <c r="H35" s="787">
        <v>202</v>
      </c>
      <c r="I35" s="704">
        <f t="shared" ref="I35" si="10">SUM(G35:H35)</f>
        <v>343</v>
      </c>
      <c r="J35" s="515">
        <f t="shared" ref="J35" si="11">F35+I35</f>
        <v>377</v>
      </c>
      <c r="K35" s="532" t="str">
        <f>'2015 comm sample'!M35</f>
        <v>na</v>
      </c>
      <c r="L35" s="532" t="str">
        <f>'2015 comm sample'!N35</f>
        <v>na</v>
      </c>
      <c r="M35" s="532">
        <f>'2015 comm sample'!O35</f>
        <v>0.33333333333333331</v>
      </c>
      <c r="N35" s="532">
        <f>'2015 comm sample'!P35</f>
        <v>0.5</v>
      </c>
      <c r="O35" s="533">
        <f>'2015 comm sample'!Q35</f>
        <v>0.2</v>
      </c>
      <c r="P35" s="558" t="str">
        <f>IF(C35&gt;0,'2015 comm sample'!C35/'2015 Comm catch'!C35,"na")</f>
        <v>na</v>
      </c>
      <c r="Q35" s="559">
        <f>IF(D35&gt;0,'2015 comm sample'!D35/'2015 Comm catch'!D35,"na")</f>
        <v>0</v>
      </c>
      <c r="R35" s="559">
        <f>IF(E35&gt;0,'2015 comm sample'!E35/'2015 Comm catch'!E35,"na")</f>
        <v>1.0909090909090908</v>
      </c>
      <c r="S35" s="559">
        <f>IF(G35&gt;0,'2015 comm sample'!F35/'2015 Comm catch'!G35,"na")</f>
        <v>5.6737588652482268E-2</v>
      </c>
      <c r="T35" s="559">
        <f>IF(H35&gt;0,'2015 comm sample'!G35/'2015 Comm catch'!H35,"na")</f>
        <v>2.4752475247524754E-2</v>
      </c>
      <c r="U35" s="560">
        <f t="shared" ref="U35" si="12">IF(K35&lt;&gt;"na",C35*K35,0)</f>
        <v>0</v>
      </c>
      <c r="V35" s="514">
        <f t="shared" ref="V35" si="13">IF(L35&lt;&gt;"na",D35*L35,0)</f>
        <v>0</v>
      </c>
      <c r="W35" s="514">
        <f t="shared" ref="W35" si="14">IF(M35&lt;&gt;"na",E35*M35,0)</f>
        <v>3.6666666666666665</v>
      </c>
      <c r="X35" s="705">
        <f t="shared" ref="X35" si="15">SUM(U35:W35)</f>
        <v>3.6666666666666665</v>
      </c>
      <c r="Y35" s="514">
        <f t="shared" ref="Y35" si="16">IF(N35&lt;&gt;"na",G35*N35,0)</f>
        <v>70.5</v>
      </c>
      <c r="Z35" s="514">
        <f>IF(O35&lt;&gt;"na",H35*O35,0)</f>
        <v>40.400000000000006</v>
      </c>
      <c r="AA35" s="705">
        <f t="shared" ref="AA35" si="17">SUM(Y35:Z35)</f>
        <v>110.9</v>
      </c>
      <c r="AB35" s="580">
        <f t="shared" ref="AB35" si="18">X35+AA35</f>
        <v>114.56666666666668</v>
      </c>
      <c r="AC35" s="754">
        <f>F35*'2015 comm sample'!R35</f>
        <v>11.333333333333332</v>
      </c>
      <c r="AD35" s="754">
        <f>I35*'2015 comm sample'!S35</f>
        <v>131.92307692307693</v>
      </c>
      <c r="AE35" s="657"/>
    </row>
    <row r="36" spans="1:32" x14ac:dyDescent="0.3">
      <c r="A36" s="34" t="s">
        <v>334</v>
      </c>
      <c r="B36" s="34">
        <v>42</v>
      </c>
      <c r="C36" s="708">
        <v>175</v>
      </c>
      <c r="D36" s="709">
        <v>704</v>
      </c>
      <c r="E36" s="709">
        <v>474</v>
      </c>
      <c r="F36" s="701">
        <f t="shared" si="8"/>
        <v>1353</v>
      </c>
      <c r="G36" s="714"/>
      <c r="H36" s="714"/>
      <c r="I36" s="704">
        <f t="shared" si="5"/>
        <v>0</v>
      </c>
      <c r="J36" s="515">
        <f t="shared" si="7"/>
        <v>1353</v>
      </c>
      <c r="K36" s="532">
        <f>'2015 comm sample'!M36</f>
        <v>0.29166666666666669</v>
      </c>
      <c r="L36" s="532">
        <f>'2015 comm sample'!N36</f>
        <v>0.29166666666666669</v>
      </c>
      <c r="M36" s="532">
        <f>'2015 comm sample'!O36</f>
        <v>0.233502538071066</v>
      </c>
      <c r="N36" s="532" t="str">
        <f>'2015 comm sample'!P36</f>
        <v>na</v>
      </c>
      <c r="O36" s="533" t="str">
        <f>'2015 comm sample'!Q36</f>
        <v>na</v>
      </c>
      <c r="P36" s="558">
        <f>IF(C36&gt;0,'2015 comm sample'!C36/'2015 Comm catch'!C36,"na")</f>
        <v>0.49714285714285716</v>
      </c>
      <c r="Q36" s="559">
        <f>IF(D36&gt;0,'2015 comm sample'!D36/'2015 Comm catch'!D36,"na")</f>
        <v>0.10227272727272728</v>
      </c>
      <c r="R36" s="559">
        <f>IF(E36&gt;0,'2015 comm sample'!E36/'2015 Comm catch'!E36,"na")</f>
        <v>0.41561181434599154</v>
      </c>
      <c r="S36" s="559" t="str">
        <f>IF(G36&gt;0,'2015 comm sample'!F36/'2015 Comm catch'!G36,"na")</f>
        <v>na</v>
      </c>
      <c r="T36" s="559" t="str">
        <f>IF(H36&gt;0,'2015 comm sample'!G36/'2015 Comm catch'!H36,"na")</f>
        <v>na</v>
      </c>
      <c r="U36" s="560">
        <f t="shared" si="1"/>
        <v>51.041666666666671</v>
      </c>
      <c r="V36" s="514">
        <f t="shared" si="1"/>
        <v>205.33333333333334</v>
      </c>
      <c r="W36" s="514">
        <f t="shared" si="1"/>
        <v>110.68020304568529</v>
      </c>
      <c r="X36" s="705">
        <f t="shared" si="2"/>
        <v>367.05520304568529</v>
      </c>
      <c r="Y36" s="514">
        <f t="shared" si="3"/>
        <v>0</v>
      </c>
      <c r="Z36" s="514">
        <f t="shared" si="3"/>
        <v>0</v>
      </c>
      <c r="AA36" s="705">
        <f t="shared" si="4"/>
        <v>0</v>
      </c>
      <c r="AB36" s="580">
        <f t="shared" si="6"/>
        <v>367.05520304568529</v>
      </c>
      <c r="AC36" s="779">
        <f>F36*'2015 comm sample'!R36</f>
        <v>338.25</v>
      </c>
      <c r="AD36" s="585"/>
    </row>
    <row r="37" spans="1:32" x14ac:dyDescent="0.3">
      <c r="A37" s="34" t="s">
        <v>334</v>
      </c>
      <c r="B37" s="34">
        <v>43</v>
      </c>
      <c r="C37" s="708">
        <v>65</v>
      </c>
      <c r="D37" s="709">
        <v>492</v>
      </c>
      <c r="E37" s="709">
        <v>307</v>
      </c>
      <c r="F37" s="701">
        <f t="shared" si="8"/>
        <v>864</v>
      </c>
      <c r="G37" s="714"/>
      <c r="H37" s="714"/>
      <c r="I37" s="704">
        <f t="shared" si="5"/>
        <v>0</v>
      </c>
      <c r="J37" s="515">
        <f t="shared" si="7"/>
        <v>864</v>
      </c>
      <c r="K37" s="532" t="str">
        <f>'2015 comm sample'!M37</f>
        <v>na</v>
      </c>
      <c r="L37" s="532">
        <f>'2015 comm sample'!N37</f>
        <v>0.31007751937984496</v>
      </c>
      <c r="M37" s="532">
        <f>'2015 comm sample'!O37</f>
        <v>0.3836734693877551</v>
      </c>
      <c r="N37" s="532" t="str">
        <f>'2015 comm sample'!P37</f>
        <v>na</v>
      </c>
      <c r="O37" s="532" t="str">
        <f>'2015 comm sample'!Q37</f>
        <v>na</v>
      </c>
      <c r="P37" s="558">
        <f>IF(C37&gt;0,'2015 comm sample'!C37/'2015 Comm catch'!C37,"na")</f>
        <v>0</v>
      </c>
      <c r="Q37" s="559">
        <f>IF(D37&gt;0,'2015 comm sample'!D37/'2015 Comm catch'!D37,"na")</f>
        <v>0.26219512195121952</v>
      </c>
      <c r="R37" s="559">
        <f>IF(E37&gt;0,'2015 comm sample'!E37/'2015 Comm catch'!E37,"na")</f>
        <v>0.79804560260586321</v>
      </c>
      <c r="S37" s="559" t="str">
        <f>IF(G37&gt;0,'2015 comm sample'!F37/'2015 Comm catch'!G37,"na")</f>
        <v>na</v>
      </c>
      <c r="T37" s="559" t="str">
        <f>IF(H37&gt;0,'2015 comm sample'!G37/'2015 Comm catch'!H37,"na")</f>
        <v>na</v>
      </c>
      <c r="U37" s="560">
        <f t="shared" si="1"/>
        <v>0</v>
      </c>
      <c r="V37" s="514">
        <f t="shared" si="1"/>
        <v>152.55813953488371</v>
      </c>
      <c r="W37" s="514">
        <f t="shared" si="1"/>
        <v>117.78775510204082</v>
      </c>
      <c r="X37" s="705">
        <f t="shared" si="2"/>
        <v>270.34589463692453</v>
      </c>
      <c r="Y37" s="514">
        <f t="shared" si="3"/>
        <v>0</v>
      </c>
      <c r="Z37" s="514">
        <f t="shared" si="3"/>
        <v>0</v>
      </c>
      <c r="AA37" s="705">
        <f t="shared" si="4"/>
        <v>0</v>
      </c>
      <c r="AB37" s="580">
        <f t="shared" si="6"/>
        <v>270.34589463692453</v>
      </c>
      <c r="AC37" s="779">
        <f>F37*'2015 comm sample'!R37</f>
        <v>309.56149732620321</v>
      </c>
      <c r="AD37" s="585"/>
    </row>
    <row r="38" spans="1:32" x14ac:dyDescent="0.3">
      <c r="A38" s="34"/>
      <c r="B38" s="34">
        <v>44</v>
      </c>
      <c r="C38" s="718"/>
      <c r="D38" s="714"/>
      <c r="E38" s="714"/>
      <c r="F38" s="714">
        <f t="shared" si="8"/>
        <v>0</v>
      </c>
      <c r="G38" s="714"/>
      <c r="H38" s="714"/>
      <c r="I38" s="719">
        <f t="shared" si="5"/>
        <v>0</v>
      </c>
      <c r="J38" s="515">
        <f t="shared" si="7"/>
        <v>0</v>
      </c>
      <c r="K38" s="532" t="str">
        <f>'2015 comm sample'!M38</f>
        <v>na</v>
      </c>
      <c r="L38" s="532" t="str">
        <f>'2015 comm sample'!N38</f>
        <v>na</v>
      </c>
      <c r="M38" s="532" t="str">
        <f>'2015 comm sample'!O38</f>
        <v>na</v>
      </c>
      <c r="N38" s="532" t="str">
        <f>'2015 comm sample'!P38</f>
        <v>na</v>
      </c>
      <c r="O38" s="533" t="str">
        <f>'2015 comm sample'!Q38</f>
        <v>na</v>
      </c>
      <c r="P38" s="558" t="str">
        <f>IF(C38&gt;0,'2015 comm sample'!C38/'2015 Comm catch'!C38,"na")</f>
        <v>na</v>
      </c>
      <c r="Q38" s="559" t="str">
        <f>IF(D38&gt;0,'2015 comm sample'!D38/'2015 Comm catch'!D38,"na")</f>
        <v>na</v>
      </c>
      <c r="R38" s="559" t="str">
        <f>IF(E38&gt;0,'2015 comm sample'!E38/'2015 Comm catch'!E38,"na")</f>
        <v>na</v>
      </c>
      <c r="S38" s="559" t="str">
        <f>IF(G38&gt;0,'2015 comm sample'!F38/'2015 Comm catch'!G38,"na")</f>
        <v>na</v>
      </c>
      <c r="T38" s="559" t="str">
        <f>IF(H38&gt;0,'2015 comm sample'!G38/'2015 Comm catch'!H38,"na")</f>
        <v>na</v>
      </c>
      <c r="U38" s="560">
        <f t="shared" si="1"/>
        <v>0</v>
      </c>
      <c r="V38" s="514">
        <f t="shared" si="1"/>
        <v>0</v>
      </c>
      <c r="W38" s="514">
        <f t="shared" si="1"/>
        <v>0</v>
      </c>
      <c r="X38" s="705">
        <f t="shared" si="2"/>
        <v>0</v>
      </c>
      <c r="Y38" s="514">
        <f t="shared" si="3"/>
        <v>0</v>
      </c>
      <c r="Z38" s="514">
        <f t="shared" si="3"/>
        <v>0</v>
      </c>
      <c r="AA38" s="705">
        <f t="shared" si="4"/>
        <v>0</v>
      </c>
      <c r="AB38" s="580">
        <f t="shared" si="6"/>
        <v>0</v>
      </c>
      <c r="AC38" s="585"/>
      <c r="AD38" s="585"/>
    </row>
    <row r="39" spans="1:32" x14ac:dyDescent="0.3">
      <c r="B39" s="34">
        <v>45</v>
      </c>
      <c r="C39" s="750"/>
      <c r="D39" s="751"/>
      <c r="E39" s="751"/>
      <c r="F39" s="751"/>
      <c r="G39" s="751"/>
      <c r="H39" s="751"/>
      <c r="I39" s="751"/>
      <c r="J39" s="566">
        <f t="shared" si="7"/>
        <v>0</v>
      </c>
      <c r="K39" s="534" t="str">
        <f>'2015 comm sample'!M39</f>
        <v>na</v>
      </c>
      <c r="L39" s="534" t="str">
        <f>'2015 comm sample'!N39</f>
        <v>na</v>
      </c>
      <c r="M39" s="534" t="str">
        <f>'2015 comm sample'!O39</f>
        <v>na</v>
      </c>
      <c r="N39" s="534" t="str">
        <f>'2015 comm sample'!P39</f>
        <v>na</v>
      </c>
      <c r="O39" s="535" t="str">
        <f>'2015 comm sample'!Q39</f>
        <v>na</v>
      </c>
      <c r="P39" s="569" t="str">
        <f>IF(C39&gt;0,'2015 comm sample'!C39/'2015 Comm catch'!C39,"na")</f>
        <v>na</v>
      </c>
      <c r="Q39" s="570" t="str">
        <f>IF(D39&gt;0,'2015 comm sample'!D39/'2015 Comm catch'!D39,"na")</f>
        <v>na</v>
      </c>
      <c r="R39" s="570" t="str">
        <f>IF(E39&gt;0,'2015 comm sample'!E39/'2015 Comm catch'!E39,"na")</f>
        <v>na</v>
      </c>
      <c r="S39" s="570" t="str">
        <f>IF(G39&gt;0,'2015 comm sample'!F39/'2015 Comm catch'!G39,"na")</f>
        <v>na</v>
      </c>
      <c r="T39" s="570" t="str">
        <f>IF(H39&gt;0,'2015 comm sample'!G39/'2015 Comm catch'!H39,"na")</f>
        <v>na</v>
      </c>
      <c r="U39" s="588">
        <f t="shared" si="1"/>
        <v>0</v>
      </c>
      <c r="V39" s="589">
        <f t="shared" si="1"/>
        <v>0</v>
      </c>
      <c r="W39" s="589">
        <f t="shared" si="1"/>
        <v>0</v>
      </c>
      <c r="X39" s="707"/>
      <c r="Y39" s="589">
        <f t="shared" si="3"/>
        <v>0</v>
      </c>
      <c r="Z39" s="589">
        <f t="shared" si="3"/>
        <v>0</v>
      </c>
      <c r="AA39" s="707"/>
      <c r="AB39" s="590">
        <f t="shared" si="6"/>
        <v>0</v>
      </c>
    </row>
    <row r="40" spans="1:32" x14ac:dyDescent="0.3">
      <c r="B40" s="591" t="s">
        <v>184</v>
      </c>
      <c r="C40" s="592">
        <f>SUM(C25:C39)</f>
        <v>294</v>
      </c>
      <c r="D40" s="593">
        <f>SUM(D25:D39)</f>
        <v>1858</v>
      </c>
      <c r="E40" s="593">
        <f>SUM(E25:E39)</f>
        <v>1063</v>
      </c>
      <c r="F40" s="593"/>
      <c r="G40" s="593">
        <f>SUM(G25:G39)</f>
        <v>527</v>
      </c>
      <c r="H40" s="593">
        <f>SUM(H25:H39)</f>
        <v>460</v>
      </c>
      <c r="I40" s="593"/>
      <c r="J40" s="594">
        <f>SUM(C40:H40)</f>
        <v>4202</v>
      </c>
      <c r="K40" s="595">
        <f>'2015 comm sample'!M40</f>
        <v>0.25287356321839083</v>
      </c>
      <c r="L40" s="595">
        <f>'2015 comm sample'!N40</f>
        <v>0.16850828729281769</v>
      </c>
      <c r="M40" s="595">
        <f>'2015 comm sample'!O40</f>
        <v>0.22085889570552147</v>
      </c>
      <c r="N40" s="595">
        <f>'2015 comm sample'!P40</f>
        <v>0.59420289855072461</v>
      </c>
      <c r="O40" s="595">
        <f>'2015 comm sample'!Q40</f>
        <v>0.70270270270270274</v>
      </c>
      <c r="P40" s="596">
        <f>IF(C40&gt;0,'2015 comm sample'!C40/'2015 Comm catch'!C40,"na")</f>
        <v>0.29591836734693877</v>
      </c>
      <c r="Q40" s="596">
        <f>IF(D40&gt;0,'2015 comm sample'!D40/'2015 Comm catch'!D40,"na")</f>
        <v>0.19483315392895587</v>
      </c>
      <c r="R40" s="596">
        <f>IF(E40&gt;0,'2015 comm sample'!E40/'2015 Comm catch'!E40,"na")</f>
        <v>0.61335841956726245</v>
      </c>
      <c r="S40" s="596">
        <f>IF(G40&gt;0,'2015 comm sample'!F40/'2015 Comm catch'!G40,"na")</f>
        <v>0.26185958254269448</v>
      </c>
      <c r="T40" s="596">
        <f>IF(H40&gt;0,'2015 comm sample'!G40/'2015 Comm catch'!H40,"na")</f>
        <v>8.0434782608695646E-2</v>
      </c>
      <c r="U40" s="588">
        <f t="shared" ref="U40:AA40" si="19">SUM(U25:U39)</f>
        <v>51.041666666666671</v>
      </c>
      <c r="V40" s="589">
        <f t="shared" si="19"/>
        <v>357.89147286821708</v>
      </c>
      <c r="W40" s="589">
        <f t="shared" si="19"/>
        <v>232.13462481439279</v>
      </c>
      <c r="X40" s="589">
        <f t="shared" si="19"/>
        <v>641.06776434927656</v>
      </c>
      <c r="Y40" s="589">
        <f t="shared" si="19"/>
        <v>298.64394961763378</v>
      </c>
      <c r="Z40" s="589">
        <f t="shared" si="19"/>
        <v>225.94166666666669</v>
      </c>
      <c r="AA40" s="589">
        <f t="shared" si="19"/>
        <v>524.5856162843005</v>
      </c>
      <c r="AB40" s="590">
        <f t="shared" si="6"/>
        <v>1165.6533806335769</v>
      </c>
    </row>
    <row r="41" spans="1:32" x14ac:dyDescent="0.3">
      <c r="B41" s="591"/>
      <c r="C41" s="597"/>
      <c r="D41" s="597"/>
      <c r="E41" s="597">
        <f>E40+D40+C40</f>
        <v>3215</v>
      </c>
      <c r="F41" s="597"/>
      <c r="G41" s="597"/>
      <c r="J41" s="597"/>
      <c r="K41" s="597"/>
      <c r="L41" s="597"/>
      <c r="M41" s="597"/>
      <c r="N41" s="597"/>
      <c r="O41" s="598"/>
      <c r="P41" s="597"/>
      <c r="Q41" s="597"/>
      <c r="R41" s="597"/>
      <c r="S41" s="597"/>
      <c r="T41" s="599"/>
      <c r="U41" s="597"/>
      <c r="V41" s="597"/>
      <c r="W41" s="597"/>
      <c r="X41" s="597"/>
      <c r="Y41" s="597"/>
      <c r="Z41" s="33"/>
      <c r="AA41" s="33"/>
      <c r="AB41" s="597"/>
      <c r="AC41" s="647"/>
    </row>
  </sheetData>
  <mergeCells count="7">
    <mergeCell ref="C3:F3"/>
    <mergeCell ref="G3:J3"/>
    <mergeCell ref="K3:N3"/>
    <mergeCell ref="O3:R3"/>
    <mergeCell ref="C23:J23"/>
    <mergeCell ref="K23:O23"/>
    <mergeCell ref="P23:T23"/>
  </mergeCells>
  <conditionalFormatting sqref="K5:N18">
    <cfRule type="cellIs" dxfId="43" priority="17" operator="equal">
      <formula>"na"</formula>
    </cfRule>
    <cfRule type="cellIs" dxfId="42" priority="18" operator="greaterThan">
      <formula>1</formula>
    </cfRule>
    <cfRule type="cellIs" dxfId="41" priority="19" operator="lessThan">
      <formula>0.2</formula>
    </cfRule>
    <cfRule type="cellIs" dxfId="40" priority="24" stopIfTrue="1" operator="equal">
      <formula>0</formula>
    </cfRule>
  </conditionalFormatting>
  <conditionalFormatting sqref="P25:T34 P36:T39">
    <cfRule type="cellIs" dxfId="39" priority="20" stopIfTrue="1" operator="equal">
      <formula>"na"</formula>
    </cfRule>
    <cfRule type="cellIs" dxfId="38" priority="21" operator="greaterThan">
      <formula>1</formula>
    </cfRule>
    <cfRule type="cellIs" dxfId="37" priority="22" operator="lessThan">
      <formula>0.2</formula>
    </cfRule>
    <cfRule type="cellIs" dxfId="36" priority="23" stopIfTrue="1" operator="equal">
      <formula>0</formula>
    </cfRule>
  </conditionalFormatting>
  <conditionalFormatting sqref="P35:T35">
    <cfRule type="cellIs" dxfId="35" priority="1" stopIfTrue="1" operator="equal">
      <formula>"na"</formula>
    </cfRule>
    <cfRule type="cellIs" dxfId="34" priority="2" operator="greaterThan">
      <formula>1</formula>
    </cfRule>
    <cfRule type="cellIs" dxfId="33" priority="3" operator="lessThan">
      <formula>0.2</formula>
    </cfRule>
    <cfRule type="cellIs" dxfId="32" priority="4" stopIfTrue="1" operator="equal">
      <formula>0</formula>
    </cfRule>
  </conditionalFormatting>
  <pageMargins left="0.75" right="0.75" top="1" bottom="1" header="0.5" footer="0.5"/>
  <pageSetup scale="49" orientation="landscape" r:id="rId1"/>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S43"/>
  <sheetViews>
    <sheetView zoomScale="110" zoomScaleNormal="110" workbookViewId="0">
      <pane xSplit="2" topLeftCell="C1" activePane="topRight" state="frozen"/>
      <selection activeCell="I30" sqref="I30"/>
      <selection pane="topRight" activeCell="I30" sqref="I30"/>
    </sheetView>
  </sheetViews>
  <sheetFormatPr defaultRowHeight="12.5" x14ac:dyDescent="0.25"/>
  <cols>
    <col min="1" max="1" width="20.7265625" bestFit="1" customWidth="1"/>
    <col min="2" max="2" width="5.81640625" bestFit="1" customWidth="1"/>
    <col min="3" max="3" width="11.1796875" bestFit="1" customWidth="1"/>
    <col min="4" max="4" width="9.453125" bestFit="1" customWidth="1"/>
    <col min="5" max="5" width="7.453125" bestFit="1" customWidth="1"/>
    <col min="6" max="6" width="7.1796875" bestFit="1" customWidth="1"/>
    <col min="7" max="7" width="11.1796875" bestFit="1" customWidth="1"/>
    <col min="8" max="8" width="9.453125" bestFit="1" customWidth="1"/>
    <col min="9" max="9" width="7.453125" bestFit="1" customWidth="1"/>
    <col min="10" max="10" width="7.1796875" bestFit="1" customWidth="1"/>
    <col min="11" max="11" width="11.1796875" bestFit="1" customWidth="1"/>
    <col min="12" max="12" width="9.453125" bestFit="1" customWidth="1"/>
    <col min="13" max="14" width="8.26953125" customWidth="1"/>
    <col min="15" max="15" width="7" bestFit="1" customWidth="1"/>
    <col min="16" max="17" width="8.26953125" bestFit="1" customWidth="1"/>
  </cols>
  <sheetData>
    <row r="2" spans="2:14" ht="13" x14ac:dyDescent="0.3">
      <c r="C2" s="34" t="s">
        <v>330</v>
      </c>
    </row>
    <row r="3" spans="2:14" x14ac:dyDescent="0.25">
      <c r="C3" s="900" t="s">
        <v>265</v>
      </c>
      <c r="D3" s="901"/>
      <c r="E3" s="901"/>
      <c r="F3" s="902"/>
      <c r="G3" s="900" t="s">
        <v>266</v>
      </c>
      <c r="H3" s="901"/>
      <c r="I3" s="901"/>
      <c r="J3" s="902"/>
      <c r="K3" s="900" t="s">
        <v>267</v>
      </c>
      <c r="L3" s="901"/>
      <c r="M3" s="901"/>
      <c r="N3" s="902"/>
    </row>
    <row r="4" spans="2:14" x14ac:dyDescent="0.25">
      <c r="B4" t="s">
        <v>134</v>
      </c>
      <c r="C4" s="274" t="s">
        <v>31</v>
      </c>
      <c r="D4" s="42" t="s">
        <v>62</v>
      </c>
      <c r="E4" s="42" t="s">
        <v>260</v>
      </c>
      <c r="F4" s="134" t="s">
        <v>203</v>
      </c>
      <c r="G4" s="274" t="s">
        <v>31</v>
      </c>
      <c r="H4" s="42" t="s">
        <v>62</v>
      </c>
      <c r="I4" s="42" t="s">
        <v>260</v>
      </c>
      <c r="J4" s="134" t="s">
        <v>203</v>
      </c>
      <c r="K4" s="274" t="s">
        <v>31</v>
      </c>
      <c r="L4" s="42" t="s">
        <v>62</v>
      </c>
      <c r="M4" s="42" t="s">
        <v>260</v>
      </c>
      <c r="N4" s="134" t="s">
        <v>203</v>
      </c>
    </row>
    <row r="5" spans="2:14" x14ac:dyDescent="0.25">
      <c r="B5">
        <v>32</v>
      </c>
      <c r="C5" s="711">
        <v>0</v>
      </c>
      <c r="D5" s="719"/>
      <c r="E5" s="719"/>
      <c r="F5" s="768"/>
      <c r="G5" s="711">
        <v>0</v>
      </c>
      <c r="H5" s="719"/>
      <c r="I5" s="719"/>
      <c r="J5" s="719"/>
      <c r="K5" s="521" t="str">
        <f t="shared" ref="K5:N18" si="0">IF(C5&gt;0,G5/C5,"na")</f>
        <v>na</v>
      </c>
      <c r="L5" s="522" t="str">
        <f t="shared" si="0"/>
        <v>na</v>
      </c>
      <c r="M5" s="522" t="str">
        <f t="shared" si="0"/>
        <v>na</v>
      </c>
      <c r="N5" s="523" t="str">
        <f t="shared" si="0"/>
        <v>na</v>
      </c>
    </row>
    <row r="6" spans="2:14" x14ac:dyDescent="0.25">
      <c r="B6">
        <v>33</v>
      </c>
      <c r="C6" s="711">
        <v>7</v>
      </c>
      <c r="D6" s="719"/>
      <c r="E6" s="719"/>
      <c r="F6" s="764"/>
      <c r="G6" s="711">
        <v>0</v>
      </c>
      <c r="H6" s="719"/>
      <c r="I6" s="719"/>
      <c r="J6" s="719"/>
      <c r="K6" s="524">
        <f t="shared" si="0"/>
        <v>0</v>
      </c>
      <c r="L6" s="525" t="str">
        <f t="shared" si="0"/>
        <v>na</v>
      </c>
      <c r="M6" s="525" t="str">
        <f t="shared" si="0"/>
        <v>na</v>
      </c>
      <c r="N6" s="526" t="str">
        <f t="shared" si="0"/>
        <v>na</v>
      </c>
    </row>
    <row r="7" spans="2:14" x14ac:dyDescent="0.25">
      <c r="B7">
        <v>34</v>
      </c>
      <c r="C7" s="711">
        <v>3</v>
      </c>
      <c r="D7" s="719"/>
      <c r="E7" s="719"/>
      <c r="F7" s="712">
        <v>4</v>
      </c>
      <c r="G7" s="711">
        <v>1</v>
      </c>
      <c r="H7" s="719"/>
      <c r="I7" s="719"/>
      <c r="J7" s="711">
        <v>1</v>
      </c>
      <c r="K7" s="524">
        <f t="shared" si="0"/>
        <v>0.33333333333333331</v>
      </c>
      <c r="L7" s="525" t="str">
        <f t="shared" si="0"/>
        <v>na</v>
      </c>
      <c r="M7" s="525" t="str">
        <f t="shared" si="0"/>
        <v>na</v>
      </c>
      <c r="N7" s="526">
        <f t="shared" si="0"/>
        <v>0.25</v>
      </c>
    </row>
    <row r="8" spans="2:14" x14ac:dyDescent="0.25">
      <c r="B8">
        <v>35</v>
      </c>
      <c r="C8" s="711">
        <v>53</v>
      </c>
      <c r="D8" s="711">
        <v>62</v>
      </c>
      <c r="E8" s="711">
        <v>23</v>
      </c>
      <c r="F8" s="712">
        <v>13</v>
      </c>
      <c r="G8" s="711">
        <v>4</v>
      </c>
      <c r="H8" s="711">
        <v>10</v>
      </c>
      <c r="I8" s="711">
        <v>2</v>
      </c>
      <c r="J8" s="711">
        <v>1</v>
      </c>
      <c r="K8" s="524">
        <f t="shared" si="0"/>
        <v>7.5471698113207544E-2</v>
      </c>
      <c r="L8" s="525">
        <f t="shared" si="0"/>
        <v>0.16129032258064516</v>
      </c>
      <c r="M8" s="525">
        <f t="shared" si="0"/>
        <v>8.6956521739130432E-2</v>
      </c>
      <c r="N8" s="526">
        <f t="shared" si="0"/>
        <v>7.6923076923076927E-2</v>
      </c>
    </row>
    <row r="9" spans="2:14" x14ac:dyDescent="0.25">
      <c r="B9">
        <v>36</v>
      </c>
      <c r="C9" s="711">
        <v>393</v>
      </c>
      <c r="D9" s="711">
        <v>726</v>
      </c>
      <c r="E9" s="711">
        <v>245</v>
      </c>
      <c r="F9" s="712">
        <v>246</v>
      </c>
      <c r="G9" s="711">
        <v>24</v>
      </c>
      <c r="H9" s="711">
        <v>64</v>
      </c>
      <c r="I9" s="711">
        <v>25</v>
      </c>
      <c r="J9" s="711">
        <v>7</v>
      </c>
      <c r="K9" s="524">
        <f t="shared" si="0"/>
        <v>6.1068702290076333E-2</v>
      </c>
      <c r="L9" s="525">
        <f t="shared" si="0"/>
        <v>8.8154269972451793E-2</v>
      </c>
      <c r="M9" s="525">
        <f t="shared" si="0"/>
        <v>0.10204081632653061</v>
      </c>
      <c r="N9" s="526">
        <f t="shared" si="0"/>
        <v>2.8455284552845527E-2</v>
      </c>
    </row>
    <row r="10" spans="2:14" x14ac:dyDescent="0.25">
      <c r="B10">
        <v>37</v>
      </c>
      <c r="C10" s="711">
        <v>1862</v>
      </c>
      <c r="D10" s="711">
        <v>3810</v>
      </c>
      <c r="E10" s="711">
        <v>1002</v>
      </c>
      <c r="F10" s="712">
        <v>1430</v>
      </c>
      <c r="G10" s="711">
        <v>101</v>
      </c>
      <c r="H10" s="711">
        <v>122</v>
      </c>
      <c r="I10" s="711">
        <v>28</v>
      </c>
      <c r="J10" s="711">
        <v>35</v>
      </c>
      <c r="K10" s="524">
        <f t="shared" si="0"/>
        <v>5.4242749731471536E-2</v>
      </c>
      <c r="L10" s="525">
        <f t="shared" si="0"/>
        <v>3.2020997375328084E-2</v>
      </c>
      <c r="M10" s="525">
        <f t="shared" si="0"/>
        <v>2.7944111776447105E-2</v>
      </c>
      <c r="N10" s="526">
        <f t="shared" si="0"/>
        <v>2.4475524475524476E-2</v>
      </c>
    </row>
    <row r="11" spans="2:14" x14ac:dyDescent="0.25">
      <c r="B11">
        <v>38</v>
      </c>
      <c r="C11" s="711">
        <v>3375</v>
      </c>
      <c r="D11" s="711">
        <v>4670</v>
      </c>
      <c r="E11" s="711">
        <v>992</v>
      </c>
      <c r="F11" s="712">
        <v>4090</v>
      </c>
      <c r="G11" s="711">
        <v>86</v>
      </c>
      <c r="H11" s="711">
        <v>140</v>
      </c>
      <c r="I11" s="711">
        <v>31</v>
      </c>
      <c r="J11" s="711">
        <v>114</v>
      </c>
      <c r="K11" s="524">
        <f t="shared" si="0"/>
        <v>2.548148148148148E-2</v>
      </c>
      <c r="L11" s="525">
        <f t="shared" si="0"/>
        <v>2.9978586723768737E-2</v>
      </c>
      <c r="M11" s="525">
        <f t="shared" si="0"/>
        <v>3.125E-2</v>
      </c>
      <c r="N11" s="526">
        <f t="shared" si="0"/>
        <v>2.7872860635696821E-2</v>
      </c>
    </row>
    <row r="12" spans="2:14" x14ac:dyDescent="0.25">
      <c r="B12">
        <v>39</v>
      </c>
      <c r="C12" s="711">
        <v>1963</v>
      </c>
      <c r="D12" s="711">
        <v>3331</v>
      </c>
      <c r="E12" s="711">
        <v>700</v>
      </c>
      <c r="F12" s="712">
        <v>2834</v>
      </c>
      <c r="G12" s="711">
        <v>85</v>
      </c>
      <c r="H12" s="711">
        <v>149</v>
      </c>
      <c r="I12" s="711">
        <v>26</v>
      </c>
      <c r="J12" s="711">
        <v>46</v>
      </c>
      <c r="K12" s="524">
        <f t="shared" si="0"/>
        <v>4.3301069791136015E-2</v>
      </c>
      <c r="L12" s="525">
        <f t="shared" si="0"/>
        <v>4.4731311918342842E-2</v>
      </c>
      <c r="M12" s="525">
        <f t="shared" si="0"/>
        <v>3.7142857142857144E-2</v>
      </c>
      <c r="N12" s="526">
        <f t="shared" si="0"/>
        <v>1.6231474947071278E-2</v>
      </c>
    </row>
    <row r="13" spans="2:14" x14ac:dyDescent="0.25">
      <c r="B13">
        <v>40</v>
      </c>
      <c r="C13" s="711">
        <v>157</v>
      </c>
      <c r="D13" s="711">
        <v>1445</v>
      </c>
      <c r="E13" s="711">
        <v>1864</v>
      </c>
      <c r="F13" s="712">
        <v>1309</v>
      </c>
      <c r="G13" s="711">
        <v>9</v>
      </c>
      <c r="H13" s="711">
        <v>33</v>
      </c>
      <c r="I13" s="711">
        <v>65</v>
      </c>
      <c r="J13" s="711">
        <v>26</v>
      </c>
      <c r="K13" s="524">
        <f t="shared" si="0"/>
        <v>5.7324840764331211E-2</v>
      </c>
      <c r="L13" s="525">
        <f t="shared" si="0"/>
        <v>2.2837370242214532E-2</v>
      </c>
      <c r="M13" s="525">
        <f t="shared" si="0"/>
        <v>3.487124463519313E-2</v>
      </c>
      <c r="N13" s="526">
        <f t="shared" si="0"/>
        <v>1.9862490450725745E-2</v>
      </c>
    </row>
    <row r="14" spans="2:14" x14ac:dyDescent="0.25">
      <c r="B14">
        <v>41</v>
      </c>
      <c r="C14" s="711">
        <v>285</v>
      </c>
      <c r="D14" s="711">
        <v>347</v>
      </c>
      <c r="E14" s="711">
        <v>1072</v>
      </c>
      <c r="F14" s="712">
        <v>959</v>
      </c>
      <c r="G14" s="711">
        <v>12</v>
      </c>
      <c r="H14" s="711">
        <v>12</v>
      </c>
      <c r="I14" s="711">
        <v>72</v>
      </c>
      <c r="J14" s="711">
        <v>21</v>
      </c>
      <c r="K14" s="524">
        <f t="shared" si="0"/>
        <v>4.2105263157894736E-2</v>
      </c>
      <c r="L14" s="525">
        <f t="shared" si="0"/>
        <v>3.4582132564841501E-2</v>
      </c>
      <c r="M14" s="525">
        <f t="shared" si="0"/>
        <v>6.7164179104477612E-2</v>
      </c>
      <c r="N14" s="526">
        <f t="shared" si="0"/>
        <v>2.1897810218978103E-2</v>
      </c>
    </row>
    <row r="15" spans="2:14" x14ac:dyDescent="0.25">
      <c r="B15">
        <v>42</v>
      </c>
      <c r="C15" s="711">
        <v>16</v>
      </c>
      <c r="D15" s="711">
        <v>40</v>
      </c>
      <c r="E15" s="711">
        <v>808</v>
      </c>
      <c r="F15" s="712">
        <v>204</v>
      </c>
      <c r="G15" s="711">
        <v>2</v>
      </c>
      <c r="H15" s="711">
        <v>0</v>
      </c>
      <c r="I15" s="711">
        <v>55</v>
      </c>
      <c r="J15" s="711">
        <v>3</v>
      </c>
      <c r="K15" s="524">
        <f t="shared" si="0"/>
        <v>0.125</v>
      </c>
      <c r="L15" s="525">
        <f t="shared" si="0"/>
        <v>0</v>
      </c>
      <c r="M15" s="525">
        <f t="shared" si="0"/>
        <v>6.8069306930693074E-2</v>
      </c>
      <c r="N15" s="526">
        <f t="shared" si="0"/>
        <v>1.4705882352941176E-2</v>
      </c>
    </row>
    <row r="16" spans="2:14" x14ac:dyDescent="0.25">
      <c r="B16">
        <v>43</v>
      </c>
      <c r="C16" s="711">
        <v>22</v>
      </c>
      <c r="D16" s="711">
        <v>253</v>
      </c>
      <c r="E16" s="711">
        <v>763</v>
      </c>
      <c r="F16" s="712">
        <v>95</v>
      </c>
      <c r="G16" s="711">
        <v>3</v>
      </c>
      <c r="H16" s="711">
        <v>3</v>
      </c>
      <c r="I16" s="711">
        <v>29</v>
      </c>
      <c r="J16" s="711">
        <v>3</v>
      </c>
      <c r="K16" s="524">
        <f t="shared" si="0"/>
        <v>0.13636363636363635</v>
      </c>
      <c r="L16" s="525">
        <f t="shared" si="0"/>
        <v>1.1857707509881422E-2</v>
      </c>
      <c r="M16" s="525">
        <f t="shared" si="0"/>
        <v>3.8007863695937089E-2</v>
      </c>
      <c r="N16" s="526">
        <f t="shared" si="0"/>
        <v>3.1578947368421054E-2</v>
      </c>
    </row>
    <row r="17" spans="1:19" x14ac:dyDescent="0.25">
      <c r="B17">
        <v>44</v>
      </c>
      <c r="C17" s="743">
        <v>0</v>
      </c>
      <c r="D17" s="713">
        <v>0</v>
      </c>
      <c r="E17" s="713">
        <v>212</v>
      </c>
      <c r="F17" s="764"/>
      <c r="G17" s="713">
        <v>0</v>
      </c>
      <c r="H17" s="713">
        <v>0</v>
      </c>
      <c r="I17" s="713">
        <v>10</v>
      </c>
      <c r="J17" s="763"/>
      <c r="K17" s="524" t="str">
        <f>IF(C17&gt;0,G17/C17,"na")</f>
        <v>na</v>
      </c>
      <c r="L17" s="525" t="str">
        <f>IF(D17&gt;0,H17/D17,"na")</f>
        <v>na</v>
      </c>
      <c r="M17" s="525">
        <f>IF(E17&gt;0,I17/E17,"na")</f>
        <v>4.716981132075472E-2</v>
      </c>
      <c r="N17" s="526" t="str">
        <f>IF(F17&gt;0,J17/F17,"na")</f>
        <v>na</v>
      </c>
    </row>
    <row r="18" spans="1:19" x14ac:dyDescent="0.25">
      <c r="B18">
        <v>45</v>
      </c>
      <c r="C18" s="769"/>
      <c r="D18" s="766"/>
      <c r="E18" s="766"/>
      <c r="F18" s="767"/>
      <c r="G18" s="763"/>
      <c r="H18" s="763"/>
      <c r="I18" s="763"/>
      <c r="J18" s="763"/>
      <c r="K18" s="412" t="str">
        <f t="shared" si="0"/>
        <v>na</v>
      </c>
      <c r="L18" s="229" t="str">
        <f t="shared" si="0"/>
        <v>na</v>
      </c>
      <c r="M18" s="229" t="str">
        <f t="shared" si="0"/>
        <v>na</v>
      </c>
      <c r="N18" s="413" t="str">
        <f t="shared" si="0"/>
        <v>na</v>
      </c>
    </row>
    <row r="19" spans="1:19" x14ac:dyDescent="0.25">
      <c r="B19" t="s">
        <v>184</v>
      </c>
      <c r="C19" s="274">
        <f t="shared" ref="C19:J19" si="1">SUM(C5:C18)</f>
        <v>8136</v>
      </c>
      <c r="D19" s="42">
        <f t="shared" si="1"/>
        <v>14684</v>
      </c>
      <c r="E19" s="42">
        <f t="shared" si="1"/>
        <v>7681</v>
      </c>
      <c r="F19" s="42">
        <f t="shared" si="1"/>
        <v>11184</v>
      </c>
      <c r="G19" s="329">
        <f t="shared" si="1"/>
        <v>327</v>
      </c>
      <c r="H19" s="195">
        <f t="shared" si="1"/>
        <v>533</v>
      </c>
      <c r="I19" s="195">
        <f t="shared" si="1"/>
        <v>343</v>
      </c>
      <c r="J19" s="403">
        <f t="shared" si="1"/>
        <v>257</v>
      </c>
      <c r="K19" s="527">
        <f>IF(C19&gt;0,G19/C19,"na")</f>
        <v>4.0191740412979349E-2</v>
      </c>
      <c r="L19" s="528">
        <f>IF(D19&gt;0,H19/D19,"na")</f>
        <v>3.6298011441024243E-2</v>
      </c>
      <c r="M19" s="528">
        <f>IF(E19&gt;0,I19/E19,"na")</f>
        <v>4.4655643796380678E-2</v>
      </c>
      <c r="N19" s="529">
        <f>IF(F19&gt;0,J19/F19,"na")</f>
        <v>2.297925608011445E-2</v>
      </c>
    </row>
    <row r="20" spans="1:19" x14ac:dyDescent="0.25">
      <c r="F20">
        <f>SUM(C19:F19)</f>
        <v>41685</v>
      </c>
      <c r="J20">
        <f>SUM(G19:J19)</f>
        <v>1460</v>
      </c>
      <c r="N20" s="530">
        <f>J20/F20</f>
        <v>3.5024589180760464E-2</v>
      </c>
    </row>
    <row r="22" spans="1:19" ht="13" x14ac:dyDescent="0.3">
      <c r="C22" s="2" t="s">
        <v>123</v>
      </c>
    </row>
    <row r="23" spans="1:19" x14ac:dyDescent="0.25">
      <c r="C23" s="900" t="s">
        <v>268</v>
      </c>
      <c r="D23" s="901"/>
      <c r="E23" s="901"/>
      <c r="F23" s="901"/>
      <c r="G23" s="902"/>
      <c r="H23" s="900" t="s">
        <v>269</v>
      </c>
      <c r="I23" s="901"/>
      <c r="J23" s="901"/>
      <c r="K23" s="901"/>
      <c r="L23" s="902"/>
      <c r="M23" s="900" t="s">
        <v>56</v>
      </c>
      <c r="N23" s="901"/>
      <c r="O23" s="901"/>
      <c r="P23" s="901"/>
      <c r="Q23" s="902"/>
      <c r="R23" s="417"/>
    </row>
    <row r="24" spans="1:19" x14ac:dyDescent="0.25">
      <c r="B24" t="s">
        <v>134</v>
      </c>
      <c r="C24" s="274">
        <v>1</v>
      </c>
      <c r="D24" s="42">
        <v>2</v>
      </c>
      <c r="E24" s="42">
        <v>3</v>
      </c>
      <c r="F24" s="42">
        <v>4</v>
      </c>
      <c r="G24" s="134">
        <v>5</v>
      </c>
      <c r="H24" s="274">
        <v>1</v>
      </c>
      <c r="I24" s="42">
        <v>2</v>
      </c>
      <c r="J24" s="42">
        <v>3</v>
      </c>
      <c r="K24" s="42">
        <v>4</v>
      </c>
      <c r="L24" s="134">
        <v>5</v>
      </c>
      <c r="M24" s="274">
        <v>1</v>
      </c>
      <c r="N24" s="42">
        <v>2</v>
      </c>
      <c r="O24" s="42">
        <v>3</v>
      </c>
      <c r="P24" s="42">
        <v>4</v>
      </c>
      <c r="Q24" s="134">
        <v>5</v>
      </c>
      <c r="R24" s="44" t="s">
        <v>282</v>
      </c>
      <c r="S24" t="s">
        <v>283</v>
      </c>
    </row>
    <row r="25" spans="1:19" ht="13" x14ac:dyDescent="0.3">
      <c r="A25" s="34" t="str">
        <f>'2014 Comm catch'!A25</f>
        <v>9-inch</v>
      </c>
      <c r="B25">
        <v>32</v>
      </c>
      <c r="C25" s="765"/>
      <c r="D25" s="765"/>
      <c r="E25" s="765"/>
      <c r="F25" s="759">
        <v>0</v>
      </c>
      <c r="G25" s="760">
        <v>0</v>
      </c>
      <c r="H25" s="719"/>
      <c r="I25" s="719"/>
      <c r="J25" s="719"/>
      <c r="K25" s="711">
        <v>0</v>
      </c>
      <c r="L25" s="760">
        <v>0</v>
      </c>
      <c r="M25" s="3" t="str">
        <f t="shared" ref="M25:Q40" si="2">IF(C25&gt;0,H25/C25,"na")</f>
        <v>na</v>
      </c>
      <c r="N25" s="3" t="str">
        <f t="shared" si="2"/>
        <v>na</v>
      </c>
      <c r="O25" s="3" t="str">
        <f t="shared" si="2"/>
        <v>na</v>
      </c>
      <c r="P25" s="3" t="str">
        <f t="shared" si="2"/>
        <v>na</v>
      </c>
      <c r="Q25" s="407" t="str">
        <f t="shared" si="2"/>
        <v>na</v>
      </c>
      <c r="R25" s="525"/>
    </row>
    <row r="26" spans="1:19" ht="13" x14ac:dyDescent="0.3">
      <c r="A26" s="34" t="str">
        <f>'2014 Comm catch'!A26</f>
        <v>9-inch</v>
      </c>
      <c r="B26">
        <v>33</v>
      </c>
      <c r="C26" s="763"/>
      <c r="D26" s="763"/>
      <c r="E26" s="763"/>
      <c r="F26" s="713">
        <v>5</v>
      </c>
      <c r="G26" s="712">
        <v>1</v>
      </c>
      <c r="H26" s="719"/>
      <c r="I26" s="719"/>
      <c r="J26" s="719"/>
      <c r="K26" s="711">
        <v>5</v>
      </c>
      <c r="L26" s="712">
        <v>1</v>
      </c>
      <c r="M26" s="3" t="str">
        <f t="shared" si="2"/>
        <v>na</v>
      </c>
      <c r="N26" s="3" t="str">
        <f t="shared" si="2"/>
        <v>na</v>
      </c>
      <c r="O26" s="3" t="str">
        <f t="shared" si="2"/>
        <v>na</v>
      </c>
      <c r="P26" s="3">
        <f t="shared" si="2"/>
        <v>1</v>
      </c>
      <c r="Q26" s="409">
        <f t="shared" si="2"/>
        <v>1</v>
      </c>
      <c r="R26" s="525"/>
    </row>
    <row r="27" spans="1:19" ht="13" x14ac:dyDescent="0.3">
      <c r="A27" s="34" t="str">
        <f>'2014 Comm catch'!A27</f>
        <v>9-inch</v>
      </c>
      <c r="B27">
        <v>34</v>
      </c>
      <c r="C27" s="763"/>
      <c r="D27" s="763"/>
      <c r="E27" s="763"/>
      <c r="F27" s="713">
        <v>36</v>
      </c>
      <c r="G27" s="712">
        <v>3</v>
      </c>
      <c r="H27" s="719"/>
      <c r="I27" s="719"/>
      <c r="J27" s="719"/>
      <c r="K27" s="711">
        <v>31</v>
      </c>
      <c r="L27" s="712">
        <v>2</v>
      </c>
      <c r="M27" s="3" t="str">
        <f t="shared" si="2"/>
        <v>na</v>
      </c>
      <c r="N27" s="3" t="str">
        <f t="shared" si="2"/>
        <v>na</v>
      </c>
      <c r="O27" s="3" t="str">
        <f t="shared" si="2"/>
        <v>na</v>
      </c>
      <c r="P27" s="3">
        <f t="shared" si="2"/>
        <v>0.86111111111111116</v>
      </c>
      <c r="Q27" s="409">
        <f t="shared" si="2"/>
        <v>0.66666666666666663</v>
      </c>
      <c r="R27" s="525"/>
    </row>
    <row r="28" spans="1:19" ht="13" x14ac:dyDescent="0.3">
      <c r="A28" s="34" t="str">
        <f>'2014 Comm catch'!A28</f>
        <v>9-inch</v>
      </c>
      <c r="B28">
        <v>35</v>
      </c>
      <c r="C28" s="763"/>
      <c r="D28" s="763"/>
      <c r="E28" s="763"/>
      <c r="F28" s="713">
        <v>68</v>
      </c>
      <c r="G28" s="712">
        <v>20</v>
      </c>
      <c r="H28" s="719"/>
      <c r="I28" s="719"/>
      <c r="J28" s="719"/>
      <c r="K28" s="711">
        <v>59</v>
      </c>
      <c r="L28" s="712">
        <v>19</v>
      </c>
      <c r="M28" s="3" t="str">
        <f t="shared" si="2"/>
        <v>na</v>
      </c>
      <c r="N28" s="3" t="str">
        <f t="shared" si="2"/>
        <v>na</v>
      </c>
      <c r="O28" s="3" t="str">
        <f t="shared" si="2"/>
        <v>na</v>
      </c>
      <c r="P28" s="3">
        <f t="shared" si="2"/>
        <v>0.86764705882352944</v>
      </c>
      <c r="Q28" s="409">
        <f t="shared" si="2"/>
        <v>0.95</v>
      </c>
      <c r="R28" s="525"/>
    </row>
    <row r="29" spans="1:19" ht="13" x14ac:dyDescent="0.3">
      <c r="A29" s="34" t="str">
        <f>'2014 Comm catch'!A29</f>
        <v>9-inch</v>
      </c>
      <c r="B29">
        <v>36</v>
      </c>
      <c r="C29" s="763"/>
      <c r="D29" s="763"/>
      <c r="E29" s="763"/>
      <c r="F29" s="713">
        <v>108</v>
      </c>
      <c r="G29" s="712">
        <v>92</v>
      </c>
      <c r="H29" s="719"/>
      <c r="I29" s="719"/>
      <c r="J29" s="719"/>
      <c r="K29" s="711">
        <v>88</v>
      </c>
      <c r="L29" s="712">
        <v>72</v>
      </c>
      <c r="M29" s="3" t="str">
        <f t="shared" si="2"/>
        <v>na</v>
      </c>
      <c r="N29" s="3" t="str">
        <f t="shared" si="2"/>
        <v>na</v>
      </c>
      <c r="O29" s="3" t="str">
        <f t="shared" si="2"/>
        <v>na</v>
      </c>
      <c r="P29" s="3">
        <f t="shared" si="2"/>
        <v>0.81481481481481477</v>
      </c>
      <c r="Q29" s="409">
        <f t="shared" si="2"/>
        <v>0.78260869565217395</v>
      </c>
      <c r="R29" s="525"/>
    </row>
    <row r="30" spans="1:19" ht="13" x14ac:dyDescent="0.3">
      <c r="A30" s="34">
        <f>'2014 Comm catch'!A30</f>
        <v>0</v>
      </c>
      <c r="B30">
        <v>37</v>
      </c>
      <c r="C30" s="763"/>
      <c r="D30" s="763"/>
      <c r="E30" s="763"/>
      <c r="F30" s="763"/>
      <c r="G30" s="764"/>
      <c r="H30" s="719"/>
      <c r="I30" s="719"/>
      <c r="J30" s="719"/>
      <c r="K30" s="719"/>
      <c r="L30" s="764"/>
      <c r="M30" s="3" t="str">
        <f t="shared" si="2"/>
        <v>na</v>
      </c>
      <c r="N30" s="3" t="str">
        <f t="shared" si="2"/>
        <v>na</v>
      </c>
      <c r="O30" s="3" t="str">
        <f t="shared" si="2"/>
        <v>na</v>
      </c>
      <c r="P30" s="3" t="str">
        <f t="shared" si="2"/>
        <v>na</v>
      </c>
      <c r="Q30" s="409" t="str">
        <f t="shared" si="2"/>
        <v>na</v>
      </c>
      <c r="R30" s="525"/>
    </row>
    <row r="31" spans="1:19" ht="13" x14ac:dyDescent="0.3">
      <c r="A31" s="34" t="str">
        <f>'2014 Comm catch'!A31</f>
        <v>8-inch</v>
      </c>
      <c r="B31">
        <v>38</v>
      </c>
      <c r="C31" s="763"/>
      <c r="D31" s="763"/>
      <c r="E31" s="763"/>
      <c r="F31" s="713">
        <v>640</v>
      </c>
      <c r="G31" s="712">
        <f>771-88</f>
        <v>683</v>
      </c>
      <c r="H31" s="719"/>
      <c r="I31" s="719"/>
      <c r="J31" s="719"/>
      <c r="K31" s="711">
        <v>363</v>
      </c>
      <c r="L31" s="712">
        <v>373</v>
      </c>
      <c r="M31" s="3" t="str">
        <f t="shared" si="2"/>
        <v>na</v>
      </c>
      <c r="N31" s="3" t="str">
        <f t="shared" si="2"/>
        <v>na</v>
      </c>
      <c r="O31" s="3" t="str">
        <f t="shared" si="2"/>
        <v>na</v>
      </c>
      <c r="P31" s="3">
        <f t="shared" si="2"/>
        <v>0.56718749999999996</v>
      </c>
      <c r="Q31" s="409">
        <f t="shared" si="2"/>
        <v>0.54612005856515378</v>
      </c>
      <c r="R31" s="525"/>
      <c r="S31" s="656">
        <f t="shared" ref="S31:S36" si="3">SUM(K31:L31)/SUM(F31:G31)</f>
        <v>0.5563114134542706</v>
      </c>
    </row>
    <row r="32" spans="1:19" ht="13" x14ac:dyDescent="0.3">
      <c r="A32" s="34" t="str">
        <f>'2014 Comm catch'!A32</f>
        <v>8-inch</v>
      </c>
      <c r="B32">
        <v>39</v>
      </c>
      <c r="C32" s="763"/>
      <c r="D32" s="763"/>
      <c r="E32" s="763"/>
      <c r="F32" s="713">
        <v>259</v>
      </c>
      <c r="G32" s="713">
        <v>99</v>
      </c>
      <c r="H32" s="719"/>
      <c r="I32" s="719"/>
      <c r="J32" s="719"/>
      <c r="K32" s="711">
        <v>126</v>
      </c>
      <c r="L32" s="712">
        <v>61</v>
      </c>
      <c r="M32" s="3" t="str">
        <f t="shared" si="2"/>
        <v>na</v>
      </c>
      <c r="N32" s="3" t="str">
        <f t="shared" si="2"/>
        <v>na</v>
      </c>
      <c r="O32" s="3" t="str">
        <f t="shared" si="2"/>
        <v>na</v>
      </c>
      <c r="P32" s="3">
        <f t="shared" si="2"/>
        <v>0.48648648648648651</v>
      </c>
      <c r="Q32" s="409">
        <f t="shared" si="2"/>
        <v>0.61616161616161613</v>
      </c>
      <c r="R32" s="525"/>
      <c r="S32" s="656">
        <f t="shared" si="3"/>
        <v>0.52234636871508378</v>
      </c>
    </row>
    <row r="33" spans="1:19" ht="13" x14ac:dyDescent="0.3">
      <c r="A33" s="34" t="str">
        <f>'2014 Comm catch'!A33</f>
        <v>1-3=tangle, 4-5=8-inch</v>
      </c>
      <c r="B33">
        <v>40</v>
      </c>
      <c r="C33" s="713">
        <v>189</v>
      </c>
      <c r="D33" s="713">
        <v>673</v>
      </c>
      <c r="E33" s="713">
        <v>528</v>
      </c>
      <c r="F33" s="713">
        <v>358</v>
      </c>
      <c r="G33" s="712">
        <v>192</v>
      </c>
      <c r="H33" s="711">
        <v>2</v>
      </c>
      <c r="I33" s="711">
        <v>3</v>
      </c>
      <c r="J33" s="711">
        <v>0</v>
      </c>
      <c r="K33" s="711">
        <v>144</v>
      </c>
      <c r="L33" s="712">
        <v>74</v>
      </c>
      <c r="M33" s="3">
        <f>IF(C33&gt;0,H33/C33,"na")</f>
        <v>1.0582010582010581E-2</v>
      </c>
      <c r="N33" s="3">
        <f>IF(D33&gt;0,I33/D33,"na")</f>
        <v>4.4576523031203564E-3</v>
      </c>
      <c r="O33" s="3">
        <f>IF(E33&gt;0,J33/E33,"na")</f>
        <v>0</v>
      </c>
      <c r="P33" s="3">
        <f>IF(F33&gt;0,K33/F33,"na")</f>
        <v>0.4022346368715084</v>
      </c>
      <c r="Q33" s="409">
        <f>IF(G33&gt;0,L33/G33,"na")</f>
        <v>0.38541666666666669</v>
      </c>
      <c r="R33" s="525">
        <f t="shared" ref="R33:R38" si="4">SUM(H33:J33)/SUM(C33:E33)</f>
        <v>3.5971223021582736E-3</v>
      </c>
      <c r="S33" s="656">
        <f t="shared" si="3"/>
        <v>0.39636363636363636</v>
      </c>
    </row>
    <row r="34" spans="1:19" ht="13" x14ac:dyDescent="0.3">
      <c r="A34" s="34" t="str">
        <f>'2014 Comm catch'!A34</f>
        <v>1-3=6-inch, 4-5=8-inch</v>
      </c>
      <c r="B34">
        <v>41</v>
      </c>
      <c r="C34" s="713">
        <v>2003</v>
      </c>
      <c r="D34" s="713">
        <v>1167</v>
      </c>
      <c r="E34" s="713">
        <v>1159</v>
      </c>
      <c r="F34" s="713">
        <v>325</v>
      </c>
      <c r="G34" s="712">
        <v>83</v>
      </c>
      <c r="H34" s="711">
        <v>317</v>
      </c>
      <c r="I34" s="711">
        <v>157</v>
      </c>
      <c r="J34" s="711">
        <v>163</v>
      </c>
      <c r="K34" s="711">
        <v>53</v>
      </c>
      <c r="L34" s="712">
        <v>22</v>
      </c>
      <c r="M34" s="3">
        <f t="shared" si="2"/>
        <v>0.15826260609086371</v>
      </c>
      <c r="N34" s="3">
        <f t="shared" si="2"/>
        <v>0.13453299057412169</v>
      </c>
      <c r="O34" s="3">
        <f t="shared" si="2"/>
        <v>0.14063848144952545</v>
      </c>
      <c r="P34" s="3">
        <f t="shared" si="2"/>
        <v>0.16307692307692306</v>
      </c>
      <c r="Q34" s="409">
        <f t="shared" si="2"/>
        <v>0.26506024096385544</v>
      </c>
      <c r="R34" s="525">
        <f t="shared" si="4"/>
        <v>0.14714714714714713</v>
      </c>
      <c r="S34" s="656">
        <f t="shared" si="3"/>
        <v>0.18382352941176472</v>
      </c>
    </row>
    <row r="35" spans="1:19" ht="13" x14ac:dyDescent="0.3">
      <c r="A35" s="34" t="str">
        <f>'2014 Comm catch'!A35</f>
        <v>Tangle net</v>
      </c>
      <c r="B35">
        <v>41</v>
      </c>
      <c r="C35" s="713">
        <v>233</v>
      </c>
      <c r="D35" s="713">
        <v>795</v>
      </c>
      <c r="E35" s="713">
        <v>837</v>
      </c>
      <c r="F35" s="763"/>
      <c r="G35" s="764"/>
      <c r="H35" s="711">
        <v>0</v>
      </c>
      <c r="I35" s="711">
        <v>3</v>
      </c>
      <c r="J35" s="711">
        <v>1</v>
      </c>
      <c r="K35" s="719"/>
      <c r="L35" s="764"/>
      <c r="M35" s="3">
        <f>N35</f>
        <v>3.7735849056603774E-3</v>
      </c>
      <c r="N35" s="3">
        <f t="shared" ref="N35" si="5">IF(D35&gt;0,I35/D35,"na")</f>
        <v>3.7735849056603774E-3</v>
      </c>
      <c r="O35" s="3">
        <f t="shared" ref="O35" si="6">IF(E35&gt;0,J35/E35,"na")</f>
        <v>1.1947431302270011E-3</v>
      </c>
      <c r="P35" s="3" t="str">
        <f t="shared" ref="P35" si="7">IF(F35&gt;0,K35/F35,"na")</f>
        <v>na</v>
      </c>
      <c r="Q35" s="409" t="str">
        <f t="shared" ref="Q35" si="8">IF(G35&gt;0,L35/G35,"na")</f>
        <v>na</v>
      </c>
      <c r="R35" s="525">
        <f t="shared" ref="R35" si="9">SUM(H35:J35)/SUM(C35:E35)</f>
        <v>2.1447721179624667E-3</v>
      </c>
      <c r="S35" s="656" t="e">
        <f t="shared" si="3"/>
        <v>#DIV/0!</v>
      </c>
    </row>
    <row r="36" spans="1:19" ht="13" x14ac:dyDescent="0.3">
      <c r="A36" s="34" t="str">
        <f>'2014 Comm catch'!A36</f>
        <v>1-3=6-inch, 4-5=8-inch</v>
      </c>
      <c r="B36">
        <v>42</v>
      </c>
      <c r="C36" s="713">
        <v>79</v>
      </c>
      <c r="D36" s="713">
        <v>1452</v>
      </c>
      <c r="E36" s="713">
        <v>961</v>
      </c>
      <c r="F36" s="713">
        <v>60</v>
      </c>
      <c r="G36" s="713">
        <v>20</v>
      </c>
      <c r="H36" s="711">
        <v>20</v>
      </c>
      <c r="I36" s="711">
        <v>220</v>
      </c>
      <c r="J36" s="711">
        <v>198</v>
      </c>
      <c r="K36" s="711">
        <v>11</v>
      </c>
      <c r="L36" s="712">
        <v>4</v>
      </c>
      <c r="M36" s="3">
        <f>N36</f>
        <v>0.15151515151515152</v>
      </c>
      <c r="N36" s="3">
        <f t="shared" si="2"/>
        <v>0.15151515151515152</v>
      </c>
      <c r="O36" s="3">
        <f t="shared" si="2"/>
        <v>0.2060353798126951</v>
      </c>
      <c r="P36" s="3">
        <f t="shared" si="2"/>
        <v>0.18333333333333332</v>
      </c>
      <c r="Q36" s="409">
        <f t="shared" si="2"/>
        <v>0.2</v>
      </c>
      <c r="R36" s="525">
        <f t="shared" si="4"/>
        <v>0.17576243980738362</v>
      </c>
      <c r="S36" s="656">
        <f t="shared" si="3"/>
        <v>0.1875</v>
      </c>
    </row>
    <row r="37" spans="1:19" ht="13" x14ac:dyDescent="0.3">
      <c r="A37" s="34" t="str">
        <f>'2014 Comm catch'!A37</f>
        <v>Tangle net</v>
      </c>
      <c r="B37">
        <v>42</v>
      </c>
      <c r="C37" s="713">
        <v>0</v>
      </c>
      <c r="D37" s="713">
        <v>142</v>
      </c>
      <c r="E37" s="713">
        <v>166</v>
      </c>
      <c r="F37" s="763"/>
      <c r="G37" s="764"/>
      <c r="H37" s="711">
        <v>0</v>
      </c>
      <c r="I37" s="711">
        <v>0</v>
      </c>
      <c r="J37" s="711">
        <v>0</v>
      </c>
      <c r="K37" s="719"/>
      <c r="L37" s="764"/>
      <c r="M37" s="3">
        <f>N37</f>
        <v>0</v>
      </c>
      <c r="N37" s="3">
        <f t="shared" si="2"/>
        <v>0</v>
      </c>
      <c r="O37" s="3">
        <f t="shared" si="2"/>
        <v>0</v>
      </c>
      <c r="P37" s="3" t="str">
        <f t="shared" si="2"/>
        <v>na</v>
      </c>
      <c r="Q37" s="409" t="str">
        <f t="shared" si="2"/>
        <v>na</v>
      </c>
      <c r="R37" s="525">
        <f t="shared" si="4"/>
        <v>0</v>
      </c>
      <c r="S37" s="704"/>
    </row>
    <row r="38" spans="1:19" ht="13" x14ac:dyDescent="0.3">
      <c r="A38" s="34" t="str">
        <f>'2014 Comm catch'!A38</f>
        <v>1-3=6-inch, 4-5=8-inch</v>
      </c>
      <c r="B38">
        <v>43</v>
      </c>
      <c r="C38" s="713">
        <v>0</v>
      </c>
      <c r="D38" s="713">
        <v>2635</v>
      </c>
      <c r="E38" s="713">
        <v>2135</v>
      </c>
      <c r="F38" s="713">
        <v>37</v>
      </c>
      <c r="G38" s="712">
        <v>15</v>
      </c>
      <c r="H38" s="711">
        <v>0</v>
      </c>
      <c r="I38" s="711">
        <v>409</v>
      </c>
      <c r="J38" s="711">
        <v>283</v>
      </c>
      <c r="K38" s="711">
        <v>4</v>
      </c>
      <c r="L38" s="712">
        <v>5</v>
      </c>
      <c r="M38" s="3" t="str">
        <f>IF(C38&gt;0,H38/C38,"na")</f>
        <v>na</v>
      </c>
      <c r="N38" s="3">
        <f t="shared" si="2"/>
        <v>0.15521821631878557</v>
      </c>
      <c r="O38" s="3">
        <f t="shared" si="2"/>
        <v>0.13255269320843091</v>
      </c>
      <c r="P38" s="3">
        <f t="shared" si="2"/>
        <v>0.10810810810810811</v>
      </c>
      <c r="Q38" s="409">
        <f t="shared" si="2"/>
        <v>0.33333333333333331</v>
      </c>
      <c r="R38" s="525">
        <f t="shared" si="4"/>
        <v>0.14507337526205449</v>
      </c>
      <c r="S38" s="656">
        <f>SUM(K38:L38)/SUM(F38:G38)</f>
        <v>0.17307692307692307</v>
      </c>
    </row>
    <row r="39" spans="1:19" ht="13" x14ac:dyDescent="0.3">
      <c r="A39" s="34" t="str">
        <f>'2014 Comm catch'!A39</f>
        <v>Tangle net</v>
      </c>
      <c r="B39">
        <v>43</v>
      </c>
      <c r="C39" s="713">
        <v>0</v>
      </c>
      <c r="D39" s="713">
        <v>722</v>
      </c>
      <c r="E39" s="713">
        <v>213</v>
      </c>
      <c r="F39" s="763"/>
      <c r="G39" s="764"/>
      <c r="H39" s="711">
        <v>0</v>
      </c>
      <c r="I39" s="711">
        <v>0</v>
      </c>
      <c r="J39" s="711">
        <v>0</v>
      </c>
      <c r="K39" s="719"/>
      <c r="L39" s="764"/>
      <c r="M39" s="3">
        <f>N39</f>
        <v>0</v>
      </c>
      <c r="N39" s="3">
        <f t="shared" ref="N39" si="10">IF(D39&gt;0,I39/D39,"na")</f>
        <v>0</v>
      </c>
      <c r="O39" s="3">
        <f t="shared" ref="O39" si="11">IF(E39&gt;0,J39/E39,"na")</f>
        <v>0</v>
      </c>
      <c r="P39" s="3" t="str">
        <f t="shared" ref="P39" si="12">IF(F39&gt;0,K39/F39,"na")</f>
        <v>na</v>
      </c>
      <c r="Q39" s="409" t="str">
        <f t="shared" ref="Q39" si="13">IF(G39&gt;0,L39/G39,"na")</f>
        <v>na</v>
      </c>
      <c r="R39" s="525">
        <f t="shared" ref="R39:R40" si="14">SUM(H39:J39)/SUM(C39:E39)</f>
        <v>0</v>
      </c>
      <c r="S39" s="704"/>
    </row>
    <row r="40" spans="1:19" ht="13" x14ac:dyDescent="0.3">
      <c r="A40" s="34" t="str">
        <f>'2014 Comm catch'!A40</f>
        <v>1-3=6-inch, 4-5=8-inch</v>
      </c>
      <c r="B40">
        <v>44</v>
      </c>
      <c r="C40" s="713">
        <v>0</v>
      </c>
      <c r="D40" s="713">
        <v>4022</v>
      </c>
      <c r="E40" s="713">
        <v>1540</v>
      </c>
      <c r="F40" s="713">
        <v>0</v>
      </c>
      <c r="G40" s="712">
        <v>6</v>
      </c>
      <c r="H40" s="711">
        <v>0</v>
      </c>
      <c r="I40" s="711">
        <v>524</v>
      </c>
      <c r="J40" s="711">
        <v>202</v>
      </c>
      <c r="K40" s="711">
        <v>0</v>
      </c>
      <c r="L40" s="712">
        <v>1</v>
      </c>
      <c r="M40" s="3" t="str">
        <f>IF(C40&gt;0,H40/C40,"na")</f>
        <v>na</v>
      </c>
      <c r="N40" s="3">
        <f>IF(D40&gt;0,I40/D40,"na")</f>
        <v>0.13028344107409248</v>
      </c>
      <c r="O40" s="3">
        <f t="shared" si="2"/>
        <v>0.13116883116883116</v>
      </c>
      <c r="P40" s="3" t="str">
        <f t="shared" si="2"/>
        <v>na</v>
      </c>
      <c r="Q40" s="409">
        <f t="shared" si="2"/>
        <v>0.16666666666666666</v>
      </c>
      <c r="R40" s="525">
        <f t="shared" si="14"/>
        <v>0.13052858683926646</v>
      </c>
      <c r="S40" s="656">
        <f>SUM(K40:L40)/SUM(F40:G40)</f>
        <v>0.16666666666666666</v>
      </c>
    </row>
    <row r="41" spans="1:19" x14ac:dyDescent="0.25">
      <c r="B41">
        <v>45</v>
      </c>
      <c r="C41" s="766"/>
      <c r="D41" s="766"/>
      <c r="E41" s="766"/>
      <c r="F41" s="766"/>
      <c r="G41" s="767"/>
      <c r="H41" s="719"/>
      <c r="I41" s="719"/>
      <c r="J41" s="719"/>
      <c r="K41" s="719"/>
      <c r="L41" s="764"/>
      <c r="M41" s="3" t="str">
        <f>IF(C41&gt;0,H41/C41,"na")</f>
        <v>na</v>
      </c>
      <c r="N41" s="3" t="str">
        <f t="shared" ref="N41:P42" si="15">IF(D41&gt;0,I41/D41,"na")</f>
        <v>na</v>
      </c>
      <c r="O41" s="3" t="str">
        <f t="shared" si="15"/>
        <v>na</v>
      </c>
      <c r="P41" s="3" t="str">
        <f t="shared" si="15"/>
        <v>na</v>
      </c>
      <c r="Q41" s="409" t="str">
        <f>IF(G41&gt;0,L41/G41,"na")</f>
        <v>na</v>
      </c>
      <c r="R41" s="402"/>
    </row>
    <row r="42" spans="1:19" x14ac:dyDescent="0.25">
      <c r="B42" t="s">
        <v>184</v>
      </c>
      <c r="C42" s="329">
        <f>SUM(C25:C41)</f>
        <v>2504</v>
      </c>
      <c r="D42" s="195">
        <f t="shared" ref="D42:L42" si="16">SUM(D25:D41)</f>
        <v>11608</v>
      </c>
      <c r="E42" s="195">
        <f t="shared" si="16"/>
        <v>7539</v>
      </c>
      <c r="F42" s="195">
        <f t="shared" si="16"/>
        <v>1896</v>
      </c>
      <c r="G42" s="330">
        <f t="shared" si="16"/>
        <v>1214</v>
      </c>
      <c r="H42" s="329">
        <f t="shared" si="16"/>
        <v>339</v>
      </c>
      <c r="I42" s="195">
        <f t="shared" si="16"/>
        <v>1316</v>
      </c>
      <c r="J42" s="195">
        <f t="shared" si="16"/>
        <v>847</v>
      </c>
      <c r="K42" s="195">
        <f t="shared" si="16"/>
        <v>884</v>
      </c>
      <c r="L42" s="404">
        <f t="shared" si="16"/>
        <v>634</v>
      </c>
      <c r="M42" s="223">
        <f>IF(C42&gt;0,H42/C42,"na")</f>
        <v>0.13538338658146964</v>
      </c>
      <c r="N42" s="528">
        <f t="shared" si="15"/>
        <v>0.11337008959338388</v>
      </c>
      <c r="O42" s="528">
        <f t="shared" si="15"/>
        <v>0.11234911792014857</v>
      </c>
      <c r="P42" s="528">
        <f t="shared" si="15"/>
        <v>0.46624472573839665</v>
      </c>
      <c r="Q42" s="529">
        <f>IF(G42&gt;0,L42/G42,"na")</f>
        <v>0.52224052718286651</v>
      </c>
      <c r="R42" s="525"/>
    </row>
    <row r="43" spans="1:19" x14ac:dyDescent="0.25">
      <c r="C43" s="44"/>
      <c r="D43" s="44"/>
      <c r="E43" s="44"/>
      <c r="F43" s="44"/>
      <c r="G43" s="44"/>
      <c r="H43" s="44"/>
      <c r="I43" s="44"/>
      <c r="J43" s="44"/>
      <c r="K43" s="44"/>
      <c r="L43" s="44"/>
      <c r="M43" s="44"/>
      <c r="N43" s="44"/>
      <c r="O43" s="44"/>
      <c r="P43" s="44"/>
      <c r="Q43" s="531"/>
      <c r="R43" s="531"/>
    </row>
  </sheetData>
  <mergeCells count="6">
    <mergeCell ref="C3:F3"/>
    <mergeCell ref="G3:J3"/>
    <mergeCell ref="K3:N3"/>
    <mergeCell ref="C23:G23"/>
    <mergeCell ref="H23:L23"/>
    <mergeCell ref="M23:Q23"/>
  </mergeCells>
  <pageMargins left="0.75" right="0.75" top="1"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L365"/>
  <sheetViews>
    <sheetView workbookViewId="0">
      <pane xSplit="1" ySplit="2" topLeftCell="B54" activePane="bottomRight" state="frozen"/>
      <selection pane="topRight" activeCell="B1" sqref="B1"/>
      <selection pane="bottomLeft" activeCell="A3" sqref="A3"/>
      <selection pane="bottomRight" activeCell="C63" sqref="C63"/>
    </sheetView>
  </sheetViews>
  <sheetFormatPr defaultColWidth="9.1796875" defaultRowHeight="12.5" x14ac:dyDescent="0.25"/>
  <cols>
    <col min="1" max="1" width="5" style="44" bestFit="1" customWidth="1"/>
    <col min="2" max="2" width="5.81640625" style="44" bestFit="1" customWidth="1"/>
    <col min="3" max="3" width="11.1796875" style="44" bestFit="1" customWidth="1"/>
    <col min="4" max="4" width="9.453125" style="44" bestFit="1" customWidth="1"/>
    <col min="5" max="5" width="7.453125" style="44" bestFit="1" customWidth="1"/>
    <col min="6" max="6" width="7.1796875" style="44" bestFit="1" customWidth="1"/>
    <col min="7" max="7" width="11.1796875" style="44" bestFit="1" customWidth="1"/>
    <col min="8" max="8" width="9.453125" style="44" bestFit="1" customWidth="1"/>
    <col min="9" max="9" width="7.453125" style="44" bestFit="1" customWidth="1"/>
    <col min="10" max="10" width="7.1796875" style="44" bestFit="1" customWidth="1"/>
    <col min="11" max="13" width="5" style="44" bestFit="1" customWidth="1"/>
    <col min="14" max="16" width="4" style="44" bestFit="1" customWidth="1"/>
    <col min="17" max="17" width="5" style="44" bestFit="1" customWidth="1"/>
    <col min="18" max="20" width="4" style="44" bestFit="1" customWidth="1"/>
    <col min="21" max="21" width="9.1796875" style="44"/>
    <col min="22" max="22" width="10.54296875" style="44" customWidth="1"/>
    <col min="23" max="23" width="18.81640625" style="44" customWidth="1"/>
    <col min="24" max="24" width="17" style="44" customWidth="1"/>
    <col min="25" max="25" width="15" style="44" customWidth="1"/>
    <col min="26" max="26" width="14.7265625" style="44" customWidth="1"/>
    <col min="27" max="31" width="9.453125" style="44" customWidth="1"/>
    <col min="32" max="35" width="15" style="44" customWidth="1"/>
    <col min="36" max="116" width="13.26953125" style="44" customWidth="1"/>
    <col min="117" max="117" width="10.54296875" style="44" customWidth="1"/>
    <col min="118" max="118" width="8.54296875" style="44" customWidth="1"/>
    <col min="119" max="119" width="6" style="44" customWidth="1"/>
    <col min="120" max="120" width="8.54296875" style="44" customWidth="1"/>
    <col min="121" max="121" width="6" style="44" customWidth="1"/>
    <col min="122" max="122" width="8.54296875" style="44" customWidth="1"/>
    <col min="123" max="123" width="6" style="44" customWidth="1"/>
    <col min="124" max="124" width="8.54296875" style="44" customWidth="1"/>
    <col min="125" max="125" width="6" style="44" customWidth="1"/>
    <col min="126" max="126" width="8.54296875" style="44" customWidth="1"/>
    <col min="127" max="127" width="6" style="44" customWidth="1"/>
    <col min="128" max="128" width="8.54296875" style="44" customWidth="1"/>
    <col min="129" max="129" width="6" style="44" customWidth="1"/>
    <col min="130" max="130" width="8.54296875" style="44" customWidth="1"/>
    <col min="131" max="131" width="6" style="44" customWidth="1"/>
    <col min="132" max="132" width="8.54296875" style="44" customWidth="1"/>
    <col min="133" max="133" width="6" style="44" customWidth="1"/>
    <col min="134" max="134" width="8.54296875" style="44" customWidth="1"/>
    <col min="135" max="135" width="6" style="44" customWidth="1"/>
    <col min="136" max="136" width="8.54296875" style="44" customWidth="1"/>
    <col min="137" max="137" width="6" style="44" customWidth="1"/>
    <col min="138" max="138" width="8.54296875" style="44" customWidth="1"/>
    <col min="139" max="139" width="6" style="44" customWidth="1"/>
    <col min="140" max="140" width="8.54296875" style="44" customWidth="1"/>
    <col min="141" max="141" width="6" style="44" customWidth="1"/>
    <col min="142" max="142" width="8.54296875" style="44" customWidth="1"/>
    <col min="143" max="143" width="6" style="44" customWidth="1"/>
    <col min="144" max="144" width="8.54296875" style="44" customWidth="1"/>
    <col min="145" max="145" width="6" style="44" customWidth="1"/>
    <col min="146" max="146" width="8.54296875" style="44" customWidth="1"/>
    <col min="147" max="147" width="6" style="44" customWidth="1"/>
    <col min="148" max="148" width="8.54296875" style="44" customWidth="1"/>
    <col min="149" max="149" width="6" style="44" customWidth="1"/>
    <col min="150" max="150" width="8.54296875" style="44" customWidth="1"/>
    <col min="151" max="151" width="6" style="44" customWidth="1"/>
    <col min="152" max="152" width="8.54296875" style="44" customWidth="1"/>
    <col min="153" max="153" width="6" style="44" customWidth="1"/>
    <col min="154" max="154" width="8.54296875" style="44" customWidth="1"/>
    <col min="155" max="156" width="6" style="44" customWidth="1"/>
    <col min="157" max="157" width="8.54296875" style="44" customWidth="1"/>
    <col min="158" max="158" width="6" style="44" customWidth="1"/>
    <col min="159" max="159" width="8.54296875" style="44" customWidth="1"/>
    <col min="160" max="160" width="6" style="44" customWidth="1"/>
    <col min="161" max="161" width="8.54296875" style="44" customWidth="1"/>
    <col min="162" max="162" width="6" style="44" customWidth="1"/>
    <col min="163" max="163" width="8.54296875" style="44" customWidth="1"/>
    <col min="164" max="164" width="6" style="44" customWidth="1"/>
    <col min="165" max="165" width="8.54296875" style="44" customWidth="1"/>
    <col min="166" max="166" width="6" style="44" customWidth="1"/>
    <col min="167" max="167" width="8.54296875" style="44" customWidth="1"/>
    <col min="168" max="168" width="6" style="44" customWidth="1"/>
    <col min="169" max="169" width="8.54296875" style="44" customWidth="1"/>
    <col min="170" max="170" width="6" style="44" customWidth="1"/>
    <col min="171" max="171" width="8.54296875" style="44" customWidth="1"/>
    <col min="172" max="172" width="6" style="44" customWidth="1"/>
    <col min="173" max="173" width="8.54296875" style="44" customWidth="1"/>
    <col min="174" max="174" width="6" style="44" customWidth="1"/>
    <col min="175" max="175" width="8.54296875" style="44" customWidth="1"/>
    <col min="176" max="176" width="6" style="44" customWidth="1"/>
    <col min="177" max="177" width="8.54296875" style="44" customWidth="1"/>
    <col min="178" max="178" width="6" style="44" customWidth="1"/>
    <col min="179" max="179" width="8.54296875" style="44" customWidth="1"/>
    <col min="180" max="180" width="6" style="44" customWidth="1"/>
    <col min="181" max="181" width="8.54296875" style="44" customWidth="1"/>
    <col min="182" max="182" width="6" style="44" customWidth="1"/>
    <col min="183" max="183" width="8.54296875" style="44" customWidth="1"/>
    <col min="184" max="184" width="6" style="44" customWidth="1"/>
    <col min="185" max="185" width="8.54296875" style="44" customWidth="1"/>
    <col min="186" max="186" width="6" style="44" customWidth="1"/>
    <col min="187" max="187" width="8.54296875" style="44" customWidth="1"/>
    <col min="188" max="188" width="6" style="44" customWidth="1"/>
    <col min="189" max="189" width="8.54296875" style="44" customWidth="1"/>
    <col min="190" max="190" width="6" style="44" customWidth="1"/>
    <col min="191" max="191" width="8.54296875" style="44" customWidth="1"/>
    <col min="192" max="192" width="6" style="44" customWidth="1"/>
    <col min="193" max="193" width="8.54296875" style="44" customWidth="1"/>
    <col min="194" max="194" width="6" style="44" customWidth="1"/>
    <col min="195" max="195" width="8.54296875" style="44" customWidth="1"/>
    <col min="196" max="196" width="7" style="44" customWidth="1"/>
    <col min="197" max="197" width="9.54296875" style="44" bestFit="1" customWidth="1"/>
    <col min="198" max="198" width="7" style="44" customWidth="1"/>
    <col min="199" max="199" width="9.54296875" style="44" bestFit="1" customWidth="1"/>
    <col min="200" max="200" width="7" style="44" customWidth="1"/>
    <col min="201" max="201" width="9.54296875" style="44" bestFit="1" customWidth="1"/>
    <col min="202" max="202" width="7" style="44" customWidth="1"/>
    <col min="203" max="203" width="9.54296875" style="44" bestFit="1" customWidth="1"/>
    <col min="204" max="204" width="7" style="44" customWidth="1"/>
    <col min="205" max="205" width="9.54296875" style="44" bestFit="1" customWidth="1"/>
    <col min="206" max="206" width="7" style="44" customWidth="1"/>
    <col min="207" max="207" width="9.54296875" style="44" bestFit="1" customWidth="1"/>
    <col min="208" max="208" width="7" style="44" customWidth="1"/>
    <col min="209" max="209" width="9.54296875" style="44" bestFit="1" customWidth="1"/>
    <col min="210" max="210" width="7" style="44" customWidth="1"/>
    <col min="211" max="211" width="9.54296875" style="44" bestFit="1" customWidth="1"/>
    <col min="212" max="212" width="7" style="44" customWidth="1"/>
    <col min="213" max="213" width="9.54296875" style="44" bestFit="1" customWidth="1"/>
    <col min="214" max="214" width="7" style="44" customWidth="1"/>
    <col min="215" max="215" width="9.54296875" style="44" bestFit="1" customWidth="1"/>
    <col min="216" max="216" width="7" style="44" customWidth="1"/>
    <col min="217" max="217" width="9.54296875" style="44" bestFit="1" customWidth="1"/>
    <col min="218" max="218" width="7" style="44" customWidth="1"/>
    <col min="219" max="219" width="9.54296875" style="44" bestFit="1" customWidth="1"/>
    <col min="220" max="220" width="10.54296875" style="44" bestFit="1" customWidth="1"/>
    <col min="221" max="16384" width="9.1796875" style="44"/>
  </cols>
  <sheetData>
    <row r="1" spans="1:220" x14ac:dyDescent="0.25">
      <c r="C1" s="898" t="s">
        <v>292</v>
      </c>
      <c r="D1" s="899"/>
      <c r="E1" s="899"/>
      <c r="F1" s="899"/>
      <c r="G1" s="898" t="s">
        <v>291</v>
      </c>
      <c r="H1" s="899"/>
      <c r="I1" s="899"/>
      <c r="J1" s="899"/>
      <c r="K1" s="898" t="s">
        <v>289</v>
      </c>
      <c r="L1" s="899"/>
      <c r="M1" s="899"/>
      <c r="N1" s="899"/>
      <c r="O1" s="899"/>
      <c r="P1" s="898" t="s">
        <v>290</v>
      </c>
      <c r="Q1" s="899"/>
      <c r="R1" s="899"/>
      <c r="S1" s="899"/>
      <c r="T1" s="899"/>
    </row>
    <row r="2" spans="1:220" x14ac:dyDescent="0.25">
      <c r="A2" s="222" t="s">
        <v>288</v>
      </c>
      <c r="B2" s="44" t="s">
        <v>134</v>
      </c>
      <c r="C2" s="44" t="s">
        <v>31</v>
      </c>
      <c r="D2" s="44" t="s">
        <v>62</v>
      </c>
      <c r="E2" s="44" t="s">
        <v>260</v>
      </c>
      <c r="F2" s="44" t="s">
        <v>203</v>
      </c>
      <c r="G2" s="44" t="s">
        <v>31</v>
      </c>
      <c r="H2" s="44" t="s">
        <v>62</v>
      </c>
      <c r="I2" s="44" t="s">
        <v>260</v>
      </c>
      <c r="J2" s="44" t="s">
        <v>203</v>
      </c>
      <c r="K2" s="44">
        <v>1</v>
      </c>
      <c r="L2" s="44">
        <v>2</v>
      </c>
      <c r="M2" s="44">
        <v>3</v>
      </c>
      <c r="N2" s="44">
        <v>4</v>
      </c>
      <c r="O2" s="44">
        <v>5</v>
      </c>
      <c r="P2" s="44">
        <v>1</v>
      </c>
      <c r="Q2" s="44">
        <v>2</v>
      </c>
      <c r="R2" s="44">
        <v>3</v>
      </c>
      <c r="S2" s="44">
        <v>4</v>
      </c>
      <c r="T2" s="44">
        <v>5</v>
      </c>
      <c r="V2" s="427" t="s">
        <v>303</v>
      </c>
    </row>
    <row r="3" spans="1:220" x14ac:dyDescent="0.25">
      <c r="A3" s="44">
        <v>2000</v>
      </c>
      <c r="B3" s="44">
        <v>32</v>
      </c>
      <c r="C3" s="44">
        <f>'2000 sampling'!$B$7</f>
        <v>0</v>
      </c>
      <c r="D3" s="44">
        <f>'2000 sampling'!$B$9</f>
        <v>0</v>
      </c>
      <c r="E3" s="44">
        <f>'2000 sampling'!$B$8</f>
        <v>0</v>
      </c>
      <c r="G3" s="44">
        <f>'2000 sampling'!$C$7</f>
        <v>0</v>
      </c>
      <c r="H3" s="44">
        <f>'2000 sampling'!$C$9</f>
        <v>0</v>
      </c>
      <c r="I3" s="44">
        <f>'2000 sampling'!$C$8</f>
        <v>0</v>
      </c>
      <c r="K3" s="44">
        <f>'2000 sampling'!$B$11</f>
        <v>0</v>
      </c>
      <c r="L3" s="44">
        <f>'2000 sampling'!$B$12</f>
        <v>0</v>
      </c>
      <c r="M3" s="44">
        <f>'2000 sampling'!$B$13</f>
        <v>0</v>
      </c>
      <c r="N3" s="44">
        <f>'2000 sampling'!$B$14</f>
        <v>0</v>
      </c>
      <c r="O3" s="44">
        <f>'2000 sampling'!$B$15</f>
        <v>0</v>
      </c>
      <c r="P3" s="44">
        <f>'2000 sampling'!$C$11</f>
        <v>0</v>
      </c>
      <c r="Q3" s="44">
        <f>'2000 sampling'!$C$12</f>
        <v>0</v>
      </c>
      <c r="R3" s="44">
        <f>'2000 sampling'!$C$13</f>
        <v>0</v>
      </c>
      <c r="S3" s="44">
        <f>'2000 sampling'!$C$14</f>
        <v>0</v>
      </c>
      <c r="T3" s="44">
        <f>'2000 sampling'!$C$15</f>
        <v>0</v>
      </c>
      <c r="V3" s="661"/>
      <c r="W3" s="664" t="s">
        <v>294</v>
      </c>
      <c r="X3" s="662"/>
      <c r="Y3" s="662"/>
      <c r="Z3" s="662"/>
      <c r="AA3" s="662"/>
      <c r="AB3" s="662"/>
      <c r="AC3" s="662"/>
      <c r="AD3" s="662"/>
      <c r="AE3" s="66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row>
    <row r="4" spans="1:220" x14ac:dyDescent="0.25">
      <c r="A4" s="44">
        <v>2000</v>
      </c>
      <c r="B4" s="44">
        <v>33</v>
      </c>
      <c r="C4" s="44">
        <f>'2000 sampling'!$F$7</f>
        <v>2</v>
      </c>
      <c r="D4" s="44">
        <f>'2000 sampling'!$F$9</f>
        <v>0</v>
      </c>
      <c r="E4" s="44">
        <f>'2000 sampling'!$F$8</f>
        <v>0</v>
      </c>
      <c r="G4" s="44">
        <f>'2000 sampling'!$G$7</f>
        <v>1</v>
      </c>
      <c r="H4" s="44">
        <f>'2000 sampling'!$G$9</f>
        <v>0</v>
      </c>
      <c r="I4" s="44">
        <f>'2000 sampling'!$G$8</f>
        <v>0</v>
      </c>
      <c r="K4" s="44">
        <f>'2000 sampling'!$F$11</f>
        <v>0</v>
      </c>
      <c r="L4" s="44">
        <f>'2000 sampling'!$F$12</f>
        <v>0</v>
      </c>
      <c r="M4" s="44">
        <f>'2000 sampling'!$F$13</f>
        <v>0</v>
      </c>
      <c r="N4" s="44">
        <f>'2000 sampling'!$F$14</f>
        <v>0</v>
      </c>
      <c r="O4" s="44">
        <f>'2000 sampling'!$F$15</f>
        <v>0</v>
      </c>
      <c r="P4" s="44">
        <f>'2000 sampling'!$G$11</f>
        <v>0</v>
      </c>
      <c r="Q4" s="44">
        <f>'2000 sampling'!$G$12</f>
        <v>0</v>
      </c>
      <c r="R4" s="44">
        <f>'2000 sampling'!$G$13</f>
        <v>0</v>
      </c>
      <c r="S4" s="44">
        <f>'2000 sampling'!$G$14</f>
        <v>0</v>
      </c>
      <c r="T4" s="44">
        <f>'2000 sampling'!$G$15</f>
        <v>0</v>
      </c>
      <c r="V4" s="664" t="s">
        <v>134</v>
      </c>
      <c r="W4" s="661" t="s">
        <v>295</v>
      </c>
      <c r="X4" s="667" t="s">
        <v>293</v>
      </c>
      <c r="Y4" s="667" t="s">
        <v>296</v>
      </c>
      <c r="Z4" s="667" t="s">
        <v>302</v>
      </c>
      <c r="AA4" s="667" t="s">
        <v>297</v>
      </c>
      <c r="AB4" s="667" t="s">
        <v>298</v>
      </c>
      <c r="AC4" s="667" t="s">
        <v>299</v>
      </c>
      <c r="AD4" s="667" t="s">
        <v>300</v>
      </c>
      <c r="AE4" s="674" t="s">
        <v>301</v>
      </c>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row>
    <row r="5" spans="1:220" x14ac:dyDescent="0.25">
      <c r="A5" s="44">
        <v>2000</v>
      </c>
      <c r="B5" s="44">
        <v>34</v>
      </c>
      <c r="C5" s="44">
        <f>'2000 sampling'!$J$7</f>
        <v>1</v>
      </c>
      <c r="D5" s="44">
        <f>'2000 sampling'!$J$9</f>
        <v>0</v>
      </c>
      <c r="E5" s="44">
        <f>'2000 sampling'!$J$8</f>
        <v>0</v>
      </c>
      <c r="G5" s="44">
        <f>'2000 sampling'!$K$7</f>
        <v>0</v>
      </c>
      <c r="H5" s="44">
        <f>'2000 sampling'!$K$9</f>
        <v>0</v>
      </c>
      <c r="I5" s="44">
        <f>'2000 sampling'!$K$8</f>
        <v>0</v>
      </c>
      <c r="K5" s="44">
        <f>'2000 sampling'!$J$11</f>
        <v>0</v>
      </c>
      <c r="L5" s="44">
        <f>'2000 sampling'!$J$12</f>
        <v>0</v>
      </c>
      <c r="M5" s="44">
        <f>'2000 sampling'!$J$13</f>
        <v>0</v>
      </c>
      <c r="N5" s="44">
        <f>'2000 sampling'!$J$14</f>
        <v>0</v>
      </c>
      <c r="O5" s="44">
        <f>'2000 sampling'!$J$15</f>
        <v>0</v>
      </c>
      <c r="P5" s="44">
        <f>'2000 sampling'!$K$11</f>
        <v>0</v>
      </c>
      <c r="Q5" s="44">
        <f>'2000 sampling'!$K$12</f>
        <v>0</v>
      </c>
      <c r="R5" s="44">
        <f>'2000 sampling'!$K$13</f>
        <v>0</v>
      </c>
      <c r="S5" s="44">
        <f>'2000 sampling'!$K$14</f>
        <v>0</v>
      </c>
      <c r="T5" s="44">
        <f>'2000 sampling'!$K$15</f>
        <v>0</v>
      </c>
      <c r="V5" s="661">
        <v>32</v>
      </c>
      <c r="W5" s="668">
        <v>2</v>
      </c>
      <c r="X5" s="669">
        <v>0</v>
      </c>
      <c r="Y5" s="669">
        <v>0</v>
      </c>
      <c r="Z5" s="669">
        <v>0</v>
      </c>
      <c r="AA5" s="669">
        <v>64</v>
      </c>
      <c r="AB5" s="669">
        <v>5</v>
      </c>
      <c r="AC5" s="669">
        <v>0</v>
      </c>
      <c r="AD5" s="669">
        <v>0</v>
      </c>
      <c r="AE5" s="675">
        <v>0</v>
      </c>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row>
    <row r="6" spans="1:220" x14ac:dyDescent="0.25">
      <c r="A6" s="44">
        <v>2000</v>
      </c>
      <c r="B6" s="44">
        <v>35</v>
      </c>
      <c r="C6" s="44">
        <f>'2000 sampling'!$N$7</f>
        <v>8</v>
      </c>
      <c r="D6" s="44">
        <f>'2000 sampling'!$N$9</f>
        <v>0</v>
      </c>
      <c r="E6" s="44">
        <f>'2000 sampling'!$N$8</f>
        <v>0</v>
      </c>
      <c r="G6" s="44">
        <f>'2000 sampling'!$O$7</f>
        <v>0</v>
      </c>
      <c r="H6" s="44">
        <f>'2000 sampling'!$O$9</f>
        <v>0</v>
      </c>
      <c r="I6" s="44">
        <f>'2000 sampling'!$O$8</f>
        <v>0</v>
      </c>
      <c r="K6" s="44">
        <f>'2000 sampling'!$N$11</f>
        <v>0</v>
      </c>
      <c r="L6" s="44">
        <f>'2000 sampling'!$N$12</f>
        <v>0</v>
      </c>
      <c r="M6" s="44">
        <f>'2000 sampling'!$N$13</f>
        <v>0</v>
      </c>
      <c r="N6" s="44">
        <f>'2000 sampling'!$N$14</f>
        <v>0</v>
      </c>
      <c r="O6" s="44">
        <f>'2000 sampling'!$N$15</f>
        <v>0</v>
      </c>
      <c r="P6" s="44">
        <f>'2000 sampling'!$O$11</f>
        <v>0</v>
      </c>
      <c r="Q6" s="44">
        <f>'2000 sampling'!$O$12</f>
        <v>0</v>
      </c>
      <c r="R6" s="44">
        <f>'2000 sampling'!$O$13</f>
        <v>0</v>
      </c>
      <c r="S6" s="44">
        <f>'2000 sampling'!$O$14</f>
        <v>0</v>
      </c>
      <c r="T6" s="44">
        <f>'2000 sampling'!$O$15</f>
        <v>0</v>
      </c>
      <c r="V6" s="666">
        <v>33</v>
      </c>
      <c r="W6" s="670">
        <v>12</v>
      </c>
      <c r="X6" s="671">
        <v>0</v>
      </c>
      <c r="Y6" s="671">
        <v>0</v>
      </c>
      <c r="Z6" s="671">
        <v>0</v>
      </c>
      <c r="AA6" s="671">
        <v>49</v>
      </c>
      <c r="AB6" s="671">
        <v>16</v>
      </c>
      <c r="AC6" s="671">
        <v>7</v>
      </c>
      <c r="AD6" s="671">
        <v>1</v>
      </c>
      <c r="AE6" s="676">
        <v>0</v>
      </c>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row>
    <row r="7" spans="1:220" x14ac:dyDescent="0.25">
      <c r="A7" s="44">
        <v>2000</v>
      </c>
      <c r="B7" s="44">
        <v>36</v>
      </c>
      <c r="C7" s="44">
        <f>'2000 sampling'!$R$7</f>
        <v>54</v>
      </c>
      <c r="D7" s="44">
        <f>'2000 sampling'!$R$9</f>
        <v>0</v>
      </c>
      <c r="E7" s="44">
        <f>'2000 sampling'!$R$8</f>
        <v>0</v>
      </c>
      <c r="G7" s="44">
        <f>'2000 sampling'!$S$7</f>
        <v>1</v>
      </c>
      <c r="H7" s="44">
        <f>'2000 sampling'!$S$9</f>
        <v>0</v>
      </c>
      <c r="I7" s="44">
        <f>'2000 sampling'!$S$8</f>
        <v>0</v>
      </c>
      <c r="K7" s="44">
        <f>'2000 sampling'!$R$11</f>
        <v>0</v>
      </c>
      <c r="L7" s="44">
        <f>'2000 sampling'!$R$12</f>
        <v>0</v>
      </c>
      <c r="M7" s="44">
        <f>'2000 sampling'!$R$13</f>
        <v>0</v>
      </c>
      <c r="N7" s="44">
        <f>'2000 sampling'!$R$14</f>
        <v>0</v>
      </c>
      <c r="O7" s="44">
        <f>'2000 sampling'!$R$15</f>
        <v>0</v>
      </c>
      <c r="P7" s="44">
        <f>'2000 sampling'!$S$11</f>
        <v>0</v>
      </c>
      <c r="Q7" s="44">
        <f>'2000 sampling'!$S$12</f>
        <v>0</v>
      </c>
      <c r="R7" s="44">
        <f>'2000 sampling'!$S$13</f>
        <v>0</v>
      </c>
      <c r="S7" s="44">
        <f>'2000 sampling'!$S$14</f>
        <v>0</v>
      </c>
      <c r="T7" s="44">
        <f>'2000 sampling'!$S$15</f>
        <v>0</v>
      </c>
      <c r="V7" s="666">
        <v>34</v>
      </c>
      <c r="W7" s="670">
        <v>251</v>
      </c>
      <c r="X7" s="671">
        <v>0</v>
      </c>
      <c r="Y7" s="671">
        <v>0</v>
      </c>
      <c r="Z7" s="671">
        <v>4</v>
      </c>
      <c r="AA7" s="671">
        <v>14</v>
      </c>
      <c r="AB7" s="671">
        <v>54</v>
      </c>
      <c r="AC7" s="671">
        <v>19</v>
      </c>
      <c r="AD7" s="671">
        <v>150</v>
      </c>
      <c r="AE7" s="676">
        <v>97</v>
      </c>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row>
    <row r="8" spans="1:220" x14ac:dyDescent="0.25">
      <c r="A8" s="44">
        <v>2000</v>
      </c>
      <c r="B8" s="44">
        <v>37</v>
      </c>
      <c r="C8" s="44">
        <f>'2000 sampling'!$V$7</f>
        <v>102</v>
      </c>
      <c r="D8" s="44">
        <f>'2000 sampling'!$V$9</f>
        <v>130</v>
      </c>
      <c r="E8" s="44">
        <f>'2000 sampling'!$V$8</f>
        <v>50</v>
      </c>
      <c r="G8" s="44">
        <f>'2000 sampling'!$W$7</f>
        <v>1</v>
      </c>
      <c r="H8" s="44">
        <f>'2000 sampling'!$W$9</f>
        <v>4</v>
      </c>
      <c r="I8" s="44">
        <f>'2000 sampling'!$W$8</f>
        <v>0</v>
      </c>
      <c r="K8" s="44">
        <f>'2000 sampling'!$V$11</f>
        <v>0</v>
      </c>
      <c r="L8" s="44">
        <f>'2000 sampling'!$V$12</f>
        <v>0</v>
      </c>
      <c r="M8" s="44">
        <f>'2000 sampling'!$V$13</f>
        <v>0</v>
      </c>
      <c r="N8" s="44">
        <f>'2000 sampling'!$V$14</f>
        <v>0</v>
      </c>
      <c r="O8" s="44">
        <f>'2000 sampling'!$V$15</f>
        <v>0</v>
      </c>
      <c r="P8" s="44">
        <f>'2000 sampling'!$W$11</f>
        <v>0</v>
      </c>
      <c r="Q8" s="44">
        <f>'2000 sampling'!$W$12</f>
        <v>0</v>
      </c>
      <c r="R8" s="44">
        <f>'2000 sampling'!$W$13</f>
        <v>0</v>
      </c>
      <c r="S8" s="44">
        <f>'2000 sampling'!$W$14</f>
        <v>0</v>
      </c>
      <c r="T8" s="44">
        <f>'2000 sampling'!$W$15</f>
        <v>0</v>
      </c>
      <c r="V8" s="666">
        <v>35</v>
      </c>
      <c r="W8" s="670">
        <v>1937</v>
      </c>
      <c r="X8" s="671">
        <v>0</v>
      </c>
      <c r="Y8" s="671">
        <v>26</v>
      </c>
      <c r="Z8" s="671">
        <v>91</v>
      </c>
      <c r="AA8" s="671">
        <v>0</v>
      </c>
      <c r="AB8" s="671">
        <v>0</v>
      </c>
      <c r="AC8" s="671">
        <v>77</v>
      </c>
      <c r="AD8" s="671">
        <v>137</v>
      </c>
      <c r="AE8" s="676">
        <v>256</v>
      </c>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row>
    <row r="9" spans="1:220" x14ac:dyDescent="0.25">
      <c r="A9" s="44">
        <v>2000</v>
      </c>
      <c r="B9" s="44">
        <v>38</v>
      </c>
      <c r="C9" s="44">
        <f>'2000 sampling'!$B$24</f>
        <v>131</v>
      </c>
      <c r="D9" s="44">
        <f>'2000 sampling'!$B$26</f>
        <v>122</v>
      </c>
      <c r="E9" s="44">
        <f>'2000 sampling'!$B$25</f>
        <v>24</v>
      </c>
      <c r="G9" s="44">
        <f>'2000 sampling'!$C$24</f>
        <v>4</v>
      </c>
      <c r="H9" s="44">
        <f>'2000 sampling'!$C$26</f>
        <v>3</v>
      </c>
      <c r="I9" s="44">
        <f>'2000 sampling'!$C$25</f>
        <v>0</v>
      </c>
      <c r="K9" s="44">
        <f>'2000 sampling'!$B$28</f>
        <v>0</v>
      </c>
      <c r="L9" s="44">
        <f>'2000 sampling'!$B$29</f>
        <v>0</v>
      </c>
      <c r="M9" s="44">
        <f>'2000 sampling'!$B$30</f>
        <v>0</v>
      </c>
      <c r="N9" s="44">
        <f>'2000 sampling'!$B$31</f>
        <v>0</v>
      </c>
      <c r="O9" s="44">
        <f>'2000 sampling'!$B$32</f>
        <v>0</v>
      </c>
      <c r="P9" s="44">
        <f>'2000 sampling'!$C$28</f>
        <v>0</v>
      </c>
      <c r="Q9" s="44">
        <f>'2000 sampling'!$C$29</f>
        <v>0</v>
      </c>
      <c r="R9" s="44">
        <f>'2000 sampling'!$C$30</f>
        <v>0</v>
      </c>
      <c r="S9" s="44">
        <f>'2000 sampling'!$C$31</f>
        <v>0</v>
      </c>
      <c r="T9" s="44">
        <f>'2000 sampling'!$C$32</f>
        <v>0</v>
      </c>
      <c r="V9" s="666">
        <v>36</v>
      </c>
      <c r="W9" s="670">
        <v>8369</v>
      </c>
      <c r="X9" s="671">
        <v>4344</v>
      </c>
      <c r="Y9" s="671">
        <v>749</v>
      </c>
      <c r="Z9" s="671">
        <v>1297</v>
      </c>
      <c r="AA9" s="671">
        <v>0</v>
      </c>
      <c r="AB9" s="671">
        <v>0</v>
      </c>
      <c r="AC9" s="671">
        <v>0</v>
      </c>
      <c r="AD9" s="671">
        <v>249</v>
      </c>
      <c r="AE9" s="676">
        <v>62</v>
      </c>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row>
    <row r="10" spans="1:220" x14ac:dyDescent="0.25">
      <c r="A10" s="44">
        <v>2000</v>
      </c>
      <c r="B10" s="44">
        <v>39</v>
      </c>
      <c r="C10" s="44">
        <f>'2000 sampling'!$F$24</f>
        <v>90</v>
      </c>
      <c r="D10" s="44">
        <f>'2000 sampling'!$F$26</f>
        <v>49</v>
      </c>
      <c r="E10" s="44">
        <f>'2000 sampling'!$F$25</f>
        <v>52</v>
      </c>
      <c r="G10" s="44">
        <f>'2000 sampling'!$G$24</f>
        <v>3</v>
      </c>
      <c r="H10" s="44">
        <f>'2000 sampling'!$G$26</f>
        <v>0</v>
      </c>
      <c r="I10" s="44">
        <f>'2000 sampling'!$G$25</f>
        <v>5</v>
      </c>
      <c r="K10" s="44">
        <f>'2000 sampling'!$F$28</f>
        <v>54</v>
      </c>
      <c r="L10" s="44">
        <f>'2000 sampling'!$F$29</f>
        <v>88</v>
      </c>
      <c r="M10" s="44">
        <f>'2000 sampling'!$F$30</f>
        <v>0</v>
      </c>
      <c r="N10" s="44">
        <f>'2000 sampling'!$F$31</f>
        <v>0</v>
      </c>
      <c r="O10" s="44">
        <f>'2000 sampling'!$F$32</f>
        <v>0</v>
      </c>
      <c r="P10" s="44">
        <f>'2000 sampling'!$G$28</f>
        <v>7</v>
      </c>
      <c r="Q10" s="44">
        <f>'2000 sampling'!$G$29</f>
        <v>14</v>
      </c>
      <c r="R10" s="44">
        <f>'2000 sampling'!$G$30</f>
        <v>0</v>
      </c>
      <c r="S10" s="44">
        <f>'2000 sampling'!$G$31</f>
        <v>0</v>
      </c>
      <c r="T10" s="44">
        <f>'2000 sampling'!$G$32</f>
        <v>0</v>
      </c>
      <c r="V10" s="666">
        <v>37</v>
      </c>
      <c r="W10" s="670">
        <v>8700</v>
      </c>
      <c r="X10" s="671">
        <v>3512</v>
      </c>
      <c r="Y10" s="671">
        <v>2200</v>
      </c>
      <c r="Z10" s="671">
        <v>3173</v>
      </c>
      <c r="AA10" s="671">
        <v>0</v>
      </c>
      <c r="AB10" s="671">
        <v>0</v>
      </c>
      <c r="AC10" s="671">
        <v>0</v>
      </c>
      <c r="AD10" s="671">
        <v>0</v>
      </c>
      <c r="AE10" s="676">
        <v>0</v>
      </c>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row>
    <row r="11" spans="1:220" x14ac:dyDescent="0.25">
      <c r="A11" s="44">
        <v>2000</v>
      </c>
      <c r="B11" s="44">
        <v>40</v>
      </c>
      <c r="C11" s="44">
        <f>'2000 sampling'!$J$24</f>
        <v>102</v>
      </c>
      <c r="D11" s="44">
        <f>'2000 sampling'!$J$26</f>
        <v>26</v>
      </c>
      <c r="E11" s="44">
        <f>'2000 sampling'!$J$25</f>
        <v>36</v>
      </c>
      <c r="G11" s="44">
        <f>'2000 sampling'!$K$24</f>
        <v>0</v>
      </c>
      <c r="H11" s="44">
        <f>'2000 sampling'!$K$26</f>
        <v>0</v>
      </c>
      <c r="I11" s="44">
        <f>'2000 sampling'!$K$25</f>
        <v>1</v>
      </c>
      <c r="K11" s="44">
        <f>'2000 sampling'!$J$28</f>
        <v>168</v>
      </c>
      <c r="L11" s="44">
        <f>'2000 sampling'!$J$29</f>
        <v>278</v>
      </c>
      <c r="M11" s="44">
        <f>'2000 sampling'!$J$30</f>
        <v>0</v>
      </c>
      <c r="N11" s="44">
        <f>'2000 sampling'!$J$31</f>
        <v>0</v>
      </c>
      <c r="O11" s="44">
        <f>'2000 sampling'!$J$32</f>
        <v>0</v>
      </c>
      <c r="P11" s="44">
        <f>'2000 sampling'!$K$28</f>
        <v>11</v>
      </c>
      <c r="Q11" s="44">
        <f>'2000 sampling'!$K$29</f>
        <v>25</v>
      </c>
      <c r="R11" s="44">
        <f>'2000 sampling'!$K$30</f>
        <v>0</v>
      </c>
      <c r="S11" s="44">
        <f>'2000 sampling'!$K$31</f>
        <v>0</v>
      </c>
      <c r="T11" s="44">
        <f>'2000 sampling'!$K$32</f>
        <v>0</v>
      </c>
      <c r="V11" s="666">
        <v>38</v>
      </c>
      <c r="W11" s="670">
        <v>11181</v>
      </c>
      <c r="X11" s="671">
        <v>2386</v>
      </c>
      <c r="Y11" s="671">
        <v>3117</v>
      </c>
      <c r="Z11" s="671">
        <v>4138</v>
      </c>
      <c r="AA11" s="671">
        <v>393</v>
      </c>
      <c r="AB11" s="671">
        <v>632</v>
      </c>
      <c r="AC11" s="671">
        <v>292</v>
      </c>
      <c r="AD11" s="671">
        <v>18</v>
      </c>
      <c r="AE11" s="676">
        <v>304</v>
      </c>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row>
    <row r="12" spans="1:220" x14ac:dyDescent="0.25">
      <c r="A12" s="44">
        <v>2000</v>
      </c>
      <c r="B12" s="44">
        <v>41</v>
      </c>
      <c r="C12" s="44">
        <f>'2000 sampling'!$N$24</f>
        <v>64</v>
      </c>
      <c r="D12" s="44">
        <f>'2000 sampling'!$N$26</f>
        <v>92</v>
      </c>
      <c r="E12" s="44">
        <f>'2000 sampling'!$N$25</f>
        <v>51</v>
      </c>
      <c r="G12" s="44">
        <f>'2000 sampling'!$O$24</f>
        <v>0</v>
      </c>
      <c r="H12" s="44">
        <f>'2000 sampling'!$O$26</f>
        <v>0</v>
      </c>
      <c r="I12" s="44">
        <f>'2000 sampling'!$O$25</f>
        <v>1</v>
      </c>
      <c r="K12" s="44">
        <f>'2000 sampling'!$N$28</f>
        <v>64</v>
      </c>
      <c r="L12" s="44">
        <f>'2000 sampling'!$N$29</f>
        <v>93</v>
      </c>
      <c r="M12" s="44">
        <f>'2000 sampling'!$N$30</f>
        <v>0</v>
      </c>
      <c r="N12" s="44">
        <f>'2000 sampling'!$N$31</f>
        <v>0</v>
      </c>
      <c r="O12" s="44">
        <f>'2000 sampling'!$N$32</f>
        <v>0</v>
      </c>
      <c r="P12" s="44">
        <f>'2000 sampling'!$O$28</f>
        <v>4</v>
      </c>
      <c r="Q12" s="44">
        <f>'2000 sampling'!$O$29</f>
        <v>4</v>
      </c>
      <c r="R12" s="44">
        <f>'2000 sampling'!$O$30</f>
        <v>0</v>
      </c>
      <c r="S12" s="44">
        <f>'2000 sampling'!$O$31</f>
        <v>0</v>
      </c>
      <c r="T12" s="44">
        <f>'2000 sampling'!$O$32</f>
        <v>0</v>
      </c>
      <c r="V12" s="666">
        <v>39</v>
      </c>
      <c r="W12" s="670">
        <v>5055</v>
      </c>
      <c r="X12" s="671">
        <v>549</v>
      </c>
      <c r="Y12" s="671">
        <v>2287</v>
      </c>
      <c r="Z12" s="671">
        <v>6059</v>
      </c>
      <c r="AA12" s="671">
        <v>1871</v>
      </c>
      <c r="AB12" s="671">
        <v>4376</v>
      </c>
      <c r="AC12" s="671">
        <v>1636</v>
      </c>
      <c r="AD12" s="671">
        <v>765</v>
      </c>
      <c r="AE12" s="676">
        <v>1548</v>
      </c>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row>
    <row r="13" spans="1:220" x14ac:dyDescent="0.25">
      <c r="A13" s="44">
        <v>2000</v>
      </c>
      <c r="B13" s="44">
        <v>42</v>
      </c>
      <c r="C13" s="44">
        <f>'2000 sampling'!$R$24</f>
        <v>17</v>
      </c>
      <c r="D13" s="44">
        <f>'2000 sampling'!$R$26</f>
        <v>0</v>
      </c>
      <c r="E13" s="44">
        <f>'2000 sampling'!$R$25</f>
        <v>42</v>
      </c>
      <c r="G13" s="44">
        <f>'2000 sampling'!$S$24</f>
        <v>0</v>
      </c>
      <c r="H13" s="44">
        <f>'2000 sampling'!$S$26</f>
        <v>0</v>
      </c>
      <c r="I13" s="44">
        <f>'2000 sampling'!$S$25</f>
        <v>1</v>
      </c>
      <c r="K13" s="44">
        <f>'2000 sampling'!$R$28</f>
        <v>137</v>
      </c>
      <c r="L13" s="44">
        <f>'2000 sampling'!$R$29</f>
        <v>326</v>
      </c>
      <c r="M13" s="44">
        <f>'2000 sampling'!$R$30</f>
        <v>0</v>
      </c>
      <c r="N13" s="44">
        <f>'2000 sampling'!$R$31</f>
        <v>0</v>
      </c>
      <c r="O13" s="44">
        <f>'2000 sampling'!$R$32</f>
        <v>0</v>
      </c>
      <c r="P13" s="44">
        <f>'2000 sampling'!$S$28</f>
        <v>38</v>
      </c>
      <c r="Q13" s="44">
        <f>'2000 sampling'!$S$29</f>
        <v>15</v>
      </c>
      <c r="R13" s="44">
        <f>'2000 sampling'!$S$30</f>
        <v>0</v>
      </c>
      <c r="S13" s="44">
        <f>'2000 sampling'!$S$31</f>
        <v>0</v>
      </c>
      <c r="T13" s="44">
        <f>'2000 sampling'!$S$32</f>
        <v>0</v>
      </c>
      <c r="V13" s="666">
        <v>40</v>
      </c>
      <c r="W13" s="670">
        <v>3269</v>
      </c>
      <c r="X13" s="671">
        <v>1222</v>
      </c>
      <c r="Y13" s="671">
        <v>1684</v>
      </c>
      <c r="Z13" s="671">
        <v>3019</v>
      </c>
      <c r="AA13" s="671">
        <v>3561</v>
      </c>
      <c r="AB13" s="671">
        <v>13514</v>
      </c>
      <c r="AC13" s="671">
        <v>961</v>
      </c>
      <c r="AD13" s="671">
        <v>369</v>
      </c>
      <c r="AE13" s="676">
        <v>461</v>
      </c>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row>
    <row r="14" spans="1:220" x14ac:dyDescent="0.25">
      <c r="A14" s="44">
        <v>2000</v>
      </c>
      <c r="B14" s="44">
        <v>43</v>
      </c>
      <c r="C14" s="44">
        <f>'2000 sampling'!$V$24</f>
        <v>51</v>
      </c>
      <c r="D14" s="44">
        <f>'2000 sampling'!$V$26</f>
        <v>0</v>
      </c>
      <c r="E14" s="44">
        <f>'2000 sampling'!$V$25</f>
        <v>19</v>
      </c>
      <c r="G14" s="44">
        <f>'2000 sampling'!$W$24</f>
        <v>0</v>
      </c>
      <c r="H14" s="44">
        <f>'2000 sampling'!$W$26</f>
        <v>0</v>
      </c>
      <c r="I14" s="44">
        <f>'2000 sampling'!$W$25</f>
        <v>0</v>
      </c>
      <c r="K14" s="44">
        <f>'2000 sampling'!$V$28</f>
        <v>12</v>
      </c>
      <c r="L14" s="44">
        <f>'2000 sampling'!$V$29</f>
        <v>264</v>
      </c>
      <c r="M14" s="44">
        <f>'2000 sampling'!$V$30</f>
        <v>19</v>
      </c>
      <c r="N14" s="44">
        <f>'2000 sampling'!$V$31</f>
        <v>0</v>
      </c>
      <c r="O14" s="44">
        <f>'2000 sampling'!$V$32</f>
        <v>0</v>
      </c>
      <c r="P14" s="44">
        <f>'2000 sampling'!$W$28</f>
        <v>0</v>
      </c>
      <c r="Q14" s="44">
        <f>'2000 sampling'!$W$29</f>
        <v>19</v>
      </c>
      <c r="R14" s="44">
        <f>'2000 sampling'!$W$30</f>
        <v>0</v>
      </c>
      <c r="S14" s="44">
        <f>'2000 sampling'!$W$31</f>
        <v>0</v>
      </c>
      <c r="T14" s="44">
        <f>'2000 sampling'!$W$32</f>
        <v>0</v>
      </c>
      <c r="V14" s="666">
        <v>41</v>
      </c>
      <c r="W14" s="670">
        <v>983</v>
      </c>
      <c r="X14" s="671">
        <v>293</v>
      </c>
      <c r="Y14" s="671">
        <v>2162</v>
      </c>
      <c r="Z14" s="671">
        <v>1269</v>
      </c>
      <c r="AA14" s="671">
        <v>2495</v>
      </c>
      <c r="AB14" s="671">
        <v>4417</v>
      </c>
      <c r="AC14" s="671">
        <v>1590</v>
      </c>
      <c r="AD14" s="671">
        <v>509</v>
      </c>
      <c r="AE14" s="676">
        <v>571</v>
      </c>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row>
    <row r="15" spans="1:220" x14ac:dyDescent="0.25">
      <c r="A15" s="44">
        <v>2000</v>
      </c>
      <c r="B15" s="44">
        <v>44</v>
      </c>
      <c r="C15" s="44">
        <f>'2000 sampling'!$Z$24</f>
        <v>0</v>
      </c>
      <c r="D15" s="44">
        <f>'2000 sampling'!$Z$26</f>
        <v>0</v>
      </c>
      <c r="E15" s="44">
        <f>'2000 sampling'!$Z$25</f>
        <v>21</v>
      </c>
      <c r="G15" s="44">
        <f>'2000 sampling'!$AA$24</f>
        <v>0</v>
      </c>
      <c r="H15" s="44">
        <f>'2000 sampling'!$AA$26</f>
        <v>0</v>
      </c>
      <c r="I15" s="44">
        <f>'2000 sampling'!$AA$25</f>
        <v>0</v>
      </c>
      <c r="K15" s="44">
        <f>'2000 sampling'!$Z$28</f>
        <v>0</v>
      </c>
      <c r="L15" s="44">
        <f>'2000 sampling'!$Z$29</f>
        <v>153</v>
      </c>
      <c r="M15" s="44">
        <f>'2000 sampling'!$Z$30</f>
        <v>0</v>
      </c>
      <c r="N15" s="44">
        <f>'2000 sampling'!$Z$31</f>
        <v>0</v>
      </c>
      <c r="O15" s="44">
        <f>'2000 sampling'!$Z$32</f>
        <v>0</v>
      </c>
      <c r="P15" s="44">
        <f>'2000 sampling'!$AA$28</f>
        <v>0</v>
      </c>
      <c r="Q15" s="44">
        <f>'2000 sampling'!$AA$29</f>
        <v>9</v>
      </c>
      <c r="R15" s="44">
        <f>'2000 sampling'!$AA$30</f>
        <v>0</v>
      </c>
      <c r="S15" s="44">
        <f>'2000 sampling'!$AA$31</f>
        <v>0</v>
      </c>
      <c r="T15" s="44">
        <f>'2000 sampling'!$AA$32</f>
        <v>0</v>
      </c>
      <c r="V15" s="666">
        <v>42</v>
      </c>
      <c r="W15" s="670">
        <v>455</v>
      </c>
      <c r="X15" s="671">
        <v>454</v>
      </c>
      <c r="Y15" s="671">
        <v>794</v>
      </c>
      <c r="Z15" s="671">
        <v>641</v>
      </c>
      <c r="AA15" s="671">
        <v>3035</v>
      </c>
      <c r="AB15" s="671">
        <v>6847</v>
      </c>
      <c r="AC15" s="671">
        <v>4351</v>
      </c>
      <c r="AD15" s="671">
        <v>340</v>
      </c>
      <c r="AE15" s="676">
        <v>408</v>
      </c>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row>
    <row r="16" spans="1:220" x14ac:dyDescent="0.25">
      <c r="A16" s="44">
        <v>2000</v>
      </c>
      <c r="B16" s="44">
        <v>45</v>
      </c>
      <c r="C16" s="44">
        <f>'2000 sampling'!$AD$24</f>
        <v>0</v>
      </c>
      <c r="D16" s="44">
        <f>'2000 sampling'!$AD$26</f>
        <v>0</v>
      </c>
      <c r="E16" s="44">
        <f>'2000 sampling'!$AD$25</f>
        <v>0</v>
      </c>
      <c r="G16" s="44">
        <f>'2000 sampling'!$AE$24</f>
        <v>0</v>
      </c>
      <c r="H16" s="44">
        <f>'2000 sampling'!$AE$26</f>
        <v>0</v>
      </c>
      <c r="I16" s="44">
        <f>'2000 sampling'!$AE$25</f>
        <v>0</v>
      </c>
      <c r="K16" s="44">
        <f>'2000 sampling'!$AD$28</f>
        <v>0</v>
      </c>
      <c r="L16" s="44">
        <f>'2000 sampling'!$AD$29</f>
        <v>84</v>
      </c>
      <c r="M16" s="44">
        <f>'2000 sampling'!$AD$30</f>
        <v>12</v>
      </c>
      <c r="N16" s="44">
        <f>'2000 sampling'!$AD$31</f>
        <v>0</v>
      </c>
      <c r="O16" s="44">
        <f>'2000 sampling'!$AD$32</f>
        <v>0</v>
      </c>
      <c r="P16" s="44">
        <f>'2000 sampling'!$AE$28</f>
        <v>0</v>
      </c>
      <c r="Q16" s="44">
        <f>'2000 sampling'!$AE$29</f>
        <v>5</v>
      </c>
      <c r="R16" s="44">
        <f>'2000 sampling'!$AE$30</f>
        <v>2</v>
      </c>
      <c r="S16" s="44">
        <f>'2000 sampling'!$AE$31</f>
        <v>0</v>
      </c>
      <c r="T16" s="44">
        <f>'2000 sampling'!$AE$32</f>
        <v>0</v>
      </c>
      <c r="V16" s="666">
        <v>43</v>
      </c>
      <c r="W16" s="670">
        <v>448</v>
      </c>
      <c r="X16" s="671">
        <v>7</v>
      </c>
      <c r="Y16" s="671">
        <v>312</v>
      </c>
      <c r="Z16" s="671">
        <v>57</v>
      </c>
      <c r="AA16" s="671">
        <v>600</v>
      </c>
      <c r="AB16" s="671">
        <v>4580</v>
      </c>
      <c r="AC16" s="671">
        <v>3300</v>
      </c>
      <c r="AD16" s="671">
        <v>111</v>
      </c>
      <c r="AE16" s="676">
        <v>194</v>
      </c>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row>
    <row r="17" spans="1:220" x14ac:dyDescent="0.25">
      <c r="A17" s="73">
        <v>2001</v>
      </c>
      <c r="B17" s="44">
        <v>32</v>
      </c>
      <c r="C17" s="44">
        <f>'2001 sampling'!$B$7</f>
        <v>0</v>
      </c>
      <c r="D17" s="44">
        <f>'2001 sampling'!$B$9</f>
        <v>0</v>
      </c>
      <c r="E17" s="44">
        <f>'2001 sampling'!$B$8</f>
        <v>0</v>
      </c>
      <c r="G17" s="44">
        <f>'2001 sampling'!$C$7</f>
        <v>0</v>
      </c>
      <c r="H17" s="44">
        <f>'2001 sampling'!$C$9</f>
        <v>0</v>
      </c>
      <c r="I17" s="44">
        <f>'2001 sampling'!$C$8</f>
        <v>0</v>
      </c>
      <c r="K17" s="44">
        <f>'2001 sampling'!$B$11</f>
        <v>0</v>
      </c>
      <c r="L17" s="44">
        <f>'2001 sampling'!$B$12</f>
        <v>0</v>
      </c>
      <c r="M17" s="44">
        <f>'2001 sampling'!$B$13</f>
        <v>0</v>
      </c>
      <c r="N17" s="44">
        <f>'2001 sampling'!$B$14</f>
        <v>0</v>
      </c>
      <c r="O17" s="44">
        <f>'2001 sampling'!$B$15</f>
        <v>0</v>
      </c>
      <c r="P17" s="44">
        <f>'2001 sampling'!$C$11</f>
        <v>0</v>
      </c>
      <c r="Q17" s="44">
        <f>'2001 sampling'!$C$12</f>
        <v>0</v>
      </c>
      <c r="R17" s="44">
        <f>'2001 sampling'!$C$13</f>
        <v>0</v>
      </c>
      <c r="S17" s="44">
        <f>'2001 sampling'!$C$14</f>
        <v>0</v>
      </c>
      <c r="T17" s="44">
        <f>'2001 sampling'!$C$15</f>
        <v>0</v>
      </c>
      <c r="V17" s="666">
        <v>44</v>
      </c>
      <c r="W17" s="670">
        <v>96</v>
      </c>
      <c r="X17" s="671">
        <v>0</v>
      </c>
      <c r="Y17" s="671">
        <v>38</v>
      </c>
      <c r="Z17" s="671">
        <v>0</v>
      </c>
      <c r="AA17" s="671">
        <v>59</v>
      </c>
      <c r="AB17" s="671">
        <v>847</v>
      </c>
      <c r="AC17" s="671">
        <v>506</v>
      </c>
      <c r="AD17" s="671">
        <v>0</v>
      </c>
      <c r="AE17" s="676">
        <v>10</v>
      </c>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row>
    <row r="18" spans="1:220" x14ac:dyDescent="0.25">
      <c r="A18" s="73">
        <v>2001</v>
      </c>
      <c r="B18" s="44">
        <v>33</v>
      </c>
      <c r="C18" s="44">
        <f>'2001 sampling'!$F$7</f>
        <v>4</v>
      </c>
      <c r="D18" s="44">
        <f>'2001 sampling'!$F$9</f>
        <v>0</v>
      </c>
      <c r="E18" s="44">
        <f>'2001 sampling'!$F$8</f>
        <v>0</v>
      </c>
      <c r="G18" s="44">
        <f>'2001 sampling'!$G$7</f>
        <v>0</v>
      </c>
      <c r="H18" s="44">
        <f>'2001 sampling'!$G$9</f>
        <v>0</v>
      </c>
      <c r="I18" s="44">
        <f>'2001 sampling'!$G$8</f>
        <v>0</v>
      </c>
      <c r="K18" s="44">
        <f>'2001 sampling'!$F$11</f>
        <v>0</v>
      </c>
      <c r="L18" s="44">
        <f>'2001 sampling'!$F$12</f>
        <v>0</v>
      </c>
      <c r="M18" s="44">
        <f>'2001 sampling'!$F$13</f>
        <v>0</v>
      </c>
      <c r="N18" s="44">
        <f>'2001 sampling'!$F$14</f>
        <v>0</v>
      </c>
      <c r="O18" s="44">
        <f>'2001 sampling'!$F$15</f>
        <v>0</v>
      </c>
      <c r="P18" s="44">
        <f>'2001 sampling'!$G$11</f>
        <v>0</v>
      </c>
      <c r="Q18" s="44">
        <f>'2001 sampling'!$G$12</f>
        <v>0</v>
      </c>
      <c r="R18" s="44">
        <f>'2001 sampling'!$G$13</f>
        <v>0</v>
      </c>
      <c r="S18" s="44">
        <f>'2001 sampling'!$G$14</f>
        <v>0</v>
      </c>
      <c r="T18" s="44">
        <f>'2001 sampling'!$G$15</f>
        <v>0</v>
      </c>
      <c r="V18" s="666">
        <v>45</v>
      </c>
      <c r="W18" s="670">
        <v>0</v>
      </c>
      <c r="X18" s="671">
        <v>0</v>
      </c>
      <c r="Y18" s="671">
        <v>0</v>
      </c>
      <c r="Z18" s="671">
        <v>0</v>
      </c>
      <c r="AA18" s="671">
        <v>0</v>
      </c>
      <c r="AB18" s="671">
        <v>84</v>
      </c>
      <c r="AC18" s="671">
        <v>12</v>
      </c>
      <c r="AD18" s="671">
        <v>0</v>
      </c>
      <c r="AE18" s="676">
        <v>0</v>
      </c>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row>
    <row r="19" spans="1:220" x14ac:dyDescent="0.25">
      <c r="A19" s="73">
        <v>2001</v>
      </c>
      <c r="B19" s="44">
        <v>34</v>
      </c>
      <c r="C19" s="44">
        <f>'2001 sampling'!$J$7</f>
        <v>43</v>
      </c>
      <c r="D19" s="44">
        <f>'2001 sampling'!$J$9</f>
        <v>0</v>
      </c>
      <c r="E19" s="44">
        <f>'2001 sampling'!$J$8</f>
        <v>0</v>
      </c>
      <c r="G19" s="44">
        <f>'2001 sampling'!$K$7</f>
        <v>6</v>
      </c>
      <c r="H19" s="44">
        <f>'2001 sampling'!$K$9</f>
        <v>0</v>
      </c>
      <c r="I19" s="44">
        <f>'2001 sampling'!$K$8</f>
        <v>0</v>
      </c>
      <c r="K19" s="44">
        <f>'2001 sampling'!$J$11</f>
        <v>0</v>
      </c>
      <c r="L19" s="44">
        <f>'2001 sampling'!$J$12</f>
        <v>0</v>
      </c>
      <c r="M19" s="44">
        <f>'2001 sampling'!$J$13</f>
        <v>0</v>
      </c>
      <c r="N19" s="44">
        <f>'2001 sampling'!$J$14</f>
        <v>0</v>
      </c>
      <c r="O19" s="44">
        <f>'2001 sampling'!$J$15</f>
        <v>0</v>
      </c>
      <c r="P19" s="44">
        <f>'2001 sampling'!$K$11</f>
        <v>0</v>
      </c>
      <c r="Q19" s="44">
        <f>'2001 sampling'!$K$12</f>
        <v>0</v>
      </c>
      <c r="R19" s="44">
        <f>'2001 sampling'!$K$13</f>
        <v>0</v>
      </c>
      <c r="S19" s="44">
        <f>'2001 sampling'!$K$14</f>
        <v>0</v>
      </c>
      <c r="T19" s="44">
        <f>'2001 sampling'!$K$15</f>
        <v>0</v>
      </c>
      <c r="V19" s="665" t="s">
        <v>69</v>
      </c>
      <c r="W19" s="672">
        <v>40758</v>
      </c>
      <c r="X19" s="673">
        <v>12767</v>
      </c>
      <c r="Y19" s="673">
        <v>13369</v>
      </c>
      <c r="Z19" s="673">
        <v>19748</v>
      </c>
      <c r="AA19" s="673">
        <v>12141</v>
      </c>
      <c r="AB19" s="673">
        <v>35372</v>
      </c>
      <c r="AC19" s="673">
        <v>12751</v>
      </c>
      <c r="AD19" s="673">
        <v>2649</v>
      </c>
      <c r="AE19" s="677">
        <v>3911</v>
      </c>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row>
    <row r="20" spans="1:220" x14ac:dyDescent="0.25">
      <c r="A20" s="73">
        <v>2001</v>
      </c>
      <c r="B20" s="44">
        <v>35</v>
      </c>
      <c r="C20" s="44">
        <f>'2001 sampling'!$N$7</f>
        <v>53</v>
      </c>
      <c r="D20" s="44">
        <f>'2001 sampling'!$N$9</f>
        <v>0</v>
      </c>
      <c r="E20" s="44">
        <f>'2001 sampling'!$N$8</f>
        <v>0</v>
      </c>
      <c r="G20" s="44">
        <f>'2001 sampling'!$O$7</f>
        <v>2</v>
      </c>
      <c r="H20" s="44">
        <f>'2001 sampling'!$O$9</f>
        <v>0</v>
      </c>
      <c r="I20" s="44">
        <f>'2001 sampling'!$O$8</f>
        <v>0</v>
      </c>
      <c r="K20" s="44">
        <f>'2001 sampling'!$N$11</f>
        <v>0</v>
      </c>
      <c r="L20" s="44">
        <f>'2001 sampling'!$N$12</f>
        <v>0</v>
      </c>
      <c r="M20" s="44">
        <f>'2001 sampling'!$N$13</f>
        <v>0</v>
      </c>
      <c r="N20" s="44">
        <f>'2001 sampling'!$N$14</f>
        <v>0</v>
      </c>
      <c r="O20" s="44">
        <f>'2001 sampling'!$N$15</f>
        <v>0</v>
      </c>
      <c r="P20" s="44">
        <f>'2001 sampling'!$O$11</f>
        <v>0</v>
      </c>
      <c r="Q20" s="44">
        <f>'2001 sampling'!$O$12</f>
        <v>0</v>
      </c>
      <c r="R20" s="44">
        <f>'2001 sampling'!$O$13</f>
        <v>0</v>
      </c>
      <c r="S20" s="44">
        <f>'2001 sampling'!$O$14</f>
        <v>0</v>
      </c>
      <c r="T20" s="44">
        <f>'2001 sampling'!$O$15</f>
        <v>0</v>
      </c>
      <c r="V20" s="27" t="s">
        <v>94</v>
      </c>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row>
    <row r="21" spans="1:220" x14ac:dyDescent="0.25">
      <c r="A21" s="73">
        <v>2001</v>
      </c>
      <c r="B21" s="44">
        <v>36</v>
      </c>
      <c r="C21" s="44">
        <f>'2001 sampling'!$R$7</f>
        <v>0</v>
      </c>
      <c r="D21" s="44">
        <f>'2001 sampling'!$R$9</f>
        <v>0</v>
      </c>
      <c r="E21" s="44">
        <f>'2001 sampling'!$R$8</f>
        <v>0</v>
      </c>
      <c r="G21" s="44">
        <f>'2001 sampling'!$S$7</f>
        <v>0</v>
      </c>
      <c r="H21" s="44">
        <f>'2001 sampling'!$S$9</f>
        <v>0</v>
      </c>
      <c r="I21" s="44">
        <f>'2001 sampling'!$S$8</f>
        <v>0</v>
      </c>
      <c r="K21" s="44">
        <f>'2001 sampling'!$R$11</f>
        <v>0</v>
      </c>
      <c r="L21" s="44">
        <f>'2001 sampling'!$R$12</f>
        <v>0</v>
      </c>
      <c r="M21" s="44">
        <f>'2001 sampling'!$R$13</f>
        <v>0</v>
      </c>
      <c r="N21" s="44">
        <f>'2001 sampling'!$R$14</f>
        <v>0</v>
      </c>
      <c r="O21" s="44">
        <f>'2001 sampling'!$R$15</f>
        <v>0</v>
      </c>
      <c r="P21" s="44">
        <f>'2001 sampling'!$S$11</f>
        <v>0</v>
      </c>
      <c r="Q21" s="44">
        <f>'2001 sampling'!$S$12</f>
        <v>0</v>
      </c>
      <c r="R21" s="44">
        <f>'2001 sampling'!$S$13</f>
        <v>0</v>
      </c>
      <c r="S21" s="44">
        <f>'2001 sampling'!$S$14</f>
        <v>0</v>
      </c>
      <c r="T21" s="44">
        <f>'2001 sampling'!$S$15</f>
        <v>0</v>
      </c>
      <c r="V21" s="661"/>
      <c r="W21" s="664" t="s">
        <v>294</v>
      </c>
      <c r="X21" s="662"/>
      <c r="Y21" s="662"/>
      <c r="Z21" s="662"/>
      <c r="AA21" s="662"/>
      <c r="AB21" s="662"/>
      <c r="AC21" s="662"/>
      <c r="AD21" s="662"/>
      <c r="AE21" s="663"/>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row>
    <row r="22" spans="1:220" x14ac:dyDescent="0.25">
      <c r="A22" s="73">
        <v>2001</v>
      </c>
      <c r="B22" s="44">
        <v>37</v>
      </c>
      <c r="C22" s="44">
        <f>'2001 sampling'!$V$7</f>
        <v>151</v>
      </c>
      <c r="D22" s="44">
        <f>'2001 sampling'!$V$9</f>
        <v>78</v>
      </c>
      <c r="E22" s="44">
        <f>'2001 sampling'!$V$8</f>
        <v>0</v>
      </c>
      <c r="G22" s="44">
        <f>'2001 sampling'!$W$7</f>
        <v>14</v>
      </c>
      <c r="H22" s="44">
        <f>'2001 sampling'!$W$9</f>
        <v>1</v>
      </c>
      <c r="I22" s="44">
        <f>'2001 sampling'!$W$8</f>
        <v>0</v>
      </c>
      <c r="K22" s="44">
        <f>'2001 sampling'!$V$11</f>
        <v>0</v>
      </c>
      <c r="L22" s="44">
        <f>'2001 sampling'!$V$12</f>
        <v>0</v>
      </c>
      <c r="M22" s="44">
        <f>'2001 sampling'!$V$13</f>
        <v>0</v>
      </c>
      <c r="N22" s="44">
        <f>'2001 sampling'!$V$14</f>
        <v>0</v>
      </c>
      <c r="O22" s="44">
        <f>'2001 sampling'!$V$15</f>
        <v>0</v>
      </c>
      <c r="P22" s="44">
        <f>'2001 sampling'!$W$11</f>
        <v>0</v>
      </c>
      <c r="Q22" s="44">
        <f>'2001 sampling'!$W$12</f>
        <v>0</v>
      </c>
      <c r="R22" s="44">
        <f>'2001 sampling'!$W$13</f>
        <v>0</v>
      </c>
      <c r="S22" s="44">
        <f>'2001 sampling'!$W$14</f>
        <v>0</v>
      </c>
      <c r="T22" s="44">
        <f>'2001 sampling'!$W$15</f>
        <v>0</v>
      </c>
      <c r="V22" s="664" t="s">
        <v>134</v>
      </c>
      <c r="W22" s="661" t="s">
        <v>309</v>
      </c>
      <c r="X22" s="667" t="s">
        <v>310</v>
      </c>
      <c r="Y22" s="667" t="s">
        <v>311</v>
      </c>
      <c r="Z22" s="667" t="s">
        <v>312</v>
      </c>
      <c r="AA22" s="667" t="s">
        <v>304</v>
      </c>
      <c r="AB22" s="667" t="s">
        <v>305</v>
      </c>
      <c r="AC22" s="667" t="s">
        <v>306</v>
      </c>
      <c r="AD22" s="667" t="s">
        <v>307</v>
      </c>
      <c r="AE22" s="674" t="s">
        <v>308</v>
      </c>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row>
    <row r="23" spans="1:220" x14ac:dyDescent="0.25">
      <c r="A23" s="73">
        <v>2001</v>
      </c>
      <c r="B23" s="44">
        <v>38</v>
      </c>
      <c r="C23" s="44">
        <f>'2001 sampling'!$B$24</f>
        <v>101</v>
      </c>
      <c r="D23" s="44">
        <f>'2001 sampling'!$B$26</f>
        <v>17</v>
      </c>
      <c r="E23" s="44">
        <f>'2001 sampling'!$B$25</f>
        <v>23</v>
      </c>
      <c r="G23" s="44">
        <f>'2001 sampling'!$C$24</f>
        <v>1</v>
      </c>
      <c r="H23" s="44">
        <f>'2001 sampling'!$C$26</f>
        <v>1</v>
      </c>
      <c r="I23" s="44">
        <f>'2001 sampling'!$C$25</f>
        <v>3</v>
      </c>
      <c r="K23" s="44">
        <f>'2001 sampling'!$B$28</f>
        <v>107</v>
      </c>
      <c r="L23" s="44">
        <f>'2001 sampling'!$B$29</f>
        <v>147</v>
      </c>
      <c r="M23" s="44">
        <f>'2001 sampling'!$B$30</f>
        <v>142</v>
      </c>
      <c r="N23" s="44">
        <f>'2001 sampling'!$B$31</f>
        <v>0</v>
      </c>
      <c r="O23" s="44">
        <f>'2001 sampling'!$B$32</f>
        <v>0</v>
      </c>
      <c r="P23" s="44">
        <f>'2001 sampling'!$C$28</f>
        <v>5</v>
      </c>
      <c r="Q23" s="44">
        <f>'2001 sampling'!$C$29</f>
        <v>20</v>
      </c>
      <c r="R23" s="44">
        <f>'2001 sampling'!$C$30</f>
        <v>31</v>
      </c>
      <c r="S23" s="44">
        <f>'2001 sampling'!$C$31</f>
        <v>0</v>
      </c>
      <c r="T23" s="44">
        <f>'2001 sampling'!$C$32</f>
        <v>0</v>
      </c>
      <c r="V23" s="661">
        <v>32</v>
      </c>
      <c r="W23" s="668">
        <v>0</v>
      </c>
      <c r="X23" s="669">
        <v>0</v>
      </c>
      <c r="Y23" s="669">
        <v>0</v>
      </c>
      <c r="Z23" s="669">
        <v>0</v>
      </c>
      <c r="AA23" s="669">
        <v>29</v>
      </c>
      <c r="AB23" s="669">
        <v>0</v>
      </c>
      <c r="AC23" s="669">
        <v>0</v>
      </c>
      <c r="AD23" s="669">
        <v>0</v>
      </c>
      <c r="AE23" s="675">
        <v>0</v>
      </c>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row>
    <row r="24" spans="1:220" x14ac:dyDescent="0.25">
      <c r="A24" s="73">
        <v>2001</v>
      </c>
      <c r="B24" s="44">
        <v>39</v>
      </c>
      <c r="C24" s="44">
        <f>'2001 sampling'!$F$24</f>
        <v>123</v>
      </c>
      <c r="D24" s="44">
        <f>'2001 sampling'!$F$26</f>
        <v>0</v>
      </c>
      <c r="E24" s="44">
        <f>'2001 sampling'!$F$25</f>
        <v>150</v>
      </c>
      <c r="G24" s="44">
        <f>'2001 sampling'!$G$24</f>
        <v>6</v>
      </c>
      <c r="H24" s="44">
        <f>'2001 sampling'!$G$26</f>
        <v>0</v>
      </c>
      <c r="I24" s="44">
        <f>'2001 sampling'!$G$25</f>
        <v>6</v>
      </c>
      <c r="K24" s="44">
        <f>'2001 sampling'!$F$28</f>
        <v>28</v>
      </c>
      <c r="L24" s="44">
        <f>'2001 sampling'!$F$29</f>
        <v>163</v>
      </c>
      <c r="M24" s="44">
        <f>'2001 sampling'!$F$30</f>
        <v>217</v>
      </c>
      <c r="N24" s="44">
        <f>'2001 sampling'!$F$31</f>
        <v>0</v>
      </c>
      <c r="O24" s="44">
        <f>'2001 sampling'!$F$32</f>
        <v>0</v>
      </c>
      <c r="P24" s="44">
        <f>'2001 sampling'!$G$28</f>
        <v>1</v>
      </c>
      <c r="Q24" s="44">
        <f>'2001 sampling'!$G$29</f>
        <v>7</v>
      </c>
      <c r="R24" s="44">
        <f>'2001 sampling'!$G$30</f>
        <v>24</v>
      </c>
      <c r="S24" s="44">
        <f>'2001 sampling'!$G$31</f>
        <v>0</v>
      </c>
      <c r="T24" s="44">
        <f>'2001 sampling'!$G$32</f>
        <v>0</v>
      </c>
      <c r="V24" s="666">
        <v>33</v>
      </c>
      <c r="W24" s="670">
        <v>2</v>
      </c>
      <c r="X24" s="671">
        <v>0</v>
      </c>
      <c r="Y24" s="671">
        <v>0</v>
      </c>
      <c r="Z24" s="671">
        <v>0</v>
      </c>
      <c r="AA24" s="671">
        <v>13</v>
      </c>
      <c r="AB24" s="671">
        <v>9</v>
      </c>
      <c r="AC24" s="671">
        <v>4</v>
      </c>
      <c r="AD24" s="671">
        <v>0</v>
      </c>
      <c r="AE24" s="676">
        <v>1</v>
      </c>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row>
    <row r="25" spans="1:220" x14ac:dyDescent="0.25">
      <c r="A25" s="73">
        <v>2001</v>
      </c>
      <c r="B25" s="44">
        <v>40</v>
      </c>
      <c r="C25" s="44">
        <f>'2001 sampling'!$J$24</f>
        <v>21</v>
      </c>
      <c r="D25" s="44">
        <f>'2001 sampling'!$J$26</f>
        <v>0</v>
      </c>
      <c r="E25" s="44">
        <f>'2001 sampling'!$J$25</f>
        <v>106</v>
      </c>
      <c r="G25" s="44">
        <f>'2001 sampling'!$K$24</f>
        <v>0</v>
      </c>
      <c r="H25" s="44">
        <f>'2001 sampling'!$K$26</f>
        <v>0</v>
      </c>
      <c r="I25" s="44">
        <f>'2001 sampling'!$K$25</f>
        <v>9</v>
      </c>
      <c r="K25" s="44">
        <f>'2001 sampling'!$J$28</f>
        <v>247</v>
      </c>
      <c r="L25" s="44">
        <f>'2001 sampling'!$J$29</f>
        <v>161</v>
      </c>
      <c r="M25" s="44">
        <f>'2001 sampling'!$J$30</f>
        <v>100</v>
      </c>
      <c r="N25" s="44">
        <f>'2001 sampling'!$J$31</f>
        <v>0</v>
      </c>
      <c r="O25" s="44">
        <f>'2001 sampling'!$J$32</f>
        <v>0</v>
      </c>
      <c r="P25" s="44">
        <f>'2001 sampling'!$K$28</f>
        <v>16</v>
      </c>
      <c r="Q25" s="44">
        <f>'2001 sampling'!$K$29</f>
        <v>12</v>
      </c>
      <c r="R25" s="44">
        <f>'2001 sampling'!$K$30</f>
        <v>8</v>
      </c>
      <c r="S25" s="44">
        <f>'2001 sampling'!$K$31</f>
        <v>0</v>
      </c>
      <c r="T25" s="44">
        <f>'2001 sampling'!$K$32</f>
        <v>0</v>
      </c>
      <c r="V25" s="666">
        <v>34</v>
      </c>
      <c r="W25" s="670">
        <v>21</v>
      </c>
      <c r="X25" s="671">
        <v>0</v>
      </c>
      <c r="Y25" s="671">
        <v>0</v>
      </c>
      <c r="Z25" s="671">
        <v>0</v>
      </c>
      <c r="AA25" s="671">
        <v>14</v>
      </c>
      <c r="AB25" s="671">
        <v>15</v>
      </c>
      <c r="AC25" s="671">
        <v>4</v>
      </c>
      <c r="AD25" s="671">
        <v>72</v>
      </c>
      <c r="AE25" s="676">
        <v>113</v>
      </c>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row>
    <row r="26" spans="1:220" x14ac:dyDescent="0.25">
      <c r="A26" s="73">
        <v>2001</v>
      </c>
      <c r="B26" s="44">
        <v>41</v>
      </c>
      <c r="C26" s="44">
        <f>'2001 sampling'!$N$24</f>
        <v>170</v>
      </c>
      <c r="D26" s="44">
        <f>'2001 sampling'!$N$26</f>
        <v>0</v>
      </c>
      <c r="E26" s="44">
        <f>'2001 sampling'!$N$25</f>
        <v>251</v>
      </c>
      <c r="G26" s="44">
        <f>'2001 sampling'!$O$24</f>
        <v>10</v>
      </c>
      <c r="H26" s="44">
        <f>'2001 sampling'!$O$26</f>
        <v>0</v>
      </c>
      <c r="I26" s="44">
        <f>'2001 sampling'!$O$25</f>
        <v>7</v>
      </c>
      <c r="K26" s="44">
        <f>'2001 sampling'!$N$28</f>
        <v>91</v>
      </c>
      <c r="L26" s="44">
        <f>'2001 sampling'!$N$29</f>
        <v>161</v>
      </c>
      <c r="M26" s="44">
        <f>'2001 sampling'!$N$30</f>
        <v>50</v>
      </c>
      <c r="N26" s="44">
        <f>'2001 sampling'!$N$31</f>
        <v>0</v>
      </c>
      <c r="O26" s="44">
        <f>'2001 sampling'!$N$32</f>
        <v>36</v>
      </c>
      <c r="P26" s="44">
        <f>'2001 sampling'!$O$28</f>
        <v>8</v>
      </c>
      <c r="Q26" s="44">
        <f>'2001 sampling'!$O$29</f>
        <v>6</v>
      </c>
      <c r="R26" s="44">
        <f>'2001 sampling'!$O$30</f>
        <v>5</v>
      </c>
      <c r="S26" s="44">
        <f>'2001 sampling'!$O$31</f>
        <v>0</v>
      </c>
      <c r="T26" s="44">
        <f>'2001 sampling'!$O$32</f>
        <v>7</v>
      </c>
      <c r="V26" s="666">
        <v>35</v>
      </c>
      <c r="W26" s="670">
        <v>103</v>
      </c>
      <c r="X26" s="671">
        <v>0</v>
      </c>
      <c r="Y26" s="671">
        <v>0</v>
      </c>
      <c r="Z26" s="671">
        <v>1</v>
      </c>
      <c r="AA26" s="671">
        <v>0</v>
      </c>
      <c r="AB26" s="671">
        <v>0</v>
      </c>
      <c r="AC26" s="671">
        <v>22</v>
      </c>
      <c r="AD26" s="671">
        <v>164</v>
      </c>
      <c r="AE26" s="676">
        <v>114</v>
      </c>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row>
    <row r="27" spans="1:220" x14ac:dyDescent="0.25">
      <c r="A27" s="73">
        <v>2001</v>
      </c>
      <c r="B27" s="44">
        <v>42</v>
      </c>
      <c r="C27" s="44">
        <f>'2001 sampling'!$R$24</f>
        <v>0</v>
      </c>
      <c r="D27" s="44">
        <f>'2001 sampling'!$R$26</f>
        <v>0</v>
      </c>
      <c r="E27" s="44">
        <f>'2001 sampling'!$R$25</f>
        <v>50</v>
      </c>
      <c r="G27" s="44">
        <f>'2001 sampling'!$S$24</f>
        <v>0</v>
      </c>
      <c r="H27" s="44">
        <f>'2001 sampling'!$S$26</f>
        <v>0</v>
      </c>
      <c r="I27" s="44">
        <f>'2001 sampling'!$S$25</f>
        <v>3</v>
      </c>
      <c r="K27" s="44">
        <f>'2001 sampling'!$R$28</f>
        <v>73</v>
      </c>
      <c r="L27" s="44">
        <f>'2001 sampling'!$R$29</f>
        <v>113</v>
      </c>
      <c r="M27" s="44">
        <f>'2001 sampling'!$R$30</f>
        <v>96</v>
      </c>
      <c r="N27" s="44">
        <f>'2001 sampling'!$R$31</f>
        <v>0</v>
      </c>
      <c r="O27" s="44">
        <f>'2001 sampling'!$R$32</f>
        <v>28</v>
      </c>
      <c r="P27" s="44">
        <f>'2001 sampling'!$S$28</f>
        <v>1</v>
      </c>
      <c r="Q27" s="44">
        <f>'2001 sampling'!$S$29</f>
        <v>2</v>
      </c>
      <c r="R27" s="44">
        <f>'2001 sampling'!$S$30</f>
        <v>7</v>
      </c>
      <c r="S27" s="44">
        <f>'2001 sampling'!$S$31</f>
        <v>0</v>
      </c>
      <c r="T27" s="44">
        <f>'2001 sampling'!$S$32</f>
        <v>5</v>
      </c>
      <c r="V27" s="666">
        <v>36</v>
      </c>
      <c r="W27" s="670">
        <v>325</v>
      </c>
      <c r="X27" s="671">
        <v>560</v>
      </c>
      <c r="Y27" s="671">
        <v>41</v>
      </c>
      <c r="Z27" s="671">
        <v>76</v>
      </c>
      <c r="AA27" s="671">
        <v>0</v>
      </c>
      <c r="AB27" s="671">
        <v>0</v>
      </c>
      <c r="AC27" s="671">
        <v>0</v>
      </c>
      <c r="AD27" s="671">
        <v>52</v>
      </c>
      <c r="AE27" s="676">
        <v>193</v>
      </c>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row>
    <row r="28" spans="1:220" x14ac:dyDescent="0.25">
      <c r="A28" s="73">
        <v>2001</v>
      </c>
      <c r="B28" s="44">
        <v>43</v>
      </c>
      <c r="C28" s="44">
        <f>'2001 sampling'!$V$24</f>
        <v>0</v>
      </c>
      <c r="D28" s="44">
        <f>'2001 sampling'!$V$26</f>
        <v>0</v>
      </c>
      <c r="E28" s="44">
        <f>'2001 sampling'!$V$25</f>
        <v>86</v>
      </c>
      <c r="G28" s="44">
        <f>'2001 sampling'!$W$24</f>
        <v>0</v>
      </c>
      <c r="H28" s="44">
        <f>'2001 sampling'!$W$26</f>
        <v>0</v>
      </c>
      <c r="I28" s="44">
        <f>'2001 sampling'!$W$25</f>
        <v>4</v>
      </c>
      <c r="K28" s="44">
        <f>'2001 sampling'!$V$28</f>
        <v>0</v>
      </c>
      <c r="L28" s="44">
        <f>'2001 sampling'!$V$29</f>
        <v>252</v>
      </c>
      <c r="M28" s="44">
        <f>'2001 sampling'!$V$30</f>
        <v>283</v>
      </c>
      <c r="N28" s="44">
        <f>'2001 sampling'!$V$31</f>
        <v>0</v>
      </c>
      <c r="O28" s="44">
        <f>'2001 sampling'!$V$32</f>
        <v>0</v>
      </c>
      <c r="P28" s="44">
        <f>'2001 sampling'!$W$28</f>
        <v>0</v>
      </c>
      <c r="Q28" s="44">
        <f>'2001 sampling'!$W$29</f>
        <v>17</v>
      </c>
      <c r="R28" s="44">
        <f>'2001 sampling'!$W$30</f>
        <v>21</v>
      </c>
      <c r="S28" s="44">
        <f>'2001 sampling'!$W$31</f>
        <v>0</v>
      </c>
      <c r="T28" s="44">
        <f>'2001 sampling'!$W$32</f>
        <v>0</v>
      </c>
      <c r="V28" s="666">
        <v>37</v>
      </c>
      <c r="W28" s="670">
        <v>401</v>
      </c>
      <c r="X28" s="671">
        <v>290</v>
      </c>
      <c r="Y28" s="671">
        <v>117</v>
      </c>
      <c r="Z28" s="671">
        <v>88</v>
      </c>
      <c r="AA28" s="671">
        <v>0</v>
      </c>
      <c r="AB28" s="671">
        <v>0</v>
      </c>
      <c r="AC28" s="671">
        <v>0</v>
      </c>
      <c r="AD28" s="671">
        <v>0</v>
      </c>
      <c r="AE28" s="676">
        <v>0</v>
      </c>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row>
    <row r="29" spans="1:220" x14ac:dyDescent="0.25">
      <c r="A29" s="73">
        <v>2001</v>
      </c>
      <c r="B29" s="44">
        <v>44</v>
      </c>
      <c r="C29" s="44">
        <f>'2001 sampling'!$Z$24</f>
        <v>0</v>
      </c>
      <c r="D29" s="44">
        <f>'2001 sampling'!$Z$26</f>
        <v>0</v>
      </c>
      <c r="E29" s="44">
        <f>'2001 sampling'!$Z$25</f>
        <v>17</v>
      </c>
      <c r="G29" s="44">
        <f>'2001 sampling'!$AA$24</f>
        <v>0</v>
      </c>
      <c r="H29" s="44">
        <f>'2001 sampling'!$AA$26</f>
        <v>0</v>
      </c>
      <c r="I29" s="44">
        <f>'2001 sampling'!$AA$25</f>
        <v>4</v>
      </c>
      <c r="K29" s="44">
        <f>'2001 sampling'!$Z$28</f>
        <v>0</v>
      </c>
      <c r="L29" s="44">
        <f>'2001 sampling'!$Z$29</f>
        <v>119</v>
      </c>
      <c r="M29" s="44">
        <f>'2001 sampling'!$Z$30</f>
        <v>61</v>
      </c>
      <c r="N29" s="44">
        <f>'2001 sampling'!$Z$31</f>
        <v>0</v>
      </c>
      <c r="O29" s="44">
        <f>'2001 sampling'!$Z$32</f>
        <v>0</v>
      </c>
      <c r="P29" s="44">
        <f>'2001 sampling'!$AA$28</f>
        <v>0</v>
      </c>
      <c r="Q29" s="44">
        <f>'2001 sampling'!$AA$29</f>
        <v>8</v>
      </c>
      <c r="R29" s="44">
        <f>'2001 sampling'!$AA$30</f>
        <v>3</v>
      </c>
      <c r="S29" s="44">
        <f>'2001 sampling'!$AA$31</f>
        <v>0</v>
      </c>
      <c r="T29" s="44">
        <f>'2001 sampling'!$AA$32</f>
        <v>0</v>
      </c>
      <c r="V29" s="666">
        <v>38</v>
      </c>
      <c r="W29" s="670">
        <v>460</v>
      </c>
      <c r="X29" s="671">
        <v>166</v>
      </c>
      <c r="Y29" s="671">
        <v>194</v>
      </c>
      <c r="Z29" s="671">
        <v>164</v>
      </c>
      <c r="AA29" s="671">
        <v>58</v>
      </c>
      <c r="AB29" s="671">
        <v>78</v>
      </c>
      <c r="AC29" s="671">
        <v>54</v>
      </c>
      <c r="AD29" s="671">
        <v>66</v>
      </c>
      <c r="AE29" s="676">
        <v>4</v>
      </c>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row>
    <row r="30" spans="1:220" x14ac:dyDescent="0.25">
      <c r="A30" s="73">
        <v>2001</v>
      </c>
      <c r="B30" s="44">
        <v>45</v>
      </c>
      <c r="C30" s="44">
        <f>'2001 sampling'!$AD$24</f>
        <v>0</v>
      </c>
      <c r="D30" s="44">
        <f>'2001 sampling'!$AD$26</f>
        <v>0</v>
      </c>
      <c r="E30" s="44">
        <f>'2001 sampling'!$AD$25</f>
        <v>0</v>
      </c>
      <c r="G30" s="44">
        <f>'2001 sampling'!$AE$24</f>
        <v>0</v>
      </c>
      <c r="H30" s="44">
        <f>'2001 sampling'!$AE$26</f>
        <v>0</v>
      </c>
      <c r="I30" s="44">
        <f>'2001 sampling'!$AE$25</f>
        <v>0</v>
      </c>
      <c r="K30" s="44">
        <f>'2001 sampling'!$AD$28</f>
        <v>0</v>
      </c>
      <c r="L30" s="44">
        <f>'2001 sampling'!$AD$29</f>
        <v>0</v>
      </c>
      <c r="M30" s="44">
        <f>'2001 sampling'!$AD$30</f>
        <v>0</v>
      </c>
      <c r="N30" s="44">
        <f>'2001 sampling'!$AD$31</f>
        <v>0</v>
      </c>
      <c r="O30" s="44">
        <f>'2001 sampling'!$AD$32</f>
        <v>0</v>
      </c>
      <c r="P30" s="44">
        <f>'2001 sampling'!$AE$28</f>
        <v>0</v>
      </c>
      <c r="Q30" s="44">
        <f>'2001 sampling'!$AE$29</f>
        <v>0</v>
      </c>
      <c r="R30" s="44">
        <f>'2001 sampling'!$AE$30</f>
        <v>0</v>
      </c>
      <c r="S30" s="44">
        <f>'2001 sampling'!$AE$31</f>
        <v>0</v>
      </c>
      <c r="T30" s="44">
        <f>'2001 sampling'!$AE$32</f>
        <v>0</v>
      </c>
      <c r="V30" s="666">
        <v>39</v>
      </c>
      <c r="W30" s="670">
        <v>176</v>
      </c>
      <c r="X30" s="671">
        <v>57</v>
      </c>
      <c r="Y30" s="671">
        <v>173</v>
      </c>
      <c r="Z30" s="671">
        <v>163</v>
      </c>
      <c r="AA30" s="671">
        <v>400</v>
      </c>
      <c r="AB30" s="671">
        <v>930</v>
      </c>
      <c r="AC30" s="671">
        <v>551</v>
      </c>
      <c r="AD30" s="671">
        <v>623</v>
      </c>
      <c r="AE30" s="676">
        <v>344</v>
      </c>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row>
    <row r="31" spans="1:220" x14ac:dyDescent="0.25">
      <c r="A31" s="73">
        <v>2002</v>
      </c>
      <c r="B31" s="44">
        <v>32</v>
      </c>
      <c r="C31" s="44">
        <f>'2002 sampling'!$B$7</f>
        <v>1</v>
      </c>
      <c r="D31" s="44">
        <f>'2002 sampling'!$B$9</f>
        <v>0</v>
      </c>
      <c r="E31" s="44">
        <f>'2002 sampling'!$B$8</f>
        <v>0</v>
      </c>
      <c r="G31" s="44">
        <f>'2002 sampling'!$C$7</f>
        <v>0</v>
      </c>
      <c r="H31" s="44">
        <f>'2002 sampling'!$C$9</f>
        <v>0</v>
      </c>
      <c r="I31" s="44">
        <f>'2002 sampling'!$C$8</f>
        <v>0</v>
      </c>
      <c r="K31" s="44">
        <f>'2002 sampling'!$B$11</f>
        <v>0</v>
      </c>
      <c r="L31" s="44">
        <f>'2002 sampling'!$B$12</f>
        <v>0</v>
      </c>
      <c r="M31" s="44">
        <f>'2002 sampling'!$B$13</f>
        <v>0</v>
      </c>
      <c r="N31" s="44">
        <f>'2002 sampling'!$B$14</f>
        <v>0</v>
      </c>
      <c r="O31" s="44">
        <f>'2002 sampling'!$B$15</f>
        <v>0</v>
      </c>
      <c r="P31" s="44">
        <f>'2002 sampling'!$C$11</f>
        <v>0</v>
      </c>
      <c r="Q31" s="44">
        <f>'2002 sampling'!$C$12</f>
        <v>0</v>
      </c>
      <c r="R31" s="44">
        <f>'2002 sampling'!$C$13</f>
        <v>0</v>
      </c>
      <c r="S31" s="44">
        <f>'2002 sampling'!$C$14</f>
        <v>0</v>
      </c>
      <c r="T31" s="44">
        <f>'2002 sampling'!$C$15</f>
        <v>0</v>
      </c>
      <c r="V31" s="666">
        <v>40</v>
      </c>
      <c r="W31" s="670">
        <v>141</v>
      </c>
      <c r="X31" s="671">
        <v>51</v>
      </c>
      <c r="Y31" s="671">
        <v>147</v>
      </c>
      <c r="Z31" s="671">
        <v>148</v>
      </c>
      <c r="AA31" s="671">
        <v>934</v>
      </c>
      <c r="AB31" s="671">
        <v>3657</v>
      </c>
      <c r="AC31" s="671">
        <v>248</v>
      </c>
      <c r="AD31" s="671">
        <v>224</v>
      </c>
      <c r="AE31" s="676">
        <v>147</v>
      </c>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row>
    <row r="32" spans="1:220" x14ac:dyDescent="0.25">
      <c r="A32" s="73">
        <v>2002</v>
      </c>
      <c r="B32" s="44">
        <v>33</v>
      </c>
      <c r="C32" s="44">
        <f>'2002 sampling'!$F$7</f>
        <v>0</v>
      </c>
      <c r="D32" s="44">
        <f>'2002 sampling'!$F$9</f>
        <v>0</v>
      </c>
      <c r="E32" s="44">
        <f>'2002 sampling'!$F$8</f>
        <v>0</v>
      </c>
      <c r="G32" s="44">
        <f>'2002 sampling'!$G$7</f>
        <v>0</v>
      </c>
      <c r="H32" s="44">
        <f>'2002 sampling'!$G$9</f>
        <v>0</v>
      </c>
      <c r="I32" s="44">
        <f>'2002 sampling'!$G$8</f>
        <v>0</v>
      </c>
      <c r="K32" s="44">
        <f>'2002 sampling'!$F$11</f>
        <v>0</v>
      </c>
      <c r="L32" s="44">
        <f>'2002 sampling'!$F$12</f>
        <v>0</v>
      </c>
      <c r="M32" s="44">
        <f>'2002 sampling'!$F$13</f>
        <v>0</v>
      </c>
      <c r="N32" s="44">
        <f>'2002 sampling'!$F$14</f>
        <v>0</v>
      </c>
      <c r="O32" s="44">
        <f>'2002 sampling'!$F$15</f>
        <v>0</v>
      </c>
      <c r="P32" s="44">
        <f>'2002 sampling'!$G$11</f>
        <v>0</v>
      </c>
      <c r="Q32" s="44">
        <f>'2002 sampling'!$G$12</f>
        <v>0</v>
      </c>
      <c r="R32" s="44">
        <f>'2002 sampling'!$G$13</f>
        <v>0</v>
      </c>
      <c r="S32" s="44">
        <f>'2002 sampling'!$G$14</f>
        <v>0</v>
      </c>
      <c r="T32" s="44">
        <f>'2002 sampling'!$G$15</f>
        <v>0</v>
      </c>
      <c r="V32" s="666">
        <v>41</v>
      </c>
      <c r="W32" s="670">
        <v>53</v>
      </c>
      <c r="X32" s="671">
        <v>13</v>
      </c>
      <c r="Y32" s="671">
        <v>128</v>
      </c>
      <c r="Z32" s="671">
        <v>96</v>
      </c>
      <c r="AA32" s="671">
        <v>471</v>
      </c>
      <c r="AB32" s="671">
        <v>936</v>
      </c>
      <c r="AC32" s="671">
        <v>347</v>
      </c>
      <c r="AD32" s="671">
        <v>336</v>
      </c>
      <c r="AE32" s="676">
        <v>211</v>
      </c>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row>
    <row r="33" spans="1:220" x14ac:dyDescent="0.25">
      <c r="A33" s="73">
        <v>2002</v>
      </c>
      <c r="B33" s="44">
        <v>34</v>
      </c>
      <c r="C33" s="44">
        <f>'2002 sampling'!$J$7</f>
        <v>16</v>
      </c>
      <c r="D33" s="44">
        <f>'2002 sampling'!$J$9</f>
        <v>0</v>
      </c>
      <c r="E33" s="44">
        <f>'2002 sampling'!$J$8</f>
        <v>0</v>
      </c>
      <c r="G33" s="44">
        <f>'2002 sampling'!$K$7</f>
        <v>0</v>
      </c>
      <c r="H33" s="44">
        <f>'2002 sampling'!$K$9</f>
        <v>0</v>
      </c>
      <c r="I33" s="44">
        <f>'2002 sampling'!$K$8</f>
        <v>0</v>
      </c>
      <c r="K33" s="44">
        <f>'2002 sampling'!$J$11</f>
        <v>0</v>
      </c>
      <c r="L33" s="44">
        <f>'2002 sampling'!$J$12</f>
        <v>0</v>
      </c>
      <c r="M33" s="44">
        <f>'2002 sampling'!$J$13</f>
        <v>0</v>
      </c>
      <c r="N33" s="44">
        <f>'2002 sampling'!$J$14</f>
        <v>0</v>
      </c>
      <c r="O33" s="44">
        <f>'2002 sampling'!$J$15</f>
        <v>0</v>
      </c>
      <c r="P33" s="44">
        <f>'2002 sampling'!$K$11</f>
        <v>0</v>
      </c>
      <c r="Q33" s="44">
        <f>'2002 sampling'!$K$12</f>
        <v>0</v>
      </c>
      <c r="R33" s="44">
        <f>'2002 sampling'!$K$13</f>
        <v>0</v>
      </c>
      <c r="S33" s="44">
        <f>'2002 sampling'!$K$14</f>
        <v>0</v>
      </c>
      <c r="T33" s="44">
        <f>'2002 sampling'!$K$15</f>
        <v>0</v>
      </c>
      <c r="V33" s="666">
        <v>42</v>
      </c>
      <c r="W33" s="670">
        <v>25</v>
      </c>
      <c r="X33" s="671">
        <v>22</v>
      </c>
      <c r="Y33" s="671">
        <v>69</v>
      </c>
      <c r="Z33" s="671">
        <v>9</v>
      </c>
      <c r="AA33" s="671">
        <v>675</v>
      </c>
      <c r="AB33" s="671">
        <v>1557</v>
      </c>
      <c r="AC33" s="671">
        <v>925</v>
      </c>
      <c r="AD33" s="671">
        <v>196</v>
      </c>
      <c r="AE33" s="676">
        <v>190</v>
      </c>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row>
    <row r="34" spans="1:220" x14ac:dyDescent="0.25">
      <c r="A34" s="73">
        <v>2002</v>
      </c>
      <c r="B34" s="44">
        <v>35</v>
      </c>
      <c r="C34" s="44">
        <f>'2002 sampling'!$N$7</f>
        <v>48</v>
      </c>
      <c r="D34" s="44">
        <f>'2002 sampling'!$N$9</f>
        <v>0</v>
      </c>
      <c r="E34" s="44">
        <f>'2002 sampling'!$N$8</f>
        <v>6</v>
      </c>
      <c r="G34" s="44">
        <f>'2002 sampling'!$O$7</f>
        <v>1</v>
      </c>
      <c r="H34" s="44">
        <f>'2002 sampling'!$O$9</f>
        <v>0</v>
      </c>
      <c r="I34" s="44">
        <f>'2002 sampling'!$O$8</f>
        <v>0</v>
      </c>
      <c r="K34" s="44">
        <f>'2002 sampling'!$N$11</f>
        <v>0</v>
      </c>
      <c r="L34" s="44">
        <f>'2002 sampling'!$N$12</f>
        <v>0</v>
      </c>
      <c r="M34" s="44">
        <f>'2002 sampling'!$N$13</f>
        <v>0</v>
      </c>
      <c r="N34" s="44">
        <f>'2002 sampling'!$N$14</f>
        <v>0</v>
      </c>
      <c r="O34" s="44">
        <f>'2002 sampling'!$N$15</f>
        <v>0</v>
      </c>
      <c r="P34" s="44">
        <f>'2002 sampling'!$O$11</f>
        <v>0</v>
      </c>
      <c r="Q34" s="44">
        <f>'2002 sampling'!$O$12</f>
        <v>0</v>
      </c>
      <c r="R34" s="44">
        <f>'2002 sampling'!$O$13</f>
        <v>0</v>
      </c>
      <c r="S34" s="44">
        <f>'2002 sampling'!$O$14</f>
        <v>0</v>
      </c>
      <c r="T34" s="44">
        <f>'2002 sampling'!$O$15</f>
        <v>0</v>
      </c>
      <c r="V34" s="666">
        <v>43</v>
      </c>
      <c r="W34" s="670">
        <v>27</v>
      </c>
      <c r="X34" s="671">
        <v>1</v>
      </c>
      <c r="Y34" s="671">
        <v>21</v>
      </c>
      <c r="Z34" s="671">
        <v>0</v>
      </c>
      <c r="AA34" s="671">
        <v>112</v>
      </c>
      <c r="AB34" s="671">
        <v>709</v>
      </c>
      <c r="AC34" s="671">
        <v>670</v>
      </c>
      <c r="AD34" s="671">
        <v>108</v>
      </c>
      <c r="AE34" s="676">
        <v>40</v>
      </c>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row>
    <row r="35" spans="1:220" x14ac:dyDescent="0.25">
      <c r="A35" s="73">
        <v>2002</v>
      </c>
      <c r="B35" s="44">
        <v>36</v>
      </c>
      <c r="C35" s="44">
        <f>'2002 sampling'!$R$7</f>
        <v>221</v>
      </c>
      <c r="D35" s="44">
        <f>'2002 sampling'!$R$9</f>
        <v>187</v>
      </c>
      <c r="E35" s="44">
        <f>'2002 sampling'!$R$8</f>
        <v>0</v>
      </c>
      <c r="G35" s="44">
        <f>'2002 sampling'!$S$7</f>
        <v>1</v>
      </c>
      <c r="H35" s="44">
        <f>'2002 sampling'!$S$9</f>
        <v>5</v>
      </c>
      <c r="I35" s="44">
        <f>'2002 sampling'!$S$8</f>
        <v>0</v>
      </c>
      <c r="K35" s="44">
        <f>'2002 sampling'!$R$11</f>
        <v>0</v>
      </c>
      <c r="L35" s="44">
        <f>'2002 sampling'!$R$12</f>
        <v>0</v>
      </c>
      <c r="M35" s="44">
        <f>'2002 sampling'!$R$13</f>
        <v>0</v>
      </c>
      <c r="N35" s="44">
        <f>'2002 sampling'!$R$14</f>
        <v>0</v>
      </c>
      <c r="O35" s="44">
        <f>'2002 sampling'!$R$15</f>
        <v>0</v>
      </c>
      <c r="P35" s="44">
        <f>'2002 sampling'!$S$11</f>
        <v>0</v>
      </c>
      <c r="Q35" s="44">
        <f>'2002 sampling'!$S$12</f>
        <v>0</v>
      </c>
      <c r="R35" s="44">
        <f>'2002 sampling'!$S$13</f>
        <v>0</v>
      </c>
      <c r="S35" s="44">
        <f>'2002 sampling'!$S$14</f>
        <v>0</v>
      </c>
      <c r="T35" s="44">
        <f>'2002 sampling'!$S$15</f>
        <v>0</v>
      </c>
      <c r="V35" s="666">
        <v>44</v>
      </c>
      <c r="W35" s="670">
        <v>14</v>
      </c>
      <c r="X35" s="671">
        <v>0</v>
      </c>
      <c r="Y35" s="671">
        <v>4</v>
      </c>
      <c r="Z35" s="671">
        <v>0</v>
      </c>
      <c r="AA35" s="671">
        <v>9</v>
      </c>
      <c r="AB35" s="671">
        <v>157</v>
      </c>
      <c r="AC35" s="671">
        <v>137</v>
      </c>
      <c r="AD35" s="671">
        <v>4</v>
      </c>
      <c r="AE35" s="676">
        <v>0</v>
      </c>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row>
    <row r="36" spans="1:220" x14ac:dyDescent="0.25">
      <c r="A36" s="73">
        <v>2002</v>
      </c>
      <c r="B36" s="44">
        <v>37</v>
      </c>
      <c r="C36" s="44">
        <f>'2002 sampling'!$V$7</f>
        <v>340</v>
      </c>
      <c r="D36" s="44">
        <f>'2002 sampling'!$V$9</f>
        <v>57</v>
      </c>
      <c r="E36" s="44">
        <f>'2002 sampling'!$V$8</f>
        <v>35</v>
      </c>
      <c r="G36" s="44">
        <f>'2002 sampling'!$W$7</f>
        <v>13</v>
      </c>
      <c r="H36" s="44">
        <f>'2002 sampling'!$W$9</f>
        <v>2</v>
      </c>
      <c r="I36" s="44">
        <f>'2002 sampling'!$W$8</f>
        <v>3</v>
      </c>
      <c r="K36" s="44">
        <f>'2002 sampling'!$V$11</f>
        <v>0</v>
      </c>
      <c r="L36" s="44">
        <f>'2002 sampling'!$V$12</f>
        <v>0</v>
      </c>
      <c r="M36" s="44">
        <f>'2002 sampling'!$V$13</f>
        <v>0</v>
      </c>
      <c r="N36" s="44">
        <f>'2002 sampling'!$V$14</f>
        <v>0</v>
      </c>
      <c r="O36" s="44">
        <f>'2002 sampling'!$V$15</f>
        <v>0</v>
      </c>
      <c r="P36" s="44">
        <f>'2002 sampling'!$W$11</f>
        <v>0</v>
      </c>
      <c r="Q36" s="44">
        <f>'2002 sampling'!$W$12</f>
        <v>0</v>
      </c>
      <c r="R36" s="44">
        <f>'2002 sampling'!$W$13</f>
        <v>0</v>
      </c>
      <c r="S36" s="44">
        <f>'2002 sampling'!$W$14</f>
        <v>0</v>
      </c>
      <c r="T36" s="44">
        <f>'2002 sampling'!$W$15</f>
        <v>0</v>
      </c>
      <c r="V36" s="666">
        <v>45</v>
      </c>
      <c r="W36" s="670">
        <v>0</v>
      </c>
      <c r="X36" s="671">
        <v>0</v>
      </c>
      <c r="Y36" s="671">
        <v>0</v>
      </c>
      <c r="Z36" s="671">
        <v>0</v>
      </c>
      <c r="AA36" s="671">
        <v>0</v>
      </c>
      <c r="AB36" s="671">
        <v>5</v>
      </c>
      <c r="AC36" s="671">
        <v>2</v>
      </c>
      <c r="AD36" s="671">
        <v>0</v>
      </c>
      <c r="AE36" s="676">
        <v>0</v>
      </c>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row>
    <row r="37" spans="1:220" x14ac:dyDescent="0.25">
      <c r="A37" s="73">
        <v>2002</v>
      </c>
      <c r="B37" s="44">
        <v>38</v>
      </c>
      <c r="C37" s="44">
        <f>'2002 sampling'!$B$24</f>
        <v>299</v>
      </c>
      <c r="D37" s="44">
        <f>'2002 sampling'!$B$26</f>
        <v>144</v>
      </c>
      <c r="E37" s="44">
        <f>'2002 sampling'!$B$25</f>
        <v>53</v>
      </c>
      <c r="G37" s="44">
        <f>'2002 sampling'!$C$24</f>
        <v>11</v>
      </c>
      <c r="H37" s="44">
        <f>'2002 sampling'!$C$26</f>
        <v>7</v>
      </c>
      <c r="I37" s="44">
        <f>'2002 sampling'!$C$25</f>
        <v>1</v>
      </c>
      <c r="K37" s="44">
        <f>'2002 sampling'!$B$28</f>
        <v>202</v>
      </c>
      <c r="L37" s="44">
        <f>'2002 sampling'!$B$29</f>
        <v>257</v>
      </c>
      <c r="M37" s="44">
        <f>'2002 sampling'!$B$30</f>
        <v>62</v>
      </c>
      <c r="N37" s="44">
        <f>'2002 sampling'!$B$31</f>
        <v>18</v>
      </c>
      <c r="O37" s="44">
        <f>'2002 sampling'!$B$32</f>
        <v>32</v>
      </c>
      <c r="P37" s="44">
        <f>'2002 sampling'!$C$28</f>
        <v>35</v>
      </c>
      <c r="Q37" s="44">
        <f>'2002 sampling'!$C$29</f>
        <v>28</v>
      </c>
      <c r="R37" s="44">
        <f>'2002 sampling'!$C$30</f>
        <v>7</v>
      </c>
      <c r="S37" s="44">
        <f>'2002 sampling'!$C$31</f>
        <v>4</v>
      </c>
      <c r="T37" s="44">
        <f>'2002 sampling'!$C$32</f>
        <v>10</v>
      </c>
      <c r="V37" s="665" t="s">
        <v>69</v>
      </c>
      <c r="W37" s="672">
        <v>1748</v>
      </c>
      <c r="X37" s="673">
        <v>1160</v>
      </c>
      <c r="Y37" s="673">
        <v>894</v>
      </c>
      <c r="Z37" s="673">
        <v>745</v>
      </c>
      <c r="AA37" s="673">
        <v>2715</v>
      </c>
      <c r="AB37" s="673">
        <v>8053</v>
      </c>
      <c r="AC37" s="673">
        <v>2964</v>
      </c>
      <c r="AD37" s="673">
        <v>1845</v>
      </c>
      <c r="AE37" s="677">
        <v>1357</v>
      </c>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row>
    <row r="38" spans="1:220" x14ac:dyDescent="0.25">
      <c r="A38" s="73">
        <v>2002</v>
      </c>
      <c r="B38" s="44">
        <v>39</v>
      </c>
      <c r="C38" s="44">
        <f>'2002 sampling'!$F$24</f>
        <v>126</v>
      </c>
      <c r="D38" s="44">
        <f>'2002 sampling'!$F$26</f>
        <v>0</v>
      </c>
      <c r="E38" s="44">
        <f>'2002 sampling'!$F$25</f>
        <v>105</v>
      </c>
      <c r="G38" s="44">
        <f>'2002 sampling'!$G$24</f>
        <v>0</v>
      </c>
      <c r="H38" s="44">
        <f>'2002 sampling'!$G$26</f>
        <v>0</v>
      </c>
      <c r="I38" s="44">
        <f>'2002 sampling'!$G$25</f>
        <v>8</v>
      </c>
      <c r="K38" s="44">
        <f>'2002 sampling'!$F$28</f>
        <v>44</v>
      </c>
      <c r="L38" s="44">
        <f>'2002 sampling'!$F$29</f>
        <v>153</v>
      </c>
      <c r="M38" s="44">
        <f>'2002 sampling'!$F$30</f>
        <v>19</v>
      </c>
      <c r="N38" s="44">
        <f>'2002 sampling'!$F$31</f>
        <v>0</v>
      </c>
      <c r="O38" s="44">
        <f>'2002 sampling'!$F$32</f>
        <v>57</v>
      </c>
      <c r="P38" s="44">
        <f>'2002 sampling'!$G$28</f>
        <v>9</v>
      </c>
      <c r="Q38" s="44">
        <f>'2002 sampling'!$G$29</f>
        <v>22</v>
      </c>
      <c r="R38" s="44">
        <f>'2002 sampling'!$G$30</f>
        <v>5</v>
      </c>
      <c r="S38" s="44">
        <f>'2002 sampling'!$G$31</f>
        <v>0</v>
      </c>
      <c r="T38" s="44">
        <f>'2002 sampling'!$G$32</f>
        <v>20</v>
      </c>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row>
    <row r="39" spans="1:220" x14ac:dyDescent="0.25">
      <c r="A39" s="73">
        <v>2002</v>
      </c>
      <c r="B39" s="44">
        <v>40</v>
      </c>
      <c r="C39" s="44">
        <f>'2002 sampling'!$J$24</f>
        <v>377</v>
      </c>
      <c r="D39" s="44">
        <f>'2002 sampling'!$J$26</f>
        <v>0</v>
      </c>
      <c r="E39" s="44">
        <f>'2002 sampling'!$J$25</f>
        <v>0</v>
      </c>
      <c r="G39" s="44">
        <f>'2002 sampling'!$K$24</f>
        <v>6</v>
      </c>
      <c r="H39" s="44">
        <f>'2002 sampling'!$K$26</f>
        <v>0</v>
      </c>
      <c r="I39" s="44">
        <f>'2002 sampling'!$K$25</f>
        <v>0</v>
      </c>
      <c r="K39" s="44">
        <f>'2002 sampling'!$J$28</f>
        <v>151</v>
      </c>
      <c r="L39" s="44">
        <f>'2002 sampling'!$J$29</f>
        <v>158</v>
      </c>
      <c r="M39" s="44">
        <f>'2002 sampling'!$J$30</f>
        <v>98</v>
      </c>
      <c r="N39" s="44">
        <f>'2002 sampling'!$J$31</f>
        <v>0</v>
      </c>
      <c r="O39" s="44">
        <f>'2002 sampling'!$J$32</f>
        <v>57</v>
      </c>
      <c r="P39" s="44">
        <f>'2002 sampling'!$K$28</f>
        <v>30</v>
      </c>
      <c r="Q39" s="44">
        <f>'2002 sampling'!$K$29</f>
        <v>32</v>
      </c>
      <c r="R39" s="44">
        <f>'2002 sampling'!$K$30</f>
        <v>11</v>
      </c>
      <c r="S39" s="44">
        <f>'2002 sampling'!$K$31</f>
        <v>0</v>
      </c>
      <c r="T39" s="44">
        <f>'2002 sampling'!$K$32</f>
        <v>16</v>
      </c>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row>
    <row r="40" spans="1:220" x14ac:dyDescent="0.25">
      <c r="A40" s="73">
        <v>2002</v>
      </c>
      <c r="B40" s="44">
        <v>41</v>
      </c>
      <c r="C40" s="44">
        <f>'2002 sampling'!$N$24</f>
        <v>0</v>
      </c>
      <c r="D40" s="44">
        <f>'2002 sampling'!$N$26</f>
        <v>0</v>
      </c>
      <c r="E40" s="44">
        <f>'2002 sampling'!$N$25</f>
        <v>0</v>
      </c>
      <c r="G40" s="44">
        <f>'2002 sampling'!$O$24</f>
        <v>0</v>
      </c>
      <c r="H40" s="44">
        <f>'2002 sampling'!$O$26</f>
        <v>0</v>
      </c>
      <c r="I40" s="44">
        <f>'2002 sampling'!$O$25</f>
        <v>0</v>
      </c>
      <c r="K40" s="44">
        <f>'2002 sampling'!$N$28</f>
        <v>57</v>
      </c>
      <c r="L40" s="44">
        <f>'2002 sampling'!$N$29</f>
        <v>201</v>
      </c>
      <c r="M40" s="44">
        <f>'2002 sampling'!$N$30</f>
        <v>73</v>
      </c>
      <c r="N40" s="44">
        <f>'2002 sampling'!$N$31</f>
        <v>4</v>
      </c>
      <c r="O40" s="44">
        <f>'2002 sampling'!$N$32</f>
        <v>47</v>
      </c>
      <c r="P40" s="44">
        <f>'2002 sampling'!$O$28</f>
        <v>16</v>
      </c>
      <c r="Q40" s="44">
        <f>'2002 sampling'!$O$29</f>
        <v>45</v>
      </c>
      <c r="R40" s="44">
        <f>'2002 sampling'!$O$30</f>
        <v>20</v>
      </c>
      <c r="S40" s="44">
        <f>'2002 sampling'!$O$31</f>
        <v>3</v>
      </c>
      <c r="T40" s="44">
        <f>'2002 sampling'!$O$32</f>
        <v>22</v>
      </c>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row>
    <row r="41" spans="1:220" x14ac:dyDescent="0.25">
      <c r="A41" s="73">
        <v>2002</v>
      </c>
      <c r="B41" s="44">
        <v>42</v>
      </c>
      <c r="C41" s="44">
        <f>'2002 sampling'!$R$24</f>
        <v>7</v>
      </c>
      <c r="D41" s="44">
        <f>'2002 sampling'!$R$26</f>
        <v>0</v>
      </c>
      <c r="E41" s="44">
        <f>'2002 sampling'!$R$25</f>
        <v>0</v>
      </c>
      <c r="G41" s="44">
        <f>'2002 sampling'!$S$24</f>
        <v>1</v>
      </c>
      <c r="H41" s="44">
        <f>'2002 sampling'!$S$26</f>
        <v>0</v>
      </c>
      <c r="I41" s="44">
        <f>'2002 sampling'!$S$25</f>
        <v>0</v>
      </c>
      <c r="K41" s="44">
        <f>'2002 sampling'!$R$28</f>
        <v>2</v>
      </c>
      <c r="L41" s="44">
        <f>'2002 sampling'!$R$29</f>
        <v>126</v>
      </c>
      <c r="M41" s="44">
        <f>'2002 sampling'!$R$30</f>
        <v>25</v>
      </c>
      <c r="N41" s="44">
        <f>'2002 sampling'!$R$31</f>
        <v>0</v>
      </c>
      <c r="O41" s="44">
        <f>'2002 sampling'!$R$32</f>
        <v>34</v>
      </c>
      <c r="P41" s="44">
        <f>'2002 sampling'!$S$28</f>
        <v>0</v>
      </c>
      <c r="Q41" s="44">
        <f>'2002 sampling'!$S$29</f>
        <v>23</v>
      </c>
      <c r="R41" s="44">
        <f>'2002 sampling'!$S$30</f>
        <v>5</v>
      </c>
      <c r="S41" s="44">
        <f>'2002 sampling'!$S$31</f>
        <v>0</v>
      </c>
      <c r="T41" s="44">
        <f>'2002 sampling'!$S$32</f>
        <v>14</v>
      </c>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row>
    <row r="42" spans="1:220" x14ac:dyDescent="0.25">
      <c r="A42" s="73">
        <v>2002</v>
      </c>
      <c r="B42" s="44">
        <v>43</v>
      </c>
      <c r="C42" s="44">
        <f>'2002 sampling'!$V$24</f>
        <v>0</v>
      </c>
      <c r="D42" s="44">
        <f>'2002 sampling'!$V$26</f>
        <v>0</v>
      </c>
      <c r="E42" s="44">
        <f>'2002 sampling'!$V$25</f>
        <v>0</v>
      </c>
      <c r="G42" s="44">
        <f>'2002 sampling'!$W$24</f>
        <v>0</v>
      </c>
      <c r="H42" s="44">
        <f>'2002 sampling'!$W$26</f>
        <v>0</v>
      </c>
      <c r="I42" s="44">
        <f>'2002 sampling'!$W$25</f>
        <v>0</v>
      </c>
      <c r="K42" s="44">
        <f>'2002 sampling'!$V$28</f>
        <v>1</v>
      </c>
      <c r="L42" s="44">
        <f>'2002 sampling'!$V$29</f>
        <v>158</v>
      </c>
      <c r="M42" s="44">
        <f>'2002 sampling'!$V$30</f>
        <v>18</v>
      </c>
      <c r="N42" s="44">
        <f>'2002 sampling'!$V$31</f>
        <v>0</v>
      </c>
      <c r="O42" s="44">
        <f>'2002 sampling'!$V$32</f>
        <v>4</v>
      </c>
      <c r="P42" s="44">
        <f>'2002 sampling'!$W$28</f>
        <v>0</v>
      </c>
      <c r="Q42" s="44">
        <f>'2002 sampling'!$W$29</f>
        <v>28</v>
      </c>
      <c r="R42" s="44">
        <f>'2002 sampling'!$W$30</f>
        <v>4</v>
      </c>
      <c r="S42" s="44">
        <f>'2002 sampling'!$W$31</f>
        <v>0</v>
      </c>
      <c r="T42" s="44">
        <f>'2002 sampling'!$W$32</f>
        <v>1</v>
      </c>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row>
    <row r="43" spans="1:220" x14ac:dyDescent="0.25">
      <c r="A43" s="73">
        <v>2002</v>
      </c>
      <c r="B43" s="44">
        <v>44</v>
      </c>
      <c r="C43" s="44">
        <f>'2002 sampling'!$Z$24</f>
        <v>0</v>
      </c>
      <c r="D43" s="44">
        <f>'2002 sampling'!$Z$26</f>
        <v>0</v>
      </c>
      <c r="E43" s="44">
        <f>'2002 sampling'!$Z$25</f>
        <v>0</v>
      </c>
      <c r="G43" s="44">
        <f>'2002 sampling'!$AA$24</f>
        <v>0</v>
      </c>
      <c r="H43" s="44">
        <f>'2002 sampling'!$AA$26</f>
        <v>0</v>
      </c>
      <c r="I43" s="44">
        <f>'2002 sampling'!$AA$25</f>
        <v>0</v>
      </c>
      <c r="K43" s="44">
        <f>'2002 sampling'!$Z$28</f>
        <v>0</v>
      </c>
      <c r="L43" s="44">
        <f>'2002 sampling'!$Z$29</f>
        <v>143</v>
      </c>
      <c r="M43" s="44">
        <f>'2002 sampling'!$Z$30</f>
        <v>19</v>
      </c>
      <c r="N43" s="44">
        <f>'2002 sampling'!$Z$31</f>
        <v>0</v>
      </c>
      <c r="O43" s="44">
        <f>'2002 sampling'!$Z$32</f>
        <v>3</v>
      </c>
      <c r="P43" s="44">
        <f>'2002 sampling'!$AA$28</f>
        <v>0</v>
      </c>
      <c r="Q43" s="44">
        <f>'2002 sampling'!$AA$29</f>
        <v>22</v>
      </c>
      <c r="R43" s="44">
        <f>'2002 sampling'!$AA$30</f>
        <v>6</v>
      </c>
      <c r="S43" s="44">
        <f>'2002 sampling'!$AA$31</f>
        <v>0</v>
      </c>
      <c r="T43" s="44">
        <f>'2002 sampling'!$AA$32</f>
        <v>2</v>
      </c>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row>
    <row r="44" spans="1:220" x14ac:dyDescent="0.25">
      <c r="A44" s="73">
        <v>2002</v>
      </c>
      <c r="B44" s="44">
        <v>45</v>
      </c>
      <c r="C44" s="44">
        <f>'2002 sampling'!$AD$24</f>
        <v>0</v>
      </c>
      <c r="D44" s="44">
        <f>'2002 sampling'!$AD$26</f>
        <v>0</v>
      </c>
      <c r="E44" s="44">
        <f>'2002 sampling'!$AD$25</f>
        <v>0</v>
      </c>
      <c r="G44" s="44">
        <f>'2002 sampling'!$AE$24</f>
        <v>0</v>
      </c>
      <c r="H44" s="44">
        <f>'2002 sampling'!$AE$26</f>
        <v>0</v>
      </c>
      <c r="I44" s="44">
        <f>'2002 sampling'!$AE$25</f>
        <v>0</v>
      </c>
      <c r="K44" s="44">
        <f>'2002 sampling'!$AD$28</f>
        <v>0</v>
      </c>
      <c r="L44" s="44">
        <f>'2002 sampling'!$AD$29</f>
        <v>0</v>
      </c>
      <c r="M44" s="44">
        <f>'2002 sampling'!$AD$30</f>
        <v>0</v>
      </c>
      <c r="N44" s="44">
        <f>'2002 sampling'!$AD$31</f>
        <v>0</v>
      </c>
      <c r="O44" s="44">
        <f>'2002 sampling'!$AD$32</f>
        <v>0</v>
      </c>
      <c r="P44" s="44">
        <f>'2002 sampling'!$AE$28</f>
        <v>0</v>
      </c>
      <c r="Q44" s="44">
        <f>'2002 sampling'!$AE$29</f>
        <v>0</v>
      </c>
      <c r="R44" s="44">
        <f>'2002 sampling'!$AE$30</f>
        <v>0</v>
      </c>
      <c r="S44" s="44">
        <f>'2002 sampling'!$AE$31</f>
        <v>0</v>
      </c>
      <c r="T44" s="44">
        <f>'2002 sampling'!$AE$32</f>
        <v>0</v>
      </c>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row>
    <row r="45" spans="1:220" x14ac:dyDescent="0.25">
      <c r="A45" s="73">
        <v>2003</v>
      </c>
      <c r="B45" s="44">
        <v>32</v>
      </c>
      <c r="C45" s="44">
        <f>'2003 sampling'!$B$7</f>
        <v>0</v>
      </c>
      <c r="D45" s="44">
        <f>'2003 sampling'!$B$9</f>
        <v>0</v>
      </c>
      <c r="E45" s="44">
        <f>'2003 sampling'!$B$8</f>
        <v>0</v>
      </c>
      <c r="G45" s="44">
        <f>'2003 sampling'!$C$7</f>
        <v>0</v>
      </c>
      <c r="H45" s="44">
        <f>'2003 sampling'!$C$9</f>
        <v>0</v>
      </c>
      <c r="I45" s="44">
        <f>'2003 sampling'!$C$8</f>
        <v>0</v>
      </c>
      <c r="K45" s="44">
        <f>'2003 sampling'!$B$11</f>
        <v>0</v>
      </c>
      <c r="L45" s="44">
        <f>'2003 sampling'!$B$12</f>
        <v>0</v>
      </c>
      <c r="M45" s="44">
        <f>'2003 sampling'!$B$13</f>
        <v>0</v>
      </c>
      <c r="N45" s="44">
        <f>'2003 sampling'!$B$14</f>
        <v>0</v>
      </c>
      <c r="O45" s="44">
        <f>'2003 sampling'!$B$15</f>
        <v>0</v>
      </c>
      <c r="P45" s="44">
        <f>'2003 sampling'!$C$11</f>
        <v>0</v>
      </c>
      <c r="Q45" s="44">
        <f>'2003 sampling'!$C$12</f>
        <v>0</v>
      </c>
      <c r="R45" s="44">
        <f>'2003 sampling'!$C$13</f>
        <v>0</v>
      </c>
      <c r="S45" s="44">
        <f>'2003 sampling'!$C$14</f>
        <v>0</v>
      </c>
      <c r="T45" s="44">
        <f>'2003 sampling'!$C$15</f>
        <v>0</v>
      </c>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row>
    <row r="46" spans="1:220" x14ac:dyDescent="0.25">
      <c r="A46" s="73">
        <v>2003</v>
      </c>
      <c r="B46" s="44">
        <v>33</v>
      </c>
      <c r="C46" s="44">
        <f>'2003 sampling'!$F$7</f>
        <v>0</v>
      </c>
      <c r="D46" s="44">
        <f>'2003 sampling'!$F$9</f>
        <v>0</v>
      </c>
      <c r="E46" s="44">
        <f>'2003 sampling'!$F$8</f>
        <v>0</v>
      </c>
      <c r="G46" s="44">
        <f>'2003 sampling'!$G$7</f>
        <v>0</v>
      </c>
      <c r="H46" s="44">
        <f>'2003 sampling'!$G$9</f>
        <v>0</v>
      </c>
      <c r="I46" s="44">
        <f>'2003 sampling'!$G$8</f>
        <v>0</v>
      </c>
      <c r="K46" s="44">
        <f>'2003 sampling'!$F$11</f>
        <v>0</v>
      </c>
      <c r="L46" s="44">
        <f>'2003 sampling'!$F$12</f>
        <v>0</v>
      </c>
      <c r="M46" s="44">
        <f>'2003 sampling'!$F$13</f>
        <v>0</v>
      </c>
      <c r="N46" s="44">
        <f>'2003 sampling'!$F$14</f>
        <v>0</v>
      </c>
      <c r="O46" s="44">
        <f>'2003 sampling'!$F$15</f>
        <v>0</v>
      </c>
      <c r="P46" s="44">
        <f>'2003 sampling'!$G$11</f>
        <v>0</v>
      </c>
      <c r="Q46" s="44">
        <f>'2003 sampling'!$G$12</f>
        <v>0</v>
      </c>
      <c r="R46" s="44">
        <f>'2003 sampling'!$G$13</f>
        <v>0</v>
      </c>
      <c r="S46" s="44">
        <f>'2003 sampling'!$G$14</f>
        <v>0</v>
      </c>
      <c r="T46" s="44">
        <f>'2003 sampling'!$G$15</f>
        <v>0</v>
      </c>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row>
    <row r="47" spans="1:220" x14ac:dyDescent="0.25">
      <c r="A47" s="73">
        <v>2003</v>
      </c>
      <c r="B47" s="44">
        <v>34</v>
      </c>
      <c r="C47" s="44">
        <f>'2003 sampling'!$J$7</f>
        <v>0</v>
      </c>
      <c r="D47" s="44">
        <f>'2003 sampling'!$J$9</f>
        <v>0</v>
      </c>
      <c r="E47" s="44">
        <f>'2003 sampling'!$J$8</f>
        <v>0</v>
      </c>
      <c r="G47" s="44">
        <f>'2003 sampling'!$K$7</f>
        <v>0</v>
      </c>
      <c r="H47" s="44">
        <f>'2003 sampling'!$K$9</f>
        <v>0</v>
      </c>
      <c r="I47" s="44">
        <f>'2003 sampling'!$K$8</f>
        <v>0</v>
      </c>
      <c r="K47" s="44">
        <f>'2003 sampling'!$J$11</f>
        <v>0</v>
      </c>
      <c r="L47" s="44">
        <f>'2003 sampling'!$J$12</f>
        <v>0</v>
      </c>
      <c r="M47" s="44">
        <f>'2003 sampling'!$J$13</f>
        <v>0</v>
      </c>
      <c r="N47" s="44">
        <f>'2003 sampling'!$J$14</f>
        <v>0</v>
      </c>
      <c r="O47" s="44">
        <f>'2003 sampling'!$J$15</f>
        <v>0</v>
      </c>
      <c r="P47" s="44">
        <f>'2003 sampling'!$K$11</f>
        <v>0</v>
      </c>
      <c r="Q47" s="44">
        <f>'2003 sampling'!$K$12</f>
        <v>0</v>
      </c>
      <c r="R47" s="44">
        <f>'2003 sampling'!$K$13</f>
        <v>0</v>
      </c>
      <c r="S47" s="44">
        <f>'2003 sampling'!$K$14</f>
        <v>0</v>
      </c>
      <c r="T47" s="44">
        <f>'2003 sampling'!$K$15</f>
        <v>0</v>
      </c>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row>
    <row r="48" spans="1:220" x14ac:dyDescent="0.25">
      <c r="A48" s="73">
        <v>2003</v>
      </c>
      <c r="B48" s="44">
        <v>35</v>
      </c>
      <c r="C48" s="44">
        <f>'2003 sampling'!$N$7</f>
        <v>87</v>
      </c>
      <c r="D48" s="44">
        <f>'2003 sampling'!$N$9</f>
        <v>0</v>
      </c>
      <c r="E48" s="44">
        <f>'2003 sampling'!$N$8</f>
        <v>0</v>
      </c>
      <c r="G48" s="44">
        <f>'2003 sampling'!$O$7</f>
        <v>3</v>
      </c>
      <c r="H48" s="44">
        <f>'2003 sampling'!$O$9</f>
        <v>0</v>
      </c>
      <c r="I48" s="44">
        <f>'2003 sampling'!$O$8</f>
        <v>0</v>
      </c>
      <c r="K48" s="44">
        <f>'2003 sampling'!$N$11</f>
        <v>0</v>
      </c>
      <c r="L48" s="44">
        <f>'2003 sampling'!$N$12</f>
        <v>0</v>
      </c>
      <c r="M48" s="44">
        <f>'2003 sampling'!$N$13</f>
        <v>0</v>
      </c>
      <c r="N48" s="44">
        <f>'2003 sampling'!$N$14</f>
        <v>0</v>
      </c>
      <c r="O48" s="44">
        <f>'2003 sampling'!$N$15</f>
        <v>0</v>
      </c>
      <c r="P48" s="44">
        <f>'2003 sampling'!$O$11</f>
        <v>0</v>
      </c>
      <c r="Q48" s="44">
        <f>'2003 sampling'!$O$12</f>
        <v>0</v>
      </c>
      <c r="R48" s="44">
        <f>'2003 sampling'!$O$13</f>
        <v>0</v>
      </c>
      <c r="S48" s="44">
        <f>'2003 sampling'!$O$14</f>
        <v>0</v>
      </c>
      <c r="T48" s="44">
        <f>'2003 sampling'!$O$15</f>
        <v>0</v>
      </c>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row>
    <row r="49" spans="1:220" x14ac:dyDescent="0.25">
      <c r="A49" s="73">
        <v>2003</v>
      </c>
      <c r="B49" s="44">
        <v>36</v>
      </c>
      <c r="C49" s="44">
        <f>'2003 sampling'!$R$7</f>
        <v>71</v>
      </c>
      <c r="D49" s="44">
        <f>'2003 sampling'!$R$9</f>
        <v>13</v>
      </c>
      <c r="E49" s="44">
        <f>'2003 sampling'!$R$8</f>
        <v>5</v>
      </c>
      <c r="G49" s="44">
        <f>'2003 sampling'!$S$7</f>
        <v>1</v>
      </c>
      <c r="H49" s="44">
        <f>'2003 sampling'!$S$9</f>
        <v>3</v>
      </c>
      <c r="I49" s="44">
        <f>'2003 sampling'!$S$8</f>
        <v>0</v>
      </c>
      <c r="K49" s="44">
        <f>'2003 sampling'!$R$11</f>
        <v>0</v>
      </c>
      <c r="L49" s="44">
        <f>'2003 sampling'!$R$12</f>
        <v>0</v>
      </c>
      <c r="M49" s="44">
        <f>'2003 sampling'!$R$13</f>
        <v>0</v>
      </c>
      <c r="N49" s="44">
        <f>'2003 sampling'!$R$14</f>
        <v>0</v>
      </c>
      <c r="O49" s="44">
        <f>'2003 sampling'!$R$15</f>
        <v>0</v>
      </c>
      <c r="P49" s="44">
        <f>'2003 sampling'!$S$11</f>
        <v>0</v>
      </c>
      <c r="Q49" s="44">
        <f>'2003 sampling'!$S$12</f>
        <v>0</v>
      </c>
      <c r="R49" s="44">
        <f>'2003 sampling'!$S$13</f>
        <v>0</v>
      </c>
      <c r="S49" s="44">
        <f>'2003 sampling'!$S$14</f>
        <v>0</v>
      </c>
      <c r="T49" s="44">
        <f>'2003 sampling'!$S$15</f>
        <v>0</v>
      </c>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row>
    <row r="50" spans="1:220" x14ac:dyDescent="0.25">
      <c r="A50" s="73">
        <v>2003</v>
      </c>
      <c r="B50" s="44">
        <v>37</v>
      </c>
      <c r="C50" s="44">
        <f>'2003 sampling'!$V$7</f>
        <v>341</v>
      </c>
      <c r="D50" s="44">
        <f>'2003 sampling'!$V$9</f>
        <v>106</v>
      </c>
      <c r="E50" s="44">
        <f>'2003 sampling'!$V$8</f>
        <v>48</v>
      </c>
      <c r="G50" s="44">
        <f>'2003 sampling'!$W$7</f>
        <v>10</v>
      </c>
      <c r="H50" s="44">
        <f>'2003 sampling'!$W$9</f>
        <v>9</v>
      </c>
      <c r="I50" s="44">
        <f>'2003 sampling'!$W$8</f>
        <v>0</v>
      </c>
      <c r="K50" s="44">
        <f>'2003 sampling'!$V$11</f>
        <v>0</v>
      </c>
      <c r="L50" s="44">
        <f>'2003 sampling'!$V$12</f>
        <v>0</v>
      </c>
      <c r="M50" s="44">
        <f>'2003 sampling'!$V$13</f>
        <v>0</v>
      </c>
      <c r="N50" s="44">
        <f>'2003 sampling'!$V$14</f>
        <v>0</v>
      </c>
      <c r="O50" s="44">
        <f>'2003 sampling'!$V$15</f>
        <v>0</v>
      </c>
      <c r="P50" s="44">
        <f>'2003 sampling'!$W$11</f>
        <v>0</v>
      </c>
      <c r="Q50" s="44">
        <f>'2003 sampling'!$W$12</f>
        <v>0</v>
      </c>
      <c r="R50" s="44">
        <f>'2003 sampling'!$W$13</f>
        <v>0</v>
      </c>
      <c r="S50" s="44">
        <f>'2003 sampling'!$W$14</f>
        <v>0</v>
      </c>
      <c r="T50" s="44">
        <f>'2003 sampling'!$W$15</f>
        <v>0</v>
      </c>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row>
    <row r="51" spans="1:220" x14ac:dyDescent="0.25">
      <c r="A51" s="73">
        <v>2003</v>
      </c>
      <c r="B51" s="44">
        <v>38</v>
      </c>
      <c r="C51" s="44">
        <f>'2003 sampling'!$B$24</f>
        <v>197</v>
      </c>
      <c r="D51" s="44">
        <f>'2003 sampling'!$B$26</f>
        <v>0</v>
      </c>
      <c r="E51" s="44">
        <f>'2003 sampling'!$B$25</f>
        <v>39</v>
      </c>
      <c r="G51" s="44">
        <f>'2003 sampling'!$C$24</f>
        <v>16</v>
      </c>
      <c r="H51" s="44">
        <f>'2003 sampling'!$C$26</f>
        <v>0</v>
      </c>
      <c r="I51" s="44">
        <f>'2003 sampling'!$C$25</f>
        <v>4</v>
      </c>
      <c r="K51" s="44">
        <f>'2003 sampling'!$B$28</f>
        <v>63</v>
      </c>
      <c r="L51" s="44">
        <f>'2003 sampling'!$B$29</f>
        <v>215</v>
      </c>
      <c r="M51" s="44">
        <f>'2003 sampling'!$B$30</f>
        <v>37</v>
      </c>
      <c r="N51" s="44">
        <f>'2003 sampling'!$B$31</f>
        <v>0</v>
      </c>
      <c r="O51" s="44">
        <f>'2003 sampling'!$B$32</f>
        <v>106</v>
      </c>
      <c r="P51" s="44">
        <f>'2003 sampling'!$C$28</f>
        <v>15</v>
      </c>
      <c r="Q51" s="44">
        <f>'2003 sampling'!$C$29</f>
        <v>28</v>
      </c>
      <c r="R51" s="44">
        <f>'2003 sampling'!$C$30</f>
        <v>5</v>
      </c>
      <c r="S51" s="44">
        <f>'2003 sampling'!$C$31</f>
        <v>0</v>
      </c>
      <c r="T51" s="44">
        <f>'2003 sampling'!$C$32</f>
        <v>23</v>
      </c>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row>
    <row r="52" spans="1:220" x14ac:dyDescent="0.25">
      <c r="A52" s="73">
        <v>2003</v>
      </c>
      <c r="B52" s="44">
        <v>39</v>
      </c>
      <c r="C52" s="44">
        <f>'2003 sampling'!$F$24</f>
        <v>96</v>
      </c>
      <c r="D52" s="44">
        <f>'2003 sampling'!$F$26</f>
        <v>69</v>
      </c>
      <c r="E52" s="44">
        <f>'2003 sampling'!$F$25</f>
        <v>88</v>
      </c>
      <c r="G52" s="44">
        <f>'2003 sampling'!$G$24</f>
        <v>1</v>
      </c>
      <c r="H52" s="44">
        <f>'2003 sampling'!$G$26</f>
        <v>7</v>
      </c>
      <c r="I52" s="44">
        <f>'2003 sampling'!$G$25</f>
        <v>9</v>
      </c>
      <c r="K52" s="44">
        <f>'2003 sampling'!$F$28</f>
        <v>304</v>
      </c>
      <c r="L52" s="44">
        <f>'2003 sampling'!$F$29</f>
        <v>318</v>
      </c>
      <c r="M52" s="44">
        <f>'2003 sampling'!$F$30</f>
        <v>44</v>
      </c>
      <c r="N52" s="44">
        <f>'2003 sampling'!$F$31</f>
        <v>0</v>
      </c>
      <c r="O52" s="44">
        <f>'2003 sampling'!$F$32</f>
        <v>0</v>
      </c>
      <c r="P52" s="44">
        <f>'2003 sampling'!$G$28</f>
        <v>64</v>
      </c>
      <c r="Q52" s="44">
        <f>'2003 sampling'!$G$29</f>
        <v>66</v>
      </c>
      <c r="R52" s="44">
        <f>'2003 sampling'!$G$30</f>
        <v>22</v>
      </c>
      <c r="S52" s="44">
        <f>'2003 sampling'!$G$31</f>
        <v>0</v>
      </c>
      <c r="T52" s="44">
        <f>'2003 sampling'!$G$32</f>
        <v>0</v>
      </c>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row>
    <row r="53" spans="1:220" x14ac:dyDescent="0.25">
      <c r="A53" s="73">
        <v>2003</v>
      </c>
      <c r="B53" s="44">
        <v>40</v>
      </c>
      <c r="C53" s="44">
        <f>'2003 sampling'!$J$24</f>
        <v>179</v>
      </c>
      <c r="D53" s="44">
        <f>'2003 sampling'!$J$26</f>
        <v>0</v>
      </c>
      <c r="E53" s="44">
        <f>'2003 sampling'!$J$25</f>
        <v>90</v>
      </c>
      <c r="G53" s="44">
        <f>'2003 sampling'!$K$24</f>
        <v>15</v>
      </c>
      <c r="H53" s="44">
        <f>'2003 sampling'!$K$26</f>
        <v>0</v>
      </c>
      <c r="I53" s="44">
        <f>'2003 sampling'!$K$25</f>
        <v>4</v>
      </c>
      <c r="K53" s="44">
        <f>'2003 sampling'!$J$28</f>
        <v>192</v>
      </c>
      <c r="L53" s="44">
        <f>'2003 sampling'!$J$29</f>
        <v>208</v>
      </c>
      <c r="M53" s="44">
        <f>'2003 sampling'!$J$30</f>
        <v>87</v>
      </c>
      <c r="N53" s="44">
        <f>'2003 sampling'!$J$31</f>
        <v>0</v>
      </c>
      <c r="O53" s="44">
        <f>'2003 sampling'!$J$32</f>
        <v>19</v>
      </c>
      <c r="P53" s="44">
        <f>'2003 sampling'!$K$28</f>
        <v>64</v>
      </c>
      <c r="Q53" s="44">
        <f>'2003 sampling'!$K$29</f>
        <v>62</v>
      </c>
      <c r="R53" s="44">
        <f>'2003 sampling'!$K$30</f>
        <v>32</v>
      </c>
      <c r="S53" s="44">
        <f>'2003 sampling'!$K$31</f>
        <v>0</v>
      </c>
      <c r="T53" s="44">
        <f>'2003 sampling'!$K$32</f>
        <v>10</v>
      </c>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row>
    <row r="54" spans="1:220" x14ac:dyDescent="0.25">
      <c r="A54" s="73">
        <v>2003</v>
      </c>
      <c r="B54" s="44">
        <v>41</v>
      </c>
      <c r="C54" s="44">
        <f>'2003 sampling'!$N$24</f>
        <v>15</v>
      </c>
      <c r="D54" s="44">
        <f>'2003 sampling'!$N$26</f>
        <v>0</v>
      </c>
      <c r="E54" s="44">
        <f>'2003 sampling'!$N$25</f>
        <v>71</v>
      </c>
      <c r="G54" s="44">
        <f>'2003 sampling'!$O$24</f>
        <v>1</v>
      </c>
      <c r="H54" s="44">
        <f>'2003 sampling'!$O$26</f>
        <v>0</v>
      </c>
      <c r="I54" s="44">
        <f>'2003 sampling'!$O$25</f>
        <v>4</v>
      </c>
      <c r="K54" s="44">
        <f>'2003 sampling'!$N$28</f>
        <v>100</v>
      </c>
      <c r="L54" s="44">
        <f>'2003 sampling'!$N$29</f>
        <v>393</v>
      </c>
      <c r="M54" s="44">
        <f>'2003 sampling'!$N$30</f>
        <v>101</v>
      </c>
      <c r="N54" s="44">
        <f>'2003 sampling'!$N$31</f>
        <v>0</v>
      </c>
      <c r="O54" s="44">
        <f>'2003 sampling'!$N$32</f>
        <v>33</v>
      </c>
      <c r="P54" s="44">
        <f>'2003 sampling'!$O$28</f>
        <v>31</v>
      </c>
      <c r="Q54" s="44">
        <f>'2003 sampling'!$O$29</f>
        <v>120</v>
      </c>
      <c r="R54" s="44">
        <f>'2003 sampling'!$O$30</f>
        <v>34</v>
      </c>
      <c r="S54" s="44">
        <f>'2003 sampling'!$O$31</f>
        <v>0</v>
      </c>
      <c r="T54" s="44">
        <f>'2003 sampling'!$O$32</f>
        <v>20</v>
      </c>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row>
    <row r="55" spans="1:220" x14ac:dyDescent="0.25">
      <c r="A55" s="73">
        <v>2003</v>
      </c>
      <c r="B55" s="44">
        <v>42</v>
      </c>
      <c r="C55" s="44">
        <f>'2003 sampling'!$R$24</f>
        <v>0</v>
      </c>
      <c r="D55" s="44">
        <f>'2003 sampling'!$R$26</f>
        <v>0</v>
      </c>
      <c r="E55" s="44">
        <f>'2003 sampling'!$R$25</f>
        <v>0</v>
      </c>
      <c r="G55" s="44">
        <f>'2003 sampling'!$S$24</f>
        <v>0</v>
      </c>
      <c r="H55" s="44">
        <f>'2003 sampling'!$S$26</f>
        <v>0</v>
      </c>
      <c r="I55" s="44">
        <f>'2003 sampling'!$S$25</f>
        <v>0</v>
      </c>
      <c r="K55" s="44">
        <f>'2003 sampling'!$R$28</f>
        <v>33</v>
      </c>
      <c r="L55" s="44">
        <f>'2003 sampling'!$R$29</f>
        <v>155</v>
      </c>
      <c r="M55" s="44">
        <f>'2003 sampling'!$R$30</f>
        <v>100</v>
      </c>
      <c r="N55" s="44">
        <f>'2003 sampling'!$R$31</f>
        <v>0</v>
      </c>
      <c r="O55" s="44">
        <f>'2003 sampling'!$R$32</f>
        <v>17</v>
      </c>
      <c r="P55" s="44">
        <f>'2003 sampling'!$S$28</f>
        <v>4</v>
      </c>
      <c r="Q55" s="44">
        <f>'2003 sampling'!$S$29</f>
        <v>43</v>
      </c>
      <c r="R55" s="44">
        <f>'2003 sampling'!$S$30</f>
        <v>37</v>
      </c>
      <c r="S55" s="44">
        <f>'2003 sampling'!$S$31</f>
        <v>0</v>
      </c>
      <c r="T55" s="44">
        <f>'2003 sampling'!$S$32</f>
        <v>12</v>
      </c>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row>
    <row r="56" spans="1:220" x14ac:dyDescent="0.25">
      <c r="A56" s="73">
        <v>2003</v>
      </c>
      <c r="B56" s="44">
        <v>43</v>
      </c>
      <c r="C56" s="44">
        <f>'2003 sampling'!$V$24</f>
        <v>0</v>
      </c>
      <c r="D56" s="44">
        <f>'2003 sampling'!$V$26</f>
        <v>0</v>
      </c>
      <c r="E56" s="44">
        <f>'2003 sampling'!$V$25</f>
        <v>0</v>
      </c>
      <c r="G56" s="44">
        <f>'2003 sampling'!$W$24</f>
        <v>0</v>
      </c>
      <c r="H56" s="44">
        <f>'2003 sampling'!$W$26</f>
        <v>0</v>
      </c>
      <c r="I56" s="44">
        <f>'2003 sampling'!$W$25</f>
        <v>0</v>
      </c>
      <c r="K56" s="44">
        <f>'2003 sampling'!$V$28</f>
        <v>0</v>
      </c>
      <c r="L56" s="44">
        <f>'2003 sampling'!$V$29</f>
        <v>280</v>
      </c>
      <c r="M56" s="44">
        <f>'2003 sampling'!$V$30</f>
        <v>87</v>
      </c>
      <c r="N56" s="44">
        <f>'2003 sampling'!$V$31</f>
        <v>0</v>
      </c>
      <c r="O56" s="44">
        <f>'2003 sampling'!$V$32</f>
        <v>10</v>
      </c>
      <c r="P56" s="44">
        <f>'2003 sampling'!$W$28</f>
        <v>0</v>
      </c>
      <c r="Q56" s="44">
        <f>'2003 sampling'!$W$29</f>
        <v>66</v>
      </c>
      <c r="R56" s="44">
        <f>'2003 sampling'!$W$30</f>
        <v>29</v>
      </c>
      <c r="S56" s="44">
        <f>'2003 sampling'!$W$31</f>
        <v>0</v>
      </c>
      <c r="T56" s="44">
        <f>'2003 sampling'!$W$32</f>
        <v>8</v>
      </c>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row>
    <row r="57" spans="1:220" x14ac:dyDescent="0.25">
      <c r="A57" s="73">
        <v>2003</v>
      </c>
      <c r="B57" s="44">
        <v>44</v>
      </c>
      <c r="C57" s="44">
        <f>'2003 sampling'!$Z$24</f>
        <v>0</v>
      </c>
      <c r="D57" s="44">
        <f>'2003 sampling'!$Z$26</f>
        <v>0</v>
      </c>
      <c r="E57" s="44">
        <f>'2003 sampling'!$Z$25</f>
        <v>0</v>
      </c>
      <c r="G57" s="44">
        <f>'2003 sampling'!$AA$24</f>
        <v>0</v>
      </c>
      <c r="H57" s="44">
        <f>'2003 sampling'!$AA$26</f>
        <v>0</v>
      </c>
      <c r="I57" s="44">
        <f>'2003 sampling'!$AA$25</f>
        <v>0</v>
      </c>
      <c r="K57" s="44">
        <f>'2003 sampling'!$Z$28</f>
        <v>0</v>
      </c>
      <c r="L57" s="44">
        <f>'2003 sampling'!$Z$29</f>
        <v>34</v>
      </c>
      <c r="M57" s="44">
        <f>'2003 sampling'!$Z$30</f>
        <v>35</v>
      </c>
      <c r="N57" s="44">
        <f>'2003 sampling'!$Z$31</f>
        <v>0</v>
      </c>
      <c r="O57" s="44">
        <f>'2003 sampling'!$Z$32</f>
        <v>1</v>
      </c>
      <c r="P57" s="44">
        <f>'2003 sampling'!$AA$28</f>
        <v>0</v>
      </c>
      <c r="Q57" s="44">
        <f>'2003 sampling'!$AA$29</f>
        <v>10</v>
      </c>
      <c r="R57" s="44">
        <f>'2003 sampling'!$AA$30</f>
        <v>11</v>
      </c>
      <c r="S57" s="44">
        <f>'2003 sampling'!$AA$31</f>
        <v>0</v>
      </c>
      <c r="T57" s="44">
        <f>'2003 sampling'!$AA$32</f>
        <v>0</v>
      </c>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row>
    <row r="58" spans="1:220" x14ac:dyDescent="0.25">
      <c r="A58" s="73">
        <v>2003</v>
      </c>
      <c r="B58" s="44">
        <v>45</v>
      </c>
      <c r="C58" s="44">
        <f>'2003 sampling'!$AD$24</f>
        <v>0</v>
      </c>
      <c r="D58" s="44">
        <f>'2003 sampling'!$AD$26</f>
        <v>0</v>
      </c>
      <c r="E58" s="44">
        <f>'2003 sampling'!$AD$25</f>
        <v>0</v>
      </c>
      <c r="G58" s="44">
        <f>'2003 sampling'!$AE$24</f>
        <v>0</v>
      </c>
      <c r="H58" s="44">
        <f>'2003 sampling'!$AE$26</f>
        <v>0</v>
      </c>
      <c r="I58" s="44">
        <f>'2003 sampling'!$AE$25</f>
        <v>0</v>
      </c>
      <c r="K58" s="44">
        <f>'2003 sampling'!$AD$28</f>
        <v>0</v>
      </c>
      <c r="L58" s="44">
        <f>'2003 sampling'!$AD$29</f>
        <v>0</v>
      </c>
      <c r="M58" s="44">
        <f>'2003 sampling'!$AD$30</f>
        <v>0</v>
      </c>
      <c r="N58" s="44">
        <f>'2003 sampling'!$AD$31</f>
        <v>0</v>
      </c>
      <c r="O58" s="44">
        <f>'2003 sampling'!$AD$32</f>
        <v>0</v>
      </c>
      <c r="P58" s="44">
        <f>'2003 sampling'!$AE$28</f>
        <v>0</v>
      </c>
      <c r="Q58" s="44">
        <f>'2003 sampling'!$AE$29</f>
        <v>0</v>
      </c>
      <c r="R58" s="44">
        <f>'2003 sampling'!$AE$30</f>
        <v>0</v>
      </c>
      <c r="S58" s="44">
        <f>'2003 sampling'!$AE$31</f>
        <v>0</v>
      </c>
      <c r="T58" s="44">
        <f>'2003 sampling'!$AE$32</f>
        <v>0</v>
      </c>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row>
    <row r="59" spans="1:220" x14ac:dyDescent="0.25">
      <c r="A59" s="73">
        <v>2004</v>
      </c>
      <c r="B59" s="44">
        <v>32</v>
      </c>
      <c r="C59" s="44">
        <f>'2004 sampling'!$B$7</f>
        <v>0</v>
      </c>
      <c r="D59" s="44">
        <f>'2004 sampling'!$B$9</f>
        <v>0</v>
      </c>
      <c r="E59" s="44">
        <f>'2004 sampling'!$B$8</f>
        <v>0</v>
      </c>
      <c r="G59" s="44">
        <f>'2004 sampling'!$C$7</f>
        <v>0</v>
      </c>
      <c r="H59" s="44">
        <f>'2004 sampling'!$C$9</f>
        <v>0</v>
      </c>
      <c r="I59" s="44">
        <f>'2004 sampling'!$C$8</f>
        <v>0</v>
      </c>
      <c r="K59" s="44">
        <f>'2004 sampling'!$B$11</f>
        <v>0</v>
      </c>
      <c r="L59" s="44">
        <f>'2004 sampling'!$B$12</f>
        <v>0</v>
      </c>
      <c r="M59" s="44">
        <f>'2004 sampling'!$B$13</f>
        <v>0</v>
      </c>
      <c r="N59" s="44">
        <f>'2004 sampling'!$B$14</f>
        <v>0</v>
      </c>
      <c r="O59" s="44">
        <f>'2004 sampling'!$B$15</f>
        <v>0</v>
      </c>
      <c r="P59" s="44">
        <f>'2004 sampling'!$C$11</f>
        <v>0</v>
      </c>
      <c r="Q59" s="44">
        <f>'2004 sampling'!$C$12</f>
        <v>0</v>
      </c>
      <c r="R59" s="44">
        <f>'2004 sampling'!$C$13</f>
        <v>0</v>
      </c>
      <c r="S59" s="44">
        <f>'2004 sampling'!$C$14</f>
        <v>0</v>
      </c>
      <c r="T59" s="44">
        <f>'2004 sampling'!$C$15</f>
        <v>0</v>
      </c>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row>
    <row r="60" spans="1:220" x14ac:dyDescent="0.25">
      <c r="A60" s="73">
        <v>2004</v>
      </c>
      <c r="B60" s="44">
        <v>33</v>
      </c>
      <c r="C60" s="44">
        <f>'2004 sampling'!$F$7</f>
        <v>1</v>
      </c>
      <c r="D60" s="44">
        <f>'2004 sampling'!$F$9</f>
        <v>0</v>
      </c>
      <c r="E60" s="44">
        <f>'2004 sampling'!$F$8</f>
        <v>0</v>
      </c>
      <c r="G60" s="44">
        <f>'2004 sampling'!$G$7</f>
        <v>0</v>
      </c>
      <c r="H60" s="44">
        <f>'2004 sampling'!$G$9</f>
        <v>0</v>
      </c>
      <c r="I60" s="44">
        <f>'2004 sampling'!$G$8</f>
        <v>0</v>
      </c>
      <c r="K60" s="44">
        <f>'2004 sampling'!$F$11</f>
        <v>0</v>
      </c>
      <c r="L60" s="44">
        <f>'2004 sampling'!$F$12</f>
        <v>0</v>
      </c>
      <c r="M60" s="44">
        <f>'2004 sampling'!$F$13</f>
        <v>0</v>
      </c>
      <c r="N60" s="44">
        <f>'2004 sampling'!$F$14</f>
        <v>0</v>
      </c>
      <c r="O60" s="44">
        <f>'2004 sampling'!$F$15</f>
        <v>0</v>
      </c>
      <c r="P60" s="44">
        <f>'2004 sampling'!$G$11</f>
        <v>0</v>
      </c>
      <c r="Q60" s="44">
        <f>'2004 sampling'!$G$12</f>
        <v>0</v>
      </c>
      <c r="R60" s="44">
        <f>'2004 sampling'!$G$13</f>
        <v>0</v>
      </c>
      <c r="S60" s="44">
        <f>'2004 sampling'!$G$14</f>
        <v>0</v>
      </c>
      <c r="T60" s="44">
        <f>'2004 sampling'!$G$15</f>
        <v>0</v>
      </c>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row>
    <row r="61" spans="1:220" x14ac:dyDescent="0.25">
      <c r="A61" s="73">
        <v>2004</v>
      </c>
      <c r="B61" s="44">
        <v>34</v>
      </c>
      <c r="C61" s="44">
        <f>'2004 sampling'!$J$7</f>
        <v>0</v>
      </c>
      <c r="D61" s="44">
        <f>'2004 sampling'!$J$9</f>
        <v>0</v>
      </c>
      <c r="E61" s="44">
        <f>'2004 sampling'!$J$8</f>
        <v>0</v>
      </c>
      <c r="G61" s="44">
        <f>'2004 sampling'!$K$7</f>
        <v>0</v>
      </c>
      <c r="H61" s="44">
        <f>'2004 sampling'!$K$9</f>
        <v>0</v>
      </c>
      <c r="I61" s="44">
        <f>'2004 sampling'!$K$8</f>
        <v>0</v>
      </c>
      <c r="K61" s="44">
        <f>'2004 sampling'!$J$11</f>
        <v>0</v>
      </c>
      <c r="L61" s="44">
        <f>'2004 sampling'!$J$12</f>
        <v>0</v>
      </c>
      <c r="M61" s="44">
        <f>'2004 sampling'!$J$13</f>
        <v>0</v>
      </c>
      <c r="N61" s="44">
        <f>'2004 sampling'!$J$14</f>
        <v>0</v>
      </c>
      <c r="O61" s="44">
        <f>'2004 sampling'!$J$15</f>
        <v>0</v>
      </c>
      <c r="P61" s="44">
        <f>'2004 sampling'!$K$11</f>
        <v>0</v>
      </c>
      <c r="Q61" s="44">
        <f>'2004 sampling'!$K$12</f>
        <v>0</v>
      </c>
      <c r="R61" s="44">
        <f>'2004 sampling'!$K$13</f>
        <v>0</v>
      </c>
      <c r="S61" s="44">
        <f>'2004 sampling'!$K$14</f>
        <v>0</v>
      </c>
      <c r="T61" s="44">
        <f>'2004 sampling'!$K$15</f>
        <v>0</v>
      </c>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row>
    <row r="62" spans="1:220" x14ac:dyDescent="0.25">
      <c r="A62" s="73">
        <v>2004</v>
      </c>
      <c r="B62" s="44">
        <v>35</v>
      </c>
      <c r="C62" s="44">
        <f>'2004 sampling'!$N$7</f>
        <v>38</v>
      </c>
      <c r="D62" s="44">
        <f>'2004 sampling'!$N$9</f>
        <v>0</v>
      </c>
      <c r="E62" s="44">
        <f>'2004 sampling'!$N$8</f>
        <v>4</v>
      </c>
      <c r="G62" s="44">
        <f>'2004 sampling'!$O$7</f>
        <v>4</v>
      </c>
      <c r="H62" s="44">
        <f>'2004 sampling'!$O$9</f>
        <v>0</v>
      </c>
      <c r="I62" s="44">
        <f>'2004 sampling'!$O$8</f>
        <v>0</v>
      </c>
      <c r="K62" s="44">
        <f>'2004 sampling'!$N$11</f>
        <v>0</v>
      </c>
      <c r="L62" s="44">
        <f>'2004 sampling'!$N$12</f>
        <v>0</v>
      </c>
      <c r="M62" s="44">
        <f>'2004 sampling'!$N$13</f>
        <v>0</v>
      </c>
      <c r="N62" s="44">
        <f>'2004 sampling'!$N$14</f>
        <v>0</v>
      </c>
      <c r="O62" s="44">
        <f>'2004 sampling'!$N$15</f>
        <v>0</v>
      </c>
      <c r="P62" s="44">
        <f>'2004 sampling'!$O$11</f>
        <v>0</v>
      </c>
      <c r="Q62" s="44">
        <f>'2004 sampling'!$O$12</f>
        <v>0</v>
      </c>
      <c r="R62" s="44">
        <f>'2004 sampling'!$O$13</f>
        <v>0</v>
      </c>
      <c r="S62" s="44">
        <f>'2004 sampling'!$O$14</f>
        <v>0</v>
      </c>
      <c r="T62" s="44">
        <f>'2004 sampling'!$O$15</f>
        <v>0</v>
      </c>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row>
    <row r="63" spans="1:220" x14ac:dyDescent="0.25">
      <c r="A63" s="73">
        <v>2004</v>
      </c>
      <c r="B63" s="44">
        <v>36</v>
      </c>
      <c r="C63" s="44">
        <f>'2004 sampling'!$R$7</f>
        <v>224</v>
      </c>
      <c r="D63" s="44">
        <f>'2004 sampling'!$R$9</f>
        <v>9</v>
      </c>
      <c r="E63" s="44">
        <f>'2004 sampling'!$R$8</f>
        <v>15</v>
      </c>
      <c r="G63" s="44">
        <f>'2004 sampling'!$S$7</f>
        <v>4</v>
      </c>
      <c r="H63" s="44">
        <f>'2004 sampling'!$S$9</f>
        <v>0</v>
      </c>
      <c r="I63" s="44">
        <f>'2004 sampling'!$S$8</f>
        <v>1</v>
      </c>
      <c r="K63" s="44">
        <f>'2004 sampling'!$R$11</f>
        <v>0</v>
      </c>
      <c r="L63" s="44">
        <f>'2004 sampling'!$R$12</f>
        <v>0</v>
      </c>
      <c r="M63" s="44">
        <f>'2004 sampling'!$R$13</f>
        <v>0</v>
      </c>
      <c r="N63" s="44">
        <f>'2004 sampling'!$R$14</f>
        <v>0</v>
      </c>
      <c r="O63" s="44">
        <f>'2004 sampling'!$R$15</f>
        <v>0</v>
      </c>
      <c r="P63" s="44">
        <f>'2004 sampling'!$S$11</f>
        <v>0</v>
      </c>
      <c r="Q63" s="44">
        <f>'2004 sampling'!$S$12</f>
        <v>0</v>
      </c>
      <c r="R63" s="44">
        <f>'2004 sampling'!$S$13</f>
        <v>0</v>
      </c>
      <c r="S63" s="44">
        <f>'2004 sampling'!$S$14</f>
        <v>0</v>
      </c>
      <c r="T63" s="44">
        <f>'2004 sampling'!$S$15</f>
        <v>0</v>
      </c>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row>
    <row r="64" spans="1:220" x14ac:dyDescent="0.25">
      <c r="A64" s="73">
        <v>2004</v>
      </c>
      <c r="B64" s="44">
        <v>37</v>
      </c>
      <c r="C64" s="44">
        <f>'2004 sampling'!$V$7</f>
        <v>99</v>
      </c>
      <c r="D64" s="44">
        <f>'2004 sampling'!$V$9</f>
        <v>151</v>
      </c>
      <c r="E64" s="44">
        <f>'2004 sampling'!$V$8</f>
        <v>10</v>
      </c>
      <c r="G64" s="44">
        <f>'2004 sampling'!$W$7</f>
        <v>3</v>
      </c>
      <c r="H64" s="44">
        <f>'2004 sampling'!$W$9</f>
        <v>5</v>
      </c>
      <c r="I64" s="44">
        <f>'2004 sampling'!$W$8</f>
        <v>1</v>
      </c>
      <c r="K64" s="44">
        <f>'2004 sampling'!$V$11</f>
        <v>0</v>
      </c>
      <c r="L64" s="44">
        <f>'2004 sampling'!$V$12</f>
        <v>0</v>
      </c>
      <c r="M64" s="44">
        <f>'2004 sampling'!$V$13</f>
        <v>0</v>
      </c>
      <c r="N64" s="44">
        <f>'2004 sampling'!$V$14</f>
        <v>0</v>
      </c>
      <c r="O64" s="44">
        <f>'2004 sampling'!$V$15</f>
        <v>0</v>
      </c>
      <c r="P64" s="44">
        <f>'2004 sampling'!$W$11</f>
        <v>0</v>
      </c>
      <c r="Q64" s="44">
        <f>'2004 sampling'!$W$12</f>
        <v>0</v>
      </c>
      <c r="R64" s="44">
        <f>'2004 sampling'!$W$13</f>
        <v>0</v>
      </c>
      <c r="S64" s="44">
        <f>'2004 sampling'!$W$14</f>
        <v>0</v>
      </c>
      <c r="T64" s="44">
        <f>'2004 sampling'!$W$15</f>
        <v>0</v>
      </c>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row>
    <row r="65" spans="1:220" x14ac:dyDescent="0.25">
      <c r="A65" s="73">
        <v>2004</v>
      </c>
      <c r="B65" s="44">
        <v>38</v>
      </c>
      <c r="C65" s="44">
        <f>'2004 sampling'!$B$24</f>
        <v>454</v>
      </c>
      <c r="D65" s="44">
        <f>'2004 sampling'!$B$26</f>
        <v>190</v>
      </c>
      <c r="E65" s="44">
        <f>'2004 sampling'!$B$25</f>
        <v>160</v>
      </c>
      <c r="G65" s="44">
        <f>'2004 sampling'!$C$24</f>
        <v>11</v>
      </c>
      <c r="H65" s="44">
        <f>'2004 sampling'!$C$26</f>
        <v>6</v>
      </c>
      <c r="I65" s="44">
        <f>'2004 sampling'!$C$25</f>
        <v>18</v>
      </c>
      <c r="K65" s="44">
        <f>'2004 sampling'!$B$28</f>
        <v>0</v>
      </c>
      <c r="L65" s="44">
        <f>'2004 sampling'!$B$29</f>
        <v>0</v>
      </c>
      <c r="M65" s="44">
        <f>'2004 sampling'!$B$30</f>
        <v>0</v>
      </c>
      <c r="N65" s="44">
        <f>'2004 sampling'!$B$31</f>
        <v>0</v>
      </c>
      <c r="O65" s="44">
        <f>'2004 sampling'!$B$32</f>
        <v>0</v>
      </c>
      <c r="P65" s="44">
        <f>'2004 sampling'!$C$28</f>
        <v>0</v>
      </c>
      <c r="Q65" s="44">
        <f>'2004 sampling'!$C$29</f>
        <v>0</v>
      </c>
      <c r="R65" s="44">
        <f>'2004 sampling'!$C$30</f>
        <v>0</v>
      </c>
      <c r="S65" s="44">
        <f>'2004 sampling'!$C$31</f>
        <v>0</v>
      </c>
      <c r="T65" s="44">
        <f>'2004 sampling'!$C$32</f>
        <v>0</v>
      </c>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row>
    <row r="66" spans="1:220" x14ac:dyDescent="0.25">
      <c r="A66" s="73">
        <v>2004</v>
      </c>
      <c r="B66" s="44">
        <v>39</v>
      </c>
      <c r="C66" s="44">
        <f>'2004 sampling'!$F$24</f>
        <v>82</v>
      </c>
      <c r="D66" s="44">
        <f>'2004 sampling'!$F$26</f>
        <v>87</v>
      </c>
      <c r="E66" s="44">
        <f>'2004 sampling'!$F$25</f>
        <v>80</v>
      </c>
      <c r="G66" s="44">
        <f>'2004 sampling'!$G$24</f>
        <v>4</v>
      </c>
      <c r="H66" s="44">
        <f>'2004 sampling'!$G$26</f>
        <v>4</v>
      </c>
      <c r="I66" s="44">
        <f>'2004 sampling'!$G$25</f>
        <v>10</v>
      </c>
      <c r="K66" s="44">
        <f>'2004 sampling'!$F$28</f>
        <v>85</v>
      </c>
      <c r="L66" s="44">
        <f>'2004 sampling'!$F$29</f>
        <v>146</v>
      </c>
      <c r="M66" s="44">
        <f>'2004 sampling'!$F$30</f>
        <v>91</v>
      </c>
      <c r="N66" s="44">
        <f>'2004 sampling'!$F$31</f>
        <v>88</v>
      </c>
      <c r="O66" s="44">
        <f>'2004 sampling'!$F$32</f>
        <v>51</v>
      </c>
      <c r="P66" s="44">
        <f>'2004 sampling'!$G$28</f>
        <v>13</v>
      </c>
      <c r="Q66" s="44">
        <f>'2004 sampling'!$G$29</f>
        <v>34</v>
      </c>
      <c r="R66" s="44">
        <f>'2004 sampling'!$G$30</f>
        <v>25</v>
      </c>
      <c r="S66" s="44">
        <f>'2004 sampling'!$G$31</f>
        <v>40</v>
      </c>
      <c r="T66" s="44">
        <f>'2004 sampling'!$G$32</f>
        <v>18</v>
      </c>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row>
    <row r="67" spans="1:220" x14ac:dyDescent="0.25">
      <c r="A67" s="73">
        <v>2004</v>
      </c>
      <c r="B67" s="44">
        <v>40</v>
      </c>
      <c r="C67" s="44">
        <f>'2004 sampling'!$J$24</f>
        <v>105</v>
      </c>
      <c r="D67" s="44">
        <f>'2004 sampling'!$J$26</f>
        <v>27</v>
      </c>
      <c r="E67" s="44">
        <f>'2004 sampling'!$J$25</f>
        <v>25</v>
      </c>
      <c r="G67" s="44">
        <f>'2004 sampling'!$K$24</f>
        <v>7</v>
      </c>
      <c r="H67" s="44">
        <f>'2004 sampling'!$K$26</f>
        <v>1</v>
      </c>
      <c r="I67" s="44">
        <f>'2004 sampling'!$K$25</f>
        <v>5</v>
      </c>
      <c r="K67" s="44">
        <f>'2004 sampling'!$J$28</f>
        <v>325</v>
      </c>
      <c r="L67" s="44">
        <f>'2004 sampling'!$J$29</f>
        <v>253</v>
      </c>
      <c r="M67" s="44">
        <f>'2004 sampling'!$J$30</f>
        <v>66</v>
      </c>
      <c r="N67" s="44">
        <f>'2004 sampling'!$J$31</f>
        <v>0</v>
      </c>
      <c r="O67" s="44">
        <f>'2004 sampling'!$J$32</f>
        <v>40</v>
      </c>
      <c r="P67" s="44">
        <f>'2004 sampling'!$K$28</f>
        <v>94</v>
      </c>
      <c r="Q67" s="44">
        <f>'2004 sampling'!$K$29</f>
        <v>81</v>
      </c>
      <c r="R67" s="44">
        <f>'2004 sampling'!$K$30</f>
        <v>23</v>
      </c>
      <c r="S67" s="44">
        <f>'2004 sampling'!$K$31</f>
        <v>0</v>
      </c>
      <c r="T67" s="44">
        <f>'2004 sampling'!$K$32</f>
        <v>28</v>
      </c>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row>
    <row r="68" spans="1:220" x14ac:dyDescent="0.25">
      <c r="A68" s="73">
        <v>2004</v>
      </c>
      <c r="B68" s="44">
        <v>41</v>
      </c>
      <c r="C68" s="44">
        <f>'2004 sampling'!$N$24</f>
        <v>0</v>
      </c>
      <c r="D68" s="44">
        <f>'2004 sampling'!$N$26</f>
        <v>0</v>
      </c>
      <c r="E68" s="44">
        <f>'2004 sampling'!$N$25</f>
        <v>0</v>
      </c>
      <c r="G68" s="44">
        <f>'2004 sampling'!$O$24</f>
        <v>0</v>
      </c>
      <c r="H68" s="44">
        <f>'2004 sampling'!$O$26</f>
        <v>0</v>
      </c>
      <c r="I68" s="44">
        <f>'2004 sampling'!$O$25</f>
        <v>0</v>
      </c>
      <c r="K68" s="44">
        <f>'2004 sampling'!$N$28</f>
        <v>94</v>
      </c>
      <c r="L68" s="44">
        <f>'2004 sampling'!$N$29</f>
        <v>78</v>
      </c>
      <c r="M68" s="44">
        <f>'2004 sampling'!$N$30</f>
        <v>28</v>
      </c>
      <c r="N68" s="44">
        <f>'2004 sampling'!$N$31</f>
        <v>0</v>
      </c>
      <c r="O68" s="44">
        <f>'2004 sampling'!$N$32</f>
        <v>25</v>
      </c>
      <c r="P68" s="44">
        <f>'2004 sampling'!$O$28</f>
        <v>39</v>
      </c>
      <c r="Q68" s="44">
        <f>'2004 sampling'!$O$29</f>
        <v>26</v>
      </c>
      <c r="R68" s="44">
        <f>'2004 sampling'!$O$30</f>
        <v>9</v>
      </c>
      <c r="S68" s="44">
        <f>'2004 sampling'!$O$31</f>
        <v>0</v>
      </c>
      <c r="T68" s="44">
        <f>'2004 sampling'!$O$32</f>
        <v>19</v>
      </c>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row>
    <row r="69" spans="1:220" x14ac:dyDescent="0.25">
      <c r="A69" s="73">
        <v>2004</v>
      </c>
      <c r="B69" s="44">
        <v>42</v>
      </c>
      <c r="C69" s="44">
        <f>'2004 sampling'!$R$24</f>
        <v>36</v>
      </c>
      <c r="D69" s="44">
        <f>'2004 sampling'!$R$26</f>
        <v>0</v>
      </c>
      <c r="E69" s="44">
        <f>'2004 sampling'!$R$25</f>
        <v>0</v>
      </c>
      <c r="G69" s="44">
        <f>'2004 sampling'!$S$24</f>
        <v>2</v>
      </c>
      <c r="H69" s="44">
        <f>'2004 sampling'!$S$26</f>
        <v>0</v>
      </c>
      <c r="I69" s="44">
        <f>'2004 sampling'!$S$25</f>
        <v>0</v>
      </c>
      <c r="K69" s="44">
        <f>'2004 sampling'!$R$28</f>
        <v>119</v>
      </c>
      <c r="L69" s="44">
        <f>'2004 sampling'!$R$29</f>
        <v>301</v>
      </c>
      <c r="M69" s="44">
        <f>'2004 sampling'!$R$30</f>
        <v>92</v>
      </c>
      <c r="N69" s="44">
        <f>'2004 sampling'!$R$31</f>
        <v>0</v>
      </c>
      <c r="O69" s="44">
        <f>'2004 sampling'!$R$32</f>
        <v>19</v>
      </c>
      <c r="P69" s="44">
        <f>'2004 sampling'!$S$28</f>
        <v>35</v>
      </c>
      <c r="Q69" s="44">
        <f>'2004 sampling'!$S$29</f>
        <v>97</v>
      </c>
      <c r="R69" s="44">
        <f>'2004 sampling'!$S$30</f>
        <v>42</v>
      </c>
      <c r="S69" s="44">
        <f>'2004 sampling'!$S$31</f>
        <v>0</v>
      </c>
      <c r="T69" s="44">
        <f>'2004 sampling'!$S$32</f>
        <v>14</v>
      </c>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row>
    <row r="70" spans="1:220" x14ac:dyDescent="0.25">
      <c r="A70" s="73">
        <v>2004</v>
      </c>
      <c r="B70" s="44">
        <v>43</v>
      </c>
      <c r="C70" s="44">
        <f>'2004 sampling'!$V$24</f>
        <v>82</v>
      </c>
      <c r="D70" s="44">
        <f>'2004 sampling'!$V$26</f>
        <v>0</v>
      </c>
      <c r="E70" s="44">
        <f>'2004 sampling'!$V$25</f>
        <v>0</v>
      </c>
      <c r="G70" s="44">
        <f>'2004 sampling'!$W$24</f>
        <v>11</v>
      </c>
      <c r="H70" s="44">
        <f>'2004 sampling'!$W$26</f>
        <v>0</v>
      </c>
      <c r="I70" s="44">
        <f>'2004 sampling'!$W$25</f>
        <v>0</v>
      </c>
      <c r="K70" s="44">
        <f>'2004 sampling'!$V$28</f>
        <v>183</v>
      </c>
      <c r="L70" s="44">
        <f>'2004 sampling'!$V$29</f>
        <v>400</v>
      </c>
      <c r="M70" s="44">
        <f>'2004 sampling'!$V$30</f>
        <v>64</v>
      </c>
      <c r="N70" s="44">
        <f>'2004 sampling'!$V$31</f>
        <v>0</v>
      </c>
      <c r="O70" s="44">
        <f>'2004 sampling'!$V$32</f>
        <v>15</v>
      </c>
      <c r="P70" s="44">
        <f>'2004 sampling'!$W$28</f>
        <v>49</v>
      </c>
      <c r="Q70" s="44">
        <f>'2004 sampling'!$W$29</f>
        <v>118</v>
      </c>
      <c r="R70" s="44">
        <f>'2004 sampling'!$W$30</f>
        <v>18</v>
      </c>
      <c r="S70" s="44">
        <f>'2004 sampling'!$W$31</f>
        <v>0</v>
      </c>
      <c r="T70" s="44">
        <f>'2004 sampling'!$W$32</f>
        <v>11</v>
      </c>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row>
    <row r="71" spans="1:220" x14ac:dyDescent="0.25">
      <c r="A71" s="73">
        <v>2004</v>
      </c>
      <c r="B71" s="44">
        <v>44</v>
      </c>
      <c r="C71" s="44">
        <f>'2004 sampling'!$Z$24</f>
        <v>5</v>
      </c>
      <c r="D71" s="44">
        <f>'2004 sampling'!$Z$26</f>
        <v>0</v>
      </c>
      <c r="E71" s="44">
        <f>'2004 sampling'!$Z$25</f>
        <v>0</v>
      </c>
      <c r="G71" s="44">
        <f>'2004 sampling'!$AA$24</f>
        <v>0</v>
      </c>
      <c r="H71" s="44">
        <f>'2004 sampling'!$AA$26</f>
        <v>0</v>
      </c>
      <c r="I71" s="44">
        <f>'2004 sampling'!$AA$25</f>
        <v>0</v>
      </c>
      <c r="K71" s="44">
        <f>'2004 sampling'!$Z$28</f>
        <v>0</v>
      </c>
      <c r="L71" s="44">
        <f>'2004 sampling'!$Z$29</f>
        <v>153</v>
      </c>
      <c r="M71" s="44">
        <f>'2004 sampling'!$Z$30</f>
        <v>75</v>
      </c>
      <c r="N71" s="44">
        <f>'2004 sampling'!$Z$31</f>
        <v>0</v>
      </c>
      <c r="O71" s="44">
        <f>'2004 sampling'!$Z$32</f>
        <v>3</v>
      </c>
      <c r="P71" s="44">
        <f>'2004 sampling'!$AA$28</f>
        <v>0</v>
      </c>
      <c r="Q71" s="44">
        <f>'2004 sampling'!$AA$29</f>
        <v>43</v>
      </c>
      <c r="R71" s="44">
        <f>'2004 sampling'!$AA$30</f>
        <v>25</v>
      </c>
      <c r="S71" s="44">
        <f>'2004 sampling'!$AA$31</f>
        <v>0</v>
      </c>
      <c r="T71" s="44">
        <f>'2004 sampling'!$AA$32</f>
        <v>0</v>
      </c>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row>
    <row r="72" spans="1:220" x14ac:dyDescent="0.25">
      <c r="A72" s="73">
        <v>2004</v>
      </c>
      <c r="B72" s="44">
        <v>45</v>
      </c>
      <c r="C72" s="44">
        <f>'2004 sampling'!$AD$24</f>
        <v>0</v>
      </c>
      <c r="D72" s="44">
        <f>'2004 sampling'!$AD$26</f>
        <v>0</v>
      </c>
      <c r="E72" s="44">
        <f>'2004 sampling'!$AD$25</f>
        <v>0</v>
      </c>
      <c r="G72" s="44">
        <f>'2004 sampling'!$AE$24</f>
        <v>0</v>
      </c>
      <c r="H72" s="44">
        <f>'2004 sampling'!$AE$26</f>
        <v>0</v>
      </c>
      <c r="I72" s="44">
        <f>'2004 sampling'!$AE$25</f>
        <v>0</v>
      </c>
      <c r="K72" s="44">
        <f>'2004 sampling'!$AD$28</f>
        <v>0</v>
      </c>
      <c r="L72" s="44">
        <f>'2004 sampling'!$AD$29</f>
        <v>0</v>
      </c>
      <c r="M72" s="44">
        <f>'2004 sampling'!$AD$30</f>
        <v>0</v>
      </c>
      <c r="N72" s="44">
        <f>'2004 sampling'!$AD$31</f>
        <v>0</v>
      </c>
      <c r="O72" s="44">
        <f>'2004 sampling'!$AD$32</f>
        <v>0</v>
      </c>
      <c r="P72" s="44">
        <f>'2004 sampling'!$AE$28</f>
        <v>0</v>
      </c>
      <c r="Q72" s="44">
        <f>'2004 sampling'!$AE$29</f>
        <v>0</v>
      </c>
      <c r="R72" s="44">
        <f>'2004 sampling'!$AE$30</f>
        <v>0</v>
      </c>
      <c r="S72" s="44">
        <f>'2004 sampling'!$AE$31</f>
        <v>0</v>
      </c>
      <c r="T72" s="44">
        <f>'2004 sampling'!$AE$32</f>
        <v>0</v>
      </c>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row>
    <row r="73" spans="1:220" x14ac:dyDescent="0.25">
      <c r="A73" s="73">
        <v>2005</v>
      </c>
      <c r="B73" s="44">
        <v>32</v>
      </c>
      <c r="C73" s="44">
        <f>'2005 sampling'!$B$7</f>
        <v>0</v>
      </c>
      <c r="D73" s="44">
        <f>'2005 sampling'!$B$9</f>
        <v>0</v>
      </c>
      <c r="E73" s="44">
        <f>'2005 sampling'!$B$8</f>
        <v>0</v>
      </c>
      <c r="G73" s="44">
        <f>'2005 sampling'!$C$7</f>
        <v>0</v>
      </c>
      <c r="H73" s="44">
        <f>'2005 sampling'!$C$9</f>
        <v>0</v>
      </c>
      <c r="I73" s="44">
        <f>'2005 sampling'!$C$8</f>
        <v>0</v>
      </c>
      <c r="K73" s="44">
        <f>'2005 sampling'!$B$11</f>
        <v>0</v>
      </c>
      <c r="L73" s="44">
        <f>'2005 sampling'!$B$12</f>
        <v>0</v>
      </c>
      <c r="M73" s="44">
        <f>'2005 sampling'!$B$13</f>
        <v>0</v>
      </c>
      <c r="N73" s="44">
        <f>'2005 sampling'!$B$14</f>
        <v>0</v>
      </c>
      <c r="O73" s="44">
        <f>'2005 sampling'!$B$15</f>
        <v>0</v>
      </c>
      <c r="P73" s="44">
        <f>'2005 sampling'!$C$11</f>
        <v>0</v>
      </c>
      <c r="Q73" s="44">
        <f>'2005 sampling'!$C$12</f>
        <v>0</v>
      </c>
      <c r="R73" s="44">
        <f>'2005 sampling'!$C$13</f>
        <v>0</v>
      </c>
      <c r="S73" s="44">
        <f>'2005 sampling'!$C$14</f>
        <v>0</v>
      </c>
      <c r="T73" s="44">
        <f>'2005 sampling'!$C$15</f>
        <v>0</v>
      </c>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row>
    <row r="74" spans="1:220" x14ac:dyDescent="0.25">
      <c r="A74" s="73">
        <v>2005</v>
      </c>
      <c r="B74" s="44">
        <v>33</v>
      </c>
      <c r="C74" s="44">
        <f>'2005 sampling'!$F$7</f>
        <v>0</v>
      </c>
      <c r="D74" s="44">
        <f>'2005 sampling'!$F$9</f>
        <v>0</v>
      </c>
      <c r="E74" s="44">
        <f>'2005 sampling'!$F$8</f>
        <v>0</v>
      </c>
      <c r="G74" s="44">
        <f>'2005 sampling'!$G$7</f>
        <v>0</v>
      </c>
      <c r="H74" s="44">
        <f>'2005 sampling'!$G$9</f>
        <v>0</v>
      </c>
      <c r="I74" s="44">
        <f>'2005 sampling'!$G$8</f>
        <v>0</v>
      </c>
      <c r="K74" s="44">
        <f>'2005 sampling'!$F$11</f>
        <v>0</v>
      </c>
      <c r="L74" s="44">
        <f>'2005 sampling'!$F$12</f>
        <v>0</v>
      </c>
      <c r="M74" s="44">
        <f>'2005 sampling'!$F$13</f>
        <v>0</v>
      </c>
      <c r="N74" s="44">
        <f>'2005 sampling'!$F$14</f>
        <v>0</v>
      </c>
      <c r="O74" s="44">
        <f>'2005 sampling'!$F$15</f>
        <v>0</v>
      </c>
      <c r="P74" s="44">
        <f>'2005 sampling'!$G$11</f>
        <v>0</v>
      </c>
      <c r="Q74" s="44">
        <f>'2005 sampling'!$G$12</f>
        <v>0</v>
      </c>
      <c r="R74" s="44">
        <f>'2005 sampling'!$G$13</f>
        <v>0</v>
      </c>
      <c r="S74" s="44">
        <f>'2005 sampling'!$G$14</f>
        <v>0</v>
      </c>
      <c r="T74" s="44">
        <f>'2005 sampling'!$G$15</f>
        <v>0</v>
      </c>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row>
    <row r="75" spans="1:220" x14ac:dyDescent="0.25">
      <c r="A75" s="73">
        <v>2005</v>
      </c>
      <c r="B75" s="44">
        <v>34</v>
      </c>
      <c r="C75" s="44">
        <f>'2005 sampling'!$J$7</f>
        <v>6</v>
      </c>
      <c r="D75" s="44">
        <f>'2005 sampling'!$J$9</f>
        <v>0</v>
      </c>
      <c r="E75" s="44">
        <f>'2005 sampling'!$J$8</f>
        <v>0</v>
      </c>
      <c r="G75" s="44">
        <f>'2005 sampling'!$K$7</f>
        <v>0</v>
      </c>
      <c r="H75" s="44">
        <f>'2005 sampling'!$K$9</f>
        <v>0</v>
      </c>
      <c r="I75" s="44">
        <f>'2005 sampling'!$K$8</f>
        <v>0</v>
      </c>
      <c r="K75" s="44">
        <f>'2005 sampling'!$J$11</f>
        <v>0</v>
      </c>
      <c r="L75" s="44">
        <f>'2005 sampling'!$J$12</f>
        <v>0</v>
      </c>
      <c r="M75" s="44">
        <f>'2005 sampling'!$J$13</f>
        <v>0</v>
      </c>
      <c r="N75" s="44">
        <f>'2005 sampling'!$J$14</f>
        <v>0</v>
      </c>
      <c r="O75" s="44">
        <f>'2005 sampling'!$J$15</f>
        <v>0</v>
      </c>
      <c r="P75" s="44">
        <f>'2005 sampling'!$K$11</f>
        <v>0</v>
      </c>
      <c r="Q75" s="44">
        <f>'2005 sampling'!$K$12</f>
        <v>0</v>
      </c>
      <c r="R75" s="44">
        <f>'2005 sampling'!$K$13</f>
        <v>0</v>
      </c>
      <c r="S75" s="44">
        <f>'2005 sampling'!$K$14</f>
        <v>0</v>
      </c>
      <c r="T75" s="44">
        <f>'2005 sampling'!$K$15</f>
        <v>0</v>
      </c>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row>
    <row r="76" spans="1:220" x14ac:dyDescent="0.25">
      <c r="A76" s="73">
        <v>2005</v>
      </c>
      <c r="B76" s="44">
        <v>35</v>
      </c>
      <c r="C76" s="44">
        <f>'2005 sampling'!$N$7</f>
        <v>36</v>
      </c>
      <c r="D76" s="44">
        <f>'2005 sampling'!$N$9</f>
        <v>0</v>
      </c>
      <c r="E76" s="44">
        <f>'2005 sampling'!$N$8</f>
        <v>0</v>
      </c>
      <c r="G76" s="44">
        <f>'2005 sampling'!$O$7</f>
        <v>0</v>
      </c>
      <c r="H76" s="44">
        <f>'2005 sampling'!$O$9</f>
        <v>0</v>
      </c>
      <c r="I76" s="44">
        <f>'2005 sampling'!$O$8</f>
        <v>0</v>
      </c>
      <c r="K76" s="44">
        <f>'2005 sampling'!$N$11</f>
        <v>0</v>
      </c>
      <c r="L76" s="44">
        <f>'2005 sampling'!$N$12</f>
        <v>0</v>
      </c>
      <c r="M76" s="44">
        <f>'2005 sampling'!$N$13</f>
        <v>0</v>
      </c>
      <c r="N76" s="44">
        <f>'2005 sampling'!$N$14</f>
        <v>0</v>
      </c>
      <c r="O76" s="44">
        <f>'2005 sampling'!$N$15</f>
        <v>0</v>
      </c>
      <c r="P76" s="44">
        <f>'2005 sampling'!$O$11</f>
        <v>0</v>
      </c>
      <c r="Q76" s="44">
        <f>'2005 sampling'!$O$12</f>
        <v>0</v>
      </c>
      <c r="R76" s="44">
        <f>'2005 sampling'!$O$13</f>
        <v>0</v>
      </c>
      <c r="S76" s="44">
        <f>'2005 sampling'!$O$14</f>
        <v>0</v>
      </c>
      <c r="T76" s="44">
        <f>'2005 sampling'!$O$15</f>
        <v>0</v>
      </c>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row>
    <row r="77" spans="1:220" x14ac:dyDescent="0.25">
      <c r="A77" s="73">
        <v>2005</v>
      </c>
      <c r="B77" s="44">
        <v>36</v>
      </c>
      <c r="C77" s="44">
        <f>'2005 sampling'!$R$7</f>
        <v>158</v>
      </c>
      <c r="D77" s="44">
        <f>'2005 sampling'!$R$9</f>
        <v>0</v>
      </c>
      <c r="E77" s="44">
        <f>'2005 sampling'!$R$8</f>
        <v>10</v>
      </c>
      <c r="G77" s="44">
        <f>'2005 sampling'!$S$7</f>
        <v>5</v>
      </c>
      <c r="H77" s="44">
        <f>'2005 sampling'!$S$9</f>
        <v>0</v>
      </c>
      <c r="I77" s="44">
        <f>'2005 sampling'!$S$8</f>
        <v>1</v>
      </c>
      <c r="K77" s="44">
        <f>'2005 sampling'!$R$11</f>
        <v>0</v>
      </c>
      <c r="L77" s="44">
        <f>'2005 sampling'!$R$12</f>
        <v>0</v>
      </c>
      <c r="M77" s="44">
        <f>'2005 sampling'!$R$13</f>
        <v>0</v>
      </c>
      <c r="N77" s="44">
        <f>'2005 sampling'!$R$14</f>
        <v>0</v>
      </c>
      <c r="O77" s="44">
        <f>'2005 sampling'!$R$15</f>
        <v>0</v>
      </c>
      <c r="P77" s="44">
        <f>'2005 sampling'!$S$11</f>
        <v>0</v>
      </c>
      <c r="Q77" s="44">
        <f>'2005 sampling'!$S$12</f>
        <v>0</v>
      </c>
      <c r="R77" s="44">
        <f>'2005 sampling'!$S$13</f>
        <v>0</v>
      </c>
      <c r="S77" s="44">
        <f>'2005 sampling'!$S$14</f>
        <v>0</v>
      </c>
      <c r="T77" s="44">
        <f>'2005 sampling'!$S$15</f>
        <v>0</v>
      </c>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row>
    <row r="78" spans="1:220" x14ac:dyDescent="0.25">
      <c r="A78" s="73">
        <v>2005</v>
      </c>
      <c r="B78" s="44">
        <v>37</v>
      </c>
      <c r="C78" s="44">
        <f>'2005 sampling'!$V$7</f>
        <v>224</v>
      </c>
      <c r="D78" s="44">
        <f>'2005 sampling'!$V$9</f>
        <v>0</v>
      </c>
      <c r="E78" s="44">
        <f>'2005 sampling'!$V$8</f>
        <v>35</v>
      </c>
      <c r="G78" s="44">
        <f>'2005 sampling'!$W$7</f>
        <v>9</v>
      </c>
      <c r="H78" s="44">
        <f>'2005 sampling'!$W$9</f>
        <v>0</v>
      </c>
      <c r="I78" s="44">
        <f>'2005 sampling'!$W$8</f>
        <v>0</v>
      </c>
      <c r="K78" s="44">
        <f>'2005 sampling'!$V$11</f>
        <v>0</v>
      </c>
      <c r="L78" s="44">
        <f>'2005 sampling'!$V$12</f>
        <v>0</v>
      </c>
      <c r="M78" s="44">
        <f>'2005 sampling'!$V$13</f>
        <v>0</v>
      </c>
      <c r="N78" s="44">
        <f>'2005 sampling'!$V$14</f>
        <v>0</v>
      </c>
      <c r="O78" s="44">
        <f>'2005 sampling'!$V$15</f>
        <v>0</v>
      </c>
      <c r="P78" s="44">
        <f>'2005 sampling'!$W$11</f>
        <v>0</v>
      </c>
      <c r="Q78" s="44">
        <f>'2005 sampling'!$W$12</f>
        <v>0</v>
      </c>
      <c r="R78" s="44">
        <f>'2005 sampling'!$W$13</f>
        <v>0</v>
      </c>
      <c r="S78" s="44">
        <f>'2005 sampling'!$W$14</f>
        <v>0</v>
      </c>
      <c r="T78" s="44">
        <f>'2005 sampling'!$W$15</f>
        <v>0</v>
      </c>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row>
    <row r="79" spans="1:220" x14ac:dyDescent="0.25">
      <c r="A79" s="73">
        <v>2005</v>
      </c>
      <c r="B79" s="44">
        <v>38</v>
      </c>
      <c r="C79" s="44">
        <f>'2005 sampling'!$B$24</f>
        <v>235</v>
      </c>
      <c r="D79" s="44">
        <f>'2005 sampling'!$B$26</f>
        <v>0</v>
      </c>
      <c r="E79" s="44">
        <f>'2005 sampling'!$B$25</f>
        <v>98</v>
      </c>
      <c r="G79" s="44">
        <f>'2005 sampling'!$C$24</f>
        <v>7</v>
      </c>
      <c r="H79" s="44">
        <f>'2005 sampling'!$C$26</f>
        <v>0</v>
      </c>
      <c r="I79" s="44">
        <f>'2005 sampling'!$C$25</f>
        <v>3</v>
      </c>
      <c r="K79" s="44">
        <f>'2005 sampling'!$B$28</f>
        <v>0</v>
      </c>
      <c r="L79" s="44">
        <f>'2005 sampling'!$B$29</f>
        <v>0</v>
      </c>
      <c r="M79" s="44">
        <f>'2005 sampling'!$B$30</f>
        <v>0</v>
      </c>
      <c r="N79" s="44">
        <f>'2005 sampling'!$B$31</f>
        <v>0</v>
      </c>
      <c r="O79" s="44">
        <f>'2005 sampling'!$B$32</f>
        <v>0</v>
      </c>
      <c r="P79" s="44">
        <f>'2005 sampling'!$C$28</f>
        <v>0</v>
      </c>
      <c r="Q79" s="44">
        <f>'2005 sampling'!$C$29</f>
        <v>0</v>
      </c>
      <c r="R79" s="44">
        <f>'2005 sampling'!$C$30</f>
        <v>0</v>
      </c>
      <c r="S79" s="44">
        <f>'2005 sampling'!$C$31</f>
        <v>0</v>
      </c>
      <c r="T79" s="44">
        <f>'2005 sampling'!$C$32</f>
        <v>0</v>
      </c>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row>
    <row r="80" spans="1:220" x14ac:dyDescent="0.25">
      <c r="A80" s="73">
        <v>2005</v>
      </c>
      <c r="B80" s="44">
        <v>39</v>
      </c>
      <c r="C80" s="44">
        <f>'2005 sampling'!$F$24</f>
        <v>114</v>
      </c>
      <c r="D80" s="44">
        <f>'2005 sampling'!$F$26</f>
        <v>0</v>
      </c>
      <c r="E80" s="44">
        <f>'2005 sampling'!$F$25</f>
        <v>0</v>
      </c>
      <c r="G80" s="44">
        <f>'2005 sampling'!$G$24</f>
        <v>2</v>
      </c>
      <c r="H80" s="44">
        <f>'2005 sampling'!$G$26</f>
        <v>0</v>
      </c>
      <c r="I80" s="44">
        <f>'2005 sampling'!$G$25</f>
        <v>0</v>
      </c>
      <c r="K80" s="44">
        <f>'2005 sampling'!$F$28</f>
        <v>128</v>
      </c>
      <c r="L80" s="44">
        <f>'2005 sampling'!$F$29</f>
        <v>304</v>
      </c>
      <c r="M80" s="44">
        <f>'2005 sampling'!$F$30</f>
        <v>72</v>
      </c>
      <c r="N80" s="44">
        <f>'2005 sampling'!$F$31</f>
        <v>0</v>
      </c>
      <c r="O80" s="44">
        <f>'2005 sampling'!$F$32</f>
        <v>35</v>
      </c>
      <c r="P80" s="44">
        <f>'2005 sampling'!$G$28</f>
        <v>29</v>
      </c>
      <c r="Q80" s="44">
        <f>'2005 sampling'!$G$29</f>
        <v>36</v>
      </c>
      <c r="R80" s="44">
        <f>'2005 sampling'!$G$30</f>
        <v>12</v>
      </c>
      <c r="S80" s="44">
        <f>'2005 sampling'!$G$31</f>
        <v>0</v>
      </c>
      <c r="T80" s="44">
        <f>'2005 sampling'!$G$32</f>
        <v>10</v>
      </c>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row>
    <row r="81" spans="1:220" x14ac:dyDescent="0.25">
      <c r="A81" s="73">
        <v>2005</v>
      </c>
      <c r="B81" s="44">
        <v>40</v>
      </c>
      <c r="C81" s="44">
        <f>'2005 sampling'!$J$24</f>
        <v>68</v>
      </c>
      <c r="D81" s="44">
        <f>'2005 sampling'!$J$26</f>
        <v>0</v>
      </c>
      <c r="E81" s="44">
        <f>'2005 sampling'!$J$25</f>
        <v>0</v>
      </c>
      <c r="G81" s="44">
        <f>'2005 sampling'!$K$24</f>
        <v>2</v>
      </c>
      <c r="H81" s="44">
        <f>'2005 sampling'!$K$26</f>
        <v>0</v>
      </c>
      <c r="I81" s="44">
        <f>'2005 sampling'!$K$25</f>
        <v>0</v>
      </c>
      <c r="K81" s="44">
        <f>'2005 sampling'!$J$28</f>
        <v>26</v>
      </c>
      <c r="L81" s="44">
        <f>'2005 sampling'!$J$29</f>
        <v>159</v>
      </c>
      <c r="M81" s="44">
        <f>'2005 sampling'!$J$30</f>
        <v>55</v>
      </c>
      <c r="N81" s="44">
        <f>'2005 sampling'!$J$31</f>
        <v>0</v>
      </c>
      <c r="O81" s="44">
        <f>'2005 sampling'!$J$32</f>
        <v>22</v>
      </c>
      <c r="P81" s="44">
        <f>'2005 sampling'!$K$28</f>
        <v>5</v>
      </c>
      <c r="Q81" s="44">
        <f>'2005 sampling'!$K$29</f>
        <v>27</v>
      </c>
      <c r="R81" s="44">
        <f>'2005 sampling'!$K$30</f>
        <v>15</v>
      </c>
      <c r="S81" s="44">
        <f>'2005 sampling'!$K$31</f>
        <v>0</v>
      </c>
      <c r="T81" s="44">
        <f>'2005 sampling'!$K$32</f>
        <v>9</v>
      </c>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row>
    <row r="82" spans="1:220" x14ac:dyDescent="0.25">
      <c r="A82" s="73">
        <v>2005</v>
      </c>
      <c r="B82" s="44">
        <v>41</v>
      </c>
      <c r="C82" s="44">
        <f>'2005 sampling'!$N$24</f>
        <v>225</v>
      </c>
      <c r="D82" s="44">
        <f>'2005 sampling'!$N$26</f>
        <v>0</v>
      </c>
      <c r="E82" s="44">
        <f>'2005 sampling'!$N$25</f>
        <v>0</v>
      </c>
      <c r="G82" s="44">
        <f>'2005 sampling'!$O$24</f>
        <v>9</v>
      </c>
      <c r="H82" s="44">
        <f>'2005 sampling'!$O$26</f>
        <v>0</v>
      </c>
      <c r="I82" s="44">
        <f>'2005 sampling'!$O$25</f>
        <v>0</v>
      </c>
      <c r="K82" s="44">
        <f>'2005 sampling'!$N$28</f>
        <v>190</v>
      </c>
      <c r="L82" s="44">
        <f>'2005 sampling'!$N$29</f>
        <v>259</v>
      </c>
      <c r="M82" s="44">
        <f>'2005 sampling'!$N$30</f>
        <v>67</v>
      </c>
      <c r="N82" s="44">
        <f>'2005 sampling'!$N$31</f>
        <v>0</v>
      </c>
      <c r="O82" s="44">
        <f>'2005 sampling'!$N$32</f>
        <v>21</v>
      </c>
      <c r="P82" s="44">
        <f>'2005 sampling'!$O$28</f>
        <v>34</v>
      </c>
      <c r="Q82" s="44">
        <f>'2005 sampling'!$O$29</f>
        <v>39</v>
      </c>
      <c r="R82" s="44">
        <f>'2005 sampling'!$O$30</f>
        <v>14</v>
      </c>
      <c r="S82" s="44">
        <f>'2005 sampling'!$O$31</f>
        <v>0</v>
      </c>
      <c r="T82" s="44">
        <f>'2005 sampling'!$O$32</f>
        <v>14</v>
      </c>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row>
    <row r="83" spans="1:220" x14ac:dyDescent="0.25">
      <c r="A83" s="73">
        <v>2005</v>
      </c>
      <c r="B83" s="44">
        <v>42</v>
      </c>
      <c r="C83" s="44">
        <f>'2005 sampling'!$R$24</f>
        <v>108</v>
      </c>
      <c r="D83" s="44">
        <f>'2005 sampling'!$R$26</f>
        <v>0</v>
      </c>
      <c r="E83" s="44">
        <f>'2005 sampling'!$R$25</f>
        <v>0</v>
      </c>
      <c r="G83" s="44">
        <f>'2005 sampling'!$S$24</f>
        <v>4</v>
      </c>
      <c r="H83" s="44">
        <f>'2005 sampling'!$S$26</f>
        <v>0</v>
      </c>
      <c r="I83" s="44">
        <f>'2005 sampling'!$S$25</f>
        <v>0</v>
      </c>
      <c r="K83" s="44">
        <f>'2005 sampling'!$R$28</f>
        <v>0</v>
      </c>
      <c r="L83" s="44">
        <f>'2005 sampling'!$R$29</f>
        <v>19</v>
      </c>
      <c r="M83" s="44">
        <f>'2005 sampling'!$R$30</f>
        <v>53</v>
      </c>
      <c r="N83" s="44">
        <f>'2005 sampling'!$R$31</f>
        <v>0</v>
      </c>
      <c r="O83" s="44">
        <f>'2005 sampling'!$R$32</f>
        <v>3</v>
      </c>
      <c r="P83" s="44">
        <f>'2005 sampling'!$S$28</f>
        <v>0</v>
      </c>
      <c r="Q83" s="44">
        <f>'2005 sampling'!$S$29</f>
        <v>8</v>
      </c>
      <c r="R83" s="44">
        <f>'2005 sampling'!$S$30</f>
        <v>18</v>
      </c>
      <c r="S83" s="44">
        <f>'2005 sampling'!$S$31</f>
        <v>0</v>
      </c>
      <c r="T83" s="44">
        <f>'2005 sampling'!$S$32</f>
        <v>1</v>
      </c>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row>
    <row r="84" spans="1:220" x14ac:dyDescent="0.25">
      <c r="A84" s="73">
        <v>2005</v>
      </c>
      <c r="B84" s="44">
        <v>43</v>
      </c>
      <c r="C84" s="44">
        <f>'2005 sampling'!$V$24</f>
        <v>110</v>
      </c>
      <c r="D84" s="44">
        <f>'2005 sampling'!$V$26</f>
        <v>0</v>
      </c>
      <c r="E84" s="44">
        <f>'2005 sampling'!$V$25</f>
        <v>0</v>
      </c>
      <c r="G84" s="44">
        <f>'2005 sampling'!$W$24</f>
        <v>3</v>
      </c>
      <c r="H84" s="44">
        <f>'2005 sampling'!$W$26</f>
        <v>0</v>
      </c>
      <c r="I84" s="44">
        <f>'2005 sampling'!$W$25</f>
        <v>0</v>
      </c>
      <c r="K84" s="44">
        <f>'2005 sampling'!$V$28</f>
        <v>2</v>
      </c>
      <c r="L84" s="44">
        <f>'2005 sampling'!$V$29</f>
        <v>44</v>
      </c>
      <c r="M84" s="44">
        <f>'2005 sampling'!$V$30</f>
        <v>36</v>
      </c>
      <c r="N84" s="44">
        <f>'2005 sampling'!$V$31</f>
        <v>0</v>
      </c>
      <c r="O84" s="44">
        <f>'2005 sampling'!$V$32</f>
        <v>3</v>
      </c>
      <c r="P84" s="44">
        <f>'2005 sampling'!$W$28</f>
        <v>0</v>
      </c>
      <c r="Q84" s="44">
        <f>'2005 sampling'!$W$29</f>
        <v>10</v>
      </c>
      <c r="R84" s="44">
        <f>'2005 sampling'!$W$30</f>
        <v>9</v>
      </c>
      <c r="S84" s="44">
        <f>'2005 sampling'!$W$31</f>
        <v>0</v>
      </c>
      <c r="T84" s="44">
        <f>'2005 sampling'!$W$32</f>
        <v>3</v>
      </c>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row>
    <row r="85" spans="1:220" x14ac:dyDescent="0.25">
      <c r="A85" s="73">
        <v>2005</v>
      </c>
      <c r="B85" s="44">
        <v>44</v>
      </c>
      <c r="C85" s="44">
        <f>'2005 sampling'!$Z$24</f>
        <v>0</v>
      </c>
      <c r="D85" s="44">
        <f>'2005 sampling'!$Z$26</f>
        <v>0</v>
      </c>
      <c r="E85" s="44">
        <f>'2005 sampling'!$Z$25</f>
        <v>0</v>
      </c>
      <c r="G85" s="44">
        <f>'2005 sampling'!$AA$24</f>
        <v>0</v>
      </c>
      <c r="H85" s="44">
        <f>'2005 sampling'!$AA$26</f>
        <v>0</v>
      </c>
      <c r="I85" s="44">
        <f>'2005 sampling'!$AA$25</f>
        <v>0</v>
      </c>
      <c r="K85" s="44">
        <f>'2005 sampling'!$Z$28</f>
        <v>0</v>
      </c>
      <c r="L85" s="44">
        <f>'2005 sampling'!$Z$29</f>
        <v>23</v>
      </c>
      <c r="M85" s="44">
        <f>'2005 sampling'!$Z$30</f>
        <v>12</v>
      </c>
      <c r="N85" s="44">
        <f>'2005 sampling'!$Z$31</f>
        <v>0</v>
      </c>
      <c r="O85" s="44">
        <f>'2005 sampling'!$Z$32</f>
        <v>0</v>
      </c>
      <c r="P85" s="44">
        <f>'2005 sampling'!$AA$28</f>
        <v>0</v>
      </c>
      <c r="Q85" s="44">
        <f>'2005 sampling'!$AA$29</f>
        <v>4</v>
      </c>
      <c r="R85" s="44">
        <f>'2005 sampling'!$AA$30</f>
        <v>3</v>
      </c>
      <c r="S85" s="44">
        <f>'2005 sampling'!$AA$31</f>
        <v>0</v>
      </c>
      <c r="T85" s="44">
        <f>'2005 sampling'!$AA$32</f>
        <v>0</v>
      </c>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row>
    <row r="86" spans="1:220" x14ac:dyDescent="0.25">
      <c r="A86" s="73">
        <v>2005</v>
      </c>
      <c r="B86" s="44">
        <v>45</v>
      </c>
      <c r="C86" s="44">
        <f>'2005 sampling'!$AD$24</f>
        <v>0</v>
      </c>
      <c r="D86" s="44">
        <f>'2005 sampling'!$AD$26</f>
        <v>0</v>
      </c>
      <c r="E86" s="44">
        <f>'2005 sampling'!$AD$25</f>
        <v>0</v>
      </c>
      <c r="G86" s="44">
        <f>'2005 sampling'!$AE$24</f>
        <v>0</v>
      </c>
      <c r="H86" s="44">
        <f>'2005 sampling'!$AE$26</f>
        <v>0</v>
      </c>
      <c r="I86" s="44">
        <f>'2005 sampling'!$AE$25</f>
        <v>0</v>
      </c>
      <c r="K86" s="44">
        <f>'2005 sampling'!$AD$28</f>
        <v>0</v>
      </c>
      <c r="L86" s="44">
        <f>'2005 sampling'!$AD$29</f>
        <v>0</v>
      </c>
      <c r="M86" s="44">
        <f>'2005 sampling'!$AD$30</f>
        <v>0</v>
      </c>
      <c r="N86" s="44">
        <f>'2005 sampling'!$AD$31</f>
        <v>0</v>
      </c>
      <c r="O86" s="44">
        <f>'2005 sampling'!$AD$32</f>
        <v>0</v>
      </c>
      <c r="P86" s="44">
        <f>'2005 sampling'!$AE$28</f>
        <v>0</v>
      </c>
      <c r="Q86" s="44">
        <f>'2005 sampling'!$AE$29</f>
        <v>0</v>
      </c>
      <c r="R86" s="44">
        <f>'2005 sampling'!$AE$30</f>
        <v>0</v>
      </c>
      <c r="S86" s="44">
        <f>'2005 sampling'!$AE$31</f>
        <v>0</v>
      </c>
      <c r="T86" s="44">
        <f>'2005 sampling'!$AE$32</f>
        <v>0</v>
      </c>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row>
    <row r="87" spans="1:220" x14ac:dyDescent="0.25">
      <c r="A87" s="73">
        <v>2006</v>
      </c>
      <c r="B87" s="44">
        <v>32</v>
      </c>
      <c r="C87" s="44">
        <f>'2006 Sampling'!$B$7</f>
        <v>0</v>
      </c>
      <c r="D87" s="44">
        <f>'2006 Sampling'!$B$9</f>
        <v>0</v>
      </c>
      <c r="E87" s="44">
        <f>'2006 Sampling'!$B$8</f>
        <v>0</v>
      </c>
      <c r="F87" s="44">
        <f>'2006 Sampling'!$B$6</f>
        <v>0</v>
      </c>
      <c r="G87" s="44">
        <f>'2006 Sampling'!$C$7</f>
        <v>0</v>
      </c>
      <c r="H87" s="44">
        <f>'2006 Sampling'!$C$9</f>
        <v>0</v>
      </c>
      <c r="I87" s="44">
        <f>'2006 Sampling'!$C$8</f>
        <v>0</v>
      </c>
      <c r="J87" s="44">
        <f>'2006 Sampling'!$C$6</f>
        <v>0</v>
      </c>
      <c r="K87" s="44">
        <f>'2006 Sampling'!$B$11</f>
        <v>0</v>
      </c>
      <c r="L87" s="44">
        <f>'2006 Sampling'!$B$12</f>
        <v>0</v>
      </c>
      <c r="M87" s="44">
        <f>'2006 Sampling'!$B$13</f>
        <v>0</v>
      </c>
      <c r="N87" s="44">
        <f>'2006 Sampling'!$B$14</f>
        <v>0</v>
      </c>
      <c r="O87" s="44">
        <f>'2006 Sampling'!$B$15</f>
        <v>0</v>
      </c>
      <c r="P87" s="44">
        <f>'2006 Sampling'!$C$11</f>
        <v>0</v>
      </c>
      <c r="Q87" s="44">
        <f>'2006 Sampling'!$C$12</f>
        <v>0</v>
      </c>
      <c r="R87" s="44">
        <f>'2006 Sampling'!$C$13</f>
        <v>0</v>
      </c>
      <c r="S87" s="44">
        <f>'2006 Sampling'!$C$14</f>
        <v>0</v>
      </c>
      <c r="T87" s="44">
        <f>'2006 Sampling'!$C$15</f>
        <v>0</v>
      </c>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row>
    <row r="88" spans="1:220" x14ac:dyDescent="0.25">
      <c r="A88" s="73">
        <v>2006</v>
      </c>
      <c r="B88" s="44">
        <v>33</v>
      </c>
      <c r="C88" s="44">
        <f>'2006 Sampling'!$F$7</f>
        <v>1</v>
      </c>
      <c r="D88" s="44">
        <f>'2006 Sampling'!$F$9</f>
        <v>0</v>
      </c>
      <c r="E88" s="44">
        <f>'2006 Sampling'!$F$8</f>
        <v>0</v>
      </c>
      <c r="F88" s="44">
        <f>'2006 Sampling'!$F$6</f>
        <v>0</v>
      </c>
      <c r="G88" s="44">
        <f>'2006 Sampling'!$G$7</f>
        <v>0</v>
      </c>
      <c r="H88" s="44">
        <f>'2006 Sampling'!$G$9</f>
        <v>0</v>
      </c>
      <c r="I88" s="44">
        <f>'2006 Sampling'!$G$8</f>
        <v>0</v>
      </c>
      <c r="J88" s="44">
        <f>'2006 Sampling'!$G$6</f>
        <v>0</v>
      </c>
      <c r="K88" s="44">
        <f>'2006 Sampling'!$F$11</f>
        <v>14</v>
      </c>
      <c r="L88" s="44">
        <f>'2006 Sampling'!$F$12</f>
        <v>2</v>
      </c>
      <c r="M88" s="44">
        <f>'2006 Sampling'!$F$13</f>
        <v>6</v>
      </c>
      <c r="N88" s="44">
        <f>'2006 Sampling'!$F$14</f>
        <v>0</v>
      </c>
      <c r="O88" s="44">
        <f>'2006 Sampling'!$F$15</f>
        <v>0</v>
      </c>
      <c r="P88" s="44">
        <f>'2006 Sampling'!$G$11</f>
        <v>3</v>
      </c>
      <c r="Q88" s="44">
        <f>'2006 Sampling'!$G$12</f>
        <v>1</v>
      </c>
      <c r="R88" s="44">
        <f>'2006 Sampling'!$G$13</f>
        <v>4</v>
      </c>
      <c r="S88" s="44">
        <f>'2006 Sampling'!$G$14</f>
        <v>0</v>
      </c>
      <c r="T88" s="44">
        <f>'2006 Sampling'!$G$15</f>
        <v>0</v>
      </c>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row>
    <row r="89" spans="1:220" x14ac:dyDescent="0.25">
      <c r="A89" s="73">
        <v>2006</v>
      </c>
      <c r="B89" s="44">
        <v>34</v>
      </c>
      <c r="C89" s="44">
        <f>'2006 Sampling'!$J$7</f>
        <v>2</v>
      </c>
      <c r="D89" s="44">
        <f>'2006 Sampling'!$J$9</f>
        <v>0</v>
      </c>
      <c r="E89" s="44">
        <f>'2006 Sampling'!$J$8</f>
        <v>0</v>
      </c>
      <c r="F89" s="44">
        <f>'2006 Sampling'!$J$6</f>
        <v>0</v>
      </c>
      <c r="G89" s="44">
        <f>'2006 Sampling'!$K$7</f>
        <v>0</v>
      </c>
      <c r="H89" s="44">
        <f>'2006 Sampling'!$K$9</f>
        <v>0</v>
      </c>
      <c r="I89" s="44">
        <f>'2006 Sampling'!$K$8</f>
        <v>0</v>
      </c>
      <c r="J89" s="44">
        <f>'2006 Sampling'!$K$6</f>
        <v>0</v>
      </c>
      <c r="K89" s="44">
        <f>'2006 Sampling'!$J$11</f>
        <v>14</v>
      </c>
      <c r="L89" s="44">
        <f>'2006 Sampling'!$J$12</f>
        <v>54</v>
      </c>
      <c r="M89" s="44">
        <f>'2006 Sampling'!$J$13</f>
        <v>19</v>
      </c>
      <c r="N89" s="44">
        <f>'2006 Sampling'!$J$14</f>
        <v>0</v>
      </c>
      <c r="O89" s="44">
        <f>'2006 Sampling'!$J$15</f>
        <v>0</v>
      </c>
      <c r="P89" s="44">
        <f>'2006 Sampling'!$K$11</f>
        <v>14</v>
      </c>
      <c r="Q89" s="44">
        <f>'2006 Sampling'!$K$12</f>
        <v>15</v>
      </c>
      <c r="R89" s="44">
        <f>'2006 Sampling'!$K$13</f>
        <v>4</v>
      </c>
      <c r="S89" s="44">
        <f>'2006 Sampling'!$K$14</f>
        <v>0</v>
      </c>
      <c r="T89" s="44">
        <f>'2006 Sampling'!$K$15</f>
        <v>0</v>
      </c>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row>
    <row r="90" spans="1:220" x14ac:dyDescent="0.25">
      <c r="A90" s="73">
        <v>2006</v>
      </c>
      <c r="B90" s="44">
        <v>35</v>
      </c>
      <c r="C90" s="44">
        <f>'2006 Sampling'!$N$7</f>
        <v>122</v>
      </c>
      <c r="D90" s="44">
        <f>'2006 Sampling'!$N$9</f>
        <v>0</v>
      </c>
      <c r="E90" s="44">
        <f>'2006 Sampling'!$N$8</f>
        <v>0</v>
      </c>
      <c r="F90" s="44">
        <f>'2006 Sampling'!$N$6</f>
        <v>0</v>
      </c>
      <c r="G90" s="44">
        <f>'2006 Sampling'!$O$7</f>
        <v>1</v>
      </c>
      <c r="H90" s="44">
        <f>'2006 Sampling'!$O$9</f>
        <v>0</v>
      </c>
      <c r="I90" s="44">
        <f>'2006 Sampling'!$O$8</f>
        <v>0</v>
      </c>
      <c r="J90" s="44">
        <f>'2006 Sampling'!$O$6</f>
        <v>0</v>
      </c>
      <c r="K90" s="44">
        <f>'2006 Sampling'!$N$11</f>
        <v>0</v>
      </c>
      <c r="L90" s="44">
        <f>'2006 Sampling'!$N$12</f>
        <v>0</v>
      </c>
      <c r="M90" s="44">
        <f>'2006 Sampling'!$N$13</f>
        <v>77</v>
      </c>
      <c r="N90" s="44">
        <f>'2006 Sampling'!$N$14</f>
        <v>14</v>
      </c>
      <c r="O90" s="44">
        <f>'2006 Sampling'!$N$15</f>
        <v>0</v>
      </c>
      <c r="P90" s="44">
        <f>'2006 Sampling'!$O$11</f>
        <v>0</v>
      </c>
      <c r="Q90" s="44">
        <f>'2006 Sampling'!$O$12</f>
        <v>0</v>
      </c>
      <c r="R90" s="44">
        <f>'2006 Sampling'!$O$13</f>
        <v>22</v>
      </c>
      <c r="S90" s="44">
        <f>'2006 Sampling'!$O$14</f>
        <v>14</v>
      </c>
      <c r="T90" s="44">
        <f>'2006 Sampling'!$O$15</f>
        <v>0</v>
      </c>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row>
    <row r="91" spans="1:220" x14ac:dyDescent="0.25">
      <c r="A91" s="73">
        <v>2006</v>
      </c>
      <c r="B91" s="44">
        <v>36</v>
      </c>
      <c r="C91" s="44">
        <f>'2006 Sampling'!$R$7</f>
        <v>129</v>
      </c>
      <c r="D91" s="44">
        <f>'2006 Sampling'!$R$9</f>
        <v>0</v>
      </c>
      <c r="E91" s="44">
        <f>'2006 Sampling'!$R$8</f>
        <v>0</v>
      </c>
      <c r="F91" s="44">
        <f>'2006 Sampling'!$R$6</f>
        <v>0</v>
      </c>
      <c r="G91" s="44">
        <f>'2006 Sampling'!$S$7</f>
        <v>0</v>
      </c>
      <c r="H91" s="44">
        <f>'2006 Sampling'!$S$9</f>
        <v>0</v>
      </c>
      <c r="I91" s="44">
        <f>'2006 Sampling'!$S$8</f>
        <v>0</v>
      </c>
      <c r="J91" s="44">
        <f>'2006 Sampling'!$S$6</f>
        <v>0</v>
      </c>
      <c r="K91" s="44">
        <f>'2006 Sampling'!$R$11</f>
        <v>0</v>
      </c>
      <c r="L91" s="44">
        <f>'2006 Sampling'!$R$12</f>
        <v>0</v>
      </c>
      <c r="M91" s="44">
        <f>'2006 Sampling'!$R$13</f>
        <v>0</v>
      </c>
      <c r="N91" s="44">
        <f>'2006 Sampling'!$R$14</f>
        <v>0</v>
      </c>
      <c r="O91" s="44">
        <f>'2006 Sampling'!$R$15</f>
        <v>0</v>
      </c>
      <c r="P91" s="44">
        <f>'2006 Sampling'!$S$11</f>
        <v>0</v>
      </c>
      <c r="Q91" s="44">
        <f>'2006 Sampling'!$S$12</f>
        <v>0</v>
      </c>
      <c r="R91" s="44">
        <f>'2006 Sampling'!$S$13</f>
        <v>0</v>
      </c>
      <c r="S91" s="44">
        <f>'2006 Sampling'!$S$14</f>
        <v>0</v>
      </c>
      <c r="T91" s="44">
        <f>'2006 Sampling'!$S$15</f>
        <v>0</v>
      </c>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row>
    <row r="92" spans="1:220" x14ac:dyDescent="0.25">
      <c r="A92" s="73">
        <v>2006</v>
      </c>
      <c r="B92" s="44">
        <v>37</v>
      </c>
      <c r="C92" s="44">
        <f>'2006 Sampling'!$V$7</f>
        <v>147</v>
      </c>
      <c r="D92" s="44">
        <f>'2006 Sampling'!$V$9</f>
        <v>140</v>
      </c>
      <c r="E92" s="44">
        <f>'2006 Sampling'!$V$8</f>
        <v>89</v>
      </c>
      <c r="F92" s="44">
        <f>'2006 Sampling'!$V$6</f>
        <v>80</v>
      </c>
      <c r="G92" s="44">
        <f>'2006 Sampling'!$W$7</f>
        <v>2</v>
      </c>
      <c r="H92" s="44">
        <f>'2006 Sampling'!$W$9</f>
        <v>7</v>
      </c>
      <c r="I92" s="44">
        <f>'2006 Sampling'!$W$8</f>
        <v>3</v>
      </c>
      <c r="J92" s="44">
        <f>'2006 Sampling'!$W$6</f>
        <v>1</v>
      </c>
      <c r="K92" s="44">
        <f>'2006 Sampling'!$V$11</f>
        <v>0</v>
      </c>
      <c r="L92" s="44">
        <f>'2006 Sampling'!$V$12</f>
        <v>0</v>
      </c>
      <c r="M92" s="44">
        <f>'2006 Sampling'!$V$13</f>
        <v>0</v>
      </c>
      <c r="N92" s="44">
        <f>'2006 Sampling'!$V$14</f>
        <v>0</v>
      </c>
      <c r="O92" s="44">
        <f>'2006 Sampling'!$V$15</f>
        <v>0</v>
      </c>
      <c r="P92" s="44">
        <f>'2006 Sampling'!$W$11</f>
        <v>0</v>
      </c>
      <c r="Q92" s="44">
        <f>'2006 Sampling'!$W$12</f>
        <v>0</v>
      </c>
      <c r="R92" s="44">
        <f>'2006 Sampling'!$W$13</f>
        <v>0</v>
      </c>
      <c r="S92" s="44">
        <f>'2006 Sampling'!$W$14</f>
        <v>0</v>
      </c>
      <c r="T92" s="44">
        <f>'2006 Sampling'!$W$15</f>
        <v>0</v>
      </c>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row>
    <row r="93" spans="1:220" x14ac:dyDescent="0.25">
      <c r="A93" s="73">
        <v>2006</v>
      </c>
      <c r="B93" s="44">
        <v>38</v>
      </c>
      <c r="C93" s="44">
        <f>'2006 Sampling'!$B$24</f>
        <v>108</v>
      </c>
      <c r="D93" s="44">
        <f>'2006 Sampling'!$B$26</f>
        <v>81</v>
      </c>
      <c r="E93" s="44">
        <f>'2006 Sampling'!$B$25</f>
        <v>49</v>
      </c>
      <c r="F93" s="44">
        <f>'2006 Sampling'!$B$23</f>
        <v>70</v>
      </c>
      <c r="G93" s="44">
        <f>'2006 Sampling'!$C$24</f>
        <v>14</v>
      </c>
      <c r="H93" s="44">
        <f>'2006 Sampling'!$C$26</f>
        <v>11</v>
      </c>
      <c r="I93" s="44">
        <f>'2006 Sampling'!$C$25</f>
        <v>9</v>
      </c>
      <c r="J93" s="44">
        <f>'2006 Sampling'!$C$23</f>
        <v>7</v>
      </c>
      <c r="K93" s="44">
        <f>'2006 Sampling'!$B$28</f>
        <v>0</v>
      </c>
      <c r="L93" s="44">
        <f>'2006 Sampling'!$B$29</f>
        <v>0</v>
      </c>
      <c r="M93" s="44">
        <f>'2006 Sampling'!$B$30</f>
        <v>0</v>
      </c>
      <c r="N93" s="44">
        <f>'2006 Sampling'!$B$31</f>
        <v>0</v>
      </c>
      <c r="O93" s="44">
        <f>'2006 Sampling'!$B$32</f>
        <v>0</v>
      </c>
      <c r="P93" s="44">
        <f>'2006 Sampling'!$C$28</f>
        <v>0</v>
      </c>
      <c r="Q93" s="44">
        <f>'2006 Sampling'!$C$29</f>
        <v>0</v>
      </c>
      <c r="R93" s="44">
        <f>'2006 Sampling'!$C$30</f>
        <v>0</v>
      </c>
      <c r="S93" s="44">
        <f>'2006 Sampling'!$C$31</f>
        <v>0</v>
      </c>
      <c r="T93" s="44">
        <f>'2006 Sampling'!$C$32</f>
        <v>0</v>
      </c>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row>
    <row r="94" spans="1:220" x14ac:dyDescent="0.25">
      <c r="A94" s="73">
        <v>2006</v>
      </c>
      <c r="B94" s="44">
        <v>39</v>
      </c>
      <c r="C94" s="44">
        <f>'2006 Sampling'!$F$24</f>
        <v>62</v>
      </c>
      <c r="D94" s="44">
        <f>'2006 Sampling'!$F$26</f>
        <v>90</v>
      </c>
      <c r="E94" s="44">
        <f>'2006 Sampling'!$F$25</f>
        <v>119</v>
      </c>
      <c r="F94" s="44">
        <f>'2006 Sampling'!$F$23</f>
        <v>119</v>
      </c>
      <c r="G94" s="44">
        <f>'2006 Sampling'!$G$24</f>
        <v>1</v>
      </c>
      <c r="H94" s="44">
        <f>'2006 Sampling'!$G$26</f>
        <v>10</v>
      </c>
      <c r="I94" s="44">
        <f>'2006 Sampling'!$G$25</f>
        <v>7</v>
      </c>
      <c r="J94" s="44">
        <f>'2006 Sampling'!$G$23</f>
        <v>4</v>
      </c>
      <c r="K94" s="44">
        <f>'2006 Sampling'!$F$28</f>
        <v>47</v>
      </c>
      <c r="L94" s="44">
        <f>'2006 Sampling'!$F$29</f>
        <v>167</v>
      </c>
      <c r="M94" s="44">
        <f>'2006 Sampling'!$F$30</f>
        <v>17</v>
      </c>
      <c r="N94" s="44">
        <f>'2006 Sampling'!$F$31</f>
        <v>19</v>
      </c>
      <c r="O94" s="44">
        <f>'2006 Sampling'!$F$32</f>
        <v>78</v>
      </c>
      <c r="P94" s="44">
        <f>'2006 Sampling'!$G$28</f>
        <v>15</v>
      </c>
      <c r="Q94" s="44">
        <f>'2006 Sampling'!$G$29</f>
        <v>24</v>
      </c>
      <c r="R94" s="44">
        <f>'2006 Sampling'!$G$30</f>
        <v>8</v>
      </c>
      <c r="S94" s="44">
        <f>'2006 Sampling'!$G$31</f>
        <v>7</v>
      </c>
      <c r="T94" s="44">
        <f>'2006 Sampling'!$G$32</f>
        <v>19</v>
      </c>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row>
    <row r="95" spans="1:220" x14ac:dyDescent="0.25">
      <c r="A95" s="73">
        <v>2006</v>
      </c>
      <c r="B95" s="44">
        <v>40</v>
      </c>
      <c r="C95" s="44">
        <f>'2006 Sampling'!$J$24</f>
        <v>41</v>
      </c>
      <c r="D95" s="44">
        <f>'2006 Sampling'!$J$26</f>
        <v>77</v>
      </c>
      <c r="E95" s="44">
        <f>'2006 Sampling'!$J$25</f>
        <v>60</v>
      </c>
      <c r="F95" s="44">
        <f>'2006 Sampling'!$J$23</f>
        <v>101</v>
      </c>
      <c r="G95" s="44">
        <f>'2006 Sampling'!$K$24</f>
        <v>9</v>
      </c>
      <c r="H95" s="44">
        <f>'2006 Sampling'!$K$26</f>
        <v>4</v>
      </c>
      <c r="I95" s="44">
        <f>'2006 Sampling'!$K$25</f>
        <v>5</v>
      </c>
      <c r="J95" s="44">
        <f>'2006 Sampling'!$K$23</f>
        <v>0</v>
      </c>
      <c r="K95" s="44">
        <f>'2006 Sampling'!$J$28</f>
        <v>51</v>
      </c>
      <c r="L95" s="44">
        <f>'2006 Sampling'!$J$29</f>
        <v>148</v>
      </c>
      <c r="M95" s="44">
        <f>'2006 Sampling'!$J$30</f>
        <v>76</v>
      </c>
      <c r="N95" s="44">
        <f>'2006 Sampling'!$J$31</f>
        <v>11</v>
      </c>
      <c r="O95" s="44">
        <f>'2006 Sampling'!$J$32</f>
        <v>33</v>
      </c>
      <c r="P95" s="44">
        <f>'2006 Sampling'!$K$28</f>
        <v>4</v>
      </c>
      <c r="Q95" s="44">
        <f>'2006 Sampling'!$K$29</f>
        <v>30</v>
      </c>
      <c r="R95" s="44">
        <f>'2006 Sampling'!$K$30</f>
        <v>19</v>
      </c>
      <c r="S95" s="44">
        <f>'2006 Sampling'!$K$31</f>
        <v>6</v>
      </c>
      <c r="T95" s="44">
        <f>'2006 Sampling'!$K$32</f>
        <v>10</v>
      </c>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row>
    <row r="96" spans="1:220" x14ac:dyDescent="0.25">
      <c r="A96" s="73">
        <v>2006</v>
      </c>
      <c r="B96" s="44">
        <v>41</v>
      </c>
      <c r="C96" s="44">
        <f>'2006 Sampling'!$N$24</f>
        <v>66</v>
      </c>
      <c r="D96" s="44">
        <f>'2006 Sampling'!$N$26</f>
        <v>58</v>
      </c>
      <c r="E96" s="44">
        <f>'2006 Sampling'!$N$25</f>
        <v>65</v>
      </c>
      <c r="F96" s="44">
        <f>'2006 Sampling'!$N$23</f>
        <v>98</v>
      </c>
      <c r="G96" s="44">
        <f>'2006 Sampling'!$O$24</f>
        <v>9</v>
      </c>
      <c r="H96" s="44">
        <f>'2006 Sampling'!$O$26</f>
        <v>8</v>
      </c>
      <c r="I96" s="44">
        <f>'2006 Sampling'!$O$25</f>
        <v>6</v>
      </c>
      <c r="J96" s="44">
        <f>'2006 Sampling'!$O$23</f>
        <v>0</v>
      </c>
      <c r="K96" s="44">
        <f>'2006 Sampling'!$N$28</f>
        <v>60</v>
      </c>
      <c r="L96" s="44">
        <f>'2006 Sampling'!$N$29</f>
        <v>99</v>
      </c>
      <c r="M96" s="44">
        <f>'2006 Sampling'!$N$30</f>
        <v>43</v>
      </c>
      <c r="N96" s="44">
        <f>'2006 Sampling'!$N$31</f>
        <v>14</v>
      </c>
      <c r="O96" s="44">
        <f>'2006 Sampling'!$N$32</f>
        <v>53</v>
      </c>
      <c r="P96" s="44">
        <f>'2006 Sampling'!$O$28</f>
        <v>13</v>
      </c>
      <c r="Q96" s="44">
        <f>'2006 Sampling'!$O$29</f>
        <v>17</v>
      </c>
      <c r="R96" s="44">
        <f>'2006 Sampling'!$O$30</f>
        <v>15</v>
      </c>
      <c r="S96" s="44">
        <f>'2006 Sampling'!$O$31</f>
        <v>3</v>
      </c>
      <c r="T96" s="44">
        <f>'2006 Sampling'!$O$32</f>
        <v>17</v>
      </c>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row>
    <row r="97" spans="1:220" x14ac:dyDescent="0.25">
      <c r="A97" s="73">
        <v>2006</v>
      </c>
      <c r="B97" s="44">
        <v>42</v>
      </c>
      <c r="C97" s="44">
        <f>'2006 Sampling'!$R$24</f>
        <v>6</v>
      </c>
      <c r="D97" s="44">
        <f>'2006 Sampling'!$R$26</f>
        <v>0</v>
      </c>
      <c r="E97" s="44">
        <f>'2006 Sampling'!$R$25</f>
        <v>80</v>
      </c>
      <c r="F97" s="44">
        <f>'2006 Sampling'!$R$23</f>
        <v>136</v>
      </c>
      <c r="G97" s="44">
        <f>'2006 Sampling'!$S$24</f>
        <v>0</v>
      </c>
      <c r="H97" s="44">
        <f>'2006 Sampling'!$S$26</f>
        <v>0</v>
      </c>
      <c r="I97" s="44">
        <f>'2006 Sampling'!$S$25</f>
        <v>10</v>
      </c>
      <c r="J97" s="44">
        <f>'2006 Sampling'!$S$23</f>
        <v>0</v>
      </c>
      <c r="K97" s="44">
        <f>'2006 Sampling'!$R$28</f>
        <v>72</v>
      </c>
      <c r="L97" s="44">
        <f>'2006 Sampling'!$R$29</f>
        <v>49</v>
      </c>
      <c r="M97" s="44">
        <f>'2006 Sampling'!$R$30</f>
        <v>81</v>
      </c>
      <c r="N97" s="44">
        <f>'2006 Sampling'!$R$31</f>
        <v>0</v>
      </c>
      <c r="O97" s="44">
        <f>'2006 Sampling'!$R$32</f>
        <v>91</v>
      </c>
      <c r="P97" s="44">
        <f>'2006 Sampling'!$S$28</f>
        <v>13</v>
      </c>
      <c r="Q97" s="44">
        <f>'2006 Sampling'!$S$29</f>
        <v>7</v>
      </c>
      <c r="R97" s="44">
        <f>'2006 Sampling'!$S$30</f>
        <v>15</v>
      </c>
      <c r="S97" s="44">
        <f>'2006 Sampling'!$S$31</f>
        <v>0</v>
      </c>
      <c r="T97" s="44">
        <f>'2006 Sampling'!$S$32</f>
        <v>30</v>
      </c>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row>
    <row r="98" spans="1:220" x14ac:dyDescent="0.25">
      <c r="A98" s="73">
        <v>2006</v>
      </c>
      <c r="B98" s="44">
        <v>43</v>
      </c>
      <c r="C98" s="44">
        <f>'2006 Sampling'!$V$24</f>
        <v>46</v>
      </c>
      <c r="D98" s="44">
        <f>'2006 Sampling'!$V$26</f>
        <v>0</v>
      </c>
      <c r="E98" s="44">
        <f>'2006 Sampling'!$V$25</f>
        <v>20</v>
      </c>
      <c r="F98" s="44">
        <f>'2006 Sampling'!$V$23</f>
        <v>57</v>
      </c>
      <c r="G98" s="44">
        <f>'2006 Sampling'!$W$24</f>
        <v>3</v>
      </c>
      <c r="H98" s="44">
        <f>'2006 Sampling'!$W$26</f>
        <v>0</v>
      </c>
      <c r="I98" s="44">
        <f>'2006 Sampling'!$W$25</f>
        <v>0</v>
      </c>
      <c r="J98" s="44">
        <f>'2006 Sampling'!$W$23</f>
        <v>0</v>
      </c>
      <c r="K98" s="44">
        <f>'2006 Sampling'!$V$28</f>
        <v>34</v>
      </c>
      <c r="L98" s="44">
        <f>'2006 Sampling'!$V$29</f>
        <v>37</v>
      </c>
      <c r="M98" s="44">
        <f>'2006 Sampling'!$V$30</f>
        <v>71</v>
      </c>
      <c r="N98" s="44">
        <f>'2006 Sampling'!$V$31</f>
        <v>0</v>
      </c>
      <c r="O98" s="44">
        <f>'2006 Sampling'!$V$32</f>
        <v>11</v>
      </c>
      <c r="P98" s="44">
        <f>'2006 Sampling'!$W$28</f>
        <v>7</v>
      </c>
      <c r="Q98" s="44">
        <f>'2006 Sampling'!$W$29</f>
        <v>6</v>
      </c>
      <c r="R98" s="44">
        <f>'2006 Sampling'!$W$30</f>
        <v>18</v>
      </c>
      <c r="S98" s="44">
        <f>'2006 Sampling'!$W$31</f>
        <v>0</v>
      </c>
      <c r="T98" s="44">
        <f>'2006 Sampling'!$W$32</f>
        <v>6</v>
      </c>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row>
    <row r="99" spans="1:220" x14ac:dyDescent="0.25">
      <c r="A99" s="73">
        <v>2006</v>
      </c>
      <c r="B99" s="44">
        <v>44</v>
      </c>
      <c r="C99" s="44">
        <f>'2006 Sampling'!$Z$24</f>
        <v>64</v>
      </c>
      <c r="D99" s="44">
        <f>'2006 Sampling'!$Z$26</f>
        <v>0</v>
      </c>
      <c r="E99" s="44">
        <f>'2006 Sampling'!$Z$25</f>
        <v>0</v>
      </c>
      <c r="F99" s="44">
        <f>'2006 Sampling'!$Z$23</f>
        <v>0</v>
      </c>
      <c r="G99" s="44">
        <f>'2006 Sampling'!$AA$24</f>
        <v>4</v>
      </c>
      <c r="H99" s="44">
        <f>'2006 Sampling'!$AA$26</f>
        <v>0</v>
      </c>
      <c r="I99" s="44">
        <f>'2006 Sampling'!$AA$25</f>
        <v>0</v>
      </c>
      <c r="J99" s="44">
        <f>'2006 Sampling'!$AA$23</f>
        <v>0</v>
      </c>
      <c r="K99" s="44">
        <f>'2006 Sampling'!$Z$28</f>
        <v>59</v>
      </c>
      <c r="L99" s="44">
        <f>'2006 Sampling'!$Z$29</f>
        <v>14</v>
      </c>
      <c r="M99" s="44">
        <f>'2006 Sampling'!$Z$30</f>
        <v>0</v>
      </c>
      <c r="N99" s="44">
        <f>'2006 Sampling'!$Z$31</f>
        <v>0</v>
      </c>
      <c r="O99" s="44">
        <f>'2006 Sampling'!$Z$32</f>
        <v>0</v>
      </c>
      <c r="P99" s="44">
        <f>'2006 Sampling'!$AA$28</f>
        <v>9</v>
      </c>
      <c r="Q99" s="44">
        <f>'2006 Sampling'!$AA$29</f>
        <v>3</v>
      </c>
      <c r="R99" s="44">
        <f>'2006 Sampling'!$AA$30</f>
        <v>0</v>
      </c>
      <c r="S99" s="44">
        <f>'2006 Sampling'!$AA$31</f>
        <v>0</v>
      </c>
      <c r="T99" s="44">
        <f>'2006 Sampling'!$AA$32</f>
        <v>0</v>
      </c>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row>
    <row r="100" spans="1:220" x14ac:dyDescent="0.25">
      <c r="A100" s="73">
        <v>2006</v>
      </c>
      <c r="B100" s="44">
        <v>45</v>
      </c>
      <c r="C100" s="44">
        <f>'2006 Sampling'!$AD$24</f>
        <v>0</v>
      </c>
      <c r="D100" s="44">
        <f>'2006 Sampling'!$AD$26</f>
        <v>0</v>
      </c>
      <c r="E100" s="44">
        <f>'2006 Sampling'!$AD$25</f>
        <v>0</v>
      </c>
      <c r="F100" s="44">
        <f>'2006 Sampling'!$AD$23</f>
        <v>0</v>
      </c>
      <c r="G100" s="44">
        <f>'2006 Sampling'!$AE$24</f>
        <v>0</v>
      </c>
      <c r="H100" s="44">
        <f>'2006 Sampling'!$AE$26</f>
        <v>0</v>
      </c>
      <c r="I100" s="44">
        <f>'2006 Sampling'!$AE$25</f>
        <v>0</v>
      </c>
      <c r="J100" s="44">
        <f>'2006 Sampling'!$AE$23</f>
        <v>0</v>
      </c>
      <c r="K100" s="44">
        <f>'2006 Sampling'!$AD$28</f>
        <v>0</v>
      </c>
      <c r="L100" s="44">
        <f>'2006 Sampling'!$AD$29</f>
        <v>0</v>
      </c>
      <c r="M100" s="44">
        <f>'2006 Sampling'!$AD$30</f>
        <v>0</v>
      </c>
      <c r="N100" s="44">
        <f>'2006 Sampling'!$AD$31</f>
        <v>0</v>
      </c>
      <c r="O100" s="44">
        <f>'2006 Sampling'!$AD$32</f>
        <v>0</v>
      </c>
      <c r="P100" s="44">
        <f>'2006 Sampling'!$AE$28</f>
        <v>0</v>
      </c>
      <c r="Q100" s="44">
        <f>'2006 Sampling'!$AE$29</f>
        <v>0</v>
      </c>
      <c r="R100" s="44">
        <f>'2006 Sampling'!$AE$30</f>
        <v>0</v>
      </c>
      <c r="S100" s="44">
        <f>'2006 Sampling'!$AE$31</f>
        <v>0</v>
      </c>
      <c r="T100" s="44">
        <f>'2006 Sampling'!$AE$32</f>
        <v>0</v>
      </c>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row>
    <row r="101" spans="1:220" x14ac:dyDescent="0.25">
      <c r="A101" s="73">
        <v>2007</v>
      </c>
      <c r="B101" s="44">
        <v>32</v>
      </c>
      <c r="C101" s="44">
        <f>'2007 Comm Sampling'!$B$7</f>
        <v>0</v>
      </c>
      <c r="D101" s="44">
        <f>'2007 Comm Sampling'!$B$9</f>
        <v>0</v>
      </c>
      <c r="E101" s="44">
        <f>'2007 Comm Sampling'!$B$8</f>
        <v>0</v>
      </c>
      <c r="F101" s="44">
        <f>'2007 Comm Sampling'!$B$6</f>
        <v>0</v>
      </c>
      <c r="G101" s="44">
        <f>'2007 Comm Sampling'!$C$7</f>
        <v>0</v>
      </c>
      <c r="H101" s="44">
        <f>'2007 Comm Sampling'!$C$9</f>
        <v>0</v>
      </c>
      <c r="I101" s="44">
        <f>'2007 Comm Sampling'!$C$8</f>
        <v>0</v>
      </c>
      <c r="J101" s="44">
        <f>'2007 Comm Sampling'!$C$6</f>
        <v>0</v>
      </c>
      <c r="K101" s="44">
        <f>'2007 Comm Sampling'!$B$11</f>
        <v>8</v>
      </c>
      <c r="L101" s="44">
        <f>'2007 Comm Sampling'!$B$12</f>
        <v>4</v>
      </c>
      <c r="M101" s="44">
        <f>'2007 Comm Sampling'!$B$13</f>
        <v>0</v>
      </c>
      <c r="N101" s="44">
        <f>'2007 Comm Sampling'!$B$14</f>
        <v>0</v>
      </c>
      <c r="O101" s="44">
        <f>'2007 Comm Sampling'!$B$15</f>
        <v>0</v>
      </c>
      <c r="P101" s="44">
        <f>'2007 Comm Sampling'!$C$11</f>
        <v>4</v>
      </c>
      <c r="Q101" s="44">
        <f>'2007 Comm Sampling'!$C$12</f>
        <v>0</v>
      </c>
      <c r="R101" s="44">
        <f>'2007 Comm Sampling'!$C$13</f>
        <v>0</v>
      </c>
      <c r="S101" s="44">
        <f>'2007 Comm Sampling'!$C$14</f>
        <v>0</v>
      </c>
      <c r="T101" s="44">
        <f>'2007 Comm Sampling'!$C$15</f>
        <v>0</v>
      </c>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row>
    <row r="102" spans="1:220" x14ac:dyDescent="0.25">
      <c r="A102" s="73">
        <v>2007</v>
      </c>
      <c r="B102" s="44">
        <v>33</v>
      </c>
      <c r="C102" s="44">
        <f>'2007 Comm Sampling'!$F$7</f>
        <v>0</v>
      </c>
      <c r="D102" s="44">
        <f>'2007 Comm Sampling'!$F$9</f>
        <v>0</v>
      </c>
      <c r="E102" s="44">
        <f>'2007 Comm Sampling'!$F$8</f>
        <v>0</v>
      </c>
      <c r="F102" s="44">
        <f>'2007 Comm Sampling'!$F$6</f>
        <v>0</v>
      </c>
      <c r="G102" s="44">
        <f>'2007 Comm Sampling'!$G$7</f>
        <v>0</v>
      </c>
      <c r="H102" s="44">
        <f>'2007 Comm Sampling'!$G$9</f>
        <v>0</v>
      </c>
      <c r="I102" s="44">
        <f>'2007 Comm Sampling'!$G$8</f>
        <v>0</v>
      </c>
      <c r="J102" s="44">
        <f>'2007 Comm Sampling'!$G$6</f>
        <v>0</v>
      </c>
      <c r="K102" s="44">
        <f>'2007 Comm Sampling'!$F$11</f>
        <v>0</v>
      </c>
      <c r="L102" s="44">
        <f>'2007 Comm Sampling'!$F$12</f>
        <v>0</v>
      </c>
      <c r="M102" s="44">
        <f>'2007 Comm Sampling'!$F$13</f>
        <v>0</v>
      </c>
      <c r="N102" s="44">
        <f>'2007 Comm Sampling'!$F$14</f>
        <v>0</v>
      </c>
      <c r="O102" s="44">
        <f>'2007 Comm Sampling'!$F$15</f>
        <v>0</v>
      </c>
      <c r="P102" s="44">
        <f>'2007 Comm Sampling'!$G$11</f>
        <v>0</v>
      </c>
      <c r="Q102" s="44">
        <f>'2007 Comm Sampling'!$G$12</f>
        <v>0</v>
      </c>
      <c r="R102" s="44">
        <f>'2007 Comm Sampling'!$G$13</f>
        <v>0</v>
      </c>
      <c r="S102" s="44">
        <f>'2007 Comm Sampling'!$G$14</f>
        <v>0</v>
      </c>
      <c r="T102" s="44">
        <f>'2007 Comm Sampling'!$G$15</f>
        <v>0</v>
      </c>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row>
    <row r="103" spans="1:220" x14ac:dyDescent="0.25">
      <c r="A103" s="73">
        <v>2007</v>
      </c>
      <c r="B103" s="44">
        <v>34</v>
      </c>
      <c r="C103" s="44">
        <f>'2007 Comm Sampling'!$J$7</f>
        <v>0</v>
      </c>
      <c r="D103" s="44">
        <f>'2007 Comm Sampling'!$J$9</f>
        <v>0</v>
      </c>
      <c r="E103" s="44">
        <f>'2007 Comm Sampling'!$J$8</f>
        <v>0</v>
      </c>
      <c r="F103" s="44">
        <f>'2007 Comm Sampling'!$J$6</f>
        <v>0</v>
      </c>
      <c r="G103" s="44">
        <f>'2007 Comm Sampling'!$K$7</f>
        <v>0</v>
      </c>
      <c r="H103" s="44">
        <f>'2007 Comm Sampling'!$K$9</f>
        <v>0</v>
      </c>
      <c r="I103" s="44">
        <f>'2007 Comm Sampling'!$K$8</f>
        <v>0</v>
      </c>
      <c r="J103" s="44">
        <f>'2007 Comm Sampling'!$K$6</f>
        <v>0</v>
      </c>
      <c r="K103" s="44">
        <f>'2007 Comm Sampling'!$J$11</f>
        <v>0</v>
      </c>
      <c r="L103" s="44">
        <f>'2007 Comm Sampling'!$J$12</f>
        <v>0</v>
      </c>
      <c r="M103" s="44">
        <f>'2007 Comm Sampling'!$J$13</f>
        <v>0</v>
      </c>
      <c r="N103" s="44">
        <f>'2007 Comm Sampling'!$J$14</f>
        <v>9</v>
      </c>
      <c r="O103" s="44">
        <f>'2007 Comm Sampling'!$J$15</f>
        <v>12</v>
      </c>
      <c r="P103" s="44">
        <f>'2007 Comm Sampling'!$K$11</f>
        <v>0</v>
      </c>
      <c r="Q103" s="44">
        <f>'2007 Comm Sampling'!$K$12</f>
        <v>0</v>
      </c>
      <c r="R103" s="44">
        <f>'2007 Comm Sampling'!$K$13</f>
        <v>0</v>
      </c>
      <c r="S103" s="44">
        <f>'2007 Comm Sampling'!$K$14</f>
        <v>6</v>
      </c>
      <c r="T103" s="44">
        <f>'2007 Comm Sampling'!$K$15</f>
        <v>9</v>
      </c>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row>
    <row r="104" spans="1:220" x14ac:dyDescent="0.25">
      <c r="A104" s="73">
        <v>2007</v>
      </c>
      <c r="B104" s="44">
        <v>35</v>
      </c>
      <c r="C104" s="44">
        <f>'2007 Comm Sampling'!$N$7</f>
        <v>108</v>
      </c>
      <c r="D104" s="44">
        <f>'2007 Comm Sampling'!$N$9</f>
        <v>0</v>
      </c>
      <c r="E104" s="44">
        <f>'2007 Comm Sampling'!$N$8</f>
        <v>0</v>
      </c>
      <c r="F104" s="44">
        <f>'2007 Comm Sampling'!$N$6</f>
        <v>0</v>
      </c>
      <c r="G104" s="44">
        <f>'2007 Comm Sampling'!$O$7</f>
        <v>10</v>
      </c>
      <c r="H104" s="44">
        <f>'2007 Comm Sampling'!$O$9</f>
        <v>0</v>
      </c>
      <c r="I104" s="44">
        <f>'2007 Comm Sampling'!$O$8</f>
        <v>0</v>
      </c>
      <c r="J104" s="44">
        <f>'2007 Comm Sampling'!$O$6</f>
        <v>0</v>
      </c>
      <c r="K104" s="44">
        <f>'2007 Comm Sampling'!$N$11</f>
        <v>0</v>
      </c>
      <c r="L104" s="44">
        <f>'2007 Comm Sampling'!$N$12</f>
        <v>0</v>
      </c>
      <c r="M104" s="44">
        <f>'2007 Comm Sampling'!$N$13</f>
        <v>0</v>
      </c>
      <c r="N104" s="44">
        <f>'2007 Comm Sampling'!$N$14</f>
        <v>0</v>
      </c>
      <c r="O104" s="44">
        <f>'2007 Comm Sampling'!$N$15</f>
        <v>0</v>
      </c>
      <c r="P104" s="44">
        <f>'2007 Comm Sampling'!$O$11</f>
        <v>0</v>
      </c>
      <c r="Q104" s="44">
        <f>'2007 Comm Sampling'!$O$12</f>
        <v>0</v>
      </c>
      <c r="R104" s="44">
        <f>'2007 Comm Sampling'!$O$13</f>
        <v>0</v>
      </c>
      <c r="S104" s="44">
        <f>'2007 Comm Sampling'!$O$14</f>
        <v>0</v>
      </c>
      <c r="T104" s="44">
        <f>'2007 Comm Sampling'!$O$15</f>
        <v>0</v>
      </c>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row>
    <row r="105" spans="1:220" x14ac:dyDescent="0.25">
      <c r="A105" s="73">
        <v>2007</v>
      </c>
      <c r="B105" s="44">
        <v>36</v>
      </c>
      <c r="C105" s="44">
        <f>'2007 Comm Sampling'!$R$7</f>
        <v>104</v>
      </c>
      <c r="D105" s="44">
        <f>'2007 Comm Sampling'!$R$9</f>
        <v>61</v>
      </c>
      <c r="E105" s="44">
        <f>'2007 Comm Sampling'!$R$8</f>
        <v>88</v>
      </c>
      <c r="F105" s="44">
        <f>'2007 Comm Sampling'!$R$6</f>
        <v>0</v>
      </c>
      <c r="G105" s="44">
        <f>'2007 Comm Sampling'!$S$7</f>
        <v>8</v>
      </c>
      <c r="H105" s="44">
        <f>'2007 Comm Sampling'!$S$9</f>
        <v>2</v>
      </c>
      <c r="I105" s="44">
        <f>'2007 Comm Sampling'!$S$8</f>
        <v>1</v>
      </c>
      <c r="J105" s="44">
        <f>'2007 Comm Sampling'!$S$6</f>
        <v>0</v>
      </c>
      <c r="K105" s="44">
        <f>'2007 Comm Sampling'!$R$11</f>
        <v>0</v>
      </c>
      <c r="L105" s="44">
        <f>'2007 Comm Sampling'!$R$12</f>
        <v>0</v>
      </c>
      <c r="M105" s="44">
        <f>'2007 Comm Sampling'!$R$13</f>
        <v>0</v>
      </c>
      <c r="N105" s="44">
        <f>'2007 Comm Sampling'!$R$14</f>
        <v>0</v>
      </c>
      <c r="O105" s="44">
        <f>'2007 Comm Sampling'!$R$15</f>
        <v>0</v>
      </c>
      <c r="P105" s="44">
        <f>'2007 Comm Sampling'!$S$11</f>
        <v>0</v>
      </c>
      <c r="Q105" s="44">
        <f>'2007 Comm Sampling'!$S$12</f>
        <v>0</v>
      </c>
      <c r="R105" s="44">
        <f>'2007 Comm Sampling'!$S$13</f>
        <v>0</v>
      </c>
      <c r="S105" s="44">
        <f>'2007 Comm Sampling'!$S$14</f>
        <v>0</v>
      </c>
      <c r="T105" s="44">
        <f>'2007 Comm Sampling'!$S$15</f>
        <v>0</v>
      </c>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row>
    <row r="106" spans="1:220" x14ac:dyDescent="0.25">
      <c r="A106" s="73">
        <v>2007</v>
      </c>
      <c r="B106" s="44">
        <v>37</v>
      </c>
      <c r="C106" s="44">
        <f>'2007 Comm Sampling'!$V$7</f>
        <v>527</v>
      </c>
      <c r="D106" s="44">
        <f>'2007 Comm Sampling'!$V$9</f>
        <v>197</v>
      </c>
      <c r="E106" s="44">
        <f>'2007 Comm Sampling'!$V$8</f>
        <v>185</v>
      </c>
      <c r="F106" s="44">
        <f>'2007 Comm Sampling'!$V$6</f>
        <v>0</v>
      </c>
      <c r="G106" s="44">
        <f>'2007 Comm Sampling'!$W$7</f>
        <v>43</v>
      </c>
      <c r="H106" s="44">
        <f>'2007 Comm Sampling'!$W$9</f>
        <v>16</v>
      </c>
      <c r="I106" s="44">
        <f>'2007 Comm Sampling'!$W$8</f>
        <v>7</v>
      </c>
      <c r="J106" s="44">
        <f>'2007 Comm Sampling'!$W$6</f>
        <v>0</v>
      </c>
      <c r="K106" s="44">
        <f>'2007 Comm Sampling'!$V$11</f>
        <v>0</v>
      </c>
      <c r="L106" s="44">
        <f>'2007 Comm Sampling'!$V$12</f>
        <v>0</v>
      </c>
      <c r="M106" s="44">
        <f>'2007 Comm Sampling'!$V$13</f>
        <v>0</v>
      </c>
      <c r="N106" s="44">
        <f>'2007 Comm Sampling'!$V$14</f>
        <v>0</v>
      </c>
      <c r="O106" s="44">
        <f>'2007 Comm Sampling'!$V$15</f>
        <v>0</v>
      </c>
      <c r="P106" s="44">
        <f>'2007 Comm Sampling'!$W$11</f>
        <v>0</v>
      </c>
      <c r="Q106" s="44">
        <f>'2007 Comm Sampling'!$W$12</f>
        <v>0</v>
      </c>
      <c r="R106" s="44">
        <f>'2007 Comm Sampling'!$W$13</f>
        <v>0</v>
      </c>
      <c r="S106" s="44">
        <f>'2007 Comm Sampling'!$W$14</f>
        <v>0</v>
      </c>
      <c r="T106" s="44">
        <f>'2007 Comm Sampling'!$W$15</f>
        <v>0</v>
      </c>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row>
    <row r="107" spans="1:220" x14ac:dyDescent="0.25">
      <c r="A107" s="73">
        <v>2007</v>
      </c>
      <c r="B107" s="44">
        <v>38</v>
      </c>
      <c r="C107" s="44">
        <f>'2007 Comm Sampling'!$B$24</f>
        <v>455</v>
      </c>
      <c r="D107" s="44">
        <f>'2007 Comm Sampling'!$B$26</f>
        <v>95</v>
      </c>
      <c r="E107" s="44">
        <f>'2007 Comm Sampling'!$B$25</f>
        <v>553</v>
      </c>
      <c r="F107" s="44">
        <f>'2007 Comm Sampling'!$B$23</f>
        <v>0</v>
      </c>
      <c r="G107" s="44">
        <f>'2007 Comm Sampling'!$C$24</f>
        <v>29</v>
      </c>
      <c r="H107" s="44">
        <f>'2007 Comm Sampling'!$C$26</f>
        <v>8</v>
      </c>
      <c r="I107" s="44">
        <f>'2007 Comm Sampling'!$C$25</f>
        <v>35</v>
      </c>
      <c r="J107" s="44">
        <f>'2007 Comm Sampling'!$C$23</f>
        <v>0</v>
      </c>
      <c r="K107" s="44">
        <f>'2007 Comm Sampling'!$B$28</f>
        <v>0</v>
      </c>
      <c r="L107" s="44">
        <f>'2007 Comm Sampling'!$B$29</f>
        <v>8</v>
      </c>
      <c r="M107" s="44">
        <f>'2007 Comm Sampling'!$B$30</f>
        <v>9</v>
      </c>
      <c r="N107" s="44">
        <f>'2007 Comm Sampling'!$B$31</f>
        <v>0</v>
      </c>
      <c r="O107" s="44">
        <f>'2007 Comm Sampling'!$B$32</f>
        <v>166</v>
      </c>
      <c r="P107" s="44">
        <f>'2007 Comm Sampling'!$C$28</f>
        <v>0</v>
      </c>
      <c r="Q107" s="44">
        <f>'2007 Comm Sampling'!$C$29</f>
        <v>0</v>
      </c>
      <c r="R107" s="44">
        <f>'2007 Comm Sampling'!$C$30</f>
        <v>1</v>
      </c>
      <c r="S107" s="44">
        <f>'2007 Comm Sampling'!$C$31</f>
        <v>0</v>
      </c>
      <c r="T107" s="44">
        <f>'2007 Comm Sampling'!$C$32</f>
        <v>33</v>
      </c>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row>
    <row r="108" spans="1:220" x14ac:dyDescent="0.25">
      <c r="A108" s="73">
        <v>2007</v>
      </c>
      <c r="B108" s="44">
        <v>39</v>
      </c>
      <c r="C108" s="44">
        <f>'2007 Comm Sampling'!$F$24</f>
        <v>57</v>
      </c>
      <c r="D108" s="44">
        <f>'2007 Comm Sampling'!$F$26</f>
        <v>0</v>
      </c>
      <c r="E108" s="44">
        <f>'2007 Comm Sampling'!$F$25</f>
        <v>161</v>
      </c>
      <c r="F108" s="44">
        <f>'2007 Comm Sampling'!$F$23</f>
        <v>0</v>
      </c>
      <c r="G108" s="44">
        <f>'2007 Comm Sampling'!$G$24</f>
        <v>3</v>
      </c>
      <c r="H108" s="44">
        <f>'2007 Comm Sampling'!$G$26</f>
        <v>0</v>
      </c>
      <c r="I108" s="44">
        <f>'2007 Comm Sampling'!$G$25</f>
        <v>12</v>
      </c>
      <c r="J108" s="44">
        <f>'2007 Comm Sampling'!$G$23</f>
        <v>0</v>
      </c>
      <c r="K108" s="44">
        <f>'2007 Comm Sampling'!$F$28</f>
        <v>1056</v>
      </c>
      <c r="L108" s="44">
        <f>'2007 Comm Sampling'!$F$29</f>
        <v>1752</v>
      </c>
      <c r="M108" s="44">
        <f>'2007 Comm Sampling'!$F$30</f>
        <v>573</v>
      </c>
      <c r="N108" s="44">
        <f>'2007 Comm Sampling'!$F$31</f>
        <v>0</v>
      </c>
      <c r="O108" s="44">
        <f>'2007 Comm Sampling'!$F$32</f>
        <v>23</v>
      </c>
      <c r="P108" s="44">
        <f>'2007 Comm Sampling'!$G$28</f>
        <v>234</v>
      </c>
      <c r="Q108" s="44">
        <f>'2007 Comm Sampling'!$G$29</f>
        <v>440</v>
      </c>
      <c r="R108" s="44">
        <f>'2007 Comm Sampling'!$G$30</f>
        <v>228</v>
      </c>
      <c r="S108" s="44">
        <f>'2007 Comm Sampling'!$G$31</f>
        <v>0</v>
      </c>
      <c r="T108" s="44">
        <f>'2007 Comm Sampling'!$G$32</f>
        <v>9</v>
      </c>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row>
    <row r="109" spans="1:220" x14ac:dyDescent="0.25">
      <c r="A109" s="73">
        <v>2007</v>
      </c>
      <c r="B109" s="44">
        <v>40</v>
      </c>
      <c r="C109" s="44">
        <f>'2007 Comm Sampling'!$J$24</f>
        <v>39</v>
      </c>
      <c r="D109" s="44">
        <f>'2007 Comm Sampling'!$J$26</f>
        <v>45</v>
      </c>
      <c r="E109" s="44">
        <f>'2007 Comm Sampling'!$J$25</f>
        <v>54</v>
      </c>
      <c r="F109" s="44">
        <f>'2007 Comm Sampling'!$J$23</f>
        <v>0</v>
      </c>
      <c r="G109" s="44">
        <f>'2007 Comm Sampling'!$K$24</f>
        <v>5</v>
      </c>
      <c r="H109" s="44">
        <f>'2007 Comm Sampling'!$K$26</f>
        <v>5</v>
      </c>
      <c r="I109" s="44">
        <f>'2007 Comm Sampling'!$K$25</f>
        <v>2</v>
      </c>
      <c r="J109" s="44">
        <f>'2007 Comm Sampling'!$K$23</f>
        <v>0</v>
      </c>
      <c r="K109" s="44">
        <f>'2007 Comm Sampling'!$J$28</f>
        <v>1231</v>
      </c>
      <c r="L109" s="44">
        <f>'2007 Comm Sampling'!$J$29</f>
        <v>3044</v>
      </c>
      <c r="M109" s="44">
        <f>'2007 Comm Sampling'!$J$30</f>
        <v>426</v>
      </c>
      <c r="N109" s="44">
        <f>'2007 Comm Sampling'!$J$31</f>
        <v>2</v>
      </c>
      <c r="O109" s="44">
        <f>'2007 Comm Sampling'!$J$32</f>
        <v>10</v>
      </c>
      <c r="P109" s="44">
        <f>'2007 Comm Sampling'!$K$28</f>
        <v>265</v>
      </c>
      <c r="Q109" s="44">
        <f>'2007 Comm Sampling'!$K$29</f>
        <v>552</v>
      </c>
      <c r="R109" s="44">
        <f>'2007 Comm Sampling'!$K$30</f>
        <v>125</v>
      </c>
      <c r="S109" s="44">
        <f>'2007 Comm Sampling'!$K$31</f>
        <v>1</v>
      </c>
      <c r="T109" s="44">
        <f>'2007 Comm Sampling'!$K$32</f>
        <v>2</v>
      </c>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row>
    <row r="110" spans="1:220" x14ac:dyDescent="0.25">
      <c r="A110" s="73">
        <v>2007</v>
      </c>
      <c r="B110" s="44">
        <v>41</v>
      </c>
      <c r="C110" s="44">
        <f>'2007 Comm Sampling'!$N$24</f>
        <v>8</v>
      </c>
      <c r="D110" s="44">
        <f>'2007 Comm Sampling'!$N$26</f>
        <v>23</v>
      </c>
      <c r="E110" s="44">
        <f>'2007 Comm Sampling'!$N$25</f>
        <v>202</v>
      </c>
      <c r="F110" s="44">
        <f>'2007 Comm Sampling'!$N$23</f>
        <v>0</v>
      </c>
      <c r="G110" s="44">
        <f>'2007 Comm Sampling'!$O$24</f>
        <v>0</v>
      </c>
      <c r="H110" s="44">
        <f>'2007 Comm Sampling'!$O$26</f>
        <v>2</v>
      </c>
      <c r="I110" s="44">
        <f>'2007 Comm Sampling'!$O$25</f>
        <v>19</v>
      </c>
      <c r="J110" s="44">
        <f>'2007 Comm Sampling'!$O$23</f>
        <v>0</v>
      </c>
      <c r="K110" s="44">
        <f>'2007 Comm Sampling'!$N$28</f>
        <v>1405</v>
      </c>
      <c r="L110" s="44">
        <f>'2007 Comm Sampling'!$N$29</f>
        <v>1764</v>
      </c>
      <c r="M110" s="44">
        <f>'2007 Comm Sampling'!$N$30</f>
        <v>746</v>
      </c>
      <c r="N110" s="44">
        <f>'2007 Comm Sampling'!$N$31</f>
        <v>0</v>
      </c>
      <c r="O110" s="44">
        <f>'2007 Comm Sampling'!$N$32</f>
        <v>3</v>
      </c>
      <c r="P110" s="44">
        <f>'2007 Comm Sampling'!$O$28</f>
        <v>203</v>
      </c>
      <c r="Q110" s="44">
        <f>'2007 Comm Sampling'!$O$29</f>
        <v>271</v>
      </c>
      <c r="R110" s="44">
        <f>'2007 Comm Sampling'!$O$30</f>
        <v>103</v>
      </c>
      <c r="S110" s="44">
        <f>'2007 Comm Sampling'!$O$31</f>
        <v>0</v>
      </c>
      <c r="T110" s="44">
        <f>'2007 Comm Sampling'!$O$32</f>
        <v>3</v>
      </c>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row>
    <row r="111" spans="1:220" x14ac:dyDescent="0.25">
      <c r="A111" s="73">
        <v>2007</v>
      </c>
      <c r="B111" s="44">
        <v>42</v>
      </c>
      <c r="C111" s="44">
        <f>'2007 Comm Sampling'!$R$24</f>
        <v>0</v>
      </c>
      <c r="D111" s="44">
        <f>'2007 Comm Sampling'!$R$26</f>
        <v>19</v>
      </c>
      <c r="E111" s="44">
        <f>'2007 Comm Sampling'!$R$25</f>
        <v>52</v>
      </c>
      <c r="F111" s="44">
        <f>'2007 Comm Sampling'!$R$23</f>
        <v>0</v>
      </c>
      <c r="G111" s="44">
        <f>'2007 Comm Sampling'!$S$24</f>
        <v>0</v>
      </c>
      <c r="H111" s="44">
        <f>'2007 Comm Sampling'!$S$26</f>
        <v>2</v>
      </c>
      <c r="I111" s="44">
        <f>'2007 Comm Sampling'!$S$25</f>
        <v>5</v>
      </c>
      <c r="J111" s="44">
        <f>'2007 Comm Sampling'!$S$23</f>
        <v>0</v>
      </c>
      <c r="K111" s="44">
        <f>'2007 Comm Sampling'!$R$28</f>
        <v>12</v>
      </c>
      <c r="L111" s="44">
        <f>'2007 Comm Sampling'!$R$29</f>
        <v>734</v>
      </c>
      <c r="M111" s="44">
        <f>'2007 Comm Sampling'!$R$30</f>
        <v>172</v>
      </c>
      <c r="N111" s="44">
        <f>'2007 Comm Sampling'!$R$31</f>
        <v>1</v>
      </c>
      <c r="O111" s="44">
        <f>'2007 Comm Sampling'!$R$32</f>
        <v>9</v>
      </c>
      <c r="P111" s="44">
        <f>'2007 Comm Sampling'!$S$28</f>
        <v>2</v>
      </c>
      <c r="Q111" s="44">
        <f>'2007 Comm Sampling'!$S$29</f>
        <v>120</v>
      </c>
      <c r="R111" s="44">
        <f>'2007 Comm Sampling'!$S$30</f>
        <v>24</v>
      </c>
      <c r="S111" s="44">
        <f>'2007 Comm Sampling'!$S$31</f>
        <v>0</v>
      </c>
      <c r="T111" s="44">
        <f>'2007 Comm Sampling'!$S$32</f>
        <v>6</v>
      </c>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row>
    <row r="112" spans="1:220" x14ac:dyDescent="0.25">
      <c r="A112" s="73">
        <v>2007</v>
      </c>
      <c r="B112" s="44">
        <v>43</v>
      </c>
      <c r="C112" s="44">
        <f>'2007 Comm Sampling'!$V$24</f>
        <v>0</v>
      </c>
      <c r="D112" s="44">
        <f>'2007 Comm Sampling'!$V$26</f>
        <v>0</v>
      </c>
      <c r="E112" s="44">
        <f>'2007 Comm Sampling'!$V$25</f>
        <v>19</v>
      </c>
      <c r="F112" s="44">
        <f>'2007 Comm Sampling'!$V$23</f>
        <v>0</v>
      </c>
      <c r="G112" s="44">
        <f>'2007 Comm Sampling'!$W$24</f>
        <v>0</v>
      </c>
      <c r="H112" s="44">
        <f>'2007 Comm Sampling'!$W$26</f>
        <v>0</v>
      </c>
      <c r="I112" s="44">
        <f>'2007 Comm Sampling'!$W$25</f>
        <v>2</v>
      </c>
      <c r="J112" s="44">
        <f>'2007 Comm Sampling'!$W$23</f>
        <v>0</v>
      </c>
      <c r="K112" s="44">
        <f>'2007 Comm Sampling'!$V$28</f>
        <v>306</v>
      </c>
      <c r="L112" s="44">
        <f>'2007 Comm Sampling'!$V$29</f>
        <v>2273</v>
      </c>
      <c r="M112" s="44">
        <f>'2007 Comm Sampling'!$V$30</f>
        <v>1500</v>
      </c>
      <c r="N112" s="44">
        <f>'2007 Comm Sampling'!$V$31</f>
        <v>8</v>
      </c>
      <c r="O112" s="44">
        <f>'2007 Comm Sampling'!$V$32</f>
        <v>3</v>
      </c>
      <c r="P112" s="44">
        <f>'2007 Comm Sampling'!$W$28</f>
        <v>42</v>
      </c>
      <c r="Q112" s="44">
        <f>'2007 Comm Sampling'!$W$29</f>
        <v>261</v>
      </c>
      <c r="R112" s="44">
        <f>'2007 Comm Sampling'!$W$30</f>
        <v>223</v>
      </c>
      <c r="S112" s="44">
        <f>'2007 Comm Sampling'!$W$31</f>
        <v>1</v>
      </c>
      <c r="T112" s="44">
        <f>'2007 Comm Sampling'!$W$32</f>
        <v>2</v>
      </c>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row>
    <row r="113" spans="1:220" x14ac:dyDescent="0.25">
      <c r="A113" s="73">
        <v>2007</v>
      </c>
      <c r="B113" s="44">
        <v>44</v>
      </c>
      <c r="C113" s="44">
        <f>'2007 Comm Sampling'!$Z$24</f>
        <v>19</v>
      </c>
      <c r="D113" s="44">
        <f>'2007 Comm Sampling'!$Z$26</f>
        <v>0</v>
      </c>
      <c r="E113" s="44">
        <f>'2007 Comm Sampling'!$Z$25</f>
        <v>0</v>
      </c>
      <c r="F113" s="44">
        <f>'2007 Comm Sampling'!$Z$23</f>
        <v>0</v>
      </c>
      <c r="G113" s="44">
        <f>'2007 Comm Sampling'!$AA$24</f>
        <v>10</v>
      </c>
      <c r="H113" s="44">
        <f>'2007 Comm Sampling'!$AA$26</f>
        <v>0</v>
      </c>
      <c r="I113" s="44">
        <f>'2007 Comm Sampling'!$AA$25</f>
        <v>0</v>
      </c>
      <c r="J113" s="44">
        <f>'2007 Comm Sampling'!$AA$23</f>
        <v>0</v>
      </c>
      <c r="K113" s="44">
        <f>'2007 Comm Sampling'!$Z$28</f>
        <v>0</v>
      </c>
      <c r="L113" s="44">
        <f>'2007 Comm Sampling'!$Z$29</f>
        <v>0</v>
      </c>
      <c r="M113" s="44">
        <f>'2007 Comm Sampling'!$Z$30</f>
        <v>0</v>
      </c>
      <c r="N113" s="44">
        <f>'2007 Comm Sampling'!$Z$31</f>
        <v>0</v>
      </c>
      <c r="O113" s="44">
        <f>'2007 Comm Sampling'!$Z$32</f>
        <v>1</v>
      </c>
      <c r="P113" s="44">
        <f>'2007 Comm Sampling'!$AA$28</f>
        <v>0</v>
      </c>
      <c r="Q113" s="44">
        <f>'2007 Comm Sampling'!$AA$29</f>
        <v>0</v>
      </c>
      <c r="R113" s="44">
        <f>'2007 Comm Sampling'!$AA$30</f>
        <v>0</v>
      </c>
      <c r="S113" s="44">
        <f>'2007 Comm Sampling'!$AA$31</f>
        <v>0</v>
      </c>
      <c r="T113" s="44">
        <f>'2007 Comm Sampling'!$AA$32</f>
        <v>0</v>
      </c>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row>
    <row r="114" spans="1:220" x14ac:dyDescent="0.25">
      <c r="A114" s="73">
        <v>2007</v>
      </c>
      <c r="B114" s="44">
        <v>45</v>
      </c>
      <c r="C114" s="44">
        <f>'2007 Comm Sampling'!$AD$24</f>
        <v>0</v>
      </c>
      <c r="D114" s="44">
        <f>'2007 Comm Sampling'!$AD$26</f>
        <v>0</v>
      </c>
      <c r="E114" s="44">
        <f>'2007 Comm Sampling'!$AD$25</f>
        <v>0</v>
      </c>
      <c r="F114" s="44">
        <f>'2007 Comm Sampling'!$AD$23</f>
        <v>0</v>
      </c>
      <c r="G114" s="44">
        <f>'2007 Comm Sampling'!$AE$24</f>
        <v>0</v>
      </c>
      <c r="H114" s="44">
        <f>'2007 Comm Sampling'!$AE$26</f>
        <v>0</v>
      </c>
      <c r="I114" s="44">
        <f>'2007 Comm Sampling'!$AE$25</f>
        <v>0</v>
      </c>
      <c r="J114" s="44">
        <f>'2007 Comm Sampling'!$AE$23</f>
        <v>0</v>
      </c>
      <c r="K114" s="44">
        <f>'2007 Comm Sampling'!$AD$28</f>
        <v>0</v>
      </c>
      <c r="L114" s="44">
        <f>'2007 Comm Sampling'!$AD$29</f>
        <v>0</v>
      </c>
      <c r="M114" s="44">
        <f>'2007 Comm Sampling'!$AD$30</f>
        <v>0</v>
      </c>
      <c r="N114" s="44">
        <f>'2007 Comm Sampling'!$AD$31</f>
        <v>0</v>
      </c>
      <c r="O114" s="44">
        <f>'2007 Comm Sampling'!$AD$32</f>
        <v>0</v>
      </c>
      <c r="P114" s="44">
        <f>'2007 Comm Sampling'!$AE$28</f>
        <v>0</v>
      </c>
      <c r="Q114" s="44">
        <f>'2007 Comm Sampling'!$AE$29</f>
        <v>0</v>
      </c>
      <c r="R114" s="44">
        <f>'2007 Comm Sampling'!$AE$30</f>
        <v>0</v>
      </c>
      <c r="S114" s="44">
        <f>'2007 Comm Sampling'!$AE$31</f>
        <v>0</v>
      </c>
      <c r="T114" s="44">
        <f>'2007 Comm Sampling'!$AE$32</f>
        <v>0</v>
      </c>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row>
    <row r="115" spans="1:220" x14ac:dyDescent="0.25">
      <c r="A115" s="73">
        <v>2008</v>
      </c>
      <c r="B115" s="44">
        <v>32</v>
      </c>
      <c r="C115" s="44">
        <f>'2008 new sample form'!B4</f>
        <v>0</v>
      </c>
      <c r="D115" s="44">
        <f>'2008 new sample form'!C4</f>
        <v>0</v>
      </c>
      <c r="E115" s="44">
        <f>'2008 new sample form'!D4</f>
        <v>0</v>
      </c>
      <c r="F115" s="44">
        <f>'2008 new sample form'!E4</f>
        <v>0</v>
      </c>
      <c r="G115" s="44">
        <f>'2008 new sample form'!F4</f>
        <v>0</v>
      </c>
      <c r="H115" s="44">
        <f>'2008 new sample form'!G4</f>
        <v>0</v>
      </c>
      <c r="I115" s="44">
        <f>'2008 new sample form'!H4</f>
        <v>0</v>
      </c>
      <c r="J115" s="44">
        <f>'2008 new sample form'!I4</f>
        <v>0</v>
      </c>
      <c r="K115" s="44">
        <f>'2008 new sample form'!B24</f>
        <v>1</v>
      </c>
      <c r="L115" s="44">
        <f>'2008 new sample form'!C24</f>
        <v>0</v>
      </c>
      <c r="M115" s="44">
        <f>'2008 new sample form'!D24</f>
        <v>0</v>
      </c>
      <c r="N115" s="44">
        <f>'2008 new sample form'!E24</f>
        <v>0</v>
      </c>
      <c r="O115" s="44">
        <f>'2008 new sample form'!F24</f>
        <v>0</v>
      </c>
      <c r="P115" s="44">
        <f>'2008 new sample form'!G24</f>
        <v>0</v>
      </c>
      <c r="Q115" s="44">
        <f>'2008 new sample form'!H24</f>
        <v>0</v>
      </c>
      <c r="R115" s="44">
        <f>'2008 new sample form'!I24</f>
        <v>0</v>
      </c>
      <c r="S115" s="44">
        <f>'2008 new sample form'!J24</f>
        <v>0</v>
      </c>
      <c r="T115" s="44">
        <f>'2008 new sample form'!K24</f>
        <v>0</v>
      </c>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row>
    <row r="116" spans="1:220" x14ac:dyDescent="0.25">
      <c r="A116" s="73">
        <v>2008</v>
      </c>
      <c r="B116" s="44">
        <v>33</v>
      </c>
      <c r="C116" s="44">
        <f>'2008 new sample form'!B5</f>
        <v>0</v>
      </c>
      <c r="D116" s="44">
        <f>'2008 new sample form'!C5</f>
        <v>0</v>
      </c>
      <c r="E116" s="44">
        <f>'2008 new sample form'!D5</f>
        <v>0</v>
      </c>
      <c r="F116" s="44">
        <f>'2008 new sample form'!E5</f>
        <v>0</v>
      </c>
      <c r="G116" s="44">
        <f>'2008 new sample form'!F5</f>
        <v>0</v>
      </c>
      <c r="H116" s="44">
        <f>'2008 new sample form'!G5</f>
        <v>0</v>
      </c>
      <c r="I116" s="44">
        <f>'2008 new sample form'!H5</f>
        <v>0</v>
      </c>
      <c r="J116" s="44">
        <f>'2008 new sample form'!I5</f>
        <v>0</v>
      </c>
      <c r="K116" s="44">
        <f>'2008 new sample form'!B25</f>
        <v>5</v>
      </c>
      <c r="L116" s="44">
        <f>'2008 new sample form'!C25</f>
        <v>0</v>
      </c>
      <c r="M116" s="44">
        <f>'2008 new sample form'!D25</f>
        <v>1</v>
      </c>
      <c r="N116" s="44">
        <f>'2008 new sample form'!E25</f>
        <v>0</v>
      </c>
      <c r="O116" s="44">
        <f>'2008 new sample form'!F25</f>
        <v>0</v>
      </c>
      <c r="P116" s="44">
        <f>'2008 new sample form'!G25</f>
        <v>2</v>
      </c>
      <c r="Q116" s="44">
        <f>'2008 new sample form'!H25</f>
        <v>0</v>
      </c>
      <c r="R116" s="44">
        <f>'2008 new sample form'!I25</f>
        <v>0</v>
      </c>
      <c r="S116" s="44">
        <f>'2008 new sample form'!J25</f>
        <v>0</v>
      </c>
      <c r="T116" s="44">
        <f>'2008 new sample form'!K25</f>
        <v>0</v>
      </c>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row>
    <row r="117" spans="1:220" x14ac:dyDescent="0.25">
      <c r="A117" s="73">
        <v>2008</v>
      </c>
      <c r="B117" s="44">
        <v>34</v>
      </c>
      <c r="C117" s="44">
        <f>'2008 new sample form'!B6</f>
        <v>108</v>
      </c>
      <c r="D117" s="44">
        <f>'2008 new sample form'!C6</f>
        <v>0</v>
      </c>
      <c r="E117" s="44">
        <f>'2008 new sample form'!D6</f>
        <v>0</v>
      </c>
      <c r="F117" s="44">
        <f>'2008 new sample form'!E6</f>
        <v>0</v>
      </c>
      <c r="G117" s="44">
        <f>'2008 new sample form'!F6</f>
        <v>11</v>
      </c>
      <c r="H117" s="44">
        <f>'2008 new sample form'!G6</f>
        <v>0</v>
      </c>
      <c r="I117" s="44">
        <f>'2008 new sample form'!H6</f>
        <v>0</v>
      </c>
      <c r="J117" s="44">
        <f>'2008 new sample form'!I6</f>
        <v>0</v>
      </c>
      <c r="K117" s="44">
        <f>'2008 new sample form'!B26</f>
        <v>0</v>
      </c>
      <c r="L117" s="44">
        <f>'2008 new sample form'!C26</f>
        <v>0</v>
      </c>
      <c r="M117" s="44">
        <f>'2008 new sample form'!D26</f>
        <v>0</v>
      </c>
      <c r="N117" s="44">
        <f>'2008 new sample form'!E26</f>
        <v>3</v>
      </c>
      <c r="O117" s="44">
        <f>'2008 new sample form'!F26</f>
        <v>1</v>
      </c>
      <c r="P117" s="44">
        <f>'2008 new sample form'!G26</f>
        <v>0</v>
      </c>
      <c r="Q117" s="44">
        <f>'2008 new sample form'!H26</f>
        <v>0</v>
      </c>
      <c r="R117" s="44">
        <f>'2008 new sample form'!I26</f>
        <v>0</v>
      </c>
      <c r="S117" s="44">
        <f>'2008 new sample form'!J26</f>
        <v>3</v>
      </c>
      <c r="T117" s="44">
        <f>'2008 new sample form'!K26</f>
        <v>1</v>
      </c>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row>
    <row r="118" spans="1:220" x14ac:dyDescent="0.25">
      <c r="A118" s="73">
        <v>2008</v>
      </c>
      <c r="B118" s="44">
        <v>35</v>
      </c>
      <c r="C118" s="44">
        <f>'2008 new sample form'!B7</f>
        <v>51</v>
      </c>
      <c r="D118" s="44">
        <f>'2008 new sample form'!C7</f>
        <v>0</v>
      </c>
      <c r="E118" s="44">
        <f>'2008 new sample form'!D7</f>
        <v>0</v>
      </c>
      <c r="F118" s="44">
        <f>'2008 new sample form'!E7</f>
        <v>0</v>
      </c>
      <c r="G118" s="44">
        <f>'2008 new sample form'!F7</f>
        <v>0</v>
      </c>
      <c r="H118" s="44">
        <f>'2008 new sample form'!G7</f>
        <v>0</v>
      </c>
      <c r="I118" s="44">
        <f>'2008 new sample form'!H7</f>
        <v>0</v>
      </c>
      <c r="J118" s="44">
        <f>'2008 new sample form'!I7</f>
        <v>0</v>
      </c>
      <c r="K118" s="44">
        <f>'2008 new sample form'!B27</f>
        <v>0</v>
      </c>
      <c r="L118" s="44">
        <f>'2008 new sample form'!C27</f>
        <v>0</v>
      </c>
      <c r="M118" s="44">
        <f>'2008 new sample form'!D27</f>
        <v>0</v>
      </c>
      <c r="N118" s="44">
        <f>'2008 new sample form'!E27</f>
        <v>5</v>
      </c>
      <c r="O118" s="44">
        <f>'2008 new sample form'!F27</f>
        <v>42</v>
      </c>
      <c r="P118" s="44">
        <f>'2008 new sample form'!G27</f>
        <v>0</v>
      </c>
      <c r="Q118" s="44">
        <f>'2008 new sample form'!H27</f>
        <v>0</v>
      </c>
      <c r="R118" s="44">
        <f>'2008 new sample form'!I27</f>
        <v>0</v>
      </c>
      <c r="S118" s="44">
        <f>'2008 new sample form'!J27</f>
        <v>3</v>
      </c>
      <c r="T118" s="44">
        <f>'2008 new sample form'!K27</f>
        <v>28</v>
      </c>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row>
    <row r="119" spans="1:220" x14ac:dyDescent="0.25">
      <c r="A119" s="73">
        <v>2008</v>
      </c>
      <c r="B119" s="44">
        <v>36</v>
      </c>
      <c r="C119" s="44">
        <f>'2008 new sample form'!B8</f>
        <v>1647</v>
      </c>
      <c r="D119" s="44">
        <f>'2008 new sample form'!C8</f>
        <v>653</v>
      </c>
      <c r="E119" s="44">
        <f>'2008 new sample form'!D8</f>
        <v>115</v>
      </c>
      <c r="F119" s="44">
        <f>'2008 new sample form'!E8</f>
        <v>397</v>
      </c>
      <c r="G119" s="44">
        <f>'2008 new sample form'!F8</f>
        <v>46</v>
      </c>
      <c r="H119" s="44">
        <f>'2008 new sample form'!G8</f>
        <v>28</v>
      </c>
      <c r="I119" s="44">
        <f>'2008 new sample form'!H8</f>
        <v>5</v>
      </c>
      <c r="J119" s="44">
        <f>'2008 new sample form'!I8</f>
        <v>51</v>
      </c>
      <c r="K119" s="44">
        <f>'2008 new sample form'!B28</f>
        <v>0</v>
      </c>
      <c r="L119" s="44">
        <f>'2008 new sample form'!C28</f>
        <v>0</v>
      </c>
      <c r="M119" s="44">
        <f>'2008 new sample form'!D28</f>
        <v>0</v>
      </c>
      <c r="N119" s="44">
        <f>'2008 new sample form'!E28</f>
        <v>0</v>
      </c>
      <c r="O119" s="44">
        <f>'2008 new sample form'!F28</f>
        <v>0</v>
      </c>
      <c r="P119" s="44">
        <f>'2008 new sample form'!G28</f>
        <v>0</v>
      </c>
      <c r="Q119" s="44">
        <f>'2008 new sample form'!H28</f>
        <v>0</v>
      </c>
      <c r="R119" s="44">
        <f>'2008 new sample form'!I28</f>
        <v>0</v>
      </c>
      <c r="S119" s="44">
        <f>'2008 new sample form'!J28</f>
        <v>0</v>
      </c>
      <c r="T119" s="44">
        <f>'2008 new sample form'!K28</f>
        <v>0</v>
      </c>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row>
    <row r="120" spans="1:220" x14ac:dyDescent="0.25">
      <c r="A120" s="73">
        <v>2008</v>
      </c>
      <c r="B120" s="44">
        <v>37</v>
      </c>
      <c r="C120" s="44">
        <f>'2008 new sample form'!B9</f>
        <v>1267</v>
      </c>
      <c r="D120" s="44">
        <f>'2008 new sample form'!C9</f>
        <v>1035</v>
      </c>
      <c r="E120" s="44">
        <f>'2008 new sample form'!D9</f>
        <v>575</v>
      </c>
      <c r="F120" s="44">
        <f>'2008 new sample form'!E9</f>
        <v>527</v>
      </c>
      <c r="G120" s="44">
        <f>'2008 new sample form'!F9</f>
        <v>26</v>
      </c>
      <c r="H120" s="44">
        <f>'2008 new sample form'!G9</f>
        <v>52</v>
      </c>
      <c r="I120" s="44">
        <f>'2008 new sample form'!H9</f>
        <v>32</v>
      </c>
      <c r="J120" s="44">
        <f>'2008 new sample form'!I9</f>
        <v>48</v>
      </c>
      <c r="K120" s="44">
        <f>'2008 new sample form'!B29</f>
        <v>0</v>
      </c>
      <c r="L120" s="44">
        <f>'2008 new sample form'!C29</f>
        <v>0</v>
      </c>
      <c r="M120" s="44">
        <f>'2008 new sample form'!D29</f>
        <v>0</v>
      </c>
      <c r="N120" s="44">
        <f>'2008 new sample form'!E29</f>
        <v>0</v>
      </c>
      <c r="O120" s="44">
        <f>'2008 new sample form'!F29</f>
        <v>0</v>
      </c>
      <c r="P120" s="44">
        <f>'2008 new sample form'!G29</f>
        <v>0</v>
      </c>
      <c r="Q120" s="44">
        <f>'2008 new sample form'!H29</f>
        <v>0</v>
      </c>
      <c r="R120" s="44">
        <f>'2008 new sample form'!I29</f>
        <v>0</v>
      </c>
      <c r="S120" s="44">
        <f>'2008 new sample form'!J29</f>
        <v>0</v>
      </c>
      <c r="T120" s="44">
        <f>'2008 new sample form'!K29</f>
        <v>0</v>
      </c>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row>
    <row r="121" spans="1:220" x14ac:dyDescent="0.25">
      <c r="A121" s="73">
        <v>2008</v>
      </c>
      <c r="B121" s="44">
        <v>38</v>
      </c>
      <c r="C121" s="44">
        <f>'2008 new sample form'!B10</f>
        <v>4307</v>
      </c>
      <c r="D121" s="44">
        <f>'2008 new sample form'!C10</f>
        <v>366</v>
      </c>
      <c r="E121" s="44">
        <f>'2008 new sample form'!D10</f>
        <v>739</v>
      </c>
      <c r="F121" s="44">
        <f>'2008 new sample form'!E10</f>
        <v>1118</v>
      </c>
      <c r="G121" s="44">
        <f>'2008 new sample form'!F10</f>
        <v>114</v>
      </c>
      <c r="H121" s="44">
        <f>'2008 new sample form'!G10</f>
        <v>7</v>
      </c>
      <c r="I121" s="44">
        <f>'2008 new sample form'!H10</f>
        <v>24</v>
      </c>
      <c r="J121" s="44">
        <f>'2008 new sample form'!I10</f>
        <v>106</v>
      </c>
      <c r="K121" s="44">
        <f>'2008 new sample form'!B30</f>
        <v>21</v>
      </c>
      <c r="L121" s="44">
        <f>'2008 new sample form'!C30</f>
        <v>5</v>
      </c>
      <c r="M121" s="44">
        <f>'2008 new sample form'!D30</f>
        <v>42</v>
      </c>
      <c r="N121" s="44">
        <f>'2008 new sample form'!E30</f>
        <v>0</v>
      </c>
      <c r="O121" s="44">
        <f>'2008 new sample form'!F30</f>
        <v>0</v>
      </c>
      <c r="P121" s="44">
        <f>'2008 new sample form'!G30</f>
        <v>3</v>
      </c>
      <c r="Q121" s="44">
        <f>'2008 new sample form'!H30</f>
        <v>2</v>
      </c>
      <c r="R121" s="44">
        <f>'2008 new sample form'!I30</f>
        <v>10</v>
      </c>
      <c r="S121" s="44">
        <f>'2008 new sample form'!J30</f>
        <v>0</v>
      </c>
      <c r="T121" s="44">
        <f>'2008 new sample form'!K30</f>
        <v>0</v>
      </c>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row>
    <row r="122" spans="1:220" x14ac:dyDescent="0.25">
      <c r="A122" s="73">
        <v>2008</v>
      </c>
      <c r="B122" s="44">
        <v>39</v>
      </c>
      <c r="C122" s="44">
        <f>'2008 new sample form'!B11</f>
        <v>449</v>
      </c>
      <c r="D122" s="44">
        <f>'2008 new sample form'!C11</f>
        <v>14</v>
      </c>
      <c r="E122" s="44">
        <f>'2008 new sample form'!D11</f>
        <v>426</v>
      </c>
      <c r="F122" s="44">
        <f>'2008 new sample form'!E11</f>
        <v>990</v>
      </c>
      <c r="G122" s="44">
        <f>'2008 new sample form'!F11</f>
        <v>8</v>
      </c>
      <c r="H122" s="44">
        <f>'2008 new sample form'!G11</f>
        <v>0</v>
      </c>
      <c r="I122" s="44">
        <f>'2008 new sample form'!H11</f>
        <v>24</v>
      </c>
      <c r="J122" s="44">
        <f>'2008 new sample form'!I11</f>
        <v>87</v>
      </c>
      <c r="K122" s="44">
        <f>'2008 new sample form'!B31</f>
        <v>92</v>
      </c>
      <c r="L122" s="44">
        <f>'2008 new sample form'!C31</f>
        <v>891</v>
      </c>
      <c r="M122" s="44">
        <f>'2008 new sample form'!D31</f>
        <v>261</v>
      </c>
      <c r="N122" s="44">
        <f>'2008 new sample form'!E31</f>
        <v>140</v>
      </c>
      <c r="O122" s="44">
        <f>'2008 new sample form'!F31</f>
        <v>583</v>
      </c>
      <c r="P122" s="44">
        <f>'2008 new sample form'!G31</f>
        <v>20</v>
      </c>
      <c r="Q122" s="44">
        <f>'2008 new sample form'!H31</f>
        <v>140</v>
      </c>
      <c r="R122" s="44">
        <f>'2008 new sample form'!I31</f>
        <v>81</v>
      </c>
      <c r="S122" s="44">
        <f>'2008 new sample form'!J31</f>
        <v>40</v>
      </c>
      <c r="T122" s="44">
        <f>'2008 new sample form'!K31</f>
        <v>200</v>
      </c>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row>
    <row r="123" spans="1:220" x14ac:dyDescent="0.25">
      <c r="A123" s="73">
        <v>2008</v>
      </c>
      <c r="B123" s="44">
        <v>40</v>
      </c>
      <c r="C123" s="44">
        <f>'2008 new sample form'!B12</f>
        <v>736</v>
      </c>
      <c r="D123" s="44">
        <f>'2008 new sample form'!C12</f>
        <v>827</v>
      </c>
      <c r="E123" s="44">
        <f>'2008 new sample form'!D12</f>
        <v>460</v>
      </c>
      <c r="F123" s="44">
        <f>'2008 new sample form'!E12</f>
        <v>1068</v>
      </c>
      <c r="G123" s="44">
        <f>'2008 new sample form'!F12</f>
        <v>26</v>
      </c>
      <c r="H123" s="44">
        <f>'2008 new sample form'!G12</f>
        <v>23</v>
      </c>
      <c r="I123" s="44">
        <f>'2008 new sample form'!H12</f>
        <v>29</v>
      </c>
      <c r="J123" s="44">
        <f>'2008 new sample form'!I12</f>
        <v>95</v>
      </c>
      <c r="K123" s="44">
        <f>'2008 new sample form'!B32</f>
        <v>0</v>
      </c>
      <c r="L123" s="44">
        <f>'2008 new sample form'!C32</f>
        <v>0</v>
      </c>
      <c r="M123" s="44">
        <f>'2008 new sample form'!D32</f>
        <v>0</v>
      </c>
      <c r="N123" s="44">
        <f>'2008 new sample form'!E32</f>
        <v>235</v>
      </c>
      <c r="O123" s="44">
        <f>'2008 new sample form'!F32</f>
        <v>157</v>
      </c>
      <c r="P123" s="44">
        <f>'2008 new sample form'!G32</f>
        <v>0</v>
      </c>
      <c r="Q123" s="44">
        <f>'2008 new sample form'!H32</f>
        <v>0</v>
      </c>
      <c r="R123" s="44">
        <f>'2008 new sample form'!I32</f>
        <v>0</v>
      </c>
      <c r="S123" s="44">
        <f>'2008 new sample form'!J32</f>
        <v>107</v>
      </c>
      <c r="T123" s="44">
        <f>'2008 new sample form'!K32</f>
        <v>78</v>
      </c>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row>
    <row r="124" spans="1:220" x14ac:dyDescent="0.25">
      <c r="A124" s="73">
        <v>2008</v>
      </c>
      <c r="B124" s="44">
        <v>41</v>
      </c>
      <c r="C124" s="44">
        <f>'2008 new sample form'!B13</f>
        <v>121</v>
      </c>
      <c r="D124" s="44">
        <f>'2008 new sample form'!C13</f>
        <v>85</v>
      </c>
      <c r="E124" s="44">
        <f>'2008 new sample form'!D13</f>
        <v>298</v>
      </c>
      <c r="F124" s="44">
        <f>'2008 new sample form'!E13</f>
        <v>701</v>
      </c>
      <c r="G124" s="44">
        <f>'2008 new sample form'!F13</f>
        <v>9</v>
      </c>
      <c r="H124" s="44">
        <f>'2008 new sample form'!G13</f>
        <v>1</v>
      </c>
      <c r="I124" s="44">
        <f>'2008 new sample form'!H13</f>
        <v>25</v>
      </c>
      <c r="J124" s="44">
        <f>'2008 new sample form'!I13</f>
        <v>55</v>
      </c>
      <c r="K124" s="44">
        <f>'2008 new sample form'!B33</f>
        <v>0</v>
      </c>
      <c r="L124" s="44">
        <f>'2008 new sample form'!C33</f>
        <v>0</v>
      </c>
      <c r="M124" s="44">
        <f>'2008 new sample form'!D33</f>
        <v>0</v>
      </c>
      <c r="N124" s="44">
        <f>'2008 new sample form'!E33</f>
        <v>0</v>
      </c>
      <c r="O124" s="44">
        <f>'2008 new sample form'!F33</f>
        <v>113</v>
      </c>
      <c r="P124" s="44">
        <f>'2008 new sample form'!G33</f>
        <v>0</v>
      </c>
      <c r="Q124" s="44">
        <f>'2008 new sample form'!H33</f>
        <v>0</v>
      </c>
      <c r="R124" s="44">
        <f>'2008 new sample form'!I33</f>
        <v>0</v>
      </c>
      <c r="S124" s="44">
        <f>'2008 new sample form'!J33</f>
        <v>0</v>
      </c>
      <c r="T124" s="44">
        <f>'2008 new sample form'!K33</f>
        <v>57</v>
      </c>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row>
    <row r="125" spans="1:220" x14ac:dyDescent="0.25">
      <c r="A125" s="73">
        <v>2008</v>
      </c>
      <c r="B125" s="44">
        <v>42</v>
      </c>
      <c r="C125" s="44">
        <f>'2008 new sample form'!B14</f>
        <v>117</v>
      </c>
      <c r="D125" s="44">
        <f>'2008 new sample form'!C14</f>
        <v>0</v>
      </c>
      <c r="E125" s="44">
        <f>'2008 new sample form'!D14</f>
        <v>174</v>
      </c>
      <c r="F125" s="44">
        <f>'2008 new sample form'!E14</f>
        <v>0</v>
      </c>
      <c r="G125" s="44">
        <f>'2008 new sample form'!F14</f>
        <v>3</v>
      </c>
      <c r="H125" s="44">
        <f>'2008 new sample form'!G14</f>
        <v>0</v>
      </c>
      <c r="I125" s="44">
        <f>'2008 new sample form'!H14</f>
        <v>18</v>
      </c>
      <c r="J125" s="44">
        <f>'2008 new sample form'!I14</f>
        <v>0</v>
      </c>
      <c r="K125" s="44">
        <f>'2008 new sample form'!B34</f>
        <v>841</v>
      </c>
      <c r="L125" s="44">
        <f>'2008 new sample form'!C34</f>
        <v>1485</v>
      </c>
      <c r="M125" s="44">
        <f>'2008 new sample form'!D34</f>
        <v>783</v>
      </c>
      <c r="N125" s="44">
        <f>'2008 new sample form'!E34</f>
        <v>38</v>
      </c>
      <c r="O125" s="44">
        <f>'2008 new sample form'!F34</f>
        <v>12</v>
      </c>
      <c r="P125" s="44">
        <f>'2008 new sample form'!G34</f>
        <v>108</v>
      </c>
      <c r="Q125" s="44">
        <f>'2008 new sample form'!H34</f>
        <v>288</v>
      </c>
      <c r="R125" s="44">
        <f>'2008 new sample form'!I34</f>
        <v>134</v>
      </c>
      <c r="S125" s="44">
        <f>'2008 new sample form'!J34</f>
        <v>7</v>
      </c>
      <c r="T125" s="44">
        <f>'2008 new sample form'!K34</f>
        <v>6</v>
      </c>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row>
    <row r="126" spans="1:220" x14ac:dyDescent="0.25">
      <c r="A126" s="73">
        <v>2008</v>
      </c>
      <c r="B126" s="44">
        <v>43</v>
      </c>
      <c r="C126" s="44">
        <f>'2008 new sample form'!B15</f>
        <v>79</v>
      </c>
      <c r="D126" s="44">
        <f>'2008 new sample form'!C15</f>
        <v>0</v>
      </c>
      <c r="E126" s="44">
        <f>'2008 new sample form'!D15</f>
        <v>14</v>
      </c>
      <c r="F126" s="44">
        <f>'2008 new sample form'!E15</f>
        <v>0</v>
      </c>
      <c r="G126" s="44">
        <f>'2008 new sample form'!F15</f>
        <v>5</v>
      </c>
      <c r="H126" s="44">
        <f>'2008 new sample form'!G15</f>
        <v>0</v>
      </c>
      <c r="I126" s="44">
        <f>'2008 new sample form'!H15</f>
        <v>3</v>
      </c>
      <c r="J126" s="44">
        <f>'2008 new sample form'!I15</f>
        <v>0</v>
      </c>
      <c r="K126" s="44">
        <f>'2008 new sample form'!B35</f>
        <v>14</v>
      </c>
      <c r="L126" s="44">
        <f>'2008 new sample form'!C35</f>
        <v>229</v>
      </c>
      <c r="M126" s="44">
        <f>'2008 new sample form'!D35</f>
        <v>114</v>
      </c>
      <c r="N126" s="44">
        <f>'2008 new sample form'!E35</f>
        <v>0</v>
      </c>
      <c r="O126" s="44">
        <f>'2008 new sample form'!F35</f>
        <v>0</v>
      </c>
      <c r="P126" s="44">
        <f>'2008 new sample form'!G35</f>
        <v>4</v>
      </c>
      <c r="Q126" s="44">
        <f>'2008 new sample form'!H35</f>
        <v>43</v>
      </c>
      <c r="R126" s="44">
        <f>'2008 new sample form'!I35</f>
        <v>31</v>
      </c>
      <c r="S126" s="44">
        <f>'2008 new sample form'!J35</f>
        <v>0</v>
      </c>
      <c r="T126" s="44">
        <f>'2008 new sample form'!K35</f>
        <v>0</v>
      </c>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row>
    <row r="127" spans="1:220" x14ac:dyDescent="0.25">
      <c r="A127" s="73">
        <v>2008</v>
      </c>
      <c r="B127" s="44">
        <v>44</v>
      </c>
      <c r="C127" s="44">
        <f>'2008 new sample form'!B16</f>
        <v>8</v>
      </c>
      <c r="D127" s="44">
        <f>'2008 new sample form'!C16</f>
        <v>0</v>
      </c>
      <c r="E127" s="44">
        <f>'2008 new sample form'!D16</f>
        <v>0</v>
      </c>
      <c r="F127" s="44">
        <f>'2008 new sample form'!E16</f>
        <v>0</v>
      </c>
      <c r="G127" s="44">
        <f>'2008 new sample form'!F16</f>
        <v>0</v>
      </c>
      <c r="H127" s="44">
        <f>'2008 new sample form'!G16</f>
        <v>0</v>
      </c>
      <c r="I127" s="44">
        <f>'2008 new sample form'!H16</f>
        <v>0</v>
      </c>
      <c r="J127" s="44">
        <f>'2008 new sample form'!I16</f>
        <v>0</v>
      </c>
      <c r="K127" s="44">
        <f>'2008 new sample form'!B36</f>
        <v>0</v>
      </c>
      <c r="L127" s="44">
        <f>'2008 new sample form'!C36</f>
        <v>65</v>
      </c>
      <c r="M127" s="44">
        <f>'2008 new sample form'!D36</f>
        <v>21</v>
      </c>
      <c r="N127" s="44">
        <f>'2008 new sample form'!E36</f>
        <v>0</v>
      </c>
      <c r="O127" s="44">
        <f>'2008 new sample form'!F36</f>
        <v>2</v>
      </c>
      <c r="P127" s="44">
        <f>'2008 new sample form'!G36</f>
        <v>0</v>
      </c>
      <c r="Q127" s="44">
        <f>'2008 new sample form'!H36</f>
        <v>12</v>
      </c>
      <c r="R127" s="44">
        <f>'2008 new sample form'!I36</f>
        <v>5</v>
      </c>
      <c r="S127" s="44">
        <f>'2008 new sample form'!J36</f>
        <v>0</v>
      </c>
      <c r="T127" s="44">
        <f>'2008 new sample form'!K36</f>
        <v>2</v>
      </c>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row>
    <row r="128" spans="1:220" x14ac:dyDescent="0.25">
      <c r="A128" s="73">
        <v>2008</v>
      </c>
      <c r="B128" s="44">
        <v>45</v>
      </c>
      <c r="C128" s="44">
        <f>'2008 new sample form'!B17</f>
        <v>0</v>
      </c>
      <c r="D128" s="44">
        <f>'2008 new sample form'!C17</f>
        <v>0</v>
      </c>
      <c r="E128" s="44">
        <f>'2008 new sample form'!D17</f>
        <v>0</v>
      </c>
      <c r="F128" s="44">
        <f>'2008 new sample form'!E17</f>
        <v>0</v>
      </c>
      <c r="G128" s="44">
        <f>'2008 new sample form'!F17</f>
        <v>0</v>
      </c>
      <c r="H128" s="44">
        <f>'2008 new sample form'!G17</f>
        <v>0</v>
      </c>
      <c r="I128" s="44">
        <f>'2008 new sample form'!H17</f>
        <v>0</v>
      </c>
      <c r="J128" s="44">
        <f>'2008 new sample form'!I17</f>
        <v>0</v>
      </c>
      <c r="K128" s="44">
        <f>'2008 new sample form'!B37</f>
        <v>0</v>
      </c>
      <c r="L128" s="44">
        <f>'2008 new sample form'!C37</f>
        <v>0</v>
      </c>
      <c r="M128" s="44">
        <f>'2008 new sample form'!D37</f>
        <v>0</v>
      </c>
      <c r="N128" s="44">
        <f>'2008 new sample form'!E37</f>
        <v>0</v>
      </c>
      <c r="O128" s="44">
        <f>'2008 new sample form'!F37</f>
        <v>0</v>
      </c>
      <c r="P128" s="44">
        <f>'2008 new sample form'!G37</f>
        <v>0</v>
      </c>
      <c r="Q128" s="44">
        <f>'2008 new sample form'!H37</f>
        <v>0</v>
      </c>
      <c r="R128" s="44">
        <f>'2008 new sample form'!I37</f>
        <v>0</v>
      </c>
      <c r="S128" s="44">
        <f>'2008 new sample form'!J37</f>
        <v>0</v>
      </c>
      <c r="T128" s="44">
        <f>'2008 new sample form'!K37</f>
        <v>0</v>
      </c>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row>
    <row r="129" spans="1:220" x14ac:dyDescent="0.25">
      <c r="A129" s="73">
        <v>2009</v>
      </c>
      <c r="B129" s="44">
        <v>32</v>
      </c>
      <c r="C129" s="44">
        <f>'2009 comm sample'!B4</f>
        <v>0</v>
      </c>
      <c r="D129" s="44">
        <f>'2009 comm sample'!C4</f>
        <v>0</v>
      </c>
      <c r="E129" s="44">
        <f>'2009 comm sample'!D4</f>
        <v>0</v>
      </c>
      <c r="F129" s="44">
        <f>'2009 comm sample'!E4</f>
        <v>0</v>
      </c>
      <c r="G129" s="44">
        <f>'2009 comm sample'!F4</f>
        <v>0</v>
      </c>
      <c r="H129" s="44">
        <f>'2009 comm sample'!G4</f>
        <v>0</v>
      </c>
      <c r="I129" s="44">
        <f>'2009 comm sample'!H4</f>
        <v>0</v>
      </c>
      <c r="J129" s="44">
        <f>'2009 comm sample'!I4</f>
        <v>0</v>
      </c>
      <c r="K129" s="44">
        <f>'2009 comm sample'!B24</f>
        <v>49</v>
      </c>
      <c r="L129" s="44">
        <f>'2009 comm sample'!C24</f>
        <v>1</v>
      </c>
      <c r="M129" s="44">
        <f>'2009 comm sample'!D24</f>
        <v>0</v>
      </c>
      <c r="N129" s="44">
        <f>'2009 comm sample'!E24</f>
        <v>0</v>
      </c>
      <c r="O129" s="44">
        <f>'2009 comm sample'!F24</f>
        <v>0</v>
      </c>
      <c r="P129" s="44">
        <f>'2009 comm sample'!G24</f>
        <v>23</v>
      </c>
      <c r="Q129" s="44">
        <f>'2009 comm sample'!H24</f>
        <v>0</v>
      </c>
      <c r="R129" s="44">
        <f>'2009 comm sample'!I24</f>
        <v>0</v>
      </c>
      <c r="S129" s="44">
        <f>'2009 comm sample'!J24</f>
        <v>0</v>
      </c>
      <c r="T129" s="44">
        <f>'2009 comm sample'!K24</f>
        <v>0</v>
      </c>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row>
    <row r="130" spans="1:220" x14ac:dyDescent="0.25">
      <c r="A130" s="73">
        <v>2009</v>
      </c>
      <c r="B130" s="44">
        <v>33</v>
      </c>
      <c r="C130" s="44">
        <f>'2009 comm sample'!B5</f>
        <v>1</v>
      </c>
      <c r="D130" s="44">
        <f>'2009 comm sample'!C5</f>
        <v>0</v>
      </c>
      <c r="E130" s="44">
        <f>'2009 comm sample'!D5</f>
        <v>0</v>
      </c>
      <c r="F130" s="44">
        <f>'2009 comm sample'!E5</f>
        <v>0</v>
      </c>
      <c r="G130" s="44">
        <f>'2009 comm sample'!F5</f>
        <v>1</v>
      </c>
      <c r="H130" s="44">
        <f>'2009 comm sample'!G5</f>
        <v>0</v>
      </c>
      <c r="I130" s="44">
        <f>'2009 comm sample'!H5</f>
        <v>0</v>
      </c>
      <c r="J130" s="44">
        <f>'2009 comm sample'!I5</f>
        <v>0</v>
      </c>
      <c r="K130" s="44">
        <f>'2009 comm sample'!B25</f>
        <v>0</v>
      </c>
      <c r="L130" s="44">
        <f>'2009 comm sample'!C25</f>
        <v>10</v>
      </c>
      <c r="M130" s="44">
        <f>'2009 comm sample'!D25</f>
        <v>0</v>
      </c>
      <c r="N130" s="44">
        <f>'2009 comm sample'!E25</f>
        <v>0</v>
      </c>
      <c r="O130" s="44">
        <f>'2009 comm sample'!F25</f>
        <v>0</v>
      </c>
      <c r="P130" s="44">
        <f>'2009 comm sample'!G25</f>
        <v>0</v>
      </c>
      <c r="Q130" s="44">
        <f>'2009 comm sample'!H25</f>
        <v>6</v>
      </c>
      <c r="R130" s="44">
        <f>'2009 comm sample'!I25</f>
        <v>0</v>
      </c>
      <c r="S130" s="44">
        <f>'2009 comm sample'!J25</f>
        <v>0</v>
      </c>
      <c r="T130" s="44">
        <f>'2009 comm sample'!K25</f>
        <v>0</v>
      </c>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row>
    <row r="131" spans="1:220" x14ac:dyDescent="0.25">
      <c r="A131" s="73">
        <v>2009</v>
      </c>
      <c r="B131" s="44">
        <v>34</v>
      </c>
      <c r="C131" s="44">
        <f>'2009 comm sample'!B6</f>
        <v>53</v>
      </c>
      <c r="D131" s="44">
        <f>'2009 comm sample'!C6</f>
        <v>0</v>
      </c>
      <c r="E131" s="44">
        <f>'2009 comm sample'!D6</f>
        <v>0</v>
      </c>
      <c r="F131" s="44">
        <f>'2009 comm sample'!E6</f>
        <v>0</v>
      </c>
      <c r="G131" s="44">
        <f>'2009 comm sample'!F6</f>
        <v>3</v>
      </c>
      <c r="H131" s="44">
        <f>'2009 comm sample'!G6</f>
        <v>0</v>
      </c>
      <c r="I131" s="44">
        <f>'2009 comm sample'!H6</f>
        <v>0</v>
      </c>
      <c r="J131" s="44">
        <f>'2009 comm sample'!I6</f>
        <v>0</v>
      </c>
      <c r="K131" s="44">
        <f>'2009 comm sample'!B26</f>
        <v>0</v>
      </c>
      <c r="L131" s="44">
        <f>'2009 comm sample'!C26</f>
        <v>0</v>
      </c>
      <c r="M131" s="44">
        <f>'2009 comm sample'!D26</f>
        <v>0</v>
      </c>
      <c r="N131" s="44">
        <f>'2009 comm sample'!E26</f>
        <v>113</v>
      </c>
      <c r="O131" s="44">
        <f>'2009 comm sample'!F26</f>
        <v>65</v>
      </c>
      <c r="P131" s="44">
        <f>'2009 comm sample'!G26</f>
        <v>0</v>
      </c>
      <c r="Q131" s="44">
        <f>'2009 comm sample'!H26</f>
        <v>0</v>
      </c>
      <c r="R131" s="44">
        <f>'2009 comm sample'!I26</f>
        <v>0</v>
      </c>
      <c r="S131" s="44">
        <f>'2009 comm sample'!J26</f>
        <v>88</v>
      </c>
      <c r="T131" s="44">
        <f>'2009 comm sample'!K26</f>
        <v>50</v>
      </c>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row>
    <row r="132" spans="1:220" x14ac:dyDescent="0.25">
      <c r="A132" s="73">
        <v>2009</v>
      </c>
      <c r="B132" s="44">
        <v>35</v>
      </c>
      <c r="C132" s="44">
        <f>'2009 comm sample'!B7</f>
        <v>971</v>
      </c>
      <c r="D132" s="44">
        <f>'2009 comm sample'!C7</f>
        <v>0</v>
      </c>
      <c r="E132" s="44">
        <f>'2009 comm sample'!D7</f>
        <v>16</v>
      </c>
      <c r="F132" s="44">
        <f>'2009 comm sample'!E7</f>
        <v>0</v>
      </c>
      <c r="G132" s="44">
        <f>'2009 comm sample'!F7</f>
        <v>64</v>
      </c>
      <c r="H132" s="44">
        <f>'2009 comm sample'!G7</f>
        <v>0</v>
      </c>
      <c r="I132" s="44">
        <f>'2009 comm sample'!H7</f>
        <v>0</v>
      </c>
      <c r="J132" s="44">
        <f>'2009 comm sample'!I7</f>
        <v>0</v>
      </c>
      <c r="K132" s="44">
        <f>'2009 comm sample'!B27</f>
        <v>0</v>
      </c>
      <c r="L132" s="44">
        <f>'2009 comm sample'!C27</f>
        <v>0</v>
      </c>
      <c r="M132" s="44">
        <f>'2009 comm sample'!D27</f>
        <v>0</v>
      </c>
      <c r="N132" s="44">
        <f>'2009 comm sample'!E27</f>
        <v>0</v>
      </c>
      <c r="O132" s="44">
        <f>'2009 comm sample'!F27</f>
        <v>90</v>
      </c>
      <c r="P132" s="44">
        <f>'2009 comm sample'!G27</f>
        <v>0</v>
      </c>
      <c r="Q132" s="44">
        <f>'2009 comm sample'!H27</f>
        <v>0</v>
      </c>
      <c r="R132" s="44">
        <f>'2009 comm sample'!I27</f>
        <v>0</v>
      </c>
      <c r="S132" s="44">
        <f>'2009 comm sample'!J27</f>
        <v>0</v>
      </c>
      <c r="T132" s="44">
        <f>'2009 comm sample'!K27</f>
        <v>64</v>
      </c>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row>
    <row r="133" spans="1:220" x14ac:dyDescent="0.25">
      <c r="A133" s="73">
        <v>2009</v>
      </c>
      <c r="B133" s="44">
        <v>36</v>
      </c>
      <c r="C133" s="44">
        <f>'2009 comm sample'!B8</f>
        <v>2372</v>
      </c>
      <c r="D133" s="44">
        <f>'2009 comm sample'!C8</f>
        <v>3190</v>
      </c>
      <c r="E133" s="44">
        <f>'2009 comm sample'!D8</f>
        <v>420</v>
      </c>
      <c r="F133" s="44">
        <f>'2009 comm sample'!E8</f>
        <v>76</v>
      </c>
      <c r="G133" s="44">
        <f>'2009 comm sample'!F8</f>
        <v>118</v>
      </c>
      <c r="H133" s="44">
        <f>'2009 comm sample'!G8</f>
        <v>513</v>
      </c>
      <c r="I133" s="44">
        <f>'2009 comm sample'!H8</f>
        <v>29</v>
      </c>
      <c r="J133" s="44">
        <f>'2009 comm sample'!I8</f>
        <v>4</v>
      </c>
      <c r="K133" s="44">
        <f>'2009 comm sample'!B28</f>
        <v>0</v>
      </c>
      <c r="L133" s="44">
        <f>'2009 comm sample'!C28</f>
        <v>0</v>
      </c>
      <c r="M133" s="44">
        <f>'2009 comm sample'!D28</f>
        <v>0</v>
      </c>
      <c r="N133" s="44">
        <f>'2009 comm sample'!E28</f>
        <v>0</v>
      </c>
      <c r="O133" s="44">
        <f>'2009 comm sample'!F28</f>
        <v>0</v>
      </c>
      <c r="P133" s="44">
        <f>'2009 comm sample'!G28</f>
        <v>0</v>
      </c>
      <c r="Q133" s="44">
        <f>'2009 comm sample'!H28</f>
        <v>0</v>
      </c>
      <c r="R133" s="44">
        <f>'2009 comm sample'!I28</f>
        <v>0</v>
      </c>
      <c r="S133" s="44">
        <f>'2009 comm sample'!J28</f>
        <v>0</v>
      </c>
      <c r="T133" s="44">
        <f>'2009 comm sample'!K28</f>
        <v>0</v>
      </c>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row>
    <row r="134" spans="1:220" x14ac:dyDescent="0.25">
      <c r="A134" s="73">
        <v>2009</v>
      </c>
      <c r="B134" s="44">
        <v>37</v>
      </c>
      <c r="C134" s="44">
        <f>'2009 comm sample'!B9</f>
        <v>2073</v>
      </c>
      <c r="D134" s="44">
        <f>'2009 comm sample'!C9</f>
        <v>1139</v>
      </c>
      <c r="E134" s="44">
        <f>'2009 comm sample'!D9</f>
        <v>896</v>
      </c>
      <c r="F134" s="44">
        <f>'2009 comm sample'!E9</f>
        <v>443</v>
      </c>
      <c r="G134" s="44">
        <f>'2009 comm sample'!F9</f>
        <v>132</v>
      </c>
      <c r="H134" s="44">
        <f>'2009 comm sample'!G9</f>
        <v>131</v>
      </c>
      <c r="I134" s="44">
        <f>'2009 comm sample'!H9</f>
        <v>56</v>
      </c>
      <c r="J134" s="44">
        <f>'2009 comm sample'!I9</f>
        <v>5</v>
      </c>
      <c r="K134" s="44">
        <f>'2009 comm sample'!B29</f>
        <v>0</v>
      </c>
      <c r="L134" s="44">
        <f>'2009 comm sample'!C29</f>
        <v>0</v>
      </c>
      <c r="M134" s="44">
        <f>'2009 comm sample'!D29</f>
        <v>0</v>
      </c>
      <c r="N134" s="44">
        <f>'2009 comm sample'!E29</f>
        <v>0</v>
      </c>
      <c r="O134" s="44">
        <f>'2009 comm sample'!F29</f>
        <v>0</v>
      </c>
      <c r="P134" s="44">
        <f>'2009 comm sample'!G29</f>
        <v>0</v>
      </c>
      <c r="Q134" s="44">
        <f>'2009 comm sample'!H29</f>
        <v>0</v>
      </c>
      <c r="R134" s="44">
        <f>'2009 comm sample'!I29</f>
        <v>0</v>
      </c>
      <c r="S134" s="44">
        <f>'2009 comm sample'!J29</f>
        <v>0</v>
      </c>
      <c r="T134" s="44">
        <f>'2009 comm sample'!K29</f>
        <v>0</v>
      </c>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row>
    <row r="135" spans="1:220" x14ac:dyDescent="0.25">
      <c r="A135" s="73">
        <v>2009</v>
      </c>
      <c r="B135" s="44">
        <v>38</v>
      </c>
      <c r="C135" s="44">
        <f>'2009 comm sample'!B10</f>
        <v>2231</v>
      </c>
      <c r="D135" s="44">
        <f>'2009 comm sample'!C10</f>
        <v>516</v>
      </c>
      <c r="E135" s="44">
        <f>'2009 comm sample'!D10</f>
        <v>719</v>
      </c>
      <c r="F135" s="44">
        <f>'2009 comm sample'!E10</f>
        <v>301</v>
      </c>
      <c r="G135" s="44">
        <f>'2009 comm sample'!F10</f>
        <v>107</v>
      </c>
      <c r="H135" s="44">
        <f>'2009 comm sample'!G10</f>
        <v>47</v>
      </c>
      <c r="I135" s="44">
        <f>'2009 comm sample'!H10</f>
        <v>30</v>
      </c>
      <c r="J135" s="44">
        <f>'2009 comm sample'!I10</f>
        <v>19</v>
      </c>
      <c r="K135" s="44">
        <f>'2009 comm sample'!B30</f>
        <v>0</v>
      </c>
      <c r="L135" s="44">
        <f>'2009 comm sample'!C30</f>
        <v>0</v>
      </c>
      <c r="M135" s="44">
        <f>'2009 comm sample'!D30</f>
        <v>0</v>
      </c>
      <c r="N135" s="44">
        <f>'2009 comm sample'!E30</f>
        <v>0</v>
      </c>
      <c r="O135" s="44">
        <f>'2009 comm sample'!F30</f>
        <v>0</v>
      </c>
      <c r="P135" s="44">
        <f>'2009 comm sample'!G30</f>
        <v>0</v>
      </c>
      <c r="Q135" s="44">
        <f>'2009 comm sample'!H30</f>
        <v>0</v>
      </c>
      <c r="R135" s="44">
        <f>'2009 comm sample'!I30</f>
        <v>0</v>
      </c>
      <c r="S135" s="44">
        <f>'2009 comm sample'!J30</f>
        <v>0</v>
      </c>
      <c r="T135" s="44">
        <f>'2009 comm sample'!K30</f>
        <v>0</v>
      </c>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row>
    <row r="136" spans="1:220" x14ac:dyDescent="0.25">
      <c r="A136" s="73">
        <v>2009</v>
      </c>
      <c r="B136" s="44">
        <v>39</v>
      </c>
      <c r="C136" s="44">
        <f>'2009 comm sample'!B11</f>
        <v>1652</v>
      </c>
      <c r="D136" s="44">
        <f>'2009 comm sample'!C11</f>
        <v>74</v>
      </c>
      <c r="E136" s="44">
        <f>'2009 comm sample'!D11</f>
        <v>751</v>
      </c>
      <c r="F136" s="44">
        <f>'2009 comm sample'!E11</f>
        <v>295</v>
      </c>
      <c r="G136" s="44">
        <f>'2009 comm sample'!F11</f>
        <v>74</v>
      </c>
      <c r="H136" s="44">
        <f>'2009 comm sample'!G11</f>
        <v>2</v>
      </c>
      <c r="I136" s="44">
        <f>'2009 comm sample'!H11</f>
        <v>37</v>
      </c>
      <c r="J136" s="44">
        <f>'2009 comm sample'!I11</f>
        <v>23</v>
      </c>
      <c r="K136" s="44">
        <f>'2009 comm sample'!B31</f>
        <v>0</v>
      </c>
      <c r="L136" s="44">
        <f>'2009 comm sample'!C31</f>
        <v>0</v>
      </c>
      <c r="M136" s="44">
        <f>'2009 comm sample'!D31</f>
        <v>0</v>
      </c>
      <c r="N136" s="44">
        <f>'2009 comm sample'!E31</f>
        <v>35</v>
      </c>
      <c r="O136" s="44">
        <f>'2009 comm sample'!F31</f>
        <v>148</v>
      </c>
      <c r="P136" s="44">
        <f>'2009 comm sample'!G31</f>
        <v>0</v>
      </c>
      <c r="Q136" s="44">
        <f>'2009 comm sample'!H31</f>
        <v>0</v>
      </c>
      <c r="R136" s="44">
        <f>'2009 comm sample'!I31</f>
        <v>0</v>
      </c>
      <c r="S136" s="44">
        <f>'2009 comm sample'!J31</f>
        <v>10</v>
      </c>
      <c r="T136" s="44">
        <f>'2009 comm sample'!K31</f>
        <v>69</v>
      </c>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row>
    <row r="137" spans="1:220" x14ac:dyDescent="0.25">
      <c r="A137" s="73">
        <v>2009</v>
      </c>
      <c r="B137" s="44">
        <v>40</v>
      </c>
      <c r="C137" s="44">
        <f>'2009 comm sample'!B12</f>
        <v>274</v>
      </c>
      <c r="D137" s="44">
        <f>'2009 comm sample'!C12</f>
        <v>0</v>
      </c>
      <c r="E137" s="44">
        <f>'2009 comm sample'!D12</f>
        <v>529</v>
      </c>
      <c r="F137" s="44">
        <f>'2009 comm sample'!E12</f>
        <v>116</v>
      </c>
      <c r="G137" s="44">
        <f>'2009 comm sample'!F12</f>
        <v>20</v>
      </c>
      <c r="H137" s="44">
        <f>'2009 comm sample'!G12</f>
        <v>0</v>
      </c>
      <c r="I137" s="44">
        <f>'2009 comm sample'!H12</f>
        <v>45</v>
      </c>
      <c r="J137" s="44">
        <f>'2009 comm sample'!I12</f>
        <v>24</v>
      </c>
      <c r="K137" s="44">
        <f>'2009 comm sample'!B32</f>
        <v>1093</v>
      </c>
      <c r="L137" s="44">
        <f>'2009 comm sample'!C32</f>
        <v>9003</v>
      </c>
      <c r="M137" s="44">
        <f>'2009 comm sample'!D32</f>
        <v>0</v>
      </c>
      <c r="N137" s="44">
        <f>'2009 comm sample'!E32</f>
        <v>0</v>
      </c>
      <c r="O137" s="44">
        <f>'2009 comm sample'!F32</f>
        <v>92</v>
      </c>
      <c r="P137" s="44">
        <f>'2009 comm sample'!G32</f>
        <v>432</v>
      </c>
      <c r="Q137" s="44">
        <f>'2009 comm sample'!H32</f>
        <v>2816</v>
      </c>
      <c r="R137" s="44">
        <f>'2009 comm sample'!I32</f>
        <v>0</v>
      </c>
      <c r="S137" s="44">
        <f>'2009 comm sample'!J32</f>
        <v>0</v>
      </c>
      <c r="T137" s="44">
        <f>'2009 comm sample'!K32</f>
        <v>55</v>
      </c>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row>
    <row r="138" spans="1:220" x14ac:dyDescent="0.25">
      <c r="A138" s="73">
        <v>2009</v>
      </c>
      <c r="B138" s="44">
        <v>41</v>
      </c>
      <c r="C138" s="44">
        <f>'2009 comm sample'!B13</f>
        <v>296</v>
      </c>
      <c r="D138" s="44">
        <f>'2009 comm sample'!C13</f>
        <v>2</v>
      </c>
      <c r="E138" s="44">
        <f>'2009 comm sample'!D13</f>
        <v>1144</v>
      </c>
      <c r="F138" s="44">
        <f>'2009 comm sample'!E13</f>
        <v>214</v>
      </c>
      <c r="G138" s="44">
        <f>'2009 comm sample'!F13</f>
        <v>15</v>
      </c>
      <c r="H138" s="44">
        <f>'2009 comm sample'!G13</f>
        <v>1</v>
      </c>
      <c r="I138" s="44">
        <f>'2009 comm sample'!H13</f>
        <v>48</v>
      </c>
      <c r="J138" s="44">
        <f>'2009 comm sample'!I13</f>
        <v>35</v>
      </c>
      <c r="K138" s="44">
        <f>'2009 comm sample'!B33</f>
        <v>0</v>
      </c>
      <c r="L138" s="44">
        <f>'2009 comm sample'!C33</f>
        <v>77</v>
      </c>
      <c r="M138" s="44">
        <f>'2009 comm sample'!D33</f>
        <v>0</v>
      </c>
      <c r="N138" s="44">
        <f>'2009 comm sample'!E33</f>
        <v>116</v>
      </c>
      <c r="O138" s="44">
        <f>'2009 comm sample'!F33</f>
        <v>63</v>
      </c>
      <c r="P138" s="44">
        <f>'2009 comm sample'!G33</f>
        <v>0</v>
      </c>
      <c r="Q138" s="44">
        <f>'2009 comm sample'!H33</f>
        <v>40</v>
      </c>
      <c r="R138" s="44">
        <f>'2009 comm sample'!I33</f>
        <v>0</v>
      </c>
      <c r="S138" s="44">
        <f>'2009 comm sample'!J33</f>
        <v>48</v>
      </c>
      <c r="T138" s="44">
        <f>'2009 comm sample'!K33</f>
        <v>44</v>
      </c>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row>
    <row r="139" spans="1:220" x14ac:dyDescent="0.25">
      <c r="A139" s="73">
        <v>2009</v>
      </c>
      <c r="B139" s="44">
        <v>42</v>
      </c>
      <c r="C139" s="44">
        <f>'2009 comm sample'!B14</f>
        <v>148</v>
      </c>
      <c r="D139" s="44">
        <f>'2009 comm sample'!C14</f>
        <v>205</v>
      </c>
      <c r="E139" s="44">
        <f>'2009 comm sample'!D14</f>
        <v>273</v>
      </c>
      <c r="F139" s="44">
        <f>'2009 comm sample'!E14</f>
        <v>5</v>
      </c>
      <c r="G139" s="44">
        <f>'2009 comm sample'!F14</f>
        <v>15</v>
      </c>
      <c r="H139" s="44">
        <f>'2009 comm sample'!G14</f>
        <v>8</v>
      </c>
      <c r="I139" s="44">
        <f>'2009 comm sample'!H14</f>
        <v>8</v>
      </c>
      <c r="J139" s="44">
        <f>'2009 comm sample'!I14</f>
        <v>1</v>
      </c>
      <c r="K139" s="44">
        <f>'2009 comm sample'!B34</f>
        <v>0</v>
      </c>
      <c r="L139" s="44">
        <f>'2009 comm sample'!C34</f>
        <v>0</v>
      </c>
      <c r="M139" s="44">
        <f>'2009 comm sample'!D34</f>
        <v>0</v>
      </c>
      <c r="N139" s="44">
        <f>'2009 comm sample'!E34</f>
        <v>0</v>
      </c>
      <c r="O139" s="44">
        <f>'2009 comm sample'!F34</f>
        <v>81</v>
      </c>
      <c r="P139" s="44">
        <f>'2009 comm sample'!G34</f>
        <v>0</v>
      </c>
      <c r="Q139" s="44">
        <f>'2009 comm sample'!H34</f>
        <v>0</v>
      </c>
      <c r="R139" s="44">
        <f>'2009 comm sample'!I34</f>
        <v>0</v>
      </c>
      <c r="S139" s="44">
        <f>'2009 comm sample'!J34</f>
        <v>0</v>
      </c>
      <c r="T139" s="44">
        <f>'2009 comm sample'!K34</f>
        <v>30</v>
      </c>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row>
    <row r="140" spans="1:220" x14ac:dyDescent="0.25">
      <c r="A140" s="73">
        <v>2009</v>
      </c>
      <c r="B140" s="44">
        <v>43</v>
      </c>
      <c r="C140" s="44">
        <f>'2009 comm sample'!B15</f>
        <v>0</v>
      </c>
      <c r="D140" s="44">
        <f>'2009 comm sample'!C15</f>
        <v>7</v>
      </c>
      <c r="E140" s="44">
        <f>'2009 comm sample'!D15</f>
        <v>0</v>
      </c>
      <c r="F140" s="44">
        <f>'2009 comm sample'!E15</f>
        <v>0</v>
      </c>
      <c r="G140" s="44">
        <f>'2009 comm sample'!F15</f>
        <v>0</v>
      </c>
      <c r="H140" s="44">
        <f>'2009 comm sample'!G15</f>
        <v>1</v>
      </c>
      <c r="I140" s="44">
        <f>'2009 comm sample'!H15</f>
        <v>0</v>
      </c>
      <c r="J140" s="44">
        <f>'2009 comm sample'!I15</f>
        <v>0</v>
      </c>
      <c r="K140" s="44">
        <f>'2009 comm sample'!B35</f>
        <v>0</v>
      </c>
      <c r="L140" s="44">
        <f>'2009 comm sample'!C35</f>
        <v>300</v>
      </c>
      <c r="M140" s="44">
        <f>'2009 comm sample'!D35</f>
        <v>742</v>
      </c>
      <c r="N140" s="44">
        <f>'2009 comm sample'!E35</f>
        <v>13</v>
      </c>
      <c r="O140" s="44">
        <f>'2009 comm sample'!F35</f>
        <v>63</v>
      </c>
      <c r="P140" s="44">
        <f>'2009 comm sample'!G35</f>
        <v>0</v>
      </c>
      <c r="Q140" s="44">
        <f>'2009 comm sample'!H35</f>
        <v>59</v>
      </c>
      <c r="R140" s="44">
        <f>'2009 comm sample'!I35</f>
        <v>179</v>
      </c>
      <c r="S140" s="44">
        <f>'2009 comm sample'!J35</f>
        <v>1</v>
      </c>
      <c r="T140" s="44">
        <f>'2009 comm sample'!K35</f>
        <v>36</v>
      </c>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row>
    <row r="141" spans="1:220" x14ac:dyDescent="0.25">
      <c r="A141" s="73">
        <v>2009</v>
      </c>
      <c r="B141" s="44">
        <v>44</v>
      </c>
      <c r="C141" s="44">
        <f>'2009 comm sample'!B16</f>
        <v>0</v>
      </c>
      <c r="D141" s="44">
        <f>'2009 comm sample'!C16</f>
        <v>0</v>
      </c>
      <c r="E141" s="44">
        <f>'2009 comm sample'!D16</f>
        <v>0</v>
      </c>
      <c r="F141" s="44">
        <f>'2009 comm sample'!E16</f>
        <v>0</v>
      </c>
      <c r="G141" s="44">
        <f>'2009 comm sample'!F16</f>
        <v>0</v>
      </c>
      <c r="H141" s="44">
        <f>'2009 comm sample'!G16</f>
        <v>0</v>
      </c>
      <c r="I141" s="44">
        <f>'2009 comm sample'!H16</f>
        <v>0</v>
      </c>
      <c r="J141" s="44">
        <f>'2009 comm sample'!I16</f>
        <v>0</v>
      </c>
      <c r="K141" s="44">
        <f>'2009 comm sample'!B36</f>
        <v>0</v>
      </c>
      <c r="L141" s="44">
        <f>'2009 comm sample'!C36</f>
        <v>143</v>
      </c>
      <c r="M141" s="44">
        <f>'2009 comm sample'!D36</f>
        <v>283</v>
      </c>
      <c r="N141" s="44">
        <f>'2009 comm sample'!E36</f>
        <v>0</v>
      </c>
      <c r="O141" s="44">
        <f>'2009 comm sample'!F36</f>
        <v>0</v>
      </c>
      <c r="P141" s="44">
        <f>'2009 comm sample'!G36</f>
        <v>0</v>
      </c>
      <c r="Q141" s="44">
        <f>'2009 comm sample'!H36</f>
        <v>46</v>
      </c>
      <c r="R141" s="44">
        <f>'2009 comm sample'!I36</f>
        <v>84</v>
      </c>
      <c r="S141" s="44">
        <f>'2009 comm sample'!J36</f>
        <v>0</v>
      </c>
      <c r="T141" s="44">
        <f>'2009 comm sample'!K36</f>
        <v>0</v>
      </c>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row>
    <row r="142" spans="1:220" x14ac:dyDescent="0.25">
      <c r="A142" s="73">
        <v>2009</v>
      </c>
      <c r="B142" s="44">
        <v>45</v>
      </c>
      <c r="C142" s="44">
        <f>'2009 comm sample'!B17</f>
        <v>0</v>
      </c>
      <c r="D142" s="44">
        <f>'2009 comm sample'!C17</f>
        <v>0</v>
      </c>
      <c r="E142" s="44">
        <f>'2009 comm sample'!D17</f>
        <v>0</v>
      </c>
      <c r="F142" s="44">
        <f>'2009 comm sample'!E17</f>
        <v>0</v>
      </c>
      <c r="G142" s="44">
        <f>'2009 comm sample'!F17</f>
        <v>0</v>
      </c>
      <c r="H142" s="44">
        <f>'2009 comm sample'!G17</f>
        <v>0</v>
      </c>
      <c r="I142" s="44">
        <f>'2009 comm sample'!H17</f>
        <v>0</v>
      </c>
      <c r="J142" s="44">
        <f>'2009 comm sample'!I17</f>
        <v>0</v>
      </c>
      <c r="K142" s="44">
        <f>'2009 comm sample'!B37</f>
        <v>0</v>
      </c>
      <c r="L142" s="44">
        <f>'2009 comm sample'!C37</f>
        <v>0</v>
      </c>
      <c r="M142" s="44">
        <f>'2009 comm sample'!D37</f>
        <v>0</v>
      </c>
      <c r="N142" s="44">
        <f>'2009 comm sample'!E37</f>
        <v>0</v>
      </c>
      <c r="O142" s="44">
        <f>'2009 comm sample'!F37</f>
        <v>0</v>
      </c>
      <c r="P142" s="44">
        <f>'2009 comm sample'!G37</f>
        <v>0</v>
      </c>
      <c r="Q142" s="44">
        <f>'2009 comm sample'!H37</f>
        <v>0</v>
      </c>
      <c r="R142" s="44">
        <f>'2009 comm sample'!I37</f>
        <v>0</v>
      </c>
      <c r="S142" s="44">
        <f>'2009 comm sample'!J37</f>
        <v>0</v>
      </c>
      <c r="T142" s="44">
        <f>'2009 comm sample'!K37</f>
        <v>0</v>
      </c>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row>
    <row r="143" spans="1:220" x14ac:dyDescent="0.25">
      <c r="A143" s="44">
        <v>2010</v>
      </c>
      <c r="B143" s="44">
        <v>32</v>
      </c>
      <c r="C143" s="44">
        <f>'2010 comm sample'!B4</f>
        <v>1</v>
      </c>
      <c r="D143" s="44">
        <f>'2010 comm sample'!C4</f>
        <v>0</v>
      </c>
      <c r="E143" s="44">
        <f>'2010 comm sample'!D4</f>
        <v>0</v>
      </c>
      <c r="F143" s="44">
        <f>'2010 comm sample'!E4</f>
        <v>0</v>
      </c>
      <c r="G143" s="44">
        <f>'2010 comm sample'!F4</f>
        <v>0</v>
      </c>
      <c r="H143" s="44">
        <f>'2010 comm sample'!G4</f>
        <v>0</v>
      </c>
      <c r="I143" s="44">
        <f>'2010 comm sample'!H4</f>
        <v>0</v>
      </c>
      <c r="J143" s="44">
        <f>'2010 comm sample'!I4</f>
        <v>0</v>
      </c>
      <c r="K143" s="44">
        <f>'2010 comm sample'!B24</f>
        <v>6</v>
      </c>
      <c r="L143" s="44">
        <f>'2010 comm sample'!C24</f>
        <v>0</v>
      </c>
      <c r="M143" s="44">
        <f>'2010 comm sample'!D24</f>
        <v>0</v>
      </c>
      <c r="N143" s="44">
        <f>'2010 comm sample'!E24</f>
        <v>0</v>
      </c>
      <c r="O143" s="44">
        <f>'2010 comm sample'!F24</f>
        <v>0</v>
      </c>
      <c r="P143" s="44">
        <f>'2010 comm sample'!G24</f>
        <v>2</v>
      </c>
      <c r="Q143" s="44">
        <f>'2010 comm sample'!H24</f>
        <v>0</v>
      </c>
      <c r="R143" s="44">
        <f>'2010 comm sample'!I24</f>
        <v>0</v>
      </c>
      <c r="S143" s="44">
        <f>'2010 comm sample'!J24</f>
        <v>0</v>
      </c>
      <c r="T143" s="44">
        <f>'2010 comm sample'!K24</f>
        <v>0</v>
      </c>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row>
    <row r="144" spans="1:220" x14ac:dyDescent="0.25">
      <c r="A144" s="44">
        <v>2010</v>
      </c>
      <c r="B144" s="44">
        <v>33</v>
      </c>
      <c r="C144" s="44">
        <f>'2010 comm sample'!B5</f>
        <v>2</v>
      </c>
      <c r="D144" s="44">
        <f>'2010 comm sample'!C5</f>
        <v>0</v>
      </c>
      <c r="E144" s="44">
        <f>'2010 comm sample'!D5</f>
        <v>0</v>
      </c>
      <c r="F144" s="44">
        <f>'2010 comm sample'!E5</f>
        <v>0</v>
      </c>
      <c r="G144" s="44">
        <f>'2010 comm sample'!F5</f>
        <v>0</v>
      </c>
      <c r="H144" s="44">
        <f>'2010 comm sample'!G5</f>
        <v>0</v>
      </c>
      <c r="I144" s="44">
        <f>'2010 comm sample'!H5</f>
        <v>0</v>
      </c>
      <c r="J144" s="44">
        <f>'2010 comm sample'!I5</f>
        <v>0</v>
      </c>
      <c r="K144" s="44">
        <f>'2010 comm sample'!B25</f>
        <v>30</v>
      </c>
      <c r="L144" s="44">
        <f>'2010 comm sample'!C25</f>
        <v>4</v>
      </c>
      <c r="M144" s="44">
        <f>'2010 comm sample'!D25</f>
        <v>0</v>
      </c>
      <c r="N144" s="44">
        <f>'2010 comm sample'!E25</f>
        <v>1</v>
      </c>
      <c r="O144" s="44">
        <f>'2010 comm sample'!F25</f>
        <v>0</v>
      </c>
      <c r="P144" s="44">
        <f>'2010 comm sample'!G25</f>
        <v>8</v>
      </c>
      <c r="Q144" s="44">
        <f>'2010 comm sample'!H25</f>
        <v>2</v>
      </c>
      <c r="R144" s="44">
        <f>'2010 comm sample'!I25</f>
        <v>0</v>
      </c>
      <c r="S144" s="44">
        <f>'2010 comm sample'!J25</f>
        <v>1</v>
      </c>
      <c r="T144" s="44">
        <f>'2010 comm sample'!K25</f>
        <v>0</v>
      </c>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row>
    <row r="145" spans="1:220" x14ac:dyDescent="0.25">
      <c r="A145" s="44">
        <v>2010</v>
      </c>
      <c r="B145" s="44">
        <v>34</v>
      </c>
      <c r="C145" s="44">
        <f>'2010 comm sample'!B6</f>
        <v>1</v>
      </c>
      <c r="D145" s="44">
        <f>'2010 comm sample'!C6</f>
        <v>0</v>
      </c>
      <c r="E145" s="44">
        <f>'2010 comm sample'!D6</f>
        <v>0</v>
      </c>
      <c r="F145" s="44">
        <f>'2010 comm sample'!E6</f>
        <v>2</v>
      </c>
      <c r="G145" s="44">
        <f>'2010 comm sample'!F6</f>
        <v>0</v>
      </c>
      <c r="H145" s="44">
        <f>'2010 comm sample'!G6</f>
        <v>0</v>
      </c>
      <c r="I145" s="44">
        <f>'2010 comm sample'!H6</f>
        <v>0</v>
      </c>
      <c r="J145" s="44">
        <f>'2010 comm sample'!I6</f>
        <v>0</v>
      </c>
      <c r="K145" s="44">
        <f>'2010 comm sample'!B26</f>
        <v>0</v>
      </c>
      <c r="L145" s="44">
        <f>'2010 comm sample'!C26</f>
        <v>0</v>
      </c>
      <c r="M145" s="44">
        <f>'2010 comm sample'!D26</f>
        <v>0</v>
      </c>
      <c r="N145" s="44">
        <f>'2010 comm sample'!E26</f>
        <v>0</v>
      </c>
      <c r="O145" s="44">
        <f>'2010 comm sample'!F26</f>
        <v>2</v>
      </c>
      <c r="P145" s="44">
        <f>'2010 comm sample'!G26</f>
        <v>0</v>
      </c>
      <c r="Q145" s="44">
        <f>'2010 comm sample'!H26</f>
        <v>0</v>
      </c>
      <c r="R145" s="44">
        <f>'2010 comm sample'!I26</f>
        <v>0</v>
      </c>
      <c r="S145" s="44">
        <f>'2010 comm sample'!J26</f>
        <v>0</v>
      </c>
      <c r="T145" s="44">
        <f>'2010 comm sample'!K26</f>
        <v>0</v>
      </c>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row>
    <row r="146" spans="1:220" x14ac:dyDescent="0.25">
      <c r="A146" s="44">
        <v>2010</v>
      </c>
      <c r="B146" s="44">
        <v>35</v>
      </c>
      <c r="C146" s="44">
        <f>'2010 comm sample'!B7</f>
        <v>370</v>
      </c>
      <c r="D146" s="44">
        <f>'2010 comm sample'!C7</f>
        <v>0</v>
      </c>
      <c r="E146" s="44">
        <f>'2010 comm sample'!D7</f>
        <v>0</v>
      </c>
      <c r="F146" s="44">
        <f>'2010 comm sample'!E7</f>
        <v>89</v>
      </c>
      <c r="G146" s="44">
        <f>'2010 comm sample'!F7</f>
        <v>14</v>
      </c>
      <c r="H146" s="44">
        <f>'2010 comm sample'!G7</f>
        <v>0</v>
      </c>
      <c r="I146" s="44">
        <f>'2010 comm sample'!H7</f>
        <v>0</v>
      </c>
      <c r="J146" s="44">
        <f>'2010 comm sample'!I7</f>
        <v>1</v>
      </c>
      <c r="K146" s="44">
        <f>'2010 comm sample'!B27</f>
        <v>0</v>
      </c>
      <c r="L146" s="44">
        <f>'2010 comm sample'!C27</f>
        <v>0</v>
      </c>
      <c r="M146" s="44">
        <f>'2010 comm sample'!D27</f>
        <v>0</v>
      </c>
      <c r="N146" s="44">
        <f>'2010 comm sample'!E27</f>
        <v>18</v>
      </c>
      <c r="O146" s="44">
        <f>'2010 comm sample'!F27</f>
        <v>98</v>
      </c>
      <c r="P146" s="44">
        <f>'2010 comm sample'!G27</f>
        <v>0</v>
      </c>
      <c r="Q146" s="44">
        <f>'2010 comm sample'!H27</f>
        <v>0</v>
      </c>
      <c r="R146" s="44">
        <f>'2010 comm sample'!I27</f>
        <v>0</v>
      </c>
      <c r="S146" s="44">
        <f>'2010 comm sample'!J27</f>
        <v>13</v>
      </c>
      <c r="T146" s="44">
        <f>'2010 comm sample'!K27</f>
        <v>52</v>
      </c>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row>
    <row r="147" spans="1:220" x14ac:dyDescent="0.25">
      <c r="A147" s="44">
        <v>2010</v>
      </c>
      <c r="B147" s="44">
        <v>36</v>
      </c>
      <c r="C147" s="44">
        <f>'2010 comm sample'!B8</f>
        <v>2663</v>
      </c>
      <c r="D147" s="44">
        <f>'2010 comm sample'!C8</f>
        <v>211</v>
      </c>
      <c r="E147" s="44">
        <f>'2010 comm sample'!D8</f>
        <v>94</v>
      </c>
      <c r="F147" s="44">
        <f>'2010 comm sample'!E8</f>
        <v>709</v>
      </c>
      <c r="G147" s="44">
        <f>'2010 comm sample'!F8</f>
        <v>88</v>
      </c>
      <c r="H147" s="44">
        <f>'2010 comm sample'!G8</f>
        <v>4</v>
      </c>
      <c r="I147" s="44">
        <f>'2010 comm sample'!H8</f>
        <v>3</v>
      </c>
      <c r="J147" s="44">
        <f>'2010 comm sample'!I8</f>
        <v>14</v>
      </c>
      <c r="K147" s="44">
        <f>'2010 comm sample'!B28</f>
        <v>0</v>
      </c>
      <c r="L147" s="44">
        <f>'2010 comm sample'!C28</f>
        <v>0</v>
      </c>
      <c r="M147" s="44">
        <f>'2010 comm sample'!D28</f>
        <v>0</v>
      </c>
      <c r="N147" s="44">
        <f>'2010 comm sample'!E28</f>
        <v>0</v>
      </c>
      <c r="O147" s="44">
        <f>'2010 comm sample'!F28</f>
        <v>0</v>
      </c>
      <c r="P147" s="44">
        <f>'2010 comm sample'!G28</f>
        <v>0</v>
      </c>
      <c r="Q147" s="44">
        <f>'2010 comm sample'!H28</f>
        <v>0</v>
      </c>
      <c r="R147" s="44">
        <f>'2010 comm sample'!I28</f>
        <v>0</v>
      </c>
      <c r="S147" s="44">
        <f>'2010 comm sample'!J28</f>
        <v>0</v>
      </c>
      <c r="T147" s="44">
        <f>'2010 comm sample'!K28</f>
        <v>0</v>
      </c>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row>
    <row r="148" spans="1:220" x14ac:dyDescent="0.25">
      <c r="A148" s="44">
        <v>2010</v>
      </c>
      <c r="B148" s="44">
        <v>37</v>
      </c>
      <c r="C148" s="44">
        <f>'2010 comm sample'!B9</f>
        <v>2650</v>
      </c>
      <c r="D148" s="44">
        <f>'2010 comm sample'!C9</f>
        <v>132</v>
      </c>
      <c r="E148" s="44">
        <f>'2010 comm sample'!D9</f>
        <v>247</v>
      </c>
      <c r="F148" s="44">
        <f>'2010 comm sample'!E9</f>
        <v>1651</v>
      </c>
      <c r="G148" s="44">
        <f>'2010 comm sample'!F9</f>
        <v>107</v>
      </c>
      <c r="H148" s="44">
        <f>'2010 comm sample'!G9</f>
        <v>3</v>
      </c>
      <c r="I148" s="44">
        <f>'2010 comm sample'!H9</f>
        <v>10</v>
      </c>
      <c r="J148" s="44">
        <f>'2010 comm sample'!I9</f>
        <v>17</v>
      </c>
      <c r="K148" s="44">
        <f>'2010 comm sample'!B29</f>
        <v>0</v>
      </c>
      <c r="L148" s="44">
        <f>'2010 comm sample'!C29</f>
        <v>0</v>
      </c>
      <c r="M148" s="44">
        <f>'2010 comm sample'!D29</f>
        <v>0</v>
      </c>
      <c r="N148" s="44">
        <f>'2010 comm sample'!E29</f>
        <v>0</v>
      </c>
      <c r="O148" s="44">
        <f>'2010 comm sample'!F29</f>
        <v>0</v>
      </c>
      <c r="P148" s="44">
        <f>'2010 comm sample'!G29</f>
        <v>0</v>
      </c>
      <c r="Q148" s="44">
        <f>'2010 comm sample'!H29</f>
        <v>0</v>
      </c>
      <c r="R148" s="44">
        <f>'2010 comm sample'!I29</f>
        <v>0</v>
      </c>
      <c r="S148" s="44">
        <f>'2010 comm sample'!J29</f>
        <v>0</v>
      </c>
      <c r="T148" s="44">
        <f>'2010 comm sample'!K29</f>
        <v>0</v>
      </c>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row>
    <row r="149" spans="1:220" x14ac:dyDescent="0.25">
      <c r="A149" s="44">
        <v>2010</v>
      </c>
      <c r="B149" s="44">
        <v>38</v>
      </c>
      <c r="C149" s="44">
        <f>'2010 comm sample'!B10</f>
        <v>939</v>
      </c>
      <c r="D149" s="44">
        <f>'2010 comm sample'!C10</f>
        <v>379</v>
      </c>
      <c r="E149" s="44">
        <f>'2010 comm sample'!D10</f>
        <v>524</v>
      </c>
      <c r="F149" s="44">
        <f>'2010 comm sample'!E10</f>
        <v>1664</v>
      </c>
      <c r="G149" s="44">
        <f>'2010 comm sample'!F10</f>
        <v>27</v>
      </c>
      <c r="H149" s="44">
        <f>'2010 comm sample'!G10</f>
        <v>19</v>
      </c>
      <c r="I149" s="44">
        <f>'2010 comm sample'!H10</f>
        <v>48</v>
      </c>
      <c r="J149" s="44">
        <f>'2010 comm sample'!I10</f>
        <v>9</v>
      </c>
      <c r="K149" s="44">
        <f>'2010 comm sample'!B30</f>
        <v>0</v>
      </c>
      <c r="L149" s="44">
        <f>'2010 comm sample'!C30</f>
        <v>0</v>
      </c>
      <c r="M149" s="44">
        <f>'2010 comm sample'!D30</f>
        <v>0</v>
      </c>
      <c r="N149" s="44">
        <f>'2010 comm sample'!E30</f>
        <v>0</v>
      </c>
      <c r="O149" s="44">
        <f>'2010 comm sample'!F30</f>
        <v>0</v>
      </c>
      <c r="P149" s="44">
        <f>'2010 comm sample'!G30</f>
        <v>0</v>
      </c>
      <c r="Q149" s="44">
        <f>'2010 comm sample'!H30</f>
        <v>0</v>
      </c>
      <c r="R149" s="44">
        <f>'2010 comm sample'!I30</f>
        <v>0</v>
      </c>
      <c r="S149" s="44">
        <f>'2010 comm sample'!J30</f>
        <v>0</v>
      </c>
      <c r="T149" s="44">
        <f>'2010 comm sample'!K30</f>
        <v>0</v>
      </c>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row>
    <row r="150" spans="1:220" x14ac:dyDescent="0.25">
      <c r="A150" s="44">
        <v>2010</v>
      </c>
      <c r="B150" s="44">
        <v>39</v>
      </c>
      <c r="C150" s="44">
        <f>'2010 comm sample'!B11</f>
        <v>924</v>
      </c>
      <c r="D150" s="44">
        <f>'2010 comm sample'!C11</f>
        <v>0</v>
      </c>
      <c r="E150" s="44">
        <f>'2010 comm sample'!D11</f>
        <v>212</v>
      </c>
      <c r="F150" s="44">
        <f>'2010 comm sample'!E11</f>
        <v>3332</v>
      </c>
      <c r="G150" s="44">
        <f>'2010 comm sample'!F11</f>
        <v>41</v>
      </c>
      <c r="H150" s="44">
        <f>'2010 comm sample'!G11</f>
        <v>0</v>
      </c>
      <c r="I150" s="44">
        <f>'2010 comm sample'!H11</f>
        <v>17</v>
      </c>
      <c r="J150" s="44">
        <f>'2010 comm sample'!I11</f>
        <v>32</v>
      </c>
      <c r="K150" s="44">
        <f>'2010 comm sample'!B31</f>
        <v>0</v>
      </c>
      <c r="L150" s="44">
        <f>'2010 comm sample'!C31</f>
        <v>0</v>
      </c>
      <c r="M150" s="44">
        <f>'2010 comm sample'!D31</f>
        <v>0</v>
      </c>
      <c r="N150" s="44">
        <f>'2010 comm sample'!E31</f>
        <v>194</v>
      </c>
      <c r="O150" s="44">
        <f>'2010 comm sample'!F31</f>
        <v>194</v>
      </c>
      <c r="P150" s="44">
        <f>'2010 comm sample'!G31</f>
        <v>0</v>
      </c>
      <c r="Q150" s="44">
        <f>'2010 comm sample'!H31</f>
        <v>0</v>
      </c>
      <c r="R150" s="44">
        <f>'2010 comm sample'!I31</f>
        <v>0</v>
      </c>
      <c r="S150" s="44">
        <f>'2010 comm sample'!J31</f>
        <v>110</v>
      </c>
      <c r="T150" s="44">
        <f>'2010 comm sample'!K31</f>
        <v>110</v>
      </c>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row>
    <row r="151" spans="1:220" x14ac:dyDescent="0.25">
      <c r="A151" s="44">
        <v>2010</v>
      </c>
      <c r="B151" s="44">
        <v>40</v>
      </c>
      <c r="C151" s="44">
        <f>'2010 comm sample'!B12</f>
        <v>124</v>
      </c>
      <c r="D151" s="44">
        <f>'2010 comm sample'!C12</f>
        <v>96</v>
      </c>
      <c r="E151" s="44">
        <f>'2010 comm sample'!D12</f>
        <v>253</v>
      </c>
      <c r="F151" s="44">
        <f>'2010 comm sample'!E12</f>
        <v>1073</v>
      </c>
      <c r="G151" s="44">
        <f>'2010 comm sample'!F12</f>
        <v>6</v>
      </c>
      <c r="H151" s="44">
        <f>'2010 comm sample'!G12</f>
        <v>5</v>
      </c>
      <c r="I151" s="44">
        <f>'2010 comm sample'!H12</f>
        <v>28</v>
      </c>
      <c r="J151" s="44">
        <f>'2010 comm sample'!I12</f>
        <v>7</v>
      </c>
      <c r="K151" s="44">
        <f>'2010 comm sample'!B32</f>
        <v>0</v>
      </c>
      <c r="L151" s="44">
        <f>'2010 comm sample'!C32</f>
        <v>0</v>
      </c>
      <c r="M151" s="44">
        <f>'2010 comm sample'!D32</f>
        <v>0</v>
      </c>
      <c r="N151" s="44">
        <f>'2010 comm sample'!E32</f>
        <v>0</v>
      </c>
      <c r="O151" s="44">
        <f>'2010 comm sample'!F32</f>
        <v>0</v>
      </c>
      <c r="P151" s="44">
        <f>'2010 comm sample'!G32</f>
        <v>0</v>
      </c>
      <c r="Q151" s="44">
        <f>'2010 comm sample'!H32</f>
        <v>0</v>
      </c>
      <c r="R151" s="44">
        <f>'2010 comm sample'!I32</f>
        <v>0</v>
      </c>
      <c r="S151" s="44">
        <f>'2010 comm sample'!J32</f>
        <v>0</v>
      </c>
      <c r="T151" s="44">
        <f>'2010 comm sample'!K32</f>
        <v>0</v>
      </c>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row>
    <row r="152" spans="1:220" x14ac:dyDescent="0.25">
      <c r="A152" s="44">
        <v>2010</v>
      </c>
      <c r="B152" s="44">
        <v>41</v>
      </c>
      <c r="C152" s="44">
        <f>'2010 comm sample'!B13</f>
        <v>11</v>
      </c>
      <c r="D152" s="44">
        <f>'2010 comm sample'!C13</f>
        <v>0</v>
      </c>
      <c r="E152" s="44">
        <f>'2010 comm sample'!D13</f>
        <v>31</v>
      </c>
      <c r="F152" s="44">
        <f>'2010 comm sample'!E13</f>
        <v>85</v>
      </c>
      <c r="G152" s="44">
        <f>'2010 comm sample'!F13</f>
        <v>0</v>
      </c>
      <c r="H152" s="44">
        <f>'2010 comm sample'!G13</f>
        <v>0</v>
      </c>
      <c r="I152" s="44">
        <f>'2010 comm sample'!H13</f>
        <v>2</v>
      </c>
      <c r="J152" s="44">
        <f>'2010 comm sample'!I13</f>
        <v>2</v>
      </c>
      <c r="K152" s="44">
        <f>'2010 comm sample'!B33</f>
        <v>431</v>
      </c>
      <c r="L152" s="44">
        <f>'2010 comm sample'!C33</f>
        <v>1147</v>
      </c>
      <c r="M152" s="44">
        <f>'2010 comm sample'!D33</f>
        <v>330</v>
      </c>
      <c r="N152" s="44">
        <f>'2010 comm sample'!E33</f>
        <v>184</v>
      </c>
      <c r="O152" s="44">
        <f>'2010 comm sample'!F33</f>
        <v>177</v>
      </c>
      <c r="P152" s="44">
        <f>'2010 comm sample'!G33</f>
        <v>123</v>
      </c>
      <c r="Q152" s="44">
        <f>'2010 comm sample'!H33</f>
        <v>333</v>
      </c>
      <c r="R152" s="44">
        <f>'2010 comm sample'!I33</f>
        <v>111</v>
      </c>
      <c r="S152" s="44">
        <f>'2010 comm sample'!J33</f>
        <v>125</v>
      </c>
      <c r="T152" s="44">
        <f>'2010 comm sample'!K33</f>
        <v>133</v>
      </c>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row>
    <row r="153" spans="1:220" x14ac:dyDescent="0.25">
      <c r="A153" s="44">
        <v>2010</v>
      </c>
      <c r="B153" s="44">
        <v>42</v>
      </c>
      <c r="C153" s="44">
        <f>'2010 comm sample'!B14</f>
        <v>16</v>
      </c>
      <c r="D153" s="44">
        <f>'2010 comm sample'!C14</f>
        <v>0</v>
      </c>
      <c r="E153" s="44">
        <f>'2010 comm sample'!D14</f>
        <v>66</v>
      </c>
      <c r="F153" s="44">
        <f>'2010 comm sample'!E14</f>
        <v>347</v>
      </c>
      <c r="G153" s="44">
        <f>'2010 comm sample'!F14</f>
        <v>0</v>
      </c>
      <c r="H153" s="44">
        <f>'2010 comm sample'!G14</f>
        <v>0</v>
      </c>
      <c r="I153" s="44">
        <f>'2010 comm sample'!H14</f>
        <v>3</v>
      </c>
      <c r="J153" s="44">
        <f>'2010 comm sample'!I14</f>
        <v>5</v>
      </c>
      <c r="K153" s="44">
        <f>'2010 comm sample'!B34</f>
        <v>1657</v>
      </c>
      <c r="L153" s="44">
        <f>'2010 comm sample'!C34</f>
        <v>3288</v>
      </c>
      <c r="M153" s="44">
        <f>'2010 comm sample'!D34</f>
        <v>2390</v>
      </c>
      <c r="N153" s="44">
        <f>'2010 comm sample'!E34</f>
        <v>278</v>
      </c>
      <c r="O153" s="44">
        <f>'2010 comm sample'!F34</f>
        <v>93</v>
      </c>
      <c r="P153" s="44">
        <f>'2010 comm sample'!G34</f>
        <v>447</v>
      </c>
      <c r="Q153" s="44">
        <f>'2010 comm sample'!H34</f>
        <v>889</v>
      </c>
      <c r="R153" s="44">
        <f>'2010 comm sample'!I34</f>
        <v>472</v>
      </c>
      <c r="S153" s="44">
        <f>'2010 comm sample'!J34</f>
        <v>175</v>
      </c>
      <c r="T153" s="44">
        <f>'2010 comm sample'!K34</f>
        <v>74</v>
      </c>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row>
    <row r="154" spans="1:220" x14ac:dyDescent="0.25">
      <c r="A154" s="44">
        <v>2010</v>
      </c>
      <c r="B154" s="44">
        <v>43</v>
      </c>
      <c r="C154" s="44">
        <f>'2010 comm sample'!B15</f>
        <v>4</v>
      </c>
      <c r="D154" s="44">
        <f>'2010 comm sample'!C15</f>
        <v>0</v>
      </c>
      <c r="E154" s="44">
        <f>'2010 comm sample'!D15</f>
        <v>154</v>
      </c>
      <c r="F154" s="44">
        <f>'2010 comm sample'!E15</f>
        <v>0</v>
      </c>
      <c r="G154" s="44">
        <f>'2010 comm sample'!F15</f>
        <v>2</v>
      </c>
      <c r="H154" s="44">
        <f>'2010 comm sample'!G15</f>
        <v>0</v>
      </c>
      <c r="I154" s="44">
        <f>'2010 comm sample'!H15</f>
        <v>12</v>
      </c>
      <c r="J154" s="44">
        <f>'2010 comm sample'!I15</f>
        <v>0</v>
      </c>
      <c r="K154" s="44">
        <f>'2010 comm sample'!B35</f>
        <v>47</v>
      </c>
      <c r="L154" s="44">
        <f>'2010 comm sample'!C35</f>
        <v>287</v>
      </c>
      <c r="M154" s="44">
        <f>'2010 comm sample'!D35</f>
        <v>215</v>
      </c>
      <c r="N154" s="44">
        <f>'2010 comm sample'!E35</f>
        <v>82</v>
      </c>
      <c r="O154" s="44">
        <f>'2010 comm sample'!F35</f>
        <v>72</v>
      </c>
      <c r="P154" s="44">
        <f>'2010 comm sample'!G35</f>
        <v>10</v>
      </c>
      <c r="Q154" s="44">
        <f>'2010 comm sample'!H35</f>
        <v>63</v>
      </c>
      <c r="R154" s="44">
        <f>'2010 comm sample'!I35</f>
        <v>76</v>
      </c>
      <c r="S154" s="44">
        <f>'2010 comm sample'!J35</f>
        <v>35</v>
      </c>
      <c r="T154" s="44">
        <f>'2010 comm sample'!K35</f>
        <v>38</v>
      </c>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row>
    <row r="155" spans="1:220" x14ac:dyDescent="0.25">
      <c r="A155" s="44">
        <v>2010</v>
      </c>
      <c r="B155" s="44">
        <v>44</v>
      </c>
      <c r="C155" s="44">
        <f>'2010 comm sample'!B16</f>
        <v>0</v>
      </c>
      <c r="D155" s="44">
        <f>'2010 comm sample'!C16</f>
        <v>0</v>
      </c>
      <c r="E155" s="44">
        <f>'2010 comm sample'!D16</f>
        <v>0</v>
      </c>
      <c r="F155" s="44">
        <f>'2010 comm sample'!E16</f>
        <v>0</v>
      </c>
      <c r="G155" s="44">
        <f>'2010 comm sample'!F16</f>
        <v>0</v>
      </c>
      <c r="H155" s="44">
        <f>'2010 comm sample'!G16</f>
        <v>0</v>
      </c>
      <c r="I155" s="44">
        <f>'2010 comm sample'!H16</f>
        <v>0</v>
      </c>
      <c r="J155" s="44">
        <f>'2010 comm sample'!I16</f>
        <v>0</v>
      </c>
      <c r="K155" s="44">
        <f>'2010 comm sample'!B36</f>
        <v>0</v>
      </c>
      <c r="L155" s="44">
        <f>'2010 comm sample'!C36</f>
        <v>0</v>
      </c>
      <c r="M155" s="44">
        <f>'2010 comm sample'!D36</f>
        <v>0</v>
      </c>
      <c r="N155" s="44">
        <f>'2010 comm sample'!E36</f>
        <v>0</v>
      </c>
      <c r="O155" s="44">
        <f>'2010 comm sample'!F36</f>
        <v>0</v>
      </c>
      <c r="P155" s="44">
        <f>'2010 comm sample'!G36</f>
        <v>0</v>
      </c>
      <c r="Q155" s="44">
        <f>'2010 comm sample'!H36</f>
        <v>0</v>
      </c>
      <c r="R155" s="44">
        <f>'2010 comm sample'!I36</f>
        <v>0</v>
      </c>
      <c r="S155" s="44">
        <f>'2010 comm sample'!J36</f>
        <v>0</v>
      </c>
      <c r="T155" s="44">
        <f>'2010 comm sample'!K36</f>
        <v>0</v>
      </c>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row>
    <row r="156" spans="1:220" x14ac:dyDescent="0.25">
      <c r="A156" s="44">
        <v>2010</v>
      </c>
      <c r="B156" s="44">
        <v>45</v>
      </c>
      <c r="C156" s="44">
        <f>'2010 comm sample'!B17</f>
        <v>0</v>
      </c>
      <c r="D156" s="44">
        <f>'2010 comm sample'!C17</f>
        <v>0</v>
      </c>
      <c r="E156" s="44">
        <f>'2010 comm sample'!D17</f>
        <v>0</v>
      </c>
      <c r="F156" s="44">
        <f>'2010 comm sample'!E17</f>
        <v>0</v>
      </c>
      <c r="G156" s="44">
        <f>'2010 comm sample'!F17</f>
        <v>0</v>
      </c>
      <c r="H156" s="44">
        <f>'2010 comm sample'!G17</f>
        <v>0</v>
      </c>
      <c r="I156" s="44">
        <f>'2010 comm sample'!H17</f>
        <v>0</v>
      </c>
      <c r="J156" s="44">
        <f>'2010 comm sample'!I17</f>
        <v>0</v>
      </c>
      <c r="K156" s="44">
        <f>'2010 comm sample'!B37</f>
        <v>0</v>
      </c>
      <c r="L156" s="44">
        <f>'2010 comm sample'!C37</f>
        <v>0</v>
      </c>
      <c r="M156" s="44">
        <f>'2010 comm sample'!D37</f>
        <v>0</v>
      </c>
      <c r="N156" s="44">
        <f>'2010 comm sample'!E37</f>
        <v>0</v>
      </c>
      <c r="O156" s="44">
        <f>'2010 comm sample'!F37</f>
        <v>0</v>
      </c>
      <c r="P156" s="44">
        <f>'2010 comm sample'!G37</f>
        <v>0</v>
      </c>
      <c r="Q156" s="44">
        <f>'2010 comm sample'!H37</f>
        <v>0</v>
      </c>
      <c r="R156" s="44">
        <f>'2010 comm sample'!I37</f>
        <v>0</v>
      </c>
      <c r="S156" s="44">
        <f>'2010 comm sample'!J37</f>
        <v>0</v>
      </c>
      <c r="T156" s="44">
        <f>'2010 comm sample'!K37</f>
        <v>0</v>
      </c>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row>
    <row r="157" spans="1:220" x14ac:dyDescent="0.25">
      <c r="A157" s="44">
        <v>2011</v>
      </c>
      <c r="B157" s="44">
        <v>32</v>
      </c>
      <c r="C157" s="44">
        <f>'2011 comm sample'!B4</f>
        <v>0</v>
      </c>
      <c r="D157" s="44">
        <f>'2011 comm sample'!C4</f>
        <v>0</v>
      </c>
      <c r="E157" s="44">
        <f>'2011 comm sample'!D4</f>
        <v>0</v>
      </c>
      <c r="F157" s="44">
        <f>'2011 comm sample'!E4</f>
        <v>0</v>
      </c>
      <c r="G157" s="44">
        <f>'2011 comm sample'!F4</f>
        <v>0</v>
      </c>
      <c r="H157" s="44">
        <f>'2011 comm sample'!G4</f>
        <v>0</v>
      </c>
      <c r="I157" s="44">
        <f>'2011 comm sample'!H4</f>
        <v>0</v>
      </c>
      <c r="J157" s="44">
        <f>'2011 comm sample'!I4</f>
        <v>0</v>
      </c>
      <c r="K157" s="44">
        <f>'2011 comm sample'!B24</f>
        <v>0</v>
      </c>
      <c r="L157" s="44">
        <f>'2011 comm sample'!C24</f>
        <v>0</v>
      </c>
      <c r="M157" s="44">
        <f>'2011 comm sample'!D24</f>
        <v>0</v>
      </c>
      <c r="N157" s="44">
        <f>'2011 comm sample'!E24</f>
        <v>0</v>
      </c>
      <c r="O157" s="44">
        <f>'2011 comm sample'!F24</f>
        <v>0</v>
      </c>
      <c r="P157" s="44">
        <f>'2011 comm sample'!G24</f>
        <v>0</v>
      </c>
      <c r="Q157" s="44">
        <f>'2011 comm sample'!H24</f>
        <v>0</v>
      </c>
      <c r="R157" s="44">
        <f>'2011 comm sample'!I24</f>
        <v>0</v>
      </c>
      <c r="S157" s="44">
        <f>'2011 comm sample'!J24</f>
        <v>0</v>
      </c>
      <c r="T157" s="44">
        <f>'2011 comm sample'!K24</f>
        <v>0</v>
      </c>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row>
    <row r="158" spans="1:220" x14ac:dyDescent="0.25">
      <c r="A158" s="44">
        <v>2011</v>
      </c>
      <c r="B158" s="44">
        <v>33</v>
      </c>
      <c r="C158" s="44">
        <f>'2011 comm sample'!B5</f>
        <v>1</v>
      </c>
      <c r="D158" s="44">
        <f>'2011 comm sample'!C5</f>
        <v>0</v>
      </c>
      <c r="E158" s="44">
        <f>'2011 comm sample'!D5</f>
        <v>0</v>
      </c>
      <c r="F158" s="44">
        <f>'2011 comm sample'!E5</f>
        <v>0</v>
      </c>
      <c r="G158" s="44">
        <f>'2011 comm sample'!F5</f>
        <v>0</v>
      </c>
      <c r="H158" s="44">
        <f>'2011 comm sample'!G5</f>
        <v>0</v>
      </c>
      <c r="I158" s="44">
        <f>'2011 comm sample'!H5</f>
        <v>0</v>
      </c>
      <c r="J158" s="44">
        <f>'2011 comm sample'!I5</f>
        <v>0</v>
      </c>
      <c r="K158" s="44">
        <f>'2011 comm sample'!B25</f>
        <v>0</v>
      </c>
      <c r="L158" s="44">
        <f>'2011 comm sample'!C25</f>
        <v>0</v>
      </c>
      <c r="M158" s="44">
        <f>'2011 comm sample'!D25</f>
        <v>0</v>
      </c>
      <c r="N158" s="44">
        <f>'2011 comm sample'!E25</f>
        <v>0</v>
      </c>
      <c r="O158" s="44">
        <f>'2011 comm sample'!F25</f>
        <v>0</v>
      </c>
      <c r="P158" s="44">
        <f>'2011 comm sample'!G25</f>
        <v>0</v>
      </c>
      <c r="Q158" s="44">
        <f>'2011 comm sample'!H25</f>
        <v>0</v>
      </c>
      <c r="R158" s="44">
        <f>'2011 comm sample'!I25</f>
        <v>0</v>
      </c>
      <c r="S158" s="44">
        <f>'2011 comm sample'!J25</f>
        <v>0</v>
      </c>
      <c r="T158" s="44">
        <f>'2011 comm sample'!K25</f>
        <v>0</v>
      </c>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row>
    <row r="159" spans="1:220" x14ac:dyDescent="0.25">
      <c r="A159" s="44">
        <v>2011</v>
      </c>
      <c r="B159" s="44">
        <v>34</v>
      </c>
      <c r="C159" s="44">
        <f>'2011 comm sample'!B6</f>
        <v>21</v>
      </c>
      <c r="D159" s="44">
        <f>'2011 comm sample'!C6</f>
        <v>0</v>
      </c>
      <c r="E159" s="44">
        <f>'2011 comm sample'!D6</f>
        <v>0</v>
      </c>
      <c r="F159" s="44">
        <f>'2011 comm sample'!E6</f>
        <v>2</v>
      </c>
      <c r="G159" s="44">
        <f>'2011 comm sample'!F6</f>
        <v>1</v>
      </c>
      <c r="H159" s="44">
        <f>'2011 comm sample'!G6</f>
        <v>0</v>
      </c>
      <c r="I159" s="44">
        <f>'2011 comm sample'!H6</f>
        <v>0</v>
      </c>
      <c r="J159" s="44">
        <f>'2011 comm sample'!I6</f>
        <v>0</v>
      </c>
      <c r="K159" s="44">
        <f>'2011 comm sample'!B26</f>
        <v>0</v>
      </c>
      <c r="L159" s="44">
        <f>'2011 comm sample'!C26</f>
        <v>0</v>
      </c>
      <c r="M159" s="44">
        <f>'2011 comm sample'!D26</f>
        <v>0</v>
      </c>
      <c r="N159" s="44">
        <f>'2011 comm sample'!E26</f>
        <v>25</v>
      </c>
      <c r="O159" s="44">
        <f>'2011 comm sample'!F26</f>
        <v>17</v>
      </c>
      <c r="P159" s="44">
        <f>'2011 comm sample'!G26</f>
        <v>0</v>
      </c>
      <c r="Q159" s="44">
        <f>'2011 comm sample'!H26</f>
        <v>0</v>
      </c>
      <c r="R159" s="44">
        <f>'2011 comm sample'!I26</f>
        <v>0</v>
      </c>
      <c r="S159" s="44">
        <f>'2011 comm sample'!J26</f>
        <v>16</v>
      </c>
      <c r="T159" s="44">
        <f>'2011 comm sample'!K26</f>
        <v>12</v>
      </c>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row>
    <row r="160" spans="1:220" x14ac:dyDescent="0.25">
      <c r="A160" s="44">
        <v>2011</v>
      </c>
      <c r="B160" s="44">
        <v>35</v>
      </c>
      <c r="C160" s="44">
        <f>'2011 comm sample'!B7</f>
        <v>45</v>
      </c>
      <c r="D160" s="44">
        <f>'2011 comm sample'!C7</f>
        <v>0</v>
      </c>
      <c r="E160" s="44">
        <f>'2011 comm sample'!D7</f>
        <v>0</v>
      </c>
      <c r="F160" s="44">
        <f>'2011 comm sample'!E7</f>
        <v>2</v>
      </c>
      <c r="G160" s="44">
        <f>'2011 comm sample'!F7</f>
        <v>4</v>
      </c>
      <c r="H160" s="44">
        <f>'2011 comm sample'!G7</f>
        <v>0</v>
      </c>
      <c r="I160" s="44">
        <f>'2011 comm sample'!H7</f>
        <v>0</v>
      </c>
      <c r="J160" s="44">
        <f>'2011 comm sample'!I7</f>
        <v>0</v>
      </c>
      <c r="K160" s="44">
        <f>'2011 comm sample'!B27</f>
        <v>0</v>
      </c>
      <c r="L160" s="44">
        <f>'2011 comm sample'!C27</f>
        <v>0</v>
      </c>
      <c r="M160" s="44">
        <f>'2011 comm sample'!D27</f>
        <v>0</v>
      </c>
      <c r="N160" s="44">
        <f>'2011 comm sample'!E27</f>
        <v>100</v>
      </c>
      <c r="O160" s="44">
        <f>'2011 comm sample'!F27</f>
        <v>26</v>
      </c>
      <c r="P160" s="44">
        <f>'2011 comm sample'!G27</f>
        <v>0</v>
      </c>
      <c r="Q160" s="44">
        <f>'2011 comm sample'!H27</f>
        <v>0</v>
      </c>
      <c r="R160" s="44">
        <f>'2011 comm sample'!I27</f>
        <v>0</v>
      </c>
      <c r="S160" s="44">
        <f>'2011 comm sample'!J27</f>
        <v>84</v>
      </c>
      <c r="T160" s="44">
        <f>'2011 comm sample'!K27</f>
        <v>20</v>
      </c>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row>
    <row r="161" spans="1:220" x14ac:dyDescent="0.25">
      <c r="A161" s="44">
        <v>2011</v>
      </c>
      <c r="B161" s="44">
        <v>36</v>
      </c>
      <c r="C161" s="44">
        <f>'2011 comm sample'!B8</f>
        <v>726</v>
      </c>
      <c r="D161" s="44">
        <f>'2011 comm sample'!C8</f>
        <v>20</v>
      </c>
      <c r="E161" s="44">
        <f>'2011 comm sample'!D8</f>
        <v>2</v>
      </c>
      <c r="F161" s="44">
        <f>'2011 comm sample'!E8</f>
        <v>115</v>
      </c>
      <c r="G161" s="44">
        <f>'2011 comm sample'!F8</f>
        <v>53</v>
      </c>
      <c r="H161" s="44">
        <f>'2011 comm sample'!G8</f>
        <v>5</v>
      </c>
      <c r="I161" s="44">
        <f>'2011 comm sample'!H8</f>
        <v>1</v>
      </c>
      <c r="J161" s="44">
        <f>'2011 comm sample'!I8</f>
        <v>7</v>
      </c>
      <c r="K161" s="44">
        <f>'2011 comm sample'!B28</f>
        <v>0</v>
      </c>
      <c r="L161" s="44">
        <f>'2011 comm sample'!C28</f>
        <v>0</v>
      </c>
      <c r="M161" s="44">
        <f>'2011 comm sample'!D28</f>
        <v>0</v>
      </c>
      <c r="N161" s="44">
        <f>'2011 comm sample'!E28</f>
        <v>249</v>
      </c>
      <c r="O161" s="44">
        <f>'2011 comm sample'!F28</f>
        <v>62</v>
      </c>
      <c r="P161" s="44">
        <f>'2011 comm sample'!G28</f>
        <v>0</v>
      </c>
      <c r="Q161" s="44">
        <f>'2011 comm sample'!H28</f>
        <v>0</v>
      </c>
      <c r="R161" s="44">
        <f>'2011 comm sample'!I28</f>
        <v>0</v>
      </c>
      <c r="S161" s="44">
        <f>'2011 comm sample'!J28</f>
        <v>193</v>
      </c>
      <c r="T161" s="44">
        <f>'2011 comm sample'!K28</f>
        <v>52</v>
      </c>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row>
    <row r="162" spans="1:220" x14ac:dyDescent="0.25">
      <c r="A162" s="44">
        <v>2011</v>
      </c>
      <c r="B162" s="44">
        <v>37</v>
      </c>
      <c r="C162" s="44">
        <f>'2011 comm sample'!B9</f>
        <v>779</v>
      </c>
      <c r="D162" s="44">
        <f>'2011 comm sample'!C9</f>
        <v>347</v>
      </c>
      <c r="E162" s="44">
        <f>'2011 comm sample'!D9</f>
        <v>30</v>
      </c>
      <c r="F162" s="44">
        <f>'2011 comm sample'!E9</f>
        <v>472</v>
      </c>
      <c r="G162" s="44">
        <f>'2011 comm sample'!F9</f>
        <v>41</v>
      </c>
      <c r="H162" s="44">
        <f>'2011 comm sample'!G9</f>
        <v>60</v>
      </c>
      <c r="I162" s="44">
        <f>'2011 comm sample'!H9</f>
        <v>5</v>
      </c>
      <c r="J162" s="44">
        <f>'2011 comm sample'!I9</f>
        <v>17</v>
      </c>
      <c r="K162" s="44">
        <f>'2011 comm sample'!B29</f>
        <v>0</v>
      </c>
      <c r="L162" s="44">
        <f>'2011 comm sample'!C29</f>
        <v>0</v>
      </c>
      <c r="M162" s="44">
        <f>'2011 comm sample'!D29</f>
        <v>0</v>
      </c>
      <c r="N162" s="44">
        <f>'2011 comm sample'!E29</f>
        <v>0</v>
      </c>
      <c r="O162" s="44">
        <f>'2011 comm sample'!F29</f>
        <v>0</v>
      </c>
      <c r="P162" s="44">
        <f>'2011 comm sample'!G29</f>
        <v>0</v>
      </c>
      <c r="Q162" s="44">
        <f>'2011 comm sample'!H29</f>
        <v>0</v>
      </c>
      <c r="R162" s="44">
        <f>'2011 comm sample'!I29</f>
        <v>0</v>
      </c>
      <c r="S162" s="44">
        <f>'2011 comm sample'!J29</f>
        <v>0</v>
      </c>
      <c r="T162" s="44">
        <f>'2011 comm sample'!K29</f>
        <v>0</v>
      </c>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row>
    <row r="163" spans="1:220" x14ac:dyDescent="0.25">
      <c r="A163" s="44">
        <v>2011</v>
      </c>
      <c r="B163" s="44">
        <v>38</v>
      </c>
      <c r="C163" s="44">
        <f>'2011 comm sample'!B10</f>
        <v>1724</v>
      </c>
      <c r="D163" s="44">
        <f>'2011 comm sample'!C10</f>
        <v>476</v>
      </c>
      <c r="E163" s="44">
        <f>'2011 comm sample'!D10</f>
        <v>136</v>
      </c>
      <c r="F163" s="44">
        <f>'2011 comm sample'!E10</f>
        <v>985</v>
      </c>
      <c r="G163" s="44">
        <f>'2011 comm sample'!F10</f>
        <v>119</v>
      </c>
      <c r="H163" s="44">
        <f>'2011 comm sample'!G10</f>
        <v>57</v>
      </c>
      <c r="I163" s="44">
        <f>'2011 comm sample'!H10</f>
        <v>19</v>
      </c>
      <c r="J163" s="44">
        <f>'2011 comm sample'!I10</f>
        <v>23</v>
      </c>
      <c r="K163" s="44">
        <f>'2011 comm sample'!B30</f>
        <v>0</v>
      </c>
      <c r="L163" s="44">
        <f>'2011 comm sample'!C30</f>
        <v>0</v>
      </c>
      <c r="M163" s="44">
        <f>'2011 comm sample'!D30</f>
        <v>0</v>
      </c>
      <c r="N163" s="44">
        <f>'2011 comm sample'!E30</f>
        <v>0</v>
      </c>
      <c r="O163" s="44">
        <f>'2011 comm sample'!F30</f>
        <v>0</v>
      </c>
      <c r="P163" s="44">
        <f>'2011 comm sample'!G30</f>
        <v>0</v>
      </c>
      <c r="Q163" s="44">
        <f>'2011 comm sample'!H30</f>
        <v>0</v>
      </c>
      <c r="R163" s="44">
        <f>'2011 comm sample'!I30</f>
        <v>0</v>
      </c>
      <c r="S163" s="44">
        <f>'2011 comm sample'!J30</f>
        <v>0</v>
      </c>
      <c r="T163" s="44">
        <f>'2011 comm sample'!K30</f>
        <v>0</v>
      </c>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row>
    <row r="164" spans="1:220" x14ac:dyDescent="0.25">
      <c r="A164" s="44">
        <v>2011</v>
      </c>
      <c r="B164" s="44">
        <v>39</v>
      </c>
      <c r="C164" s="44">
        <f>'2011 comm sample'!B11</f>
        <v>1280</v>
      </c>
      <c r="D164" s="44">
        <f>'2011 comm sample'!C11</f>
        <v>166</v>
      </c>
      <c r="E164" s="44">
        <f>'2011 comm sample'!D11</f>
        <v>143</v>
      </c>
      <c r="F164" s="44">
        <f>'2011 comm sample'!E11</f>
        <v>1323</v>
      </c>
      <c r="G164" s="44">
        <f>'2011 comm sample'!F11</f>
        <v>33</v>
      </c>
      <c r="H164" s="44">
        <f>'2011 comm sample'!G11</f>
        <v>34</v>
      </c>
      <c r="I164" s="44">
        <f>'2011 comm sample'!H11</f>
        <v>38</v>
      </c>
      <c r="J164" s="44">
        <f>'2011 comm sample'!I11</f>
        <v>17</v>
      </c>
      <c r="K164" s="44">
        <f>'2011 comm sample'!B31</f>
        <v>33</v>
      </c>
      <c r="L164" s="44">
        <f>'2011 comm sample'!C31</f>
        <v>394</v>
      </c>
      <c r="M164" s="44">
        <f>'2011 comm sample'!D31</f>
        <v>342</v>
      </c>
      <c r="N164" s="44">
        <f>'2011 comm sample'!E31</f>
        <v>289</v>
      </c>
      <c r="O164" s="44">
        <f>'2011 comm sample'!F31</f>
        <v>379</v>
      </c>
      <c r="P164" s="44">
        <f>'2011 comm sample'!G31</f>
        <v>8</v>
      </c>
      <c r="Q164" s="44">
        <f>'2011 comm sample'!H31</f>
        <v>147</v>
      </c>
      <c r="R164" s="44">
        <f>'2011 comm sample'!I31</f>
        <v>146</v>
      </c>
      <c r="S164" s="44">
        <f>'2011 comm sample'!J31</f>
        <v>137</v>
      </c>
      <c r="T164" s="44">
        <f>'2011 comm sample'!K31</f>
        <v>168</v>
      </c>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row>
    <row r="165" spans="1:220" x14ac:dyDescent="0.25">
      <c r="A165" s="44">
        <v>2011</v>
      </c>
      <c r="B165" s="44">
        <v>40</v>
      </c>
      <c r="C165" s="44">
        <f>'2011 comm sample'!B12</f>
        <v>1203</v>
      </c>
      <c r="D165" s="44">
        <f>'2011 comm sample'!C12</f>
        <v>124</v>
      </c>
      <c r="E165" s="44">
        <f>'2011 comm sample'!D12</f>
        <v>71</v>
      </c>
      <c r="F165" s="44">
        <f>'2011 comm sample'!E12</f>
        <v>661</v>
      </c>
      <c r="G165" s="44">
        <f>'2011 comm sample'!F12</f>
        <v>45</v>
      </c>
      <c r="H165" s="44">
        <f>'2011 comm sample'!G12</f>
        <v>13</v>
      </c>
      <c r="I165" s="44">
        <f>'2011 comm sample'!H12</f>
        <v>19</v>
      </c>
      <c r="J165" s="44">
        <f>'2011 comm sample'!I12</f>
        <v>22</v>
      </c>
      <c r="K165" s="44">
        <f>'2011 comm sample'!B32</f>
        <v>77</v>
      </c>
      <c r="L165" s="44">
        <f>'2011 comm sample'!C32</f>
        <v>102</v>
      </c>
      <c r="M165" s="44">
        <f>'2011 comm sample'!D32</f>
        <v>53</v>
      </c>
      <c r="N165" s="44">
        <f>'2011 comm sample'!E32</f>
        <v>121</v>
      </c>
      <c r="O165" s="44">
        <f>'2011 comm sample'!F32</f>
        <v>31</v>
      </c>
      <c r="P165" s="44">
        <f>'2011 comm sample'!G32</f>
        <v>13</v>
      </c>
      <c r="Q165" s="44">
        <f>'2011 comm sample'!H32</f>
        <v>20</v>
      </c>
      <c r="R165" s="44">
        <f>'2011 comm sample'!I32</f>
        <v>15</v>
      </c>
      <c r="S165" s="44">
        <f>'2011 comm sample'!J32</f>
        <v>33</v>
      </c>
      <c r="T165" s="44">
        <f>'2011 comm sample'!K32</f>
        <v>16</v>
      </c>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row>
    <row r="166" spans="1:220" x14ac:dyDescent="0.25">
      <c r="A166" s="44">
        <v>2011</v>
      </c>
      <c r="B166" s="44">
        <v>41</v>
      </c>
      <c r="C166" s="44">
        <f>'2011 comm sample'!B13</f>
        <v>7</v>
      </c>
      <c r="D166" s="44">
        <f>'2011 comm sample'!C13</f>
        <v>33</v>
      </c>
      <c r="E166" s="44">
        <f>'2011 comm sample'!D13</f>
        <v>49</v>
      </c>
      <c r="F166" s="44">
        <f>'2011 comm sample'!E13</f>
        <v>171</v>
      </c>
      <c r="G166" s="44">
        <f>'2011 comm sample'!F13</f>
        <v>0</v>
      </c>
      <c r="H166" s="44">
        <f>'2011 comm sample'!G13</f>
        <v>1</v>
      </c>
      <c r="I166" s="44">
        <f>'2011 comm sample'!H13</f>
        <v>16</v>
      </c>
      <c r="J166" s="44">
        <f>'2011 comm sample'!I13</f>
        <v>4</v>
      </c>
      <c r="K166" s="44">
        <f>'2011 comm sample'!B33</f>
        <v>3</v>
      </c>
      <c r="L166" s="44">
        <f>'2011 comm sample'!C33</f>
        <v>145</v>
      </c>
      <c r="M166" s="44">
        <f>'2011 comm sample'!D33</f>
        <v>152</v>
      </c>
      <c r="N166" s="44">
        <f>'2011 comm sample'!E33</f>
        <v>191</v>
      </c>
      <c r="O166" s="44">
        <f>'2011 comm sample'!F33</f>
        <v>0</v>
      </c>
      <c r="P166" s="44">
        <f>'2011 comm sample'!G33</f>
        <v>0</v>
      </c>
      <c r="Q166" s="44">
        <f>'2011 comm sample'!H33</f>
        <v>35</v>
      </c>
      <c r="R166" s="44">
        <f>'2011 comm sample'!I33</f>
        <v>36</v>
      </c>
      <c r="S166" s="44">
        <f>'2011 comm sample'!J33</f>
        <v>32</v>
      </c>
      <c r="T166" s="44">
        <f>'2011 comm sample'!K33</f>
        <v>0</v>
      </c>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row>
    <row r="167" spans="1:220" x14ac:dyDescent="0.25">
      <c r="A167" s="44">
        <v>2011</v>
      </c>
      <c r="B167" s="44">
        <v>42</v>
      </c>
      <c r="C167" s="44">
        <f>'2011 comm sample'!B14</f>
        <v>0</v>
      </c>
      <c r="D167" s="44">
        <f>'2011 comm sample'!C14</f>
        <v>230</v>
      </c>
      <c r="E167" s="44">
        <f>'2011 comm sample'!D14</f>
        <v>57</v>
      </c>
      <c r="F167" s="44">
        <f>'2011 comm sample'!E14</f>
        <v>153</v>
      </c>
      <c r="G167" s="44">
        <f>'2011 comm sample'!F14</f>
        <v>0</v>
      </c>
      <c r="H167" s="44">
        <f>'2011 comm sample'!G14</f>
        <v>12</v>
      </c>
      <c r="I167" s="44">
        <f>'2011 comm sample'!H14</f>
        <v>21</v>
      </c>
      <c r="J167" s="44">
        <f>'2011 comm sample'!I14</f>
        <v>3</v>
      </c>
      <c r="K167" s="44">
        <f>'2011 comm sample'!B34</f>
        <v>89</v>
      </c>
      <c r="L167" s="44">
        <f>'2011 comm sample'!C34</f>
        <v>251</v>
      </c>
      <c r="M167" s="44">
        <f>'2011 comm sample'!D34</f>
        <v>559</v>
      </c>
      <c r="N167" s="44">
        <f>'2011 comm sample'!E34</f>
        <v>23</v>
      </c>
      <c r="O167" s="44">
        <f>'2011 comm sample'!F34</f>
        <v>21</v>
      </c>
      <c r="P167" s="44">
        <f>'2011 comm sample'!G34</f>
        <v>27</v>
      </c>
      <c r="Q167" s="44">
        <f>'2011 comm sample'!H34</f>
        <v>65</v>
      </c>
      <c r="R167" s="44">
        <f>'2011 comm sample'!I34</f>
        <v>171</v>
      </c>
      <c r="S167" s="44">
        <f>'2011 comm sample'!J34</f>
        <v>8</v>
      </c>
      <c r="T167" s="44">
        <f>'2011 comm sample'!K34</f>
        <v>4</v>
      </c>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row>
    <row r="168" spans="1:220" x14ac:dyDescent="0.25">
      <c r="A168" s="44">
        <v>2011</v>
      </c>
      <c r="B168" s="44">
        <v>43</v>
      </c>
      <c r="C168" s="44">
        <f>'2011 comm sample'!B15</f>
        <v>76</v>
      </c>
      <c r="D168" s="44">
        <f>'2011 comm sample'!C15</f>
        <v>0</v>
      </c>
      <c r="E168" s="44">
        <f>'2011 comm sample'!D15</f>
        <v>0</v>
      </c>
      <c r="F168" s="44">
        <f>'2011 comm sample'!E15</f>
        <v>0</v>
      </c>
      <c r="G168" s="44">
        <f>'2011 comm sample'!F15</f>
        <v>3</v>
      </c>
      <c r="H168" s="44">
        <f>'2011 comm sample'!G15</f>
        <v>0</v>
      </c>
      <c r="I168" s="44">
        <f>'2011 comm sample'!H15</f>
        <v>0</v>
      </c>
      <c r="J168" s="44">
        <f>'2011 comm sample'!I15</f>
        <v>0</v>
      </c>
      <c r="K168" s="44">
        <f>'2011 comm sample'!B35</f>
        <v>1</v>
      </c>
      <c r="L168" s="44">
        <f>'2011 comm sample'!C35</f>
        <v>56</v>
      </c>
      <c r="M168" s="44">
        <f>'2011 comm sample'!D35</f>
        <v>151</v>
      </c>
      <c r="N168" s="44">
        <f>'2011 comm sample'!E35</f>
        <v>8</v>
      </c>
      <c r="O168" s="44">
        <f>'2011 comm sample'!F35</f>
        <v>13</v>
      </c>
      <c r="P168" s="44">
        <f>'2011 comm sample'!G35</f>
        <v>0</v>
      </c>
      <c r="Q168" s="44">
        <f>'2011 comm sample'!H35</f>
        <v>19</v>
      </c>
      <c r="R168" s="44">
        <f>'2011 comm sample'!I35</f>
        <v>62</v>
      </c>
      <c r="S168" s="44">
        <f>'2011 comm sample'!J35</f>
        <v>3</v>
      </c>
      <c r="T168" s="44">
        <f>'2011 comm sample'!K35</f>
        <v>3</v>
      </c>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row>
    <row r="169" spans="1:220" x14ac:dyDescent="0.25">
      <c r="A169" s="44">
        <v>2011</v>
      </c>
      <c r="B169" s="44">
        <v>44</v>
      </c>
      <c r="C169" s="44">
        <f>'2011 comm sample'!B16</f>
        <v>0</v>
      </c>
      <c r="D169" s="44">
        <f>'2011 comm sample'!C16</f>
        <v>0</v>
      </c>
      <c r="E169" s="44">
        <f>'2011 comm sample'!D16</f>
        <v>0</v>
      </c>
      <c r="F169" s="44">
        <f>'2011 comm sample'!E16</f>
        <v>0</v>
      </c>
      <c r="G169" s="44">
        <f>'2011 comm sample'!F16</f>
        <v>0</v>
      </c>
      <c r="H169" s="44">
        <f>'2011 comm sample'!G16</f>
        <v>0</v>
      </c>
      <c r="I169" s="44">
        <f>'2011 comm sample'!H16</f>
        <v>0</v>
      </c>
      <c r="J169" s="44">
        <f>'2011 comm sample'!I16</f>
        <v>0</v>
      </c>
      <c r="K169" s="44">
        <f>'2011 comm sample'!B36</f>
        <v>0</v>
      </c>
      <c r="L169" s="44">
        <f>'2011 comm sample'!C36</f>
        <v>0</v>
      </c>
      <c r="M169" s="44">
        <f>'2011 comm sample'!D36</f>
        <v>0</v>
      </c>
      <c r="N169" s="44">
        <f>'2011 comm sample'!E36</f>
        <v>0</v>
      </c>
      <c r="O169" s="44">
        <f>'2011 comm sample'!F36</f>
        <v>0</v>
      </c>
      <c r="P169" s="44">
        <f>'2011 comm sample'!G36</f>
        <v>0</v>
      </c>
      <c r="Q169" s="44">
        <f>'2011 comm sample'!H36</f>
        <v>0</v>
      </c>
      <c r="R169" s="44">
        <f>'2011 comm sample'!I36</f>
        <v>0</v>
      </c>
      <c r="S169" s="44">
        <f>'2011 comm sample'!J36</f>
        <v>0</v>
      </c>
      <c r="T169" s="44">
        <f>'2011 comm sample'!K36</f>
        <v>0</v>
      </c>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row>
    <row r="170" spans="1:220" x14ac:dyDescent="0.25">
      <c r="A170" s="44">
        <v>2011</v>
      </c>
      <c r="B170" s="44">
        <v>45</v>
      </c>
      <c r="C170" s="44">
        <f>'2011 comm sample'!B17</f>
        <v>0</v>
      </c>
      <c r="D170" s="44">
        <f>'2011 comm sample'!C17</f>
        <v>0</v>
      </c>
      <c r="E170" s="44">
        <f>'2011 comm sample'!D17</f>
        <v>0</v>
      </c>
      <c r="F170" s="44">
        <f>'2011 comm sample'!E17</f>
        <v>0</v>
      </c>
      <c r="G170" s="44">
        <f>'2011 comm sample'!F17</f>
        <v>0</v>
      </c>
      <c r="H170" s="44">
        <f>'2011 comm sample'!G17</f>
        <v>0</v>
      </c>
      <c r="I170" s="44">
        <f>'2011 comm sample'!H17</f>
        <v>0</v>
      </c>
      <c r="J170" s="44">
        <f>'2011 comm sample'!I17</f>
        <v>0</v>
      </c>
      <c r="K170" s="44">
        <f>'2011 comm sample'!B37</f>
        <v>0</v>
      </c>
      <c r="L170" s="44">
        <f>'2011 comm sample'!C37</f>
        <v>0</v>
      </c>
      <c r="M170" s="44">
        <f>'2011 comm sample'!D37</f>
        <v>0</v>
      </c>
      <c r="N170" s="44">
        <f>'2011 comm sample'!E37</f>
        <v>0</v>
      </c>
      <c r="O170" s="44">
        <f>'2011 comm sample'!F37</f>
        <v>0</v>
      </c>
      <c r="P170" s="44">
        <f>'2011 comm sample'!G37</f>
        <v>0</v>
      </c>
      <c r="Q170" s="44">
        <f>'2011 comm sample'!H37</f>
        <v>0</v>
      </c>
      <c r="R170" s="44">
        <f>'2011 comm sample'!I37</f>
        <v>0</v>
      </c>
      <c r="S170" s="44">
        <f>'2011 comm sample'!J37</f>
        <v>0</v>
      </c>
      <c r="T170" s="44">
        <f>'2011 comm sample'!K37</f>
        <v>0</v>
      </c>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row>
    <row r="171" spans="1:220" x14ac:dyDescent="0.25">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row>
    <row r="172" spans="1:220" x14ac:dyDescent="0.25">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row>
    <row r="173" spans="1:220" x14ac:dyDescent="0.25">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row>
    <row r="174" spans="1:220" x14ac:dyDescent="0.25">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row>
    <row r="175" spans="1:220" x14ac:dyDescent="0.2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row>
    <row r="176" spans="1:220" x14ac:dyDescent="0.25">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row>
    <row r="177" spans="22:220" x14ac:dyDescent="0.25">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row>
    <row r="178" spans="22:220" x14ac:dyDescent="0.25">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row>
    <row r="179" spans="22:220" x14ac:dyDescent="0.25">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row>
    <row r="180" spans="22:220" x14ac:dyDescent="0.25">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row>
    <row r="181" spans="22:220" x14ac:dyDescent="0.25">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row>
    <row r="182" spans="22:220" x14ac:dyDescent="0.25">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row>
    <row r="183" spans="22:220" x14ac:dyDescent="0.25">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row>
    <row r="184" spans="22:220" x14ac:dyDescent="0.25">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row>
    <row r="185" spans="22:220" x14ac:dyDescent="0.2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row>
    <row r="186" spans="22:220" x14ac:dyDescent="0.25">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row>
    <row r="187" spans="22:220" x14ac:dyDescent="0.25">
      <c r="V187"/>
      <c r="W187"/>
      <c r="X187"/>
      <c r="Y187"/>
    </row>
    <row r="188" spans="22:220" x14ac:dyDescent="0.25">
      <c r="V188"/>
      <c r="W188"/>
      <c r="X188"/>
      <c r="Y188"/>
    </row>
    <row r="189" spans="22:220" x14ac:dyDescent="0.25">
      <c r="V189"/>
      <c r="W189"/>
      <c r="X189"/>
      <c r="Y189"/>
    </row>
    <row r="190" spans="22:220" x14ac:dyDescent="0.25">
      <c r="V190"/>
      <c r="W190"/>
      <c r="X190"/>
      <c r="Y190"/>
    </row>
    <row r="191" spans="22:220" x14ac:dyDescent="0.25">
      <c r="V191"/>
      <c r="W191"/>
      <c r="X191"/>
      <c r="Y191"/>
    </row>
    <row r="192" spans="22:220" x14ac:dyDescent="0.25">
      <c r="V192"/>
      <c r="W192"/>
      <c r="X192"/>
      <c r="Y192"/>
    </row>
    <row r="193" spans="22:25" x14ac:dyDescent="0.25">
      <c r="V193"/>
      <c r="W193"/>
      <c r="X193"/>
      <c r="Y193"/>
    </row>
    <row r="194" spans="22:25" x14ac:dyDescent="0.25">
      <c r="V194"/>
      <c r="W194"/>
      <c r="X194"/>
      <c r="Y194"/>
    </row>
    <row r="195" spans="22:25" x14ac:dyDescent="0.25">
      <c r="V195"/>
      <c r="W195"/>
      <c r="X195"/>
      <c r="Y195"/>
    </row>
    <row r="196" spans="22:25" x14ac:dyDescent="0.25">
      <c r="V196"/>
      <c r="W196"/>
      <c r="X196"/>
      <c r="Y196"/>
    </row>
    <row r="197" spans="22:25" x14ac:dyDescent="0.25">
      <c r="V197"/>
      <c r="W197"/>
      <c r="X197"/>
      <c r="Y197"/>
    </row>
    <row r="198" spans="22:25" x14ac:dyDescent="0.25">
      <c r="V198"/>
      <c r="W198"/>
      <c r="X198"/>
      <c r="Y198"/>
    </row>
    <row r="199" spans="22:25" x14ac:dyDescent="0.25">
      <c r="V199"/>
      <c r="W199"/>
      <c r="X199"/>
      <c r="Y199"/>
    </row>
    <row r="200" spans="22:25" x14ac:dyDescent="0.25">
      <c r="V200"/>
      <c r="W200"/>
      <c r="X200"/>
      <c r="Y200"/>
    </row>
    <row r="201" spans="22:25" x14ac:dyDescent="0.25">
      <c r="V201"/>
      <c r="W201"/>
      <c r="X201"/>
      <c r="Y201"/>
    </row>
    <row r="202" spans="22:25" x14ac:dyDescent="0.25">
      <c r="V202"/>
      <c r="W202"/>
      <c r="X202"/>
      <c r="Y202"/>
    </row>
    <row r="203" spans="22:25" x14ac:dyDescent="0.25">
      <c r="V203"/>
      <c r="W203"/>
      <c r="X203"/>
      <c r="Y203"/>
    </row>
    <row r="204" spans="22:25" x14ac:dyDescent="0.25">
      <c r="V204"/>
      <c r="W204"/>
      <c r="X204"/>
      <c r="Y204"/>
    </row>
    <row r="205" spans="22:25" x14ac:dyDescent="0.25">
      <c r="V205"/>
      <c r="W205"/>
      <c r="X205"/>
      <c r="Y205"/>
    </row>
    <row r="206" spans="22:25" x14ac:dyDescent="0.25">
      <c r="V206"/>
      <c r="W206"/>
      <c r="X206"/>
      <c r="Y206"/>
    </row>
    <row r="207" spans="22:25" x14ac:dyDescent="0.25">
      <c r="V207"/>
      <c r="W207"/>
      <c r="X207"/>
      <c r="Y207"/>
    </row>
    <row r="208" spans="22:25" x14ac:dyDescent="0.25">
      <c r="V208"/>
      <c r="W208"/>
      <c r="X208"/>
      <c r="Y208"/>
    </row>
    <row r="209" spans="22:25" x14ac:dyDescent="0.25">
      <c r="V209"/>
      <c r="W209"/>
      <c r="X209"/>
      <c r="Y209"/>
    </row>
    <row r="210" spans="22:25" x14ac:dyDescent="0.25">
      <c r="V210"/>
      <c r="W210"/>
      <c r="X210"/>
      <c r="Y210"/>
    </row>
    <row r="211" spans="22:25" x14ac:dyDescent="0.25">
      <c r="V211"/>
      <c r="W211"/>
      <c r="X211"/>
      <c r="Y211"/>
    </row>
    <row r="212" spans="22:25" x14ac:dyDescent="0.25">
      <c r="V212"/>
      <c r="W212"/>
      <c r="X212"/>
      <c r="Y212"/>
    </row>
    <row r="213" spans="22:25" x14ac:dyDescent="0.25">
      <c r="V213"/>
      <c r="W213"/>
      <c r="X213"/>
      <c r="Y213"/>
    </row>
    <row r="214" spans="22:25" x14ac:dyDescent="0.25">
      <c r="V214"/>
      <c r="W214"/>
      <c r="X214"/>
      <c r="Y214"/>
    </row>
    <row r="215" spans="22:25" x14ac:dyDescent="0.25">
      <c r="V215"/>
      <c r="W215"/>
      <c r="X215"/>
      <c r="Y215"/>
    </row>
    <row r="216" spans="22:25" x14ac:dyDescent="0.25">
      <c r="V216"/>
      <c r="W216"/>
      <c r="X216"/>
      <c r="Y216"/>
    </row>
    <row r="217" spans="22:25" x14ac:dyDescent="0.25">
      <c r="V217"/>
      <c r="W217"/>
      <c r="X217"/>
      <c r="Y217"/>
    </row>
    <row r="218" spans="22:25" x14ac:dyDescent="0.25">
      <c r="V218"/>
      <c r="W218"/>
      <c r="X218"/>
      <c r="Y218"/>
    </row>
    <row r="219" spans="22:25" x14ac:dyDescent="0.25">
      <c r="V219"/>
      <c r="W219"/>
      <c r="X219"/>
      <c r="Y219"/>
    </row>
    <row r="220" spans="22:25" x14ac:dyDescent="0.25">
      <c r="V220"/>
      <c r="W220"/>
      <c r="X220"/>
      <c r="Y220"/>
    </row>
    <row r="221" spans="22:25" x14ac:dyDescent="0.25">
      <c r="V221"/>
      <c r="W221"/>
      <c r="X221"/>
      <c r="Y221"/>
    </row>
    <row r="222" spans="22:25" x14ac:dyDescent="0.25">
      <c r="V222"/>
      <c r="W222"/>
      <c r="X222"/>
      <c r="Y222"/>
    </row>
    <row r="223" spans="22:25" x14ac:dyDescent="0.25">
      <c r="V223"/>
      <c r="W223"/>
      <c r="X223"/>
      <c r="Y223"/>
    </row>
    <row r="224" spans="22:25" x14ac:dyDescent="0.25">
      <c r="V224"/>
      <c r="W224"/>
      <c r="X224"/>
      <c r="Y224"/>
    </row>
    <row r="225" spans="22:25" x14ac:dyDescent="0.25">
      <c r="V225"/>
      <c r="W225"/>
      <c r="X225"/>
      <c r="Y225"/>
    </row>
    <row r="226" spans="22:25" x14ac:dyDescent="0.25">
      <c r="V226"/>
      <c r="W226"/>
      <c r="X226"/>
      <c r="Y226"/>
    </row>
    <row r="227" spans="22:25" x14ac:dyDescent="0.25">
      <c r="V227"/>
      <c r="W227"/>
      <c r="X227"/>
      <c r="Y227"/>
    </row>
    <row r="228" spans="22:25" x14ac:dyDescent="0.25">
      <c r="V228"/>
      <c r="W228"/>
      <c r="X228"/>
      <c r="Y228"/>
    </row>
    <row r="229" spans="22:25" x14ac:dyDescent="0.25">
      <c r="V229"/>
      <c r="W229"/>
      <c r="X229"/>
      <c r="Y229"/>
    </row>
    <row r="230" spans="22:25" x14ac:dyDescent="0.25">
      <c r="V230"/>
      <c r="W230"/>
      <c r="X230"/>
      <c r="Y230"/>
    </row>
    <row r="231" spans="22:25" x14ac:dyDescent="0.25">
      <c r="V231"/>
      <c r="W231"/>
      <c r="X231"/>
      <c r="Y231"/>
    </row>
    <row r="232" spans="22:25" x14ac:dyDescent="0.25">
      <c r="V232"/>
      <c r="W232"/>
      <c r="X232"/>
      <c r="Y232"/>
    </row>
    <row r="233" spans="22:25" x14ac:dyDescent="0.25">
      <c r="V233"/>
      <c r="W233"/>
      <c r="X233"/>
      <c r="Y233"/>
    </row>
    <row r="234" spans="22:25" x14ac:dyDescent="0.25">
      <c r="V234"/>
      <c r="W234"/>
      <c r="X234"/>
      <c r="Y234"/>
    </row>
    <row r="235" spans="22:25" x14ac:dyDescent="0.25">
      <c r="V235"/>
      <c r="W235"/>
      <c r="X235"/>
      <c r="Y235"/>
    </row>
    <row r="236" spans="22:25" x14ac:dyDescent="0.25">
      <c r="V236"/>
      <c r="W236"/>
      <c r="X236"/>
      <c r="Y236"/>
    </row>
    <row r="237" spans="22:25" x14ac:dyDescent="0.25">
      <c r="V237"/>
      <c r="W237"/>
      <c r="X237"/>
      <c r="Y237"/>
    </row>
    <row r="238" spans="22:25" x14ac:dyDescent="0.25">
      <c r="V238"/>
      <c r="W238"/>
      <c r="X238"/>
      <c r="Y238"/>
    </row>
    <row r="239" spans="22:25" x14ac:dyDescent="0.25">
      <c r="V239"/>
      <c r="W239"/>
      <c r="X239"/>
      <c r="Y239"/>
    </row>
    <row r="240" spans="22:25" x14ac:dyDescent="0.25">
      <c r="V240"/>
      <c r="W240"/>
      <c r="X240"/>
      <c r="Y240"/>
    </row>
    <row r="241" spans="22:25" x14ac:dyDescent="0.25">
      <c r="V241"/>
      <c r="W241"/>
      <c r="X241"/>
      <c r="Y241"/>
    </row>
    <row r="242" spans="22:25" x14ac:dyDescent="0.25">
      <c r="V242"/>
      <c r="W242"/>
      <c r="X242"/>
      <c r="Y242"/>
    </row>
    <row r="243" spans="22:25" x14ac:dyDescent="0.25">
      <c r="V243"/>
      <c r="W243"/>
      <c r="X243"/>
      <c r="Y243"/>
    </row>
    <row r="244" spans="22:25" x14ac:dyDescent="0.25">
      <c r="V244"/>
      <c r="W244"/>
      <c r="X244"/>
      <c r="Y244"/>
    </row>
    <row r="245" spans="22:25" x14ac:dyDescent="0.25">
      <c r="V245"/>
      <c r="W245"/>
      <c r="X245"/>
      <c r="Y245"/>
    </row>
    <row r="246" spans="22:25" x14ac:dyDescent="0.25">
      <c r="V246"/>
      <c r="W246"/>
      <c r="X246"/>
      <c r="Y246"/>
    </row>
    <row r="247" spans="22:25" x14ac:dyDescent="0.25">
      <c r="V247"/>
      <c r="W247"/>
      <c r="X247"/>
      <c r="Y247"/>
    </row>
    <row r="248" spans="22:25" x14ac:dyDescent="0.25">
      <c r="V248"/>
      <c r="W248"/>
      <c r="X248"/>
      <c r="Y248"/>
    </row>
    <row r="249" spans="22:25" x14ac:dyDescent="0.25">
      <c r="V249"/>
      <c r="W249"/>
      <c r="X249"/>
      <c r="Y249"/>
    </row>
    <row r="250" spans="22:25" x14ac:dyDescent="0.25">
      <c r="V250"/>
      <c r="W250"/>
      <c r="X250"/>
      <c r="Y250"/>
    </row>
    <row r="251" spans="22:25" x14ac:dyDescent="0.25">
      <c r="V251"/>
      <c r="W251"/>
      <c r="X251"/>
      <c r="Y251"/>
    </row>
    <row r="252" spans="22:25" x14ac:dyDescent="0.25">
      <c r="V252"/>
      <c r="W252"/>
      <c r="X252"/>
      <c r="Y252"/>
    </row>
    <row r="253" spans="22:25" x14ac:dyDescent="0.25">
      <c r="V253"/>
      <c r="W253"/>
      <c r="X253"/>
      <c r="Y253"/>
    </row>
    <row r="254" spans="22:25" x14ac:dyDescent="0.25">
      <c r="V254"/>
      <c r="W254"/>
      <c r="X254"/>
      <c r="Y254"/>
    </row>
    <row r="255" spans="22:25" x14ac:dyDescent="0.25">
      <c r="V255"/>
      <c r="W255"/>
      <c r="X255"/>
      <c r="Y255"/>
    </row>
    <row r="256" spans="22:25" x14ac:dyDescent="0.25">
      <c r="V256"/>
      <c r="W256"/>
      <c r="X256"/>
      <c r="Y256"/>
    </row>
    <row r="257" spans="22:25" x14ac:dyDescent="0.25">
      <c r="V257"/>
      <c r="W257"/>
      <c r="X257"/>
      <c r="Y257"/>
    </row>
    <row r="258" spans="22:25" x14ac:dyDescent="0.25">
      <c r="V258"/>
      <c r="W258"/>
      <c r="X258"/>
      <c r="Y258"/>
    </row>
    <row r="259" spans="22:25" x14ac:dyDescent="0.25">
      <c r="V259"/>
      <c r="W259"/>
      <c r="X259"/>
      <c r="Y259"/>
    </row>
    <row r="260" spans="22:25" x14ac:dyDescent="0.25">
      <c r="V260"/>
      <c r="W260"/>
      <c r="X260"/>
      <c r="Y260"/>
    </row>
    <row r="261" spans="22:25" x14ac:dyDescent="0.25">
      <c r="V261"/>
      <c r="W261"/>
      <c r="X261"/>
      <c r="Y261"/>
    </row>
    <row r="262" spans="22:25" x14ac:dyDescent="0.25">
      <c r="V262"/>
      <c r="W262"/>
      <c r="X262"/>
      <c r="Y262"/>
    </row>
    <row r="263" spans="22:25" x14ac:dyDescent="0.25">
      <c r="V263"/>
      <c r="W263"/>
      <c r="X263"/>
      <c r="Y263"/>
    </row>
    <row r="264" spans="22:25" x14ac:dyDescent="0.25">
      <c r="V264"/>
      <c r="W264"/>
      <c r="X264"/>
      <c r="Y264"/>
    </row>
    <row r="265" spans="22:25" x14ac:dyDescent="0.25">
      <c r="V265"/>
      <c r="W265"/>
      <c r="X265"/>
      <c r="Y265"/>
    </row>
    <row r="266" spans="22:25" x14ac:dyDescent="0.25">
      <c r="V266"/>
      <c r="W266"/>
      <c r="X266"/>
      <c r="Y266"/>
    </row>
    <row r="267" spans="22:25" x14ac:dyDescent="0.25">
      <c r="V267"/>
      <c r="W267"/>
      <c r="X267"/>
      <c r="Y267"/>
    </row>
    <row r="268" spans="22:25" x14ac:dyDescent="0.25">
      <c r="V268"/>
      <c r="W268"/>
      <c r="X268"/>
      <c r="Y268"/>
    </row>
    <row r="269" spans="22:25" x14ac:dyDescent="0.25">
      <c r="V269"/>
      <c r="W269"/>
      <c r="X269"/>
      <c r="Y269"/>
    </row>
    <row r="270" spans="22:25" x14ac:dyDescent="0.25">
      <c r="V270"/>
      <c r="W270"/>
      <c r="X270"/>
      <c r="Y270"/>
    </row>
    <row r="271" spans="22:25" x14ac:dyDescent="0.25">
      <c r="V271"/>
      <c r="W271"/>
      <c r="X271"/>
      <c r="Y271"/>
    </row>
    <row r="272" spans="22:25" x14ac:dyDescent="0.25">
      <c r="V272"/>
      <c r="W272"/>
      <c r="X272"/>
      <c r="Y272"/>
    </row>
    <row r="273" spans="22:25" x14ac:dyDescent="0.25">
      <c r="V273"/>
      <c r="W273"/>
      <c r="X273"/>
      <c r="Y273"/>
    </row>
    <row r="274" spans="22:25" x14ac:dyDescent="0.25">
      <c r="V274"/>
      <c r="W274"/>
      <c r="X274"/>
      <c r="Y274"/>
    </row>
    <row r="275" spans="22:25" x14ac:dyDescent="0.25">
      <c r="V275"/>
      <c r="W275"/>
      <c r="X275"/>
      <c r="Y275"/>
    </row>
    <row r="276" spans="22:25" x14ac:dyDescent="0.25">
      <c r="V276"/>
      <c r="W276"/>
      <c r="X276"/>
      <c r="Y276"/>
    </row>
    <row r="277" spans="22:25" x14ac:dyDescent="0.25">
      <c r="V277"/>
      <c r="W277"/>
      <c r="X277"/>
      <c r="Y277"/>
    </row>
    <row r="278" spans="22:25" x14ac:dyDescent="0.25">
      <c r="V278"/>
      <c r="W278"/>
      <c r="X278"/>
      <c r="Y278"/>
    </row>
    <row r="279" spans="22:25" x14ac:dyDescent="0.25">
      <c r="V279"/>
      <c r="W279"/>
      <c r="X279"/>
      <c r="Y279"/>
    </row>
    <row r="280" spans="22:25" x14ac:dyDescent="0.25">
      <c r="V280"/>
      <c r="W280"/>
      <c r="X280"/>
      <c r="Y280"/>
    </row>
    <row r="281" spans="22:25" x14ac:dyDescent="0.25">
      <c r="V281"/>
      <c r="W281"/>
      <c r="X281"/>
      <c r="Y281"/>
    </row>
    <row r="282" spans="22:25" x14ac:dyDescent="0.25">
      <c r="V282"/>
      <c r="W282"/>
      <c r="X282"/>
      <c r="Y282"/>
    </row>
    <row r="283" spans="22:25" x14ac:dyDescent="0.25">
      <c r="V283"/>
      <c r="W283"/>
      <c r="X283"/>
      <c r="Y283"/>
    </row>
    <row r="284" spans="22:25" x14ac:dyDescent="0.25">
      <c r="V284"/>
      <c r="W284"/>
      <c r="X284"/>
      <c r="Y284"/>
    </row>
    <row r="285" spans="22:25" x14ac:dyDescent="0.25">
      <c r="V285"/>
      <c r="W285"/>
      <c r="X285"/>
      <c r="Y285"/>
    </row>
    <row r="286" spans="22:25" x14ac:dyDescent="0.25">
      <c r="V286"/>
      <c r="W286"/>
      <c r="X286"/>
      <c r="Y286"/>
    </row>
    <row r="287" spans="22:25" x14ac:dyDescent="0.25">
      <c r="V287"/>
      <c r="W287"/>
      <c r="X287"/>
      <c r="Y287"/>
    </row>
    <row r="288" spans="22:25" x14ac:dyDescent="0.25">
      <c r="V288"/>
      <c r="W288"/>
      <c r="X288"/>
      <c r="Y288"/>
    </row>
    <row r="289" spans="22:25" x14ac:dyDescent="0.25">
      <c r="V289"/>
      <c r="W289"/>
      <c r="X289"/>
      <c r="Y289"/>
    </row>
    <row r="290" spans="22:25" x14ac:dyDescent="0.25">
      <c r="V290"/>
      <c r="W290"/>
      <c r="X290"/>
      <c r="Y290"/>
    </row>
    <row r="291" spans="22:25" x14ac:dyDescent="0.25">
      <c r="V291"/>
      <c r="W291"/>
      <c r="X291"/>
      <c r="Y291"/>
    </row>
    <row r="292" spans="22:25" x14ac:dyDescent="0.25">
      <c r="V292"/>
      <c r="W292"/>
      <c r="X292"/>
      <c r="Y292"/>
    </row>
    <row r="293" spans="22:25" x14ac:dyDescent="0.25">
      <c r="V293"/>
      <c r="W293"/>
      <c r="X293"/>
      <c r="Y293"/>
    </row>
    <row r="294" spans="22:25" x14ac:dyDescent="0.25">
      <c r="V294"/>
      <c r="W294"/>
      <c r="X294"/>
      <c r="Y294"/>
    </row>
    <row r="295" spans="22:25" x14ac:dyDescent="0.25">
      <c r="V295"/>
      <c r="W295"/>
      <c r="X295"/>
      <c r="Y295"/>
    </row>
    <row r="296" spans="22:25" x14ac:dyDescent="0.25">
      <c r="V296"/>
      <c r="W296"/>
      <c r="X296"/>
      <c r="Y296"/>
    </row>
    <row r="297" spans="22:25" x14ac:dyDescent="0.25">
      <c r="V297"/>
      <c r="W297"/>
      <c r="X297"/>
      <c r="Y297"/>
    </row>
    <row r="298" spans="22:25" x14ac:dyDescent="0.25">
      <c r="V298"/>
      <c r="W298"/>
      <c r="X298"/>
      <c r="Y298"/>
    </row>
    <row r="299" spans="22:25" x14ac:dyDescent="0.25">
      <c r="V299"/>
      <c r="W299"/>
      <c r="X299"/>
      <c r="Y299"/>
    </row>
    <row r="300" spans="22:25" x14ac:dyDescent="0.25">
      <c r="V300"/>
      <c r="W300"/>
      <c r="X300"/>
      <c r="Y300"/>
    </row>
    <row r="301" spans="22:25" x14ac:dyDescent="0.25">
      <c r="V301"/>
      <c r="W301"/>
      <c r="X301"/>
      <c r="Y301"/>
    </row>
    <row r="302" spans="22:25" x14ac:dyDescent="0.25">
      <c r="V302"/>
      <c r="W302"/>
      <c r="X302"/>
      <c r="Y302"/>
    </row>
    <row r="303" spans="22:25" x14ac:dyDescent="0.25">
      <c r="V303"/>
      <c r="W303"/>
      <c r="X303"/>
      <c r="Y303"/>
    </row>
    <row r="304" spans="22:25" x14ac:dyDescent="0.25">
      <c r="V304"/>
      <c r="W304"/>
      <c r="X304"/>
      <c r="Y304"/>
    </row>
    <row r="305" spans="22:25" x14ac:dyDescent="0.25">
      <c r="V305"/>
      <c r="W305"/>
      <c r="X305"/>
      <c r="Y305"/>
    </row>
    <row r="306" spans="22:25" x14ac:dyDescent="0.25">
      <c r="V306"/>
      <c r="W306"/>
      <c r="X306"/>
      <c r="Y306"/>
    </row>
    <row r="307" spans="22:25" x14ac:dyDescent="0.25">
      <c r="V307"/>
      <c r="W307"/>
      <c r="X307"/>
      <c r="Y307"/>
    </row>
    <row r="308" spans="22:25" x14ac:dyDescent="0.25">
      <c r="V308"/>
      <c r="W308"/>
      <c r="X308"/>
      <c r="Y308"/>
    </row>
    <row r="309" spans="22:25" x14ac:dyDescent="0.25">
      <c r="V309"/>
      <c r="W309"/>
      <c r="X309"/>
      <c r="Y309"/>
    </row>
    <row r="310" spans="22:25" x14ac:dyDescent="0.25">
      <c r="V310"/>
      <c r="W310"/>
      <c r="X310"/>
      <c r="Y310"/>
    </row>
    <row r="311" spans="22:25" x14ac:dyDescent="0.25">
      <c r="V311"/>
      <c r="W311"/>
      <c r="X311"/>
      <c r="Y311"/>
    </row>
    <row r="312" spans="22:25" x14ac:dyDescent="0.25">
      <c r="V312"/>
      <c r="W312"/>
      <c r="X312"/>
      <c r="Y312"/>
    </row>
    <row r="313" spans="22:25" x14ac:dyDescent="0.25">
      <c r="V313"/>
      <c r="W313"/>
      <c r="X313"/>
      <c r="Y313"/>
    </row>
    <row r="314" spans="22:25" x14ac:dyDescent="0.25">
      <c r="V314"/>
      <c r="W314"/>
      <c r="X314"/>
      <c r="Y314"/>
    </row>
    <row r="315" spans="22:25" x14ac:dyDescent="0.25">
      <c r="V315"/>
      <c r="W315"/>
      <c r="X315"/>
      <c r="Y315"/>
    </row>
    <row r="316" spans="22:25" x14ac:dyDescent="0.25">
      <c r="V316"/>
      <c r="W316"/>
      <c r="X316"/>
      <c r="Y316"/>
    </row>
    <row r="317" spans="22:25" x14ac:dyDescent="0.25">
      <c r="V317"/>
      <c r="W317"/>
      <c r="X317"/>
      <c r="Y317"/>
    </row>
    <row r="318" spans="22:25" x14ac:dyDescent="0.25">
      <c r="V318"/>
      <c r="W318"/>
      <c r="X318"/>
      <c r="Y318"/>
    </row>
    <row r="319" spans="22:25" x14ac:dyDescent="0.25">
      <c r="V319"/>
      <c r="W319"/>
      <c r="X319"/>
      <c r="Y319"/>
    </row>
    <row r="320" spans="22:25" x14ac:dyDescent="0.25">
      <c r="V320"/>
      <c r="W320"/>
      <c r="X320"/>
      <c r="Y320"/>
    </row>
    <row r="321" spans="22:25" x14ac:dyDescent="0.25">
      <c r="V321"/>
      <c r="W321"/>
      <c r="X321"/>
      <c r="Y321"/>
    </row>
    <row r="322" spans="22:25" x14ac:dyDescent="0.25">
      <c r="V322"/>
      <c r="W322"/>
      <c r="X322"/>
      <c r="Y322"/>
    </row>
    <row r="323" spans="22:25" x14ac:dyDescent="0.25">
      <c r="V323"/>
      <c r="W323"/>
      <c r="X323"/>
      <c r="Y323"/>
    </row>
    <row r="324" spans="22:25" x14ac:dyDescent="0.25">
      <c r="V324"/>
      <c r="W324"/>
      <c r="X324"/>
      <c r="Y324"/>
    </row>
    <row r="325" spans="22:25" x14ac:dyDescent="0.25">
      <c r="V325"/>
      <c r="W325"/>
      <c r="X325"/>
      <c r="Y325"/>
    </row>
    <row r="326" spans="22:25" x14ac:dyDescent="0.25">
      <c r="V326"/>
      <c r="W326"/>
      <c r="X326"/>
      <c r="Y326"/>
    </row>
    <row r="327" spans="22:25" x14ac:dyDescent="0.25">
      <c r="V327"/>
      <c r="W327"/>
      <c r="X327"/>
      <c r="Y327"/>
    </row>
    <row r="328" spans="22:25" x14ac:dyDescent="0.25">
      <c r="V328"/>
      <c r="W328"/>
      <c r="X328"/>
      <c r="Y328"/>
    </row>
    <row r="329" spans="22:25" x14ac:dyDescent="0.25">
      <c r="V329"/>
      <c r="W329"/>
      <c r="X329"/>
      <c r="Y329"/>
    </row>
    <row r="330" spans="22:25" x14ac:dyDescent="0.25">
      <c r="V330"/>
      <c r="W330"/>
      <c r="X330"/>
      <c r="Y330"/>
    </row>
    <row r="331" spans="22:25" x14ac:dyDescent="0.25">
      <c r="V331"/>
      <c r="W331"/>
      <c r="X331"/>
      <c r="Y331"/>
    </row>
    <row r="332" spans="22:25" x14ac:dyDescent="0.25">
      <c r="V332"/>
      <c r="W332"/>
      <c r="X332"/>
      <c r="Y332"/>
    </row>
    <row r="333" spans="22:25" x14ac:dyDescent="0.25">
      <c r="V333"/>
      <c r="W333"/>
      <c r="X333"/>
      <c r="Y333"/>
    </row>
    <row r="334" spans="22:25" x14ac:dyDescent="0.25">
      <c r="V334"/>
      <c r="W334"/>
      <c r="X334"/>
      <c r="Y334"/>
    </row>
    <row r="335" spans="22:25" x14ac:dyDescent="0.25">
      <c r="V335"/>
      <c r="W335"/>
      <c r="X335"/>
      <c r="Y335"/>
    </row>
    <row r="336" spans="22:25" x14ac:dyDescent="0.25">
      <c r="V336"/>
      <c r="W336"/>
      <c r="X336"/>
      <c r="Y336"/>
    </row>
    <row r="337" spans="22:25" x14ac:dyDescent="0.25">
      <c r="V337"/>
      <c r="W337"/>
      <c r="X337"/>
      <c r="Y337"/>
    </row>
    <row r="338" spans="22:25" x14ac:dyDescent="0.25">
      <c r="V338"/>
      <c r="W338"/>
      <c r="X338"/>
      <c r="Y338"/>
    </row>
    <row r="339" spans="22:25" x14ac:dyDescent="0.25">
      <c r="V339"/>
      <c r="W339"/>
      <c r="X339"/>
      <c r="Y339"/>
    </row>
    <row r="340" spans="22:25" x14ac:dyDescent="0.25">
      <c r="V340"/>
      <c r="W340"/>
      <c r="X340"/>
      <c r="Y340"/>
    </row>
    <row r="341" spans="22:25" x14ac:dyDescent="0.25">
      <c r="V341"/>
      <c r="W341"/>
      <c r="X341"/>
      <c r="Y341"/>
    </row>
    <row r="342" spans="22:25" x14ac:dyDescent="0.25">
      <c r="V342"/>
      <c r="W342"/>
      <c r="X342"/>
      <c r="Y342"/>
    </row>
    <row r="343" spans="22:25" x14ac:dyDescent="0.25">
      <c r="V343"/>
      <c r="W343"/>
      <c r="X343"/>
      <c r="Y343"/>
    </row>
    <row r="344" spans="22:25" x14ac:dyDescent="0.25">
      <c r="V344"/>
      <c r="W344"/>
      <c r="X344"/>
      <c r="Y344"/>
    </row>
    <row r="345" spans="22:25" x14ac:dyDescent="0.25">
      <c r="V345"/>
      <c r="W345"/>
      <c r="X345"/>
      <c r="Y345"/>
    </row>
    <row r="346" spans="22:25" x14ac:dyDescent="0.25">
      <c r="V346"/>
      <c r="W346"/>
      <c r="X346"/>
      <c r="Y346"/>
    </row>
    <row r="347" spans="22:25" x14ac:dyDescent="0.25">
      <c r="V347"/>
      <c r="W347"/>
      <c r="X347"/>
      <c r="Y347"/>
    </row>
    <row r="348" spans="22:25" x14ac:dyDescent="0.25">
      <c r="V348"/>
      <c r="W348"/>
      <c r="X348"/>
      <c r="Y348"/>
    </row>
    <row r="349" spans="22:25" x14ac:dyDescent="0.25">
      <c r="V349"/>
      <c r="W349"/>
      <c r="X349"/>
      <c r="Y349"/>
    </row>
    <row r="350" spans="22:25" x14ac:dyDescent="0.25">
      <c r="V350"/>
      <c r="W350"/>
      <c r="X350"/>
      <c r="Y350"/>
    </row>
    <row r="351" spans="22:25" x14ac:dyDescent="0.25">
      <c r="V351"/>
      <c r="W351"/>
      <c r="X351"/>
      <c r="Y351"/>
    </row>
    <row r="352" spans="22:25" x14ac:dyDescent="0.25">
      <c r="V352"/>
      <c r="W352"/>
      <c r="X352"/>
      <c r="Y352"/>
    </row>
    <row r="353" spans="22:25" x14ac:dyDescent="0.25">
      <c r="V353"/>
      <c r="W353"/>
      <c r="X353"/>
      <c r="Y353"/>
    </row>
    <row r="354" spans="22:25" x14ac:dyDescent="0.25">
      <c r="V354"/>
      <c r="W354"/>
      <c r="X354"/>
      <c r="Y354"/>
    </row>
    <row r="355" spans="22:25" x14ac:dyDescent="0.25">
      <c r="V355"/>
      <c r="W355"/>
      <c r="X355"/>
      <c r="Y355"/>
    </row>
    <row r="356" spans="22:25" x14ac:dyDescent="0.25">
      <c r="V356"/>
      <c r="W356"/>
      <c r="X356"/>
      <c r="Y356"/>
    </row>
    <row r="357" spans="22:25" x14ac:dyDescent="0.25">
      <c r="V357"/>
      <c r="W357"/>
      <c r="X357"/>
      <c r="Y357"/>
    </row>
    <row r="358" spans="22:25" x14ac:dyDescent="0.25">
      <c r="V358"/>
      <c r="W358"/>
      <c r="X358"/>
      <c r="Y358"/>
    </row>
    <row r="359" spans="22:25" x14ac:dyDescent="0.25">
      <c r="V359"/>
      <c r="W359"/>
      <c r="X359"/>
      <c r="Y359"/>
    </row>
    <row r="360" spans="22:25" x14ac:dyDescent="0.25">
      <c r="V360"/>
      <c r="W360"/>
      <c r="X360"/>
      <c r="Y360"/>
    </row>
    <row r="361" spans="22:25" x14ac:dyDescent="0.25">
      <c r="V361"/>
      <c r="W361"/>
      <c r="X361"/>
      <c r="Y361"/>
    </row>
    <row r="362" spans="22:25" x14ac:dyDescent="0.25">
      <c r="V362"/>
      <c r="W362"/>
      <c r="X362"/>
      <c r="Y362"/>
    </row>
    <row r="363" spans="22:25" x14ac:dyDescent="0.25">
      <c r="V363"/>
      <c r="W363"/>
      <c r="X363"/>
      <c r="Y363"/>
    </row>
    <row r="364" spans="22:25" x14ac:dyDescent="0.25">
      <c r="V364"/>
      <c r="W364"/>
      <c r="X364"/>
      <c r="Y364"/>
    </row>
    <row r="365" spans="22:25" x14ac:dyDescent="0.25">
      <c r="V365"/>
      <c r="W365"/>
      <c r="X365"/>
      <c r="Y365"/>
    </row>
  </sheetData>
  <mergeCells count="4">
    <mergeCell ref="C1:F1"/>
    <mergeCell ref="G1:J1"/>
    <mergeCell ref="K1:O1"/>
    <mergeCell ref="P1:T1"/>
  </mergeCells>
  <pageMargins left="0.7" right="0.7" top="0.75" bottom="0.75" header="0.3" footer="0.3"/>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F43"/>
  <sheetViews>
    <sheetView zoomScale="110" zoomScaleNormal="110" workbookViewId="0">
      <pane xSplit="2" topLeftCell="C1" activePane="topRight" state="frozen"/>
      <selection activeCell="I30" sqref="I30"/>
      <selection pane="topRight" activeCell="I30" sqref="I30"/>
    </sheetView>
  </sheetViews>
  <sheetFormatPr defaultColWidth="9.1796875" defaultRowHeight="13" x14ac:dyDescent="0.3"/>
  <cols>
    <col min="1" max="1" width="21" style="32" bestFit="1" customWidth="1"/>
    <col min="2" max="2" width="11.7265625" style="34" bestFit="1" customWidth="1"/>
    <col min="3" max="3" width="11.7265625" style="33" bestFit="1" customWidth="1"/>
    <col min="4" max="4" width="12" style="33" bestFit="1" customWidth="1"/>
    <col min="5" max="5" width="12.453125" style="33" bestFit="1" customWidth="1"/>
    <col min="6" max="6" width="10.26953125" style="33" bestFit="1" customWidth="1"/>
    <col min="7" max="7" width="12.7265625" style="33" bestFit="1" customWidth="1"/>
    <col min="8" max="8" width="10.26953125" style="33" bestFit="1" customWidth="1"/>
    <col min="9" max="9" width="8.1796875" style="33" bestFit="1" customWidth="1"/>
    <col min="10" max="10" width="7.54296875" style="33" bestFit="1" customWidth="1"/>
    <col min="11" max="11" width="11.54296875" style="33" bestFit="1" customWidth="1"/>
    <col min="12" max="12" width="11.453125" style="33" bestFit="1" customWidth="1"/>
    <col min="13" max="13" width="8.1796875" style="33" bestFit="1" customWidth="1"/>
    <col min="14" max="14" width="10" style="33" bestFit="1" customWidth="1"/>
    <col min="15" max="15" width="11.54296875" style="33" bestFit="1" customWidth="1"/>
    <col min="16" max="16" width="10.26953125" style="33" bestFit="1" customWidth="1"/>
    <col min="17" max="17" width="8.1796875" style="33" bestFit="1" customWidth="1"/>
    <col min="18" max="18" width="9.26953125" style="33" bestFit="1" customWidth="1"/>
    <col min="19" max="19" width="7.7265625" style="33" bestFit="1" customWidth="1"/>
    <col min="20" max="20" width="7.26953125" style="33" customWidth="1"/>
    <col min="21" max="21" width="5.54296875" style="33" customWidth="1"/>
    <col min="22" max="22" width="5" style="33" bestFit="1" customWidth="1"/>
    <col min="23" max="23" width="8.54296875" style="33" bestFit="1" customWidth="1"/>
    <col min="24" max="24" width="6.7265625" style="33" customWidth="1"/>
    <col min="25" max="25" width="5" style="32" bestFit="1" customWidth="1"/>
    <col min="26" max="26" width="8.26953125" style="32" bestFit="1" customWidth="1"/>
    <col min="27" max="27" width="8.26953125" style="32" customWidth="1"/>
    <col min="28" max="28" width="7" style="32" bestFit="1" customWidth="1"/>
    <col min="29" max="29" width="12" style="32" bestFit="1" customWidth="1"/>
    <col min="30" max="30" width="9.26953125" style="32" bestFit="1" customWidth="1"/>
    <col min="31" max="31" width="2.54296875" style="32" customWidth="1"/>
    <col min="32" max="16384" width="9.1796875" style="32"/>
  </cols>
  <sheetData>
    <row r="1" spans="1:24" x14ac:dyDescent="0.3">
      <c r="A1" s="34" t="s">
        <v>331</v>
      </c>
    </row>
    <row r="2" spans="1:24" x14ac:dyDescent="0.3">
      <c r="C2" s="34" t="s">
        <v>330</v>
      </c>
    </row>
    <row r="3" spans="1:24" x14ac:dyDescent="0.3">
      <c r="C3" s="903" t="s">
        <v>208</v>
      </c>
      <c r="D3" s="904"/>
      <c r="E3" s="904"/>
      <c r="F3" s="905"/>
      <c r="G3" s="903" t="s">
        <v>264</v>
      </c>
      <c r="H3" s="904"/>
      <c r="I3" s="904"/>
      <c r="J3" s="905"/>
      <c r="K3" s="903" t="s">
        <v>261</v>
      </c>
      <c r="L3" s="904"/>
      <c r="M3" s="904"/>
      <c r="N3" s="905"/>
      <c r="O3" s="903" t="s">
        <v>262</v>
      </c>
      <c r="P3" s="904"/>
      <c r="Q3" s="904"/>
      <c r="R3" s="905"/>
      <c r="S3" s="165"/>
      <c r="T3" s="165"/>
      <c r="U3" s="165"/>
      <c r="V3" s="165"/>
      <c r="W3" s="165"/>
      <c r="X3" s="165"/>
    </row>
    <row r="4" spans="1:24" x14ac:dyDescent="0.3">
      <c r="B4" s="34" t="s">
        <v>134</v>
      </c>
      <c r="C4" s="547" t="s">
        <v>31</v>
      </c>
      <c r="D4" s="202" t="s">
        <v>62</v>
      </c>
      <c r="E4" s="202" t="s">
        <v>260</v>
      </c>
      <c r="F4" s="548" t="s">
        <v>203</v>
      </c>
      <c r="G4" s="547" t="s">
        <v>31</v>
      </c>
      <c r="H4" s="202" t="s">
        <v>62</v>
      </c>
      <c r="I4" s="202" t="s">
        <v>260</v>
      </c>
      <c r="J4" s="548" t="s">
        <v>203</v>
      </c>
      <c r="K4" s="549" t="s">
        <v>31</v>
      </c>
      <c r="L4" s="208" t="s">
        <v>62</v>
      </c>
      <c r="M4" s="208" t="s">
        <v>260</v>
      </c>
      <c r="N4" s="550" t="s">
        <v>203</v>
      </c>
      <c r="O4" s="549" t="s">
        <v>31</v>
      </c>
      <c r="P4" s="208" t="s">
        <v>62</v>
      </c>
      <c r="Q4" s="208" t="s">
        <v>260</v>
      </c>
      <c r="R4" s="550" t="s">
        <v>203</v>
      </c>
      <c r="S4" s="208"/>
      <c r="T4" s="208"/>
      <c r="U4" s="208"/>
      <c r="V4" s="208"/>
      <c r="W4" s="208"/>
      <c r="X4" s="208"/>
    </row>
    <row r="5" spans="1:24" x14ac:dyDescent="0.3">
      <c r="B5" s="34">
        <v>32</v>
      </c>
      <c r="C5" s="770">
        <v>0</v>
      </c>
      <c r="D5" s="714"/>
      <c r="E5" s="714"/>
      <c r="F5" s="715"/>
      <c r="G5" s="551" t="str">
        <f>'2014 comm sample'!K5</f>
        <v>na</v>
      </c>
      <c r="H5" s="552" t="str">
        <f>'2014 comm sample'!L5</f>
        <v>na</v>
      </c>
      <c r="I5" s="552" t="str">
        <f>'2014 comm sample'!M5</f>
        <v>na</v>
      </c>
      <c r="J5" s="552" t="str">
        <f>'2014 comm sample'!N5</f>
        <v>na</v>
      </c>
      <c r="K5" s="553" t="str">
        <f>IF(C5&gt;0,'2014 comm sample'!C5/'2014 Comm catch'!C5,"na")</f>
        <v>na</v>
      </c>
      <c r="L5" s="554" t="str">
        <f>IF(D5&gt;0,'2014 comm sample'!D5/'2014 Comm catch'!D5,"na")</f>
        <v>na</v>
      </c>
      <c r="M5" s="554" t="str">
        <f>IF(E5&gt;0,'2014 comm sample'!E5/'2014 Comm catch'!E5,"na")</f>
        <v>na</v>
      </c>
      <c r="N5" s="554" t="str">
        <f>IF(F5&gt;0,'2014 comm sample'!F5/'2014 Comm catch'!F5,"na")</f>
        <v>na</v>
      </c>
      <c r="O5" s="555" t="str">
        <f t="shared" ref="O5:R18" si="0">IF(G5&lt;&gt;"na",C5*G5,"na")</f>
        <v>na</v>
      </c>
      <c r="P5" s="556" t="str">
        <f t="shared" si="0"/>
        <v>na</v>
      </c>
      <c r="Q5" s="556" t="str">
        <f t="shared" si="0"/>
        <v>na</v>
      </c>
      <c r="R5" s="557" t="str">
        <f t="shared" si="0"/>
        <v>na</v>
      </c>
      <c r="S5" s="514"/>
      <c r="T5" s="514"/>
      <c r="U5" s="514"/>
      <c r="V5" s="514"/>
      <c r="W5" s="514"/>
      <c r="X5" s="514"/>
    </row>
    <row r="6" spans="1:24" x14ac:dyDescent="0.3">
      <c r="B6" s="34">
        <v>33</v>
      </c>
      <c r="C6" s="770">
        <v>13</v>
      </c>
      <c r="D6" s="714"/>
      <c r="E6" s="714"/>
      <c r="F6" s="715"/>
      <c r="G6" s="551">
        <f>'2014 comm sample'!K6</f>
        <v>0</v>
      </c>
      <c r="H6" s="552" t="str">
        <f>'2014 comm sample'!L6</f>
        <v>na</v>
      </c>
      <c r="I6" s="552" t="str">
        <f>'2014 comm sample'!M6</f>
        <v>na</v>
      </c>
      <c r="J6" s="552" t="str">
        <f>'2014 comm sample'!N6</f>
        <v>na</v>
      </c>
      <c r="K6" s="558">
        <f>IF(C6&gt;0,'2014 comm sample'!C6/'2014 Comm catch'!C6,"na")</f>
        <v>0.53846153846153844</v>
      </c>
      <c r="L6" s="559" t="str">
        <f>IF(D6&gt;0,'2014 comm sample'!D6/'2014 Comm catch'!D6,"na")</f>
        <v>na</v>
      </c>
      <c r="M6" s="559" t="str">
        <f>IF(E6&gt;0,'2014 comm sample'!E6/'2014 Comm catch'!E6,"na")</f>
        <v>na</v>
      </c>
      <c r="N6" s="559" t="str">
        <f>IF(F6&gt;0,'2014 comm sample'!F6/'2014 Comm catch'!F6,"na")</f>
        <v>na</v>
      </c>
      <c r="O6" s="560">
        <f t="shared" si="0"/>
        <v>0</v>
      </c>
      <c r="P6" s="514" t="str">
        <f t="shared" si="0"/>
        <v>na</v>
      </c>
      <c r="Q6" s="514" t="str">
        <f t="shared" si="0"/>
        <v>na</v>
      </c>
      <c r="R6" s="563" t="str">
        <f t="shared" si="0"/>
        <v>na</v>
      </c>
      <c r="S6" s="514"/>
      <c r="T6" s="514"/>
      <c r="U6" s="514"/>
      <c r="V6" s="514"/>
      <c r="W6" s="514"/>
      <c r="X6" s="514"/>
    </row>
    <row r="7" spans="1:24" x14ac:dyDescent="0.3">
      <c r="B7" s="34">
        <v>34</v>
      </c>
      <c r="C7" s="770">
        <v>3</v>
      </c>
      <c r="D7" s="714"/>
      <c r="E7" s="714"/>
      <c r="F7" s="772">
        <v>4</v>
      </c>
      <c r="G7" s="551">
        <f>'2014 comm sample'!K7</f>
        <v>0.33333333333333331</v>
      </c>
      <c r="H7" s="552" t="str">
        <f>'2014 comm sample'!L7</f>
        <v>na</v>
      </c>
      <c r="I7" s="552" t="str">
        <f>'2014 comm sample'!M7</f>
        <v>na</v>
      </c>
      <c r="J7" s="552">
        <f>'2014 comm sample'!N7</f>
        <v>0.25</v>
      </c>
      <c r="K7" s="558">
        <f>IF(C7&gt;0,'2014 comm sample'!C7/'2014 Comm catch'!C7,"na")</f>
        <v>1</v>
      </c>
      <c r="L7" s="559" t="str">
        <f>IF(D7&gt;0,'2014 comm sample'!D7/'2014 Comm catch'!D7,"na")</f>
        <v>na</v>
      </c>
      <c r="M7" s="559" t="str">
        <f>IF(E7&gt;0,'2014 comm sample'!E7/'2014 Comm catch'!E7,"na")</f>
        <v>na</v>
      </c>
      <c r="N7" s="559">
        <f>IF(F7&gt;0,'2014 comm sample'!F7/'2014 Comm catch'!F7,"na")</f>
        <v>1</v>
      </c>
      <c r="O7" s="560">
        <f t="shared" si="0"/>
        <v>1</v>
      </c>
      <c r="P7" s="514" t="str">
        <f t="shared" si="0"/>
        <v>na</v>
      </c>
      <c r="Q7" s="514" t="str">
        <f t="shared" si="0"/>
        <v>na</v>
      </c>
      <c r="R7" s="563">
        <f t="shared" si="0"/>
        <v>1</v>
      </c>
      <c r="S7" s="514"/>
      <c r="T7" s="514"/>
      <c r="U7" s="514"/>
      <c r="V7" s="514"/>
      <c r="W7" s="514"/>
      <c r="X7" s="514"/>
    </row>
    <row r="8" spans="1:24" x14ac:dyDescent="0.3">
      <c r="B8" s="34">
        <v>35</v>
      </c>
      <c r="C8" s="770">
        <v>179</v>
      </c>
      <c r="D8" s="771">
        <v>217</v>
      </c>
      <c r="E8" s="771">
        <v>68</v>
      </c>
      <c r="F8" s="772">
        <v>18</v>
      </c>
      <c r="G8" s="551">
        <f>'2014 comm sample'!K8</f>
        <v>7.5471698113207544E-2</v>
      </c>
      <c r="H8" s="552">
        <f>'2014 comm sample'!L8</f>
        <v>0.16129032258064516</v>
      </c>
      <c r="I8" s="552">
        <f>'2014 comm sample'!M8</f>
        <v>8.6956521739130432E-2</v>
      </c>
      <c r="J8" s="552">
        <f>'2014 comm sample'!N8</f>
        <v>7.6923076923076927E-2</v>
      </c>
      <c r="K8" s="558">
        <f>IF(C8&gt;0,'2014 comm sample'!C8/'2014 Comm catch'!C8,"na")</f>
        <v>0.29608938547486036</v>
      </c>
      <c r="L8" s="559">
        <f>IF(D8&gt;0,'2014 comm sample'!D8/'2014 Comm catch'!D8,"na")</f>
        <v>0.2857142857142857</v>
      </c>
      <c r="M8" s="559">
        <f>IF(E8&gt;0,'2014 comm sample'!E8/'2014 Comm catch'!E8,"na")</f>
        <v>0.33823529411764708</v>
      </c>
      <c r="N8" s="559">
        <f>IF(F8&gt;0,'2014 comm sample'!F8/'2014 Comm catch'!F8,"na")</f>
        <v>0.72222222222222221</v>
      </c>
      <c r="O8" s="560">
        <f t="shared" si="0"/>
        <v>13.509433962264151</v>
      </c>
      <c r="P8" s="514">
        <f t="shared" si="0"/>
        <v>35</v>
      </c>
      <c r="Q8" s="514">
        <f t="shared" si="0"/>
        <v>5.9130434782608692</v>
      </c>
      <c r="R8" s="563">
        <f t="shared" si="0"/>
        <v>1.3846153846153846</v>
      </c>
      <c r="S8" s="514"/>
      <c r="T8" s="514"/>
      <c r="U8" s="514"/>
      <c r="V8" s="514"/>
      <c r="W8" s="514"/>
      <c r="X8" s="514"/>
    </row>
    <row r="9" spans="1:24" x14ac:dyDescent="0.3">
      <c r="B9" s="34">
        <v>36</v>
      </c>
      <c r="C9" s="770">
        <v>9781</v>
      </c>
      <c r="D9" s="771">
        <v>2534</v>
      </c>
      <c r="E9" s="771">
        <v>480</v>
      </c>
      <c r="F9" s="772">
        <v>755</v>
      </c>
      <c r="G9" s="551">
        <f>'2014 comm sample'!K9</f>
        <v>6.1068702290076333E-2</v>
      </c>
      <c r="H9" s="552">
        <f>'2014 comm sample'!L9</f>
        <v>8.8154269972451793E-2</v>
      </c>
      <c r="I9" s="552">
        <f>'2014 comm sample'!M9</f>
        <v>0.10204081632653061</v>
      </c>
      <c r="J9" s="552">
        <f>'2014 comm sample'!N9</f>
        <v>2.8455284552845527E-2</v>
      </c>
      <c r="K9" s="558">
        <f>IF(C9&gt;0,'2014 comm sample'!C9/'2014 Comm catch'!C9,"na")</f>
        <v>4.017994070135978E-2</v>
      </c>
      <c r="L9" s="559">
        <f>IF(D9&gt;0,'2014 comm sample'!D9/'2014 Comm catch'!D9,"na")</f>
        <v>0.28650355169692188</v>
      </c>
      <c r="M9" s="559">
        <f>IF(E9&gt;0,'2014 comm sample'!E9/'2014 Comm catch'!E9,"na")</f>
        <v>0.51041666666666663</v>
      </c>
      <c r="N9" s="559">
        <f>IF(F9&gt;0,'2014 comm sample'!F9/'2014 Comm catch'!F9,"na")</f>
        <v>0.32582781456953641</v>
      </c>
      <c r="O9" s="560">
        <f t="shared" si="0"/>
        <v>597.3129770992366</v>
      </c>
      <c r="P9" s="514">
        <f t="shared" si="0"/>
        <v>223.38292011019286</v>
      </c>
      <c r="Q9" s="514">
        <f t="shared" si="0"/>
        <v>48.979591836734699</v>
      </c>
      <c r="R9" s="563">
        <f t="shared" si="0"/>
        <v>21.483739837398375</v>
      </c>
      <c r="S9" s="514"/>
      <c r="T9" s="514"/>
      <c r="U9" s="514"/>
      <c r="V9" s="514"/>
      <c r="W9" s="514"/>
      <c r="X9" s="514"/>
    </row>
    <row r="10" spans="1:24" x14ac:dyDescent="0.3">
      <c r="B10" s="34">
        <v>37</v>
      </c>
      <c r="C10" s="770">
        <v>35353</v>
      </c>
      <c r="D10" s="771">
        <v>17179</v>
      </c>
      <c r="E10" s="771">
        <v>3572</v>
      </c>
      <c r="F10" s="772">
        <v>4119</v>
      </c>
      <c r="G10" s="551">
        <f>'2014 comm sample'!K10</f>
        <v>5.4242749731471536E-2</v>
      </c>
      <c r="H10" s="552">
        <f>'2014 comm sample'!L10</f>
        <v>3.2020997375328084E-2</v>
      </c>
      <c r="I10" s="552">
        <f>'2014 comm sample'!M10</f>
        <v>2.7944111776447105E-2</v>
      </c>
      <c r="J10" s="552">
        <f>'2014 comm sample'!N10</f>
        <v>2.4475524475524476E-2</v>
      </c>
      <c r="K10" s="558">
        <f>IF(C10&gt;0,'2014 comm sample'!C10/'2014 Comm catch'!C10,"na")</f>
        <v>5.2668797556077278E-2</v>
      </c>
      <c r="L10" s="559">
        <f>IF(D10&gt;0,'2014 comm sample'!D10/'2014 Comm catch'!D10,"na")</f>
        <v>0.22178240875487515</v>
      </c>
      <c r="M10" s="559">
        <f>IF(E10&gt;0,'2014 comm sample'!E10/'2014 Comm catch'!E10,"na")</f>
        <v>0.28051511758118702</v>
      </c>
      <c r="N10" s="559">
        <f>IF(F10&gt;0,'2014 comm sample'!F10/'2014 Comm catch'!F10,"na")</f>
        <v>0.34717164360281622</v>
      </c>
      <c r="O10" s="560">
        <f t="shared" si="0"/>
        <v>1917.6439312567131</v>
      </c>
      <c r="P10" s="514">
        <f t="shared" si="0"/>
        <v>550.08871391076116</v>
      </c>
      <c r="Q10" s="514">
        <f t="shared" si="0"/>
        <v>99.816367265469054</v>
      </c>
      <c r="R10" s="563">
        <f t="shared" si="0"/>
        <v>100.81468531468532</v>
      </c>
      <c r="S10" s="514"/>
      <c r="T10" s="514"/>
      <c r="U10" s="514"/>
      <c r="V10" s="514"/>
      <c r="W10" s="514"/>
      <c r="X10" s="514"/>
    </row>
    <row r="11" spans="1:24" x14ac:dyDescent="0.3">
      <c r="B11" s="34">
        <v>38</v>
      </c>
      <c r="C11" s="770">
        <v>8426</v>
      </c>
      <c r="D11" s="771">
        <v>12041</v>
      </c>
      <c r="E11" s="771">
        <v>3593</v>
      </c>
      <c r="F11" s="772">
        <v>7491</v>
      </c>
      <c r="G11" s="551">
        <f>'2014 comm sample'!K11</f>
        <v>2.548148148148148E-2</v>
      </c>
      <c r="H11" s="552">
        <f>'2014 comm sample'!L11</f>
        <v>2.9978586723768737E-2</v>
      </c>
      <c r="I11" s="552">
        <f>'2014 comm sample'!M11</f>
        <v>3.125E-2</v>
      </c>
      <c r="J11" s="552">
        <f>'2014 comm sample'!N11</f>
        <v>2.7872860635696821E-2</v>
      </c>
      <c r="K11" s="558">
        <f>IF(C11&gt;0,'2014 comm sample'!C11/'2014 Comm catch'!C11,"na")</f>
        <v>0.40054592926655591</v>
      </c>
      <c r="L11" s="559">
        <f>IF(D11&gt;0,'2014 comm sample'!D11/'2014 Comm catch'!D11,"na")</f>
        <v>0.38784154140021593</v>
      </c>
      <c r="M11" s="559">
        <f>IF(E11&gt;0,'2014 comm sample'!E11/'2014 Comm catch'!E11,"na")</f>
        <v>0.27609240189256889</v>
      </c>
      <c r="N11" s="559">
        <f>IF(F11&gt;0,'2014 comm sample'!F11/'2014 Comm catch'!F11,"na")</f>
        <v>0.5459885195568015</v>
      </c>
      <c r="O11" s="560">
        <f t="shared" si="0"/>
        <v>214.70696296296296</v>
      </c>
      <c r="P11" s="514">
        <f t="shared" si="0"/>
        <v>360.97216274089936</v>
      </c>
      <c r="Q11" s="514">
        <f t="shared" si="0"/>
        <v>112.28125</v>
      </c>
      <c r="R11" s="563">
        <f t="shared" si="0"/>
        <v>208.79559902200489</v>
      </c>
      <c r="S11" s="514"/>
      <c r="T11" s="514"/>
      <c r="U11" s="514"/>
      <c r="V11" s="514"/>
      <c r="W11" s="514"/>
      <c r="X11" s="514"/>
    </row>
    <row r="12" spans="1:24" x14ac:dyDescent="0.3">
      <c r="B12" s="34">
        <v>39</v>
      </c>
      <c r="C12" s="770">
        <v>9782</v>
      </c>
      <c r="D12" s="771">
        <v>13652</v>
      </c>
      <c r="E12" s="771">
        <v>6598</v>
      </c>
      <c r="F12" s="772">
        <v>8251</v>
      </c>
      <c r="G12" s="551">
        <f>'2014 comm sample'!K12</f>
        <v>4.3301069791136015E-2</v>
      </c>
      <c r="H12" s="552">
        <f>'2014 comm sample'!L12</f>
        <v>4.4731311918342842E-2</v>
      </c>
      <c r="I12" s="552">
        <f>'2014 comm sample'!M12</f>
        <v>3.7142857142857144E-2</v>
      </c>
      <c r="J12" s="552">
        <f>'2014 comm sample'!N12</f>
        <v>1.6231474947071278E-2</v>
      </c>
      <c r="K12" s="558">
        <f>IF(C12&gt;0,'2014 comm sample'!C12/'2014 Comm catch'!C12,"na")</f>
        <v>0.20067470864853812</v>
      </c>
      <c r="L12" s="559">
        <f>IF(D12&gt;0,'2014 comm sample'!D12/'2014 Comm catch'!D12,"na")</f>
        <v>0.24399355405801348</v>
      </c>
      <c r="M12" s="559">
        <f>IF(E12&gt;0,'2014 comm sample'!E12/'2014 Comm catch'!E12,"na")</f>
        <v>0.1060927553804183</v>
      </c>
      <c r="N12" s="559">
        <f>IF(F12&gt;0,'2014 comm sample'!F12/'2014 Comm catch'!F12,"na")</f>
        <v>0.34347351836141071</v>
      </c>
      <c r="O12" s="560">
        <f t="shared" si="0"/>
        <v>423.57106469689251</v>
      </c>
      <c r="P12" s="514">
        <f t="shared" si="0"/>
        <v>610.6718703092165</v>
      </c>
      <c r="Q12" s="514">
        <f t="shared" si="0"/>
        <v>245.06857142857143</v>
      </c>
      <c r="R12" s="563">
        <f t="shared" si="0"/>
        <v>133.92589978828511</v>
      </c>
      <c r="S12" s="514"/>
      <c r="T12" s="514"/>
      <c r="U12" s="514"/>
      <c r="V12" s="514"/>
      <c r="W12" s="514"/>
      <c r="X12" s="514"/>
    </row>
    <row r="13" spans="1:24" x14ac:dyDescent="0.3">
      <c r="B13" s="34">
        <v>40</v>
      </c>
      <c r="C13" s="770">
        <v>1391</v>
      </c>
      <c r="D13" s="771">
        <v>3314</v>
      </c>
      <c r="E13" s="771">
        <v>3616</v>
      </c>
      <c r="F13" s="772">
        <v>3266</v>
      </c>
      <c r="G13" s="551">
        <f>'2014 comm sample'!K13</f>
        <v>5.7324840764331211E-2</v>
      </c>
      <c r="H13" s="552">
        <f>'2014 comm sample'!L13</f>
        <v>2.2837370242214532E-2</v>
      </c>
      <c r="I13" s="552">
        <f>'2014 comm sample'!M13</f>
        <v>3.487124463519313E-2</v>
      </c>
      <c r="J13" s="552">
        <f>'2014 comm sample'!N13</f>
        <v>1.9862490450725745E-2</v>
      </c>
      <c r="K13" s="558">
        <f>IF(C13&gt;0,'2014 comm sample'!C13/'2014 Comm catch'!C13,"na")</f>
        <v>0.11286843997124371</v>
      </c>
      <c r="L13" s="559">
        <f>IF(D13&gt;0,'2014 comm sample'!D13/'2014 Comm catch'!D13,"na")</f>
        <v>0.43602896801448399</v>
      </c>
      <c r="M13" s="559">
        <f>IF(E13&gt;0,'2014 comm sample'!E13/'2014 Comm catch'!E13,"na")</f>
        <v>0.51548672566371678</v>
      </c>
      <c r="N13" s="559">
        <f>IF(F13&gt;0,'2014 comm sample'!F13/'2014 Comm catch'!F13,"na")</f>
        <v>0.40079608083282303</v>
      </c>
      <c r="O13" s="560">
        <f t="shared" si="0"/>
        <v>79.738853503184714</v>
      </c>
      <c r="P13" s="514">
        <f t="shared" si="0"/>
        <v>75.683044982698959</v>
      </c>
      <c r="Q13" s="514">
        <f t="shared" si="0"/>
        <v>126.09442060085836</v>
      </c>
      <c r="R13" s="563">
        <f t="shared" si="0"/>
        <v>64.870893812070278</v>
      </c>
      <c r="S13" s="514"/>
      <c r="T13" s="514"/>
      <c r="U13" s="514"/>
      <c r="V13" s="514"/>
      <c r="W13" s="514"/>
      <c r="X13" s="514"/>
    </row>
    <row r="14" spans="1:24" x14ac:dyDescent="0.3">
      <c r="B14" s="34">
        <v>41</v>
      </c>
      <c r="C14" s="770">
        <v>652</v>
      </c>
      <c r="D14" s="771">
        <v>976</v>
      </c>
      <c r="E14" s="771">
        <v>2929</v>
      </c>
      <c r="F14" s="772">
        <v>2301</v>
      </c>
      <c r="G14" s="551">
        <f>'2014 comm sample'!K14</f>
        <v>4.2105263157894736E-2</v>
      </c>
      <c r="H14" s="552">
        <f>'2014 comm sample'!L14</f>
        <v>3.4582132564841501E-2</v>
      </c>
      <c r="I14" s="552">
        <f>'2014 comm sample'!M14</f>
        <v>6.7164179104477612E-2</v>
      </c>
      <c r="J14" s="552">
        <f>'2014 comm sample'!N14</f>
        <v>2.1897810218978103E-2</v>
      </c>
      <c r="K14" s="558">
        <f>IF(C14&gt;0,'2014 comm sample'!C14/'2014 Comm catch'!C14,"na")</f>
        <v>0.43711656441717789</v>
      </c>
      <c r="L14" s="559">
        <f>IF(D14&gt;0,'2014 comm sample'!D14/'2014 Comm catch'!D14,"na")</f>
        <v>0.35553278688524592</v>
      </c>
      <c r="M14" s="559">
        <f>IF(E14&gt;0,'2014 comm sample'!E14/'2014 Comm catch'!E14,"na")</f>
        <v>0.36599522021167635</v>
      </c>
      <c r="N14" s="559">
        <f>IF(F14&gt;0,'2014 comm sample'!F14/'2014 Comm catch'!F14,"na")</f>
        <v>0.41677531508039983</v>
      </c>
      <c r="O14" s="560">
        <f t="shared" si="0"/>
        <v>27.452631578947368</v>
      </c>
      <c r="P14" s="514">
        <f t="shared" si="0"/>
        <v>33.752161383285305</v>
      </c>
      <c r="Q14" s="514">
        <f t="shared" si="0"/>
        <v>196.72388059701493</v>
      </c>
      <c r="R14" s="563">
        <f t="shared" si="0"/>
        <v>50.386861313868614</v>
      </c>
      <c r="S14" s="514"/>
      <c r="T14" s="514"/>
      <c r="U14" s="514"/>
      <c r="V14" s="514"/>
      <c r="W14" s="514"/>
      <c r="X14" s="514"/>
    </row>
    <row r="15" spans="1:24" x14ac:dyDescent="0.3">
      <c r="B15" s="34">
        <v>42</v>
      </c>
      <c r="C15" s="770">
        <v>281</v>
      </c>
      <c r="D15" s="771">
        <v>343</v>
      </c>
      <c r="E15" s="771">
        <v>1287</v>
      </c>
      <c r="F15" s="772">
        <v>891</v>
      </c>
      <c r="G15" s="551">
        <f>'2014 comm sample'!K15</f>
        <v>0.125</v>
      </c>
      <c r="H15" s="552">
        <f>'2014 comm sample'!L15</f>
        <v>0</v>
      </c>
      <c r="I15" s="552">
        <f>'2014 comm sample'!M15</f>
        <v>6.8069306930693074E-2</v>
      </c>
      <c r="J15" s="552">
        <f>'2014 comm sample'!N15</f>
        <v>1.4705882352941176E-2</v>
      </c>
      <c r="K15" s="558">
        <f>IF(C15&gt;0,'2014 comm sample'!C15/'2014 Comm catch'!C15,"na")</f>
        <v>5.6939501779359428E-2</v>
      </c>
      <c r="L15" s="559">
        <f>IF(D15&gt;0,'2014 comm sample'!D15/'2014 Comm catch'!D15,"na")</f>
        <v>0.11661807580174927</v>
      </c>
      <c r="M15" s="559">
        <f>IF(E15&gt;0,'2014 comm sample'!E15/'2014 Comm catch'!E15,"na")</f>
        <v>0.62781662781662784</v>
      </c>
      <c r="N15" s="559">
        <f>IF(F15&gt;0,'2014 comm sample'!F15/'2014 Comm catch'!F15,"na")</f>
        <v>0.22895622895622897</v>
      </c>
      <c r="O15" s="560">
        <f t="shared" si="0"/>
        <v>35.125</v>
      </c>
      <c r="P15" s="514">
        <f t="shared" si="0"/>
        <v>0</v>
      </c>
      <c r="Q15" s="514">
        <f t="shared" si="0"/>
        <v>87.605198019801989</v>
      </c>
      <c r="R15" s="563">
        <f t="shared" si="0"/>
        <v>13.102941176470589</v>
      </c>
      <c r="S15" s="514"/>
      <c r="T15" s="514"/>
      <c r="U15" s="514"/>
      <c r="V15" s="514"/>
      <c r="W15" s="514"/>
      <c r="X15" s="514"/>
    </row>
    <row r="16" spans="1:24" x14ac:dyDescent="0.3">
      <c r="B16" s="34">
        <v>43</v>
      </c>
      <c r="C16" s="770">
        <v>56</v>
      </c>
      <c r="D16" s="771">
        <v>291</v>
      </c>
      <c r="E16" s="771">
        <v>1785</v>
      </c>
      <c r="F16" s="772">
        <v>159</v>
      </c>
      <c r="G16" s="551">
        <f>'2014 comm sample'!K16</f>
        <v>0.13636363636363635</v>
      </c>
      <c r="H16" s="552">
        <f>'2014 comm sample'!L16</f>
        <v>1.1857707509881422E-2</v>
      </c>
      <c r="I16" s="552">
        <f>'2014 comm sample'!M16</f>
        <v>3.8007863695937089E-2</v>
      </c>
      <c r="J16" s="552">
        <f>'2014 comm sample'!N16</f>
        <v>3.1578947368421054E-2</v>
      </c>
      <c r="K16" s="558">
        <f>IF(C16&gt;0,'2014 comm sample'!C16/'2014 Comm catch'!C16,"na")</f>
        <v>0.39285714285714285</v>
      </c>
      <c r="L16" s="559">
        <f>IF(D16&gt;0,'2014 comm sample'!D16/'2014 Comm catch'!D16,"na")</f>
        <v>0.86941580756013748</v>
      </c>
      <c r="M16" s="559">
        <f>IF(E16&gt;0,'2014 comm sample'!E16/'2014 Comm catch'!E16,"na")</f>
        <v>0.42745098039215684</v>
      </c>
      <c r="N16" s="559">
        <f>IF(F16&gt;0,'2014 comm sample'!F16/'2014 Comm catch'!F16,"na")</f>
        <v>0.59748427672955973</v>
      </c>
      <c r="O16" s="560">
        <f t="shared" si="0"/>
        <v>7.6363636363636358</v>
      </c>
      <c r="P16" s="514">
        <f t="shared" si="0"/>
        <v>3.4505928853754937</v>
      </c>
      <c r="Q16" s="514">
        <f t="shared" si="0"/>
        <v>67.844036697247702</v>
      </c>
      <c r="R16" s="563">
        <f t="shared" si="0"/>
        <v>5.0210526315789474</v>
      </c>
      <c r="S16" s="514"/>
      <c r="T16" s="514"/>
      <c r="U16" s="514"/>
      <c r="V16" s="514"/>
      <c r="W16" s="514"/>
      <c r="X16" s="514"/>
    </row>
    <row r="17" spans="1:32" x14ac:dyDescent="0.3">
      <c r="B17" s="34">
        <v>44</v>
      </c>
      <c r="C17" s="770">
        <v>0</v>
      </c>
      <c r="D17" s="771">
        <v>205</v>
      </c>
      <c r="E17" s="771">
        <v>645</v>
      </c>
      <c r="F17" s="715"/>
      <c r="G17" s="551" t="str">
        <f>'2014 comm sample'!K17</f>
        <v>na</v>
      </c>
      <c r="H17" s="552" t="str">
        <f>'2014 comm sample'!L17</f>
        <v>na</v>
      </c>
      <c r="I17" s="552">
        <f>'2014 comm sample'!M17</f>
        <v>4.716981132075472E-2</v>
      </c>
      <c r="J17" s="552" t="str">
        <f>'2014 comm sample'!N17</f>
        <v>na</v>
      </c>
      <c r="K17" s="558" t="str">
        <f>IF(C17&gt;0,'2014 comm sample'!C17/'2014 Comm catch'!C17,"na")</f>
        <v>na</v>
      </c>
      <c r="L17" s="559">
        <f>IF(D17&gt;0,'2014 comm sample'!D17/'2014 Comm catch'!D17,"na")</f>
        <v>0</v>
      </c>
      <c r="M17" s="559">
        <f>IF(E17&gt;0,'2014 comm sample'!E17/'2014 Comm catch'!E17,"na")</f>
        <v>0.32868217054263565</v>
      </c>
      <c r="N17" s="559" t="str">
        <f>IF(F17&gt;0,'2014 comm sample'!F17/'2014 Comm catch'!F17,"na")</f>
        <v>na</v>
      </c>
      <c r="O17" s="560" t="str">
        <f t="shared" si="0"/>
        <v>na</v>
      </c>
      <c r="P17" s="514" t="str">
        <f t="shared" si="0"/>
        <v>na</v>
      </c>
      <c r="Q17" s="514">
        <f t="shared" si="0"/>
        <v>30.424528301886795</v>
      </c>
      <c r="R17" s="563" t="str">
        <f t="shared" si="0"/>
        <v>na</v>
      </c>
      <c r="S17" s="514"/>
      <c r="T17" s="514"/>
      <c r="U17" s="514"/>
      <c r="V17" s="514"/>
      <c r="W17" s="514"/>
      <c r="X17" s="514"/>
    </row>
    <row r="18" spans="1:32" x14ac:dyDescent="0.3">
      <c r="B18" s="34">
        <v>45</v>
      </c>
      <c r="C18" s="748"/>
      <c r="D18" s="749"/>
      <c r="E18" s="749"/>
      <c r="F18" s="747"/>
      <c r="G18" s="567" t="str">
        <f>'2014 comm sample'!K18</f>
        <v>na</v>
      </c>
      <c r="H18" s="568" t="str">
        <f>'2014 comm sample'!L18</f>
        <v>na</v>
      </c>
      <c r="I18" s="568" t="str">
        <f>'2014 comm sample'!M18</f>
        <v>na</v>
      </c>
      <c r="J18" s="568" t="str">
        <f>'2014 comm sample'!N18</f>
        <v>na</v>
      </c>
      <c r="K18" s="569" t="str">
        <f>IF(C18&gt;0,'2014 comm sample'!C18/'2014 Comm catch'!C18,"na")</f>
        <v>na</v>
      </c>
      <c r="L18" s="570" t="str">
        <f>IF(D18&gt;0,'2014 comm sample'!D18/'2014 Comm catch'!D18,"na")</f>
        <v>na</v>
      </c>
      <c r="M18" s="570" t="str">
        <f>IF(E18&gt;0,'2014 comm sample'!E18/'2014 Comm catch'!E18,"na")</f>
        <v>na</v>
      </c>
      <c r="N18" s="570" t="str">
        <f>IF(F18&gt;0,'2014 comm sample'!F18/'2014 Comm catch'!F18,"na")</f>
        <v>na</v>
      </c>
      <c r="O18" s="560" t="str">
        <f t="shared" si="0"/>
        <v>na</v>
      </c>
      <c r="P18" s="514" t="str">
        <f t="shared" si="0"/>
        <v>na</v>
      </c>
      <c r="Q18" s="514" t="str">
        <f t="shared" si="0"/>
        <v>na</v>
      </c>
      <c r="R18" s="563" t="str">
        <f t="shared" si="0"/>
        <v>na</v>
      </c>
      <c r="S18" s="514"/>
      <c r="T18" s="514"/>
      <c r="U18" s="514"/>
      <c r="V18" s="514"/>
      <c r="W18" s="514"/>
      <c r="X18" s="514"/>
    </row>
    <row r="19" spans="1:32" x14ac:dyDescent="0.3">
      <c r="B19" s="34" t="s">
        <v>184</v>
      </c>
      <c r="C19" s="757">
        <f>SUM(C5:C18)</f>
        <v>65917</v>
      </c>
      <c r="D19" s="624">
        <f>SUM(D5:D18)</f>
        <v>50752</v>
      </c>
      <c r="E19" s="624">
        <f>SUM(E5:E18)</f>
        <v>24573</v>
      </c>
      <c r="F19" s="758">
        <f>SUM(F5:F18)</f>
        <v>27255</v>
      </c>
      <c r="G19" s="571">
        <f>'2014 comm sample'!K19</f>
        <v>4.0191740412979349E-2</v>
      </c>
      <c r="H19" s="571">
        <f>'2014 comm sample'!L19</f>
        <v>3.6298011441024243E-2</v>
      </c>
      <c r="I19" s="571">
        <f>'2014 comm sample'!M19</f>
        <v>4.4655643796380678E-2</v>
      </c>
      <c r="J19" s="571">
        <f>'2014 comm sample'!N19</f>
        <v>2.297925608011445E-2</v>
      </c>
      <c r="K19" s="721">
        <f>IF(C19&gt;0,'2014 comm sample'!C19/'2014 Comm catch'!C19,"na")</f>
        <v>0.12342794726701761</v>
      </c>
      <c r="L19" s="722">
        <f>IF(D19&gt;0,'2014 comm sample'!D19/'2014 Comm catch'!D19,"na")</f>
        <v>0.28932849936948296</v>
      </c>
      <c r="M19" s="722">
        <f>IF(E19&gt;0,'2014 comm sample'!E19/'2014 Comm catch'!E19,"na")</f>
        <v>0.31257884670166441</v>
      </c>
      <c r="N19" s="723">
        <f>IF(F19&gt;0,'2014 comm sample'!F19/'2014 Comm catch'!F19,"na")</f>
        <v>0.41034672537149147</v>
      </c>
      <c r="O19" s="572">
        <f>SUM(O5:O18)</f>
        <v>3317.6972186965645</v>
      </c>
      <c r="P19" s="573">
        <f>SUM(P5:P18)</f>
        <v>1893.0014663224297</v>
      </c>
      <c r="Q19" s="573">
        <f>SUM(Q5:Q18)</f>
        <v>1020.7508882258458</v>
      </c>
      <c r="R19" s="574">
        <f>SUM(R5:R18)</f>
        <v>600.7862882809776</v>
      </c>
      <c r="S19" s="575"/>
      <c r="T19" s="575"/>
      <c r="U19" s="575"/>
      <c r="V19" s="575"/>
      <c r="W19" s="575"/>
      <c r="X19" s="575"/>
    </row>
    <row r="20" spans="1:32" x14ac:dyDescent="0.3">
      <c r="B20" s="208"/>
      <c r="C20" s="208"/>
      <c r="D20" s="208"/>
      <c r="E20" s="208"/>
      <c r="F20" s="575"/>
      <c r="G20" s="34"/>
      <c r="H20" s="34"/>
      <c r="I20" s="208"/>
      <c r="J20" s="576"/>
      <c r="K20" s="208"/>
      <c r="L20" s="208"/>
      <c r="M20" s="208"/>
      <c r="N20" s="577"/>
      <c r="O20" s="208"/>
      <c r="P20" s="208"/>
      <c r="Q20" s="208"/>
      <c r="R20" s="575"/>
      <c r="S20" s="575"/>
      <c r="T20" s="575"/>
      <c r="U20" s="575"/>
      <c r="V20" s="575"/>
      <c r="W20" s="575"/>
      <c r="X20" s="575"/>
    </row>
    <row r="21" spans="1:32" x14ac:dyDescent="0.3">
      <c r="B21" s="208"/>
      <c r="C21" s="457"/>
      <c r="D21" s="457"/>
      <c r="E21" s="457"/>
      <c r="F21" s="514"/>
      <c r="I21" s="457"/>
      <c r="J21" s="457"/>
      <c r="K21" s="457"/>
      <c r="L21" s="457"/>
      <c r="M21" s="457"/>
      <c r="N21" s="457"/>
      <c r="O21" s="457"/>
      <c r="P21" s="457"/>
      <c r="Q21" s="457"/>
      <c r="R21" s="514"/>
      <c r="S21" s="514"/>
      <c r="T21" s="514"/>
      <c r="U21" s="514"/>
      <c r="V21" s="514"/>
      <c r="W21" s="514"/>
      <c r="X21" s="514"/>
    </row>
    <row r="22" spans="1:32" x14ac:dyDescent="0.3">
      <c r="C22" s="34" t="s">
        <v>123</v>
      </c>
      <c r="H22" s="457"/>
      <c r="I22" s="457"/>
      <c r="J22" s="457"/>
      <c r="Y22" s="33"/>
      <c r="Z22" s="33"/>
      <c r="AA22" s="33"/>
    </row>
    <row r="23" spans="1:32" x14ac:dyDescent="0.3">
      <c r="C23" s="903" t="s">
        <v>263</v>
      </c>
      <c r="D23" s="904"/>
      <c r="E23" s="904"/>
      <c r="F23" s="904"/>
      <c r="G23" s="904"/>
      <c r="H23" s="904"/>
      <c r="I23" s="904"/>
      <c r="J23" s="905"/>
      <c r="K23" s="903" t="s">
        <v>264</v>
      </c>
      <c r="L23" s="904"/>
      <c r="M23" s="904"/>
      <c r="N23" s="904"/>
      <c r="O23" s="905"/>
      <c r="P23" s="903" t="s">
        <v>261</v>
      </c>
      <c r="Q23" s="904"/>
      <c r="R23" s="904"/>
      <c r="S23" s="904"/>
      <c r="T23" s="904"/>
      <c r="U23" s="697" t="s">
        <v>323</v>
      </c>
      <c r="V23" s="698"/>
      <c r="W23" s="698"/>
      <c r="X23" s="698"/>
      <c r="Y23" s="698"/>
      <c r="Z23" s="698"/>
      <c r="AA23" s="698"/>
      <c r="AB23" s="699"/>
      <c r="AC23" s="34" t="s">
        <v>328</v>
      </c>
    </row>
    <row r="24" spans="1:32" x14ac:dyDescent="0.3">
      <c r="B24" s="34" t="s">
        <v>134</v>
      </c>
      <c r="C24" s="547">
        <v>1</v>
      </c>
      <c r="D24" s="202">
        <v>2</v>
      </c>
      <c r="E24" s="202">
        <v>3</v>
      </c>
      <c r="F24" s="202"/>
      <c r="G24" s="202">
        <v>4</v>
      </c>
      <c r="H24" s="202">
        <v>5</v>
      </c>
      <c r="I24" s="202"/>
      <c r="J24" s="548" t="s">
        <v>272</v>
      </c>
      <c r="K24" s="367">
        <v>1</v>
      </c>
      <c r="L24" s="175">
        <v>2</v>
      </c>
      <c r="M24" s="175">
        <v>3</v>
      </c>
      <c r="N24" s="175">
        <v>4</v>
      </c>
      <c r="O24" s="368">
        <v>5</v>
      </c>
      <c r="P24" s="367">
        <v>1</v>
      </c>
      <c r="Q24" s="175">
        <v>2</v>
      </c>
      <c r="R24" s="175">
        <v>3</v>
      </c>
      <c r="S24" s="175">
        <v>4</v>
      </c>
      <c r="T24" s="175">
        <v>5</v>
      </c>
      <c r="U24" s="367">
        <v>1</v>
      </c>
      <c r="V24" s="175">
        <v>2</v>
      </c>
      <c r="W24" s="175">
        <v>3</v>
      </c>
      <c r="X24" s="175"/>
      <c r="Y24" s="175">
        <v>4</v>
      </c>
      <c r="Z24" s="175">
        <v>5</v>
      </c>
      <c r="AA24" s="175"/>
      <c r="AB24" s="368" t="s">
        <v>272</v>
      </c>
      <c r="AC24" s="32" t="str">
        <f>'2013 comm sample'!R24</f>
        <v>Z1-3 Agg</v>
      </c>
      <c r="AD24" s="32" t="str">
        <f>'2013 comm sample'!S24</f>
        <v>Z4-5 Agg</v>
      </c>
      <c r="AE24" s="73"/>
      <c r="AF24" s="73"/>
    </row>
    <row r="25" spans="1:32" x14ac:dyDescent="0.3">
      <c r="A25" s="34" t="s">
        <v>324</v>
      </c>
      <c r="B25" s="34">
        <v>32</v>
      </c>
      <c r="C25" s="716"/>
      <c r="D25" s="717"/>
      <c r="E25" s="717"/>
      <c r="F25" s="700"/>
      <c r="G25" s="756">
        <v>0</v>
      </c>
      <c r="H25" s="756">
        <v>0</v>
      </c>
      <c r="I25" s="700"/>
      <c r="J25" s="579"/>
      <c r="K25" s="532" t="str">
        <f>'2014 comm sample'!M25</f>
        <v>na</v>
      </c>
      <c r="L25" s="532" t="str">
        <f>'2014 comm sample'!N25</f>
        <v>na</v>
      </c>
      <c r="M25" s="532" t="str">
        <f>'2014 comm sample'!O25</f>
        <v>na</v>
      </c>
      <c r="N25" s="532" t="str">
        <f>'2014 comm sample'!P25</f>
        <v>na</v>
      </c>
      <c r="O25" s="533" t="str">
        <f>'2014 comm sample'!Q25</f>
        <v>na</v>
      </c>
      <c r="P25" s="559" t="str">
        <f>IF(C25&gt;0,'2014 comm sample'!C25/'2014 Comm catch'!C25,"na")</f>
        <v>na</v>
      </c>
      <c r="Q25" s="559" t="str">
        <f>IF(D25&gt;0,'2014 comm sample'!D25/'2014 Comm catch'!D25,"na")</f>
        <v>na</v>
      </c>
      <c r="R25" s="33" t="str">
        <f>IF(E25&gt;0,'2014 comm sample'!E25/'2014 Comm catch'!E25,"na")</f>
        <v>na</v>
      </c>
      <c r="S25" s="554" t="str">
        <f>IF(G25&gt;0,'2014 comm sample'!F25/'2014 Comm catch'!G25,"na")</f>
        <v>na</v>
      </c>
      <c r="T25" s="554" t="str">
        <f>IF(H25&gt;0,'2014 comm sample'!G25/'2014 Comm catch'!H25,"na")</f>
        <v>na</v>
      </c>
      <c r="U25" s="560">
        <f t="shared" ref="U25:W41" si="1">IF(K25&lt;&gt;"na",C25*K25,0)</f>
        <v>0</v>
      </c>
      <c r="V25" s="514">
        <f t="shared" si="1"/>
        <v>0</v>
      </c>
      <c r="W25" s="514">
        <f t="shared" si="1"/>
        <v>0</v>
      </c>
      <c r="X25" s="705">
        <f t="shared" ref="X25:X40" si="2">SUM(U25:W25)</f>
        <v>0</v>
      </c>
      <c r="Y25" s="514">
        <f t="shared" ref="Y25:Z41" si="3">IF(N25&lt;&gt;"na",G25*N25,0)</f>
        <v>0</v>
      </c>
      <c r="Z25" s="514">
        <f t="shared" si="3"/>
        <v>0</v>
      </c>
      <c r="AA25" s="705">
        <f t="shared" ref="AA25:AA40" si="4">SUM(Y25:Z25)</f>
        <v>0</v>
      </c>
      <c r="AB25" s="580">
        <f>X25+AA25</f>
        <v>0</v>
      </c>
    </row>
    <row r="26" spans="1:32" x14ac:dyDescent="0.3">
      <c r="A26" s="34" t="s">
        <v>324</v>
      </c>
      <c r="B26" s="34">
        <v>33</v>
      </c>
      <c r="C26" s="718"/>
      <c r="D26" s="714"/>
      <c r="E26" s="714"/>
      <c r="F26" s="701"/>
      <c r="G26" s="709">
        <v>4</v>
      </c>
      <c r="H26" s="709">
        <v>8</v>
      </c>
      <c r="I26" s="704">
        <f t="shared" ref="I26:I40" si="5">SUM(G26:H26)</f>
        <v>12</v>
      </c>
      <c r="J26" s="515">
        <f>F26+I26</f>
        <v>12</v>
      </c>
      <c r="K26" s="532" t="str">
        <f>'2014 comm sample'!M26</f>
        <v>na</v>
      </c>
      <c r="L26" s="532" t="str">
        <f>'2014 comm sample'!N26</f>
        <v>na</v>
      </c>
      <c r="M26" s="532" t="str">
        <f>'2014 comm sample'!O26</f>
        <v>na</v>
      </c>
      <c r="N26" s="532">
        <f>'2014 comm sample'!P26</f>
        <v>1</v>
      </c>
      <c r="O26" s="533">
        <f>'2014 comm sample'!Q26</f>
        <v>1</v>
      </c>
      <c r="P26" s="559" t="str">
        <f>IF(C26&gt;0,'2014 comm sample'!C26/'2014 Comm catch'!C26,"na")</f>
        <v>na</v>
      </c>
      <c r="Q26" s="559" t="str">
        <f>IF(D26&gt;0,'2014 comm sample'!D26/'2014 Comm catch'!D26,"na")</f>
        <v>na</v>
      </c>
      <c r="R26" s="559" t="str">
        <f>IF(E26&gt;0,'2014 comm sample'!E26/'2014 Comm catch'!E26,"na")</f>
        <v>na</v>
      </c>
      <c r="S26" s="559">
        <f>IF(G26&gt;0,'2014 comm sample'!F26/'2014 Comm catch'!G26,"na")</f>
        <v>1.25</v>
      </c>
      <c r="T26" s="559">
        <f>IF(H26&gt;0,'2014 comm sample'!G26/'2014 Comm catch'!H26,"na")</f>
        <v>0.125</v>
      </c>
      <c r="U26" s="560">
        <f t="shared" si="1"/>
        <v>0</v>
      </c>
      <c r="V26" s="514">
        <f t="shared" si="1"/>
        <v>0</v>
      </c>
      <c r="W26" s="514">
        <f t="shared" si="1"/>
        <v>0</v>
      </c>
      <c r="X26" s="705">
        <f t="shared" si="2"/>
        <v>0</v>
      </c>
      <c r="Y26" s="514">
        <f t="shared" si="3"/>
        <v>4</v>
      </c>
      <c r="Z26" s="514">
        <f t="shared" si="3"/>
        <v>8</v>
      </c>
      <c r="AA26" s="705">
        <f t="shared" si="4"/>
        <v>12</v>
      </c>
      <c r="AB26" s="580">
        <f t="shared" ref="AB26:AB42" si="6">X26+AA26</f>
        <v>12</v>
      </c>
    </row>
    <row r="27" spans="1:32" x14ac:dyDescent="0.3">
      <c r="A27" s="34" t="s">
        <v>324</v>
      </c>
      <c r="B27" s="34">
        <v>34</v>
      </c>
      <c r="C27" s="718"/>
      <c r="D27" s="714"/>
      <c r="E27" s="714"/>
      <c r="F27" s="701"/>
      <c r="G27" s="711">
        <v>44</v>
      </c>
      <c r="H27" s="711">
        <v>19</v>
      </c>
      <c r="I27" s="704">
        <f t="shared" si="5"/>
        <v>63</v>
      </c>
      <c r="J27" s="515">
        <f t="shared" ref="J27:J41" si="7">F27+I27</f>
        <v>63</v>
      </c>
      <c r="K27" s="532" t="str">
        <f>'2014 comm sample'!M27</f>
        <v>na</v>
      </c>
      <c r="L27" s="532" t="str">
        <f>'2014 comm sample'!N27</f>
        <v>na</v>
      </c>
      <c r="M27" s="532" t="str">
        <f>'2014 comm sample'!O27</f>
        <v>na</v>
      </c>
      <c r="N27" s="532">
        <f>'2014 comm sample'!P27</f>
        <v>0.86111111111111116</v>
      </c>
      <c r="O27" s="533">
        <f>'2014 comm sample'!Q27</f>
        <v>0.66666666666666663</v>
      </c>
      <c r="P27" s="559" t="str">
        <f>IF(C27&gt;0,'2014 comm sample'!C27/'2014 Comm catch'!C27,"na")</f>
        <v>na</v>
      </c>
      <c r="Q27" s="559" t="str">
        <f>IF(D27&gt;0,'2014 comm sample'!D27/'2014 Comm catch'!D27,"na")</f>
        <v>na</v>
      </c>
      <c r="R27" s="559" t="str">
        <f>IF(E27&gt;0,'2014 comm sample'!E27/'2014 Comm catch'!E27,"na")</f>
        <v>na</v>
      </c>
      <c r="S27" s="559">
        <f>IF(G27&gt;0,'2014 comm sample'!F27/'2014 Comm catch'!G27,"na")</f>
        <v>0.81818181818181823</v>
      </c>
      <c r="T27" s="559">
        <f>IF(H27&gt;0,'2014 comm sample'!G27/'2014 Comm catch'!H27,"na")</f>
        <v>0.15789473684210525</v>
      </c>
      <c r="U27" s="560">
        <f t="shared" si="1"/>
        <v>0</v>
      </c>
      <c r="V27" s="514">
        <f t="shared" si="1"/>
        <v>0</v>
      </c>
      <c r="W27" s="514">
        <f t="shared" si="1"/>
        <v>0</v>
      </c>
      <c r="X27" s="705">
        <f t="shared" si="2"/>
        <v>0</v>
      </c>
      <c r="Y27" s="514">
        <f t="shared" si="3"/>
        <v>37.888888888888893</v>
      </c>
      <c r="Z27" s="514">
        <f t="shared" si="3"/>
        <v>12.666666666666666</v>
      </c>
      <c r="AA27" s="705">
        <f t="shared" si="4"/>
        <v>50.555555555555557</v>
      </c>
      <c r="AB27" s="580">
        <f t="shared" si="6"/>
        <v>50.555555555555557</v>
      </c>
    </row>
    <row r="28" spans="1:32" x14ac:dyDescent="0.3">
      <c r="A28" s="34" t="s">
        <v>324</v>
      </c>
      <c r="B28" s="34">
        <v>35</v>
      </c>
      <c r="C28" s="718"/>
      <c r="D28" s="714"/>
      <c r="E28" s="714"/>
      <c r="F28" s="701"/>
      <c r="G28" s="711">
        <v>241</v>
      </c>
      <c r="H28" s="711">
        <v>109</v>
      </c>
      <c r="I28" s="704">
        <f t="shared" si="5"/>
        <v>350</v>
      </c>
      <c r="J28" s="515">
        <f t="shared" si="7"/>
        <v>350</v>
      </c>
      <c r="K28" s="532" t="str">
        <f>'2014 comm sample'!M28</f>
        <v>na</v>
      </c>
      <c r="L28" s="532" t="str">
        <f>'2014 comm sample'!N28</f>
        <v>na</v>
      </c>
      <c r="M28" s="532" t="str">
        <f>'2014 comm sample'!O28</f>
        <v>na</v>
      </c>
      <c r="N28" s="532">
        <f>'2014 comm sample'!P28</f>
        <v>0.86764705882352944</v>
      </c>
      <c r="O28" s="533">
        <f>'2014 comm sample'!Q28</f>
        <v>0.95</v>
      </c>
      <c r="P28" s="559" t="str">
        <f>IF(C28&gt;0,'2014 comm sample'!C28/'2014 Comm catch'!C28,"na")</f>
        <v>na</v>
      </c>
      <c r="Q28" s="559" t="str">
        <f>IF(D28&gt;0,'2014 comm sample'!D28/'2014 Comm catch'!D28,"na")</f>
        <v>na</v>
      </c>
      <c r="R28" s="559" t="str">
        <f>IF(E28&gt;0,'2014 comm sample'!E28/'2014 Comm catch'!E28,"na")</f>
        <v>na</v>
      </c>
      <c r="S28" s="559">
        <f>IF(G28&gt;0,'2014 comm sample'!F28/'2014 Comm catch'!G28,"na")</f>
        <v>0.28215767634854771</v>
      </c>
      <c r="T28" s="559">
        <f>IF(H28&gt;0,'2014 comm sample'!G28/'2014 Comm catch'!H28,"na")</f>
        <v>0.1834862385321101</v>
      </c>
      <c r="U28" s="560">
        <f t="shared" si="1"/>
        <v>0</v>
      </c>
      <c r="V28" s="514">
        <f t="shared" si="1"/>
        <v>0</v>
      </c>
      <c r="W28" s="514">
        <f t="shared" si="1"/>
        <v>0</v>
      </c>
      <c r="X28" s="705">
        <f t="shared" si="2"/>
        <v>0</v>
      </c>
      <c r="Y28" s="514">
        <f t="shared" si="3"/>
        <v>209.10294117647061</v>
      </c>
      <c r="Z28" s="514">
        <f t="shared" si="3"/>
        <v>103.55</v>
      </c>
      <c r="AA28" s="705">
        <f t="shared" si="4"/>
        <v>312.65294117647062</v>
      </c>
      <c r="AB28" s="580">
        <f t="shared" si="6"/>
        <v>312.65294117647062</v>
      </c>
    </row>
    <row r="29" spans="1:32" x14ac:dyDescent="0.3">
      <c r="A29" s="34" t="s">
        <v>324</v>
      </c>
      <c r="B29" s="34">
        <v>36</v>
      </c>
      <c r="C29" s="718"/>
      <c r="D29" s="714"/>
      <c r="E29" s="714"/>
      <c r="F29" s="701"/>
      <c r="G29" s="711">
        <v>319</v>
      </c>
      <c r="H29" s="711">
        <v>222</v>
      </c>
      <c r="I29" s="704">
        <f t="shared" si="5"/>
        <v>541</v>
      </c>
      <c r="J29" s="515">
        <f t="shared" si="7"/>
        <v>541</v>
      </c>
      <c r="K29" s="532" t="str">
        <f>'2014 comm sample'!M29</f>
        <v>na</v>
      </c>
      <c r="L29" s="532" t="str">
        <f>'2014 comm sample'!N29</f>
        <v>na</v>
      </c>
      <c r="M29" s="532" t="str">
        <f>'2014 comm sample'!O29</f>
        <v>na</v>
      </c>
      <c r="N29" s="532">
        <f>'2014 comm sample'!P29</f>
        <v>0.81481481481481477</v>
      </c>
      <c r="O29" s="533">
        <f>'2014 comm sample'!Q29</f>
        <v>0.78260869565217395</v>
      </c>
      <c r="P29" s="559" t="str">
        <f>IF(C29&gt;0,'2014 comm sample'!C29/'2014 Comm catch'!C29,"na")</f>
        <v>na</v>
      </c>
      <c r="Q29" s="559" t="str">
        <f>IF(D29&gt;0,'2014 comm sample'!D29/'2014 Comm catch'!D29,"na")</f>
        <v>na</v>
      </c>
      <c r="R29" s="559" t="str">
        <f>IF(E29&gt;0,'2014 comm sample'!E29/'2014 Comm catch'!E29,"na")</f>
        <v>na</v>
      </c>
      <c r="S29" s="559">
        <f>IF(G29&gt;0,'2014 comm sample'!F29/'2014 Comm catch'!G29,"na")</f>
        <v>0.33855799373040751</v>
      </c>
      <c r="T29" s="559">
        <f>IF(H29&gt;0,'2014 comm sample'!G29/'2014 Comm catch'!H29,"na")</f>
        <v>0.4144144144144144</v>
      </c>
      <c r="U29" s="560">
        <f t="shared" si="1"/>
        <v>0</v>
      </c>
      <c r="V29" s="514">
        <f t="shared" si="1"/>
        <v>0</v>
      </c>
      <c r="W29" s="514">
        <f t="shared" si="1"/>
        <v>0</v>
      </c>
      <c r="X29" s="705">
        <f t="shared" si="2"/>
        <v>0</v>
      </c>
      <c r="Y29" s="514">
        <f t="shared" si="3"/>
        <v>259.92592592592592</v>
      </c>
      <c r="Z29" s="514">
        <f t="shared" si="3"/>
        <v>173.73913043478262</v>
      </c>
      <c r="AA29" s="705">
        <f t="shared" si="4"/>
        <v>433.66505636070855</v>
      </c>
      <c r="AB29" s="580">
        <f t="shared" si="6"/>
        <v>433.66505636070855</v>
      </c>
    </row>
    <row r="30" spans="1:32" x14ac:dyDescent="0.3">
      <c r="A30"/>
      <c r="B30" s="34">
        <v>37</v>
      </c>
      <c r="C30" s="718"/>
      <c r="D30" s="714"/>
      <c r="E30" s="714"/>
      <c r="F30" s="701"/>
      <c r="G30" s="714"/>
      <c r="H30" s="714"/>
      <c r="I30" s="701">
        <f t="shared" si="5"/>
        <v>0</v>
      </c>
      <c r="J30" s="515">
        <f t="shared" si="7"/>
        <v>0</v>
      </c>
      <c r="K30" s="532" t="str">
        <f>'2014 comm sample'!M30</f>
        <v>na</v>
      </c>
      <c r="L30" s="532" t="str">
        <f>'2014 comm sample'!N30</f>
        <v>na</v>
      </c>
      <c r="M30" s="532" t="str">
        <f>'2014 comm sample'!O30</f>
        <v>na</v>
      </c>
      <c r="N30" s="532" t="str">
        <f>'2014 comm sample'!P30</f>
        <v>na</v>
      </c>
      <c r="O30" s="533" t="str">
        <f>'2014 comm sample'!Q30</f>
        <v>na</v>
      </c>
      <c r="P30" s="558" t="str">
        <f>IF(C30&gt;0,'2014 comm sample'!C30/'2014 Comm catch'!C30,"na")</f>
        <v>na</v>
      </c>
      <c r="Q30" s="559" t="str">
        <f>IF(D30&gt;0,'2014 comm sample'!D30/'2014 Comm catch'!D30,"na")</f>
        <v>na</v>
      </c>
      <c r="R30" s="559" t="str">
        <f>IF(E30&gt;0,'2014 comm sample'!E30/'2014 Comm catch'!E30,"na")</f>
        <v>na</v>
      </c>
      <c r="S30" s="559" t="str">
        <f>IF(G30&gt;0,'2014 comm sample'!F30/'2014 Comm catch'!G30,"na")</f>
        <v>na</v>
      </c>
      <c r="T30" s="559" t="str">
        <f>IF(H30&gt;0,'2014 comm sample'!G30/'2014 Comm catch'!H30,"na")</f>
        <v>na</v>
      </c>
      <c r="U30" s="560">
        <f t="shared" si="1"/>
        <v>0</v>
      </c>
      <c r="V30" s="514">
        <f t="shared" si="1"/>
        <v>0</v>
      </c>
      <c r="W30" s="514">
        <f t="shared" si="1"/>
        <v>0</v>
      </c>
      <c r="X30" s="705">
        <f t="shared" si="2"/>
        <v>0</v>
      </c>
      <c r="Y30" s="514">
        <f t="shared" si="3"/>
        <v>0</v>
      </c>
      <c r="Z30" s="514">
        <f t="shared" si="3"/>
        <v>0</v>
      </c>
      <c r="AA30" s="705">
        <f t="shared" si="4"/>
        <v>0</v>
      </c>
      <c r="AB30" s="580">
        <f t="shared" si="6"/>
        <v>0</v>
      </c>
    </row>
    <row r="31" spans="1:32" x14ac:dyDescent="0.3">
      <c r="A31" s="34" t="s">
        <v>322</v>
      </c>
      <c r="B31" s="34">
        <v>38</v>
      </c>
      <c r="C31" s="718"/>
      <c r="D31" s="714"/>
      <c r="E31" s="714"/>
      <c r="F31" s="701"/>
      <c r="G31" s="709">
        <v>2265</v>
      </c>
      <c r="H31" s="709">
        <v>1291</v>
      </c>
      <c r="I31" s="701">
        <f t="shared" si="5"/>
        <v>3556</v>
      </c>
      <c r="J31" s="515">
        <f t="shared" si="7"/>
        <v>3556</v>
      </c>
      <c r="K31" s="532" t="str">
        <f>'2014 comm sample'!M31</f>
        <v>na</v>
      </c>
      <c r="L31" s="532" t="str">
        <f>'2014 comm sample'!N31</f>
        <v>na</v>
      </c>
      <c r="M31" s="532" t="str">
        <f>'2014 comm sample'!O31</f>
        <v>na</v>
      </c>
      <c r="N31" s="532">
        <f>'2014 comm sample'!P31</f>
        <v>0.56718749999999996</v>
      </c>
      <c r="O31" s="533">
        <f>'2014 comm sample'!Q31</f>
        <v>0.54612005856515378</v>
      </c>
      <c r="P31" s="558" t="str">
        <f>IF(C31&gt;0,'2014 comm sample'!C31/'2014 Comm catch'!C31,"na")</f>
        <v>na</v>
      </c>
      <c r="Q31" s="559" t="str">
        <f>IF(D31&gt;0,'2014 comm sample'!D31/'2014 Comm catch'!D31,"na")</f>
        <v>na</v>
      </c>
      <c r="R31" s="559" t="str">
        <f>IF(E31&gt;0,'2014 comm sample'!E31/'2014 Comm catch'!E31,"na")</f>
        <v>na</v>
      </c>
      <c r="S31" s="559">
        <f>IF(G31&gt;0,'2014 comm sample'!F31/'2014 Comm catch'!G31,"na")</f>
        <v>0.282560706401766</v>
      </c>
      <c r="T31" s="559">
        <f>IF(H31&gt;0,'2014 comm sample'!G31/'2014 Comm catch'!H31,"na")</f>
        <v>0.52904725019364829</v>
      </c>
      <c r="U31" s="560">
        <f t="shared" si="1"/>
        <v>0</v>
      </c>
      <c r="V31" s="514">
        <f t="shared" si="1"/>
        <v>0</v>
      </c>
      <c r="W31" s="514">
        <f t="shared" si="1"/>
        <v>0</v>
      </c>
      <c r="X31" s="705">
        <f t="shared" si="2"/>
        <v>0</v>
      </c>
      <c r="Y31" s="514">
        <f t="shared" si="3"/>
        <v>1284.6796875</v>
      </c>
      <c r="Z31" s="514">
        <f t="shared" si="3"/>
        <v>705.04099560761358</v>
      </c>
      <c r="AA31" s="705">
        <f t="shared" si="4"/>
        <v>1989.7206831076137</v>
      </c>
      <c r="AB31" s="580">
        <f t="shared" si="6"/>
        <v>1989.7206831076137</v>
      </c>
      <c r="AD31" s="754">
        <f>I31*'2014 comm sample'!S31</f>
        <v>1978.2433862433863</v>
      </c>
    </row>
    <row r="32" spans="1:32" x14ac:dyDescent="0.3">
      <c r="A32" s="34" t="s">
        <v>322</v>
      </c>
      <c r="B32" s="34">
        <v>39</v>
      </c>
      <c r="C32" s="718"/>
      <c r="D32" s="714"/>
      <c r="E32" s="714"/>
      <c r="F32" s="701">
        <f t="shared" ref="F32:F40" si="8">SUM(C32:E32)</f>
        <v>0</v>
      </c>
      <c r="G32" s="720">
        <v>438</v>
      </c>
      <c r="H32" s="720">
        <v>312</v>
      </c>
      <c r="I32" s="704">
        <f t="shared" si="5"/>
        <v>750</v>
      </c>
      <c r="J32" s="737">
        <f t="shared" si="7"/>
        <v>750</v>
      </c>
      <c r="K32" s="532" t="str">
        <f>'2014 comm sample'!M32</f>
        <v>na</v>
      </c>
      <c r="L32" s="532" t="str">
        <f>'2014 comm sample'!N32</f>
        <v>na</v>
      </c>
      <c r="M32" s="532" t="str">
        <f>'2014 comm sample'!O32</f>
        <v>na</v>
      </c>
      <c r="N32" s="532">
        <f>'2014 comm sample'!P32</f>
        <v>0.48648648648648651</v>
      </c>
      <c r="O32" s="533">
        <f>'2014 comm sample'!Q32</f>
        <v>0.61616161616161613</v>
      </c>
      <c r="P32" s="558" t="str">
        <f>IF(C32&gt;0,'2014 comm sample'!C32/'2014 Comm catch'!C32,"na")</f>
        <v>na</v>
      </c>
      <c r="Q32" s="559" t="str">
        <f>IF(D32&gt;0,'2014 comm sample'!D32/'2014 Comm catch'!D32,"na")</f>
        <v>na</v>
      </c>
      <c r="R32" s="559" t="str">
        <f>IF(E32&gt;0,'2014 comm sample'!E32/'2014 Comm catch'!E32,"na")</f>
        <v>na</v>
      </c>
      <c r="S32" s="559">
        <f>IF(G32&gt;0,'2014 comm sample'!F32/'2014 Comm catch'!G32,"na")</f>
        <v>0.591324200913242</v>
      </c>
      <c r="T32" s="559">
        <f>IF(H32&gt;0,'2014 comm sample'!G32/'2014 Comm catch'!H32,"na")</f>
        <v>0.31730769230769229</v>
      </c>
      <c r="U32" s="583">
        <f>IF(K32&lt;&gt;"na",C32*L32,0)</f>
        <v>0</v>
      </c>
      <c r="V32" s="584">
        <f t="shared" si="1"/>
        <v>0</v>
      </c>
      <c r="W32" s="514">
        <f t="shared" si="1"/>
        <v>0</v>
      </c>
      <c r="X32" s="706">
        <f t="shared" si="2"/>
        <v>0</v>
      </c>
      <c r="Y32" s="584">
        <f t="shared" si="3"/>
        <v>213.08108108108109</v>
      </c>
      <c r="Z32" s="584">
        <f t="shared" si="3"/>
        <v>192.24242424242422</v>
      </c>
      <c r="AA32" s="705">
        <f t="shared" si="4"/>
        <v>405.32350532350529</v>
      </c>
      <c r="AB32" s="580">
        <f t="shared" si="6"/>
        <v>405.32350532350529</v>
      </c>
      <c r="AC32" s="585"/>
      <c r="AD32" s="754">
        <f>I32*'2014 comm sample'!S32</f>
        <v>391.75977653631281</v>
      </c>
      <c r="AE32" s="585"/>
      <c r="AF32" s="585"/>
    </row>
    <row r="33" spans="1:32" x14ac:dyDescent="0.3">
      <c r="A33" s="34" t="s">
        <v>326</v>
      </c>
      <c r="B33" s="34">
        <v>40</v>
      </c>
      <c r="C33" s="708">
        <v>1390</v>
      </c>
      <c r="D33" s="709">
        <v>3734</v>
      </c>
      <c r="E33" s="709">
        <v>1571</v>
      </c>
      <c r="F33" s="701">
        <f>SUM(C33:E33)</f>
        <v>6695</v>
      </c>
      <c r="G33" s="720">
        <v>795</v>
      </c>
      <c r="H33" s="720">
        <v>572</v>
      </c>
      <c r="I33" s="704">
        <f>SUM(G33:H33)</f>
        <v>1367</v>
      </c>
      <c r="J33" s="515">
        <f>F33+I33</f>
        <v>8062</v>
      </c>
      <c r="K33" s="532">
        <f>'2014 comm sample'!M33</f>
        <v>1.0582010582010581E-2</v>
      </c>
      <c r="L33" s="532">
        <f>'2014 comm sample'!N33</f>
        <v>4.4576523031203564E-3</v>
      </c>
      <c r="M33" s="532">
        <f>'2014 comm sample'!O33</f>
        <v>0</v>
      </c>
      <c r="N33" s="532">
        <f>'2014 comm sample'!P33</f>
        <v>0.4022346368715084</v>
      </c>
      <c r="O33" s="533">
        <f>'2014 comm sample'!Q33</f>
        <v>0.38541666666666669</v>
      </c>
      <c r="P33" s="558">
        <f>IF(C33&gt;0,'2014 comm sample'!C33/'2014 Comm catch'!C33,"na")</f>
        <v>0.13597122302158274</v>
      </c>
      <c r="Q33" s="559">
        <f>IF(D33&gt;0,'2014 comm sample'!D33/'2014 Comm catch'!D33,"na")</f>
        <v>0.18023567220139261</v>
      </c>
      <c r="R33" s="559">
        <f>IF(E33&gt;0,'2014 comm sample'!E33/'2014 Comm catch'!E33,"na")</f>
        <v>0.33609166136218971</v>
      </c>
      <c r="S33" s="559">
        <f>IF(G33&gt;0,'2014 comm sample'!F33/'2014 Comm catch'!G33,"na")</f>
        <v>0.45031446540880504</v>
      </c>
      <c r="T33" s="559">
        <f>IF(H33&gt;0,'2014 comm sample'!G33/'2014 Comm catch'!H33,"na")</f>
        <v>0.33566433566433568</v>
      </c>
      <c r="U33" s="583">
        <f>IF(K33&lt;&gt;"na",C33*L33,0)</f>
        <v>6.196136701337295</v>
      </c>
      <c r="V33" s="514">
        <f>IF(L33&lt;&gt;"na",D33*L33,0)</f>
        <v>16.644873699851409</v>
      </c>
      <c r="W33" s="514">
        <f t="shared" si="1"/>
        <v>0</v>
      </c>
      <c r="X33" s="705">
        <f t="shared" si="2"/>
        <v>22.841010401188704</v>
      </c>
      <c r="Y33" s="584">
        <f t="shared" si="3"/>
        <v>319.7765363128492</v>
      </c>
      <c r="Z33" s="584">
        <f t="shared" si="3"/>
        <v>220.45833333333334</v>
      </c>
      <c r="AA33" s="705">
        <f t="shared" si="4"/>
        <v>540.23486964618257</v>
      </c>
      <c r="AB33" s="580">
        <f>X33+AA33</f>
        <v>563.07588004737124</v>
      </c>
      <c r="AC33" s="754">
        <f>F33*'2014 comm sample'!R33</f>
        <v>24.082733812949641</v>
      </c>
      <c r="AD33" s="754">
        <f>I33*'2014 comm sample'!S33</f>
        <v>541.82909090909095</v>
      </c>
      <c r="AE33" s="585"/>
      <c r="AF33" s="585"/>
    </row>
    <row r="34" spans="1:32" x14ac:dyDescent="0.3">
      <c r="A34" s="34" t="s">
        <v>327</v>
      </c>
      <c r="B34" s="34">
        <v>41</v>
      </c>
      <c r="C34" s="708">
        <v>6970</v>
      </c>
      <c r="D34" s="709">
        <v>5496</v>
      </c>
      <c r="E34" s="709">
        <v>2009</v>
      </c>
      <c r="F34" s="701">
        <f t="shared" si="8"/>
        <v>14475</v>
      </c>
      <c r="G34" s="742">
        <v>477</v>
      </c>
      <c r="H34" s="742">
        <v>230</v>
      </c>
      <c r="I34" s="704">
        <f t="shared" si="5"/>
        <v>707</v>
      </c>
      <c r="J34" s="515">
        <f t="shared" si="7"/>
        <v>15182</v>
      </c>
      <c r="K34" s="532">
        <f>'2014 comm sample'!M34</f>
        <v>0.15826260609086371</v>
      </c>
      <c r="L34" s="532">
        <f>'2014 comm sample'!N34</f>
        <v>0.13453299057412169</v>
      </c>
      <c r="M34" s="532">
        <f>'2014 comm sample'!O34</f>
        <v>0.14063848144952545</v>
      </c>
      <c r="N34" s="532">
        <f>'2014 comm sample'!P34</f>
        <v>0.16307692307692306</v>
      </c>
      <c r="O34" s="533">
        <f>'2014 comm sample'!Q34</f>
        <v>0.26506024096385544</v>
      </c>
      <c r="P34" s="558">
        <f>IF(C34&gt;0,'2014 comm sample'!C34/'2014 Comm catch'!C34,"na")</f>
        <v>0.2873744619799139</v>
      </c>
      <c r="Q34" s="559">
        <f>IF(D34&gt;0,'2014 comm sample'!D34/'2014 Comm catch'!D34,"na")</f>
        <v>0.21233624454148473</v>
      </c>
      <c r="R34" s="559">
        <f>IF(E34&gt;0,'2014 comm sample'!E34/'2014 Comm catch'!E34,"na")</f>
        <v>0.57690393230462922</v>
      </c>
      <c r="S34" s="559">
        <f>IF(G34&gt;0,'2014 comm sample'!F34/'2014 Comm catch'!G34,"na")</f>
        <v>0.68134171907756813</v>
      </c>
      <c r="T34" s="559">
        <f>IF(H34&gt;0,'2014 comm sample'!G34/'2014 Comm catch'!H34,"na")</f>
        <v>0.36086956521739133</v>
      </c>
      <c r="U34" s="560">
        <f t="shared" si="1"/>
        <v>1103.09036445332</v>
      </c>
      <c r="V34" s="514">
        <f t="shared" si="1"/>
        <v>739.39331619537279</v>
      </c>
      <c r="W34" s="514">
        <f t="shared" si="1"/>
        <v>282.54270923209663</v>
      </c>
      <c r="X34" s="755">
        <f t="shared" si="2"/>
        <v>2125.0263898807893</v>
      </c>
      <c r="Y34" s="514">
        <f t="shared" si="3"/>
        <v>77.787692307692296</v>
      </c>
      <c r="Z34" s="514">
        <f>IF(O34&lt;&gt;"na",H34*O34,0)</f>
        <v>60.963855421686752</v>
      </c>
      <c r="AA34" s="705">
        <f t="shared" si="4"/>
        <v>138.75154772937904</v>
      </c>
      <c r="AB34" s="580">
        <f t="shared" si="6"/>
        <v>2263.7779376101685</v>
      </c>
      <c r="AC34" s="585">
        <f>F34*'2014 comm sample'!R34</f>
        <v>2129.9549549549547</v>
      </c>
      <c r="AD34" s="754">
        <f>I34*'2014 comm sample'!S34</f>
        <v>129.96323529411765</v>
      </c>
      <c r="AE34" s="657"/>
    </row>
    <row r="35" spans="1:32" x14ac:dyDescent="0.3">
      <c r="A35" s="34" t="s">
        <v>321</v>
      </c>
      <c r="B35" s="34">
        <v>41</v>
      </c>
      <c r="C35" s="708">
        <v>1103</v>
      </c>
      <c r="D35" s="709">
        <v>4508</v>
      </c>
      <c r="E35" s="709">
        <v>1587</v>
      </c>
      <c r="F35" s="701">
        <f t="shared" si="8"/>
        <v>7198</v>
      </c>
      <c r="G35" s="761"/>
      <c r="H35" s="761"/>
      <c r="I35" s="704">
        <f t="shared" si="5"/>
        <v>0</v>
      </c>
      <c r="J35" s="515">
        <f t="shared" ref="J35" si="9">F35+I35</f>
        <v>7198</v>
      </c>
      <c r="K35" s="532">
        <f>'2014 comm sample'!M35</f>
        <v>3.7735849056603774E-3</v>
      </c>
      <c r="L35" s="532">
        <f>'2014 comm sample'!N35</f>
        <v>3.7735849056603774E-3</v>
      </c>
      <c r="M35" s="532">
        <f>'2014 comm sample'!O35</f>
        <v>1.1947431302270011E-3</v>
      </c>
      <c r="N35" s="532" t="str">
        <f>'2014 comm sample'!P35</f>
        <v>na</v>
      </c>
      <c r="O35" s="533" t="str">
        <f>'2014 comm sample'!Q35</f>
        <v>na</v>
      </c>
      <c r="P35" s="558">
        <f>IF(C35&gt;0,'2014 comm sample'!C35/'2014 Comm catch'!C35,"na")</f>
        <v>0.21124206708975521</v>
      </c>
      <c r="Q35" s="559">
        <f>IF(D35&gt;0,'2014 comm sample'!D35/'2014 Comm catch'!D35,"na")</f>
        <v>0.17635314995563442</v>
      </c>
      <c r="R35" s="559">
        <f>IF(E35&gt;0,'2014 comm sample'!E35/'2014 Comm catch'!E35,"na")</f>
        <v>0.52741020793950855</v>
      </c>
      <c r="S35" s="559" t="str">
        <f>IF(G35&gt;0,'2014 comm sample'!F35/'2014 Comm catch'!G35,"na")</f>
        <v>na</v>
      </c>
      <c r="T35" s="559" t="str">
        <f>IF(H35&gt;0,'2014 comm sample'!G35/'2014 Comm catch'!H35,"na")</f>
        <v>na</v>
      </c>
      <c r="U35" s="560">
        <f t="shared" ref="U35" si="10">IF(K35&lt;&gt;"na",C35*K35,0)</f>
        <v>4.162264150943396</v>
      </c>
      <c r="V35" s="514">
        <f t="shared" ref="V35" si="11">IF(L35&lt;&gt;"na",D35*L35,0)</f>
        <v>17.01132075471698</v>
      </c>
      <c r="W35" s="514">
        <f t="shared" ref="W35" si="12">IF(M35&lt;&gt;"na",E35*M35,0)</f>
        <v>1.8960573476702507</v>
      </c>
      <c r="X35" s="755">
        <f t="shared" ref="X35" si="13">SUM(U35:W35)</f>
        <v>23.069642253330628</v>
      </c>
      <c r="Y35" s="514">
        <f t="shared" ref="Y35" si="14">IF(N35&lt;&gt;"na",G35*N35,0)</f>
        <v>0</v>
      </c>
      <c r="Z35" s="514">
        <f>IF(O35&lt;&gt;"na",H35*O35,0)</f>
        <v>0</v>
      </c>
      <c r="AA35" s="705">
        <f t="shared" ref="AA35" si="15">SUM(Y35:Z35)</f>
        <v>0</v>
      </c>
      <c r="AB35" s="580">
        <f t="shared" ref="AB35" si="16">X35+AA35</f>
        <v>23.069642253330628</v>
      </c>
      <c r="AC35" s="585">
        <f>F35*'2014 comm sample'!R35</f>
        <v>15.438069705093834</v>
      </c>
      <c r="AD35" s="585"/>
      <c r="AE35" s="657"/>
    </row>
    <row r="36" spans="1:32" x14ac:dyDescent="0.3">
      <c r="A36" s="34" t="s">
        <v>327</v>
      </c>
      <c r="B36" s="34">
        <v>42</v>
      </c>
      <c r="C36" s="708">
        <v>116</v>
      </c>
      <c r="D36" s="709">
        <v>4605</v>
      </c>
      <c r="E36" s="709">
        <v>2270</v>
      </c>
      <c r="F36" s="701">
        <f t="shared" si="8"/>
        <v>6991</v>
      </c>
      <c r="G36" s="709">
        <v>38</v>
      </c>
      <c r="H36" s="709">
        <v>98</v>
      </c>
      <c r="I36" s="704">
        <f t="shared" si="5"/>
        <v>136</v>
      </c>
      <c r="J36" s="515">
        <f t="shared" si="7"/>
        <v>7127</v>
      </c>
      <c r="K36" s="532">
        <f>'2014 comm sample'!M36</f>
        <v>0.15151515151515152</v>
      </c>
      <c r="L36" s="532">
        <f>'2014 comm sample'!N36</f>
        <v>0.15151515151515152</v>
      </c>
      <c r="M36" s="532">
        <f>'2014 comm sample'!O36</f>
        <v>0.2060353798126951</v>
      </c>
      <c r="N36" s="532">
        <f>'2014 comm sample'!P36</f>
        <v>0.18333333333333332</v>
      </c>
      <c r="O36" s="533">
        <f>'2014 comm sample'!Q36</f>
        <v>0.2</v>
      </c>
      <c r="P36" s="558">
        <f>IF(C36&gt;0,'2014 comm sample'!C36/'2014 Comm catch'!C36,"na")</f>
        <v>0.68103448275862066</v>
      </c>
      <c r="Q36" s="559">
        <f>IF(D36&gt;0,'2014 comm sample'!D36/'2014 Comm catch'!D36,"na")</f>
        <v>0.31530944625407165</v>
      </c>
      <c r="R36" s="559">
        <f>IF(E36&gt;0,'2014 comm sample'!E36/'2014 Comm catch'!E36,"na")</f>
        <v>0.42334801762114538</v>
      </c>
      <c r="S36" s="559">
        <f>IF(G36&gt;0,'2014 comm sample'!F36/'2014 Comm catch'!G36,"na")</f>
        <v>1.5789473684210527</v>
      </c>
      <c r="T36" s="559">
        <f>IF(H36&gt;0,'2014 comm sample'!G36/'2014 Comm catch'!H36,"na")</f>
        <v>0.20408163265306123</v>
      </c>
      <c r="U36" s="560">
        <f t="shared" si="1"/>
        <v>17.575757575757578</v>
      </c>
      <c r="V36" s="514">
        <f t="shared" si="1"/>
        <v>697.72727272727275</v>
      </c>
      <c r="W36" s="514">
        <f t="shared" si="1"/>
        <v>467.7003121748179</v>
      </c>
      <c r="X36" s="755">
        <f t="shared" si="2"/>
        <v>1183.0033424778483</v>
      </c>
      <c r="Y36" s="514">
        <f t="shared" si="3"/>
        <v>6.9666666666666659</v>
      </c>
      <c r="Z36" s="514">
        <f t="shared" si="3"/>
        <v>19.600000000000001</v>
      </c>
      <c r="AA36" s="705">
        <f t="shared" si="4"/>
        <v>26.566666666666666</v>
      </c>
      <c r="AB36" s="580">
        <f t="shared" si="6"/>
        <v>1209.5700091445149</v>
      </c>
      <c r="AC36" s="585">
        <f>F36*'2014 comm sample'!R36</f>
        <v>1228.755216693419</v>
      </c>
      <c r="AD36" s="754">
        <f>I36*'2014 comm sample'!S36</f>
        <v>25.5</v>
      </c>
    </row>
    <row r="37" spans="1:32" x14ac:dyDescent="0.3">
      <c r="A37" s="34" t="s">
        <v>321</v>
      </c>
      <c r="B37" s="34">
        <v>42</v>
      </c>
      <c r="C37" s="708">
        <v>12</v>
      </c>
      <c r="D37" s="709">
        <v>1343</v>
      </c>
      <c r="E37" s="709">
        <v>863</v>
      </c>
      <c r="F37" s="701">
        <f>SUM(C37:E37)</f>
        <v>2218</v>
      </c>
      <c r="G37" s="762"/>
      <c r="H37" s="762"/>
      <c r="I37" s="704">
        <f>SUM(G37:H37)</f>
        <v>0</v>
      </c>
      <c r="J37" s="515">
        <f>F37+I37</f>
        <v>2218</v>
      </c>
      <c r="K37" s="532">
        <f>'2014 comm sample'!M37</f>
        <v>0</v>
      </c>
      <c r="L37" s="532">
        <f>'2014 comm sample'!N37</f>
        <v>0</v>
      </c>
      <c r="M37" s="532">
        <f>'2014 comm sample'!O37</f>
        <v>0</v>
      </c>
      <c r="N37" s="532" t="str">
        <f>'2014 comm sample'!P37</f>
        <v>na</v>
      </c>
      <c r="O37" s="533" t="str">
        <f>'2014 comm sample'!Q37</f>
        <v>na</v>
      </c>
      <c r="P37" s="558">
        <f>IF(C37&gt;0,'2014 comm sample'!C37/'2014 Comm catch'!C37,"na")</f>
        <v>0</v>
      </c>
      <c r="Q37" s="559">
        <f>IF(D37&gt;0,'2014 comm sample'!D37/'2014 Comm catch'!D37,"na")</f>
        <v>0.10573343261355175</v>
      </c>
      <c r="R37" s="559">
        <f>IF(E37&gt;0,'2014 comm sample'!E37/'2014 Comm catch'!E37,"na")</f>
        <v>0.19235225955967555</v>
      </c>
      <c r="S37" s="559" t="str">
        <f>IF(G37&gt;0,'2014 comm sample'!F37/'2014 Comm catch'!G37,"na")</f>
        <v>na</v>
      </c>
      <c r="T37" s="559" t="str">
        <f>IF(H37&gt;0,'2014 comm sample'!G37/'2014 Comm catch'!H37,"na")</f>
        <v>na</v>
      </c>
      <c r="U37" s="560">
        <f>IF(K37&lt;&gt;"na",C37*K37,0)</f>
        <v>0</v>
      </c>
      <c r="V37" s="514">
        <f>IF(L37&lt;&gt;"na",D37*L37,0)</f>
        <v>0</v>
      </c>
      <c r="W37" s="514">
        <f>IF(M37&lt;&gt;"na",E37*M37,0)</f>
        <v>0</v>
      </c>
      <c r="X37" s="705">
        <f>SUM(U37:W37)</f>
        <v>0</v>
      </c>
      <c r="Y37" s="514">
        <f>IF(N37&lt;&gt;"na",G37*N37,0)</f>
        <v>0</v>
      </c>
      <c r="Z37" s="514">
        <f>IF(O37&lt;&gt;"na",H37*O37,0)</f>
        <v>0</v>
      </c>
      <c r="AA37" s="705">
        <f>SUM(Y37:Z37)</f>
        <v>0</v>
      </c>
      <c r="AB37" s="580">
        <f>X37+AA37</f>
        <v>0</v>
      </c>
      <c r="AC37" s="754">
        <f>F37*'2014 comm sample'!R37</f>
        <v>0</v>
      </c>
      <c r="AD37" s="585"/>
    </row>
    <row r="38" spans="1:32" x14ac:dyDescent="0.3">
      <c r="A38" s="34" t="s">
        <v>327</v>
      </c>
      <c r="B38" s="34">
        <v>43</v>
      </c>
      <c r="C38" s="708">
        <v>329</v>
      </c>
      <c r="D38" s="709">
        <v>6797</v>
      </c>
      <c r="E38" s="709">
        <v>3951</v>
      </c>
      <c r="F38" s="701">
        <f t="shared" si="8"/>
        <v>11077</v>
      </c>
      <c r="G38" s="709">
        <v>34</v>
      </c>
      <c r="H38" s="709">
        <v>41</v>
      </c>
      <c r="I38" s="704">
        <f t="shared" si="5"/>
        <v>75</v>
      </c>
      <c r="J38" s="515">
        <f t="shared" si="7"/>
        <v>11152</v>
      </c>
      <c r="K38" s="532" t="str">
        <f>'2014 comm sample'!M38</f>
        <v>na</v>
      </c>
      <c r="L38" s="532">
        <f>'2014 comm sample'!N38</f>
        <v>0.15521821631878557</v>
      </c>
      <c r="M38" s="532">
        <f>'2014 comm sample'!O38</f>
        <v>0.13255269320843091</v>
      </c>
      <c r="N38" s="532">
        <f>'2014 comm sample'!P38</f>
        <v>0.10810810810810811</v>
      </c>
      <c r="O38" s="532">
        <f>'2014 comm sample'!Q38</f>
        <v>0.33333333333333331</v>
      </c>
      <c r="P38" s="558">
        <f>IF(C38&gt;0,'2014 comm sample'!C38/'2014 Comm catch'!C38,"na")</f>
        <v>0</v>
      </c>
      <c r="Q38" s="559">
        <f>IF(D38&gt;0,'2014 comm sample'!D38/'2014 Comm catch'!D38,"na")</f>
        <v>0.3876710313373547</v>
      </c>
      <c r="R38" s="559">
        <f>IF(E38&gt;0,'2014 comm sample'!E38/'2014 Comm catch'!E38,"na")</f>
        <v>0.5403695267021007</v>
      </c>
      <c r="S38" s="559">
        <f>IF(G38&gt;0,'2014 comm sample'!F38/'2014 Comm catch'!G38,"na")</f>
        <v>1.088235294117647</v>
      </c>
      <c r="T38" s="559">
        <f>IF(H38&gt;0,'2014 comm sample'!G38/'2014 Comm catch'!H38,"na")</f>
        <v>0.36585365853658536</v>
      </c>
      <c r="U38" s="560">
        <f t="shared" si="1"/>
        <v>0</v>
      </c>
      <c r="V38" s="514">
        <f t="shared" si="1"/>
        <v>1055.0182163187856</v>
      </c>
      <c r="W38" s="514">
        <f t="shared" si="1"/>
        <v>523.7156908665105</v>
      </c>
      <c r="X38" s="705">
        <f t="shared" si="2"/>
        <v>1578.7339071852962</v>
      </c>
      <c r="Y38" s="514">
        <f t="shared" si="3"/>
        <v>3.6756756756756759</v>
      </c>
      <c r="Z38" s="514">
        <f t="shared" si="3"/>
        <v>13.666666666666666</v>
      </c>
      <c r="AA38" s="705">
        <f t="shared" si="4"/>
        <v>17.342342342342342</v>
      </c>
      <c r="AB38" s="580">
        <f t="shared" si="6"/>
        <v>1596.0762495276385</v>
      </c>
      <c r="AC38" s="754">
        <f>F38*'2014 comm sample'!R38</f>
        <v>1606.9777777777776</v>
      </c>
      <c r="AD38" s="754">
        <f>I38*'2014 comm sample'!S38</f>
        <v>12.98076923076923</v>
      </c>
    </row>
    <row r="39" spans="1:32" x14ac:dyDescent="0.3">
      <c r="A39" s="34" t="s">
        <v>321</v>
      </c>
      <c r="B39" s="34">
        <v>43</v>
      </c>
      <c r="C39" s="708">
        <v>0</v>
      </c>
      <c r="D39" s="709">
        <v>2042</v>
      </c>
      <c r="E39" s="709">
        <v>807</v>
      </c>
      <c r="F39" s="701">
        <f>SUM(C39:E39)</f>
        <v>2849</v>
      </c>
      <c r="G39" s="762"/>
      <c r="H39" s="762"/>
      <c r="I39" s="704">
        <f>SUM(G39:H39)</f>
        <v>0</v>
      </c>
      <c r="J39" s="515">
        <f>F39+I39</f>
        <v>2849</v>
      </c>
      <c r="K39" s="532">
        <f>'2014 comm sample'!M39</f>
        <v>0</v>
      </c>
      <c r="L39" s="532">
        <f>'2014 comm sample'!N39</f>
        <v>0</v>
      </c>
      <c r="M39" s="532">
        <f>'2014 comm sample'!O39</f>
        <v>0</v>
      </c>
      <c r="N39" s="532" t="str">
        <f>'2014 comm sample'!P39</f>
        <v>na</v>
      </c>
      <c r="O39" s="533" t="str">
        <f>'2014 comm sample'!Q39</f>
        <v>na</v>
      </c>
      <c r="P39" s="558" t="str">
        <f>IF(C39&gt;0,'2014 comm sample'!C39/'2014 Comm catch'!C39,"na")</f>
        <v>na</v>
      </c>
      <c r="Q39" s="559">
        <f>IF(D39&gt;0,'2014 comm sample'!D39/'2014 Comm catch'!D39,"na")</f>
        <v>0.35357492654260531</v>
      </c>
      <c r="R39" s="559">
        <f>IF(E39&gt;0,'2014 comm sample'!E39/'2014 Comm catch'!E39,"na")</f>
        <v>0.26394052044609667</v>
      </c>
      <c r="S39" s="559" t="str">
        <f>IF(G39&gt;0,'2014 comm sample'!F39/'2014 Comm catch'!G39,"na")</f>
        <v>na</v>
      </c>
      <c r="T39" s="559" t="str">
        <f>IF(H39&gt;0,'2014 comm sample'!G39/'2014 Comm catch'!H39,"na")</f>
        <v>na</v>
      </c>
      <c r="U39" s="560">
        <f>IF(K39&lt;&gt;"na",C39*K39,0)</f>
        <v>0</v>
      </c>
      <c r="V39" s="514">
        <f>IF(L39&lt;&gt;"na",D39*L39,0)</f>
        <v>0</v>
      </c>
      <c r="W39" s="514">
        <f>IF(M39&lt;&gt;"na",E39*M39,0)</f>
        <v>0</v>
      </c>
      <c r="X39" s="755">
        <f>SUM(U39:W39)</f>
        <v>0</v>
      </c>
      <c r="Y39" s="514">
        <f>IF(N39&lt;&gt;"na",G39*N39,0)</f>
        <v>0</v>
      </c>
      <c r="Z39" s="514">
        <f>IF(O39&lt;&gt;"na",H39*O39,0)</f>
        <v>0</v>
      </c>
      <c r="AA39" s="705">
        <f>SUM(Y39:Z39)</f>
        <v>0</v>
      </c>
      <c r="AB39" s="580">
        <f>X39+AA39</f>
        <v>0</v>
      </c>
      <c r="AC39" s="585">
        <f>F39*'2014 comm sample'!R39</f>
        <v>0</v>
      </c>
      <c r="AD39" s="585"/>
    </row>
    <row r="40" spans="1:32" x14ac:dyDescent="0.3">
      <c r="A40" s="34" t="s">
        <v>327</v>
      </c>
      <c r="B40" s="34">
        <v>44</v>
      </c>
      <c r="C40" s="708">
        <v>107</v>
      </c>
      <c r="D40" s="709">
        <v>7927</v>
      </c>
      <c r="E40" s="709">
        <v>5707</v>
      </c>
      <c r="F40" s="701">
        <f t="shared" si="8"/>
        <v>13741</v>
      </c>
      <c r="G40" s="709">
        <v>5</v>
      </c>
      <c r="H40" s="709">
        <v>7</v>
      </c>
      <c r="I40" s="704">
        <f t="shared" si="5"/>
        <v>12</v>
      </c>
      <c r="J40" s="515">
        <f t="shared" si="7"/>
        <v>13753</v>
      </c>
      <c r="K40" s="532" t="str">
        <f>'2014 comm sample'!M40</f>
        <v>na</v>
      </c>
      <c r="L40" s="532">
        <f>'2014 comm sample'!N40</f>
        <v>0.13028344107409248</v>
      </c>
      <c r="M40" s="532">
        <f>'2014 comm sample'!O40</f>
        <v>0.13116883116883116</v>
      </c>
      <c r="N40" s="532" t="str">
        <f>'2014 comm sample'!P40</f>
        <v>na</v>
      </c>
      <c r="O40" s="533">
        <f>'2014 comm sample'!Q40</f>
        <v>0.16666666666666666</v>
      </c>
      <c r="P40" s="558">
        <f>IF(C40&gt;0,'2014 comm sample'!C40/'2014 Comm catch'!C40,"na")</f>
        <v>0</v>
      </c>
      <c r="Q40" s="559">
        <f>IF(D40&gt;0,'2014 comm sample'!D40/'2014 Comm catch'!D40,"na")</f>
        <v>0.50737984104957734</v>
      </c>
      <c r="R40" s="559">
        <f>IF(E40&gt;0,'2014 comm sample'!E40/'2014 Comm catch'!E40,"na")</f>
        <v>0.26984405116523569</v>
      </c>
      <c r="S40" s="559">
        <f>IF(G40&gt;0,'2014 comm sample'!F40/'2014 Comm catch'!G40,"na")</f>
        <v>0</v>
      </c>
      <c r="T40" s="559">
        <f>IF(H40&gt;0,'2014 comm sample'!G40/'2014 Comm catch'!H40,"na")</f>
        <v>0.8571428571428571</v>
      </c>
      <c r="U40" s="560">
        <f t="shared" si="1"/>
        <v>0</v>
      </c>
      <c r="V40" s="514">
        <f t="shared" si="1"/>
        <v>1032.7568373943311</v>
      </c>
      <c r="W40" s="514">
        <f t="shared" si="1"/>
        <v>748.58051948051946</v>
      </c>
      <c r="X40" s="705">
        <f t="shared" si="2"/>
        <v>1781.3373568748507</v>
      </c>
      <c r="Y40" s="514">
        <f t="shared" si="3"/>
        <v>0</v>
      </c>
      <c r="Z40" s="514">
        <f t="shared" si="3"/>
        <v>1.1666666666666665</v>
      </c>
      <c r="AA40" s="705">
        <f t="shared" si="4"/>
        <v>1.1666666666666665</v>
      </c>
      <c r="AB40" s="580">
        <f t="shared" si="6"/>
        <v>1782.5040235415174</v>
      </c>
      <c r="AC40" s="754">
        <f>F40*'2014 comm sample'!R40</f>
        <v>1793.5933117583604</v>
      </c>
      <c r="AD40" s="754">
        <f>I40*'2014 comm sample'!S40</f>
        <v>2</v>
      </c>
    </row>
    <row r="41" spans="1:32" x14ac:dyDescent="0.3">
      <c r="B41" s="34">
        <v>45</v>
      </c>
      <c r="C41" s="750"/>
      <c r="D41" s="751"/>
      <c r="E41" s="751"/>
      <c r="F41" s="751"/>
      <c r="G41" s="751"/>
      <c r="H41" s="751"/>
      <c r="I41" s="751"/>
      <c r="J41" s="566">
        <f t="shared" si="7"/>
        <v>0</v>
      </c>
      <c r="K41" s="534" t="str">
        <f>'2014 comm sample'!M41</f>
        <v>na</v>
      </c>
      <c r="L41" s="534" t="str">
        <f>'2014 comm sample'!N41</f>
        <v>na</v>
      </c>
      <c r="M41" s="534" t="str">
        <f>'2014 comm sample'!O41</f>
        <v>na</v>
      </c>
      <c r="N41" s="534" t="str">
        <f>'2014 comm sample'!P41</f>
        <v>na</v>
      </c>
      <c r="O41" s="535" t="str">
        <f>'2014 comm sample'!Q41</f>
        <v>na</v>
      </c>
      <c r="P41" s="569" t="str">
        <f>IF(C41&gt;0,'2014 comm sample'!C41/'2014 Comm catch'!C41,"na")</f>
        <v>na</v>
      </c>
      <c r="Q41" s="570" t="str">
        <f>IF(D41&gt;0,'2014 comm sample'!D41/'2014 Comm catch'!D41,"na")</f>
        <v>na</v>
      </c>
      <c r="R41" s="570" t="str">
        <f>IF(E41&gt;0,'2014 comm sample'!E41/'2014 Comm catch'!E41,"na")</f>
        <v>na</v>
      </c>
      <c r="S41" s="570" t="str">
        <f>IF(G41&gt;0,'2014 comm sample'!F41/'2014 Comm catch'!G41,"na")</f>
        <v>na</v>
      </c>
      <c r="T41" s="570" t="str">
        <f>IF(H41&gt;0,'2014 comm sample'!G41/'2014 Comm catch'!H41,"na")</f>
        <v>na</v>
      </c>
      <c r="U41" s="588">
        <f t="shared" si="1"/>
        <v>0</v>
      </c>
      <c r="V41" s="589">
        <f t="shared" si="1"/>
        <v>0</v>
      </c>
      <c r="W41" s="589">
        <f t="shared" si="1"/>
        <v>0</v>
      </c>
      <c r="X41" s="707"/>
      <c r="Y41" s="589">
        <f t="shared" si="3"/>
        <v>0</v>
      </c>
      <c r="Z41" s="589">
        <f t="shared" si="3"/>
        <v>0</v>
      </c>
      <c r="AA41" s="707"/>
      <c r="AB41" s="590">
        <f t="shared" si="6"/>
        <v>0</v>
      </c>
    </row>
    <row r="42" spans="1:32" x14ac:dyDescent="0.3">
      <c r="B42" s="591" t="s">
        <v>184</v>
      </c>
      <c r="C42" s="592">
        <f>SUM(C25:C41)</f>
        <v>10027</v>
      </c>
      <c r="D42" s="593">
        <f>SUM(D25:D41)</f>
        <v>36452</v>
      </c>
      <c r="E42" s="593">
        <f>SUM(E25:E41)</f>
        <v>18765</v>
      </c>
      <c r="F42" s="593"/>
      <c r="G42" s="593">
        <f>SUM(G25:G41)</f>
        <v>4660</v>
      </c>
      <c r="H42" s="593">
        <f>SUM(H25:H41)</f>
        <v>2909</v>
      </c>
      <c r="I42" s="593"/>
      <c r="J42" s="594">
        <f>SUM(C42:H42)</f>
        <v>72813</v>
      </c>
      <c r="K42" s="595">
        <f>'2014 comm sample'!M42</f>
        <v>0.13538338658146964</v>
      </c>
      <c r="L42" s="595">
        <f>'2014 comm sample'!N42</f>
        <v>0.11337008959338388</v>
      </c>
      <c r="M42" s="595">
        <f>'2014 comm sample'!O42</f>
        <v>0.11234911792014857</v>
      </c>
      <c r="N42" s="595">
        <f>'2014 comm sample'!P42</f>
        <v>0.46624472573839665</v>
      </c>
      <c r="O42" s="595">
        <f>'2014 comm sample'!Q42</f>
        <v>0.52224052718286651</v>
      </c>
      <c r="P42" s="596">
        <f>IF(C42&gt;0,'2014 comm sample'!C42/'2014 Comm catch'!C42,"na")</f>
        <v>0.24972574050064825</v>
      </c>
      <c r="Q42" s="596">
        <f>IF(D42&gt;0,'2014 comm sample'!D42/'2014 Comm catch'!D42,"na")</f>
        <v>0.31844617579282342</v>
      </c>
      <c r="R42" s="596">
        <f>IF(E42&gt;0,'2014 comm sample'!E42/'2014 Comm catch'!E42,"na")</f>
        <v>0.40175859312549961</v>
      </c>
      <c r="S42" s="596">
        <f>IF(G42&gt;0,'2014 comm sample'!F42/'2014 Comm catch'!G42,"na")</f>
        <v>0.40686695278969959</v>
      </c>
      <c r="T42" s="596">
        <f>IF(H42&gt;0,'2014 comm sample'!G42/'2014 Comm catch'!H42,"na")</f>
        <v>0.41732554142316947</v>
      </c>
      <c r="U42" s="588">
        <f t="shared" ref="U42:AA42" si="17">SUM(U25:U41)</f>
        <v>1131.0245228813583</v>
      </c>
      <c r="V42" s="589">
        <f t="shared" si="17"/>
        <v>3558.551837090331</v>
      </c>
      <c r="W42" s="589">
        <f t="shared" si="17"/>
        <v>2024.4352891016147</v>
      </c>
      <c r="X42" s="589">
        <f t="shared" si="17"/>
        <v>6714.0116490733035</v>
      </c>
      <c r="Y42" s="589">
        <f t="shared" si="17"/>
        <v>2416.8850955352509</v>
      </c>
      <c r="Z42" s="589">
        <f t="shared" si="17"/>
        <v>1511.0947390398405</v>
      </c>
      <c r="AA42" s="589">
        <f t="shared" si="17"/>
        <v>3927.979834575091</v>
      </c>
      <c r="AB42" s="590">
        <f t="shared" si="6"/>
        <v>10641.991483648395</v>
      </c>
    </row>
    <row r="43" spans="1:32" x14ac:dyDescent="0.3">
      <c r="B43" s="591"/>
      <c r="C43" s="597"/>
      <c r="D43" s="597"/>
      <c r="E43" s="597">
        <f>E42+D42+C42</f>
        <v>65244</v>
      </c>
      <c r="F43" s="597"/>
      <c r="G43" s="597"/>
      <c r="J43" s="597"/>
      <c r="K43" s="597"/>
      <c r="L43" s="597"/>
      <c r="M43" s="597"/>
      <c r="N43" s="597"/>
      <c r="O43" s="598"/>
      <c r="P43" s="597"/>
      <c r="Q43" s="597"/>
      <c r="R43" s="597"/>
      <c r="S43" s="597"/>
      <c r="T43" s="599"/>
      <c r="U43" s="597"/>
      <c r="V43" s="597"/>
      <c r="W43" s="597"/>
      <c r="X43" s="597"/>
      <c r="Y43" s="597"/>
      <c r="Z43" s="33"/>
      <c r="AA43" s="33"/>
      <c r="AB43" s="597"/>
      <c r="AC43" s="647"/>
    </row>
  </sheetData>
  <mergeCells count="7">
    <mergeCell ref="C3:F3"/>
    <mergeCell ref="G3:J3"/>
    <mergeCell ref="K3:N3"/>
    <mergeCell ref="O3:R3"/>
    <mergeCell ref="C23:J23"/>
    <mergeCell ref="K23:O23"/>
    <mergeCell ref="P23:T23"/>
  </mergeCells>
  <conditionalFormatting sqref="K5:N18">
    <cfRule type="cellIs" dxfId="31" priority="13" operator="equal">
      <formula>"na"</formula>
    </cfRule>
    <cfRule type="cellIs" dxfId="30" priority="14" operator="greaterThan">
      <formula>1</formula>
    </cfRule>
    <cfRule type="cellIs" dxfId="29" priority="15" operator="lessThan">
      <formula>0.2</formula>
    </cfRule>
    <cfRule type="cellIs" dxfId="28" priority="20" stopIfTrue="1" operator="equal">
      <formula>0</formula>
    </cfRule>
  </conditionalFormatting>
  <conditionalFormatting sqref="P38:T38 P25:T34 P36:T36 P40:T41">
    <cfRule type="cellIs" dxfId="27" priority="16" stopIfTrue="1" operator="equal">
      <formula>"na"</formula>
    </cfRule>
    <cfRule type="cellIs" dxfId="26" priority="17" operator="greaterThan">
      <formula>1</formula>
    </cfRule>
    <cfRule type="cellIs" dxfId="25" priority="18" operator="lessThan">
      <formula>0.2</formula>
    </cfRule>
    <cfRule type="cellIs" dxfId="24" priority="19" stopIfTrue="1" operator="equal">
      <formula>0</formula>
    </cfRule>
  </conditionalFormatting>
  <conditionalFormatting sqref="P37:T37">
    <cfRule type="cellIs" dxfId="23" priority="9" stopIfTrue="1" operator="equal">
      <formula>"na"</formula>
    </cfRule>
    <cfRule type="cellIs" dxfId="22" priority="10" operator="greaterThan">
      <formula>1</formula>
    </cfRule>
    <cfRule type="cellIs" dxfId="21" priority="11" operator="lessThan">
      <formula>0.2</formula>
    </cfRule>
    <cfRule type="cellIs" dxfId="20" priority="12" stopIfTrue="1" operator="equal">
      <formula>0</formula>
    </cfRule>
  </conditionalFormatting>
  <conditionalFormatting sqref="P35:T35">
    <cfRule type="cellIs" dxfId="19" priority="5" stopIfTrue="1" operator="equal">
      <formula>"na"</formula>
    </cfRule>
    <cfRule type="cellIs" dxfId="18" priority="6" operator="greaterThan">
      <formula>1</formula>
    </cfRule>
    <cfRule type="cellIs" dxfId="17" priority="7" operator="lessThan">
      <formula>0.2</formula>
    </cfRule>
    <cfRule type="cellIs" dxfId="16" priority="8" stopIfTrue="1" operator="equal">
      <formula>0</formula>
    </cfRule>
  </conditionalFormatting>
  <conditionalFormatting sqref="P39:T39">
    <cfRule type="cellIs" dxfId="15" priority="1" stopIfTrue="1" operator="equal">
      <formula>"na"</formula>
    </cfRule>
    <cfRule type="cellIs" dxfId="14" priority="2" operator="greaterThan">
      <formula>1</formula>
    </cfRule>
    <cfRule type="cellIs" dxfId="13" priority="3" operator="lessThan">
      <formula>0.2</formula>
    </cfRule>
    <cfRule type="cellIs" dxfId="12" priority="4" stopIfTrue="1" operator="equal">
      <formula>0</formula>
    </cfRule>
  </conditionalFormatting>
  <pageMargins left="0.75" right="0.75" top="1" bottom="1" header="0.5" footer="0.5"/>
  <pageSetup scale="49" orientation="landscape" r:id="rId1"/>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I78"/>
  <sheetViews>
    <sheetView workbookViewId="0">
      <pane xSplit="2" topLeftCell="C1" activePane="topRight" state="frozen"/>
      <selection activeCell="I30" sqref="I30"/>
      <selection pane="topRight" activeCell="I30" sqref="I30"/>
    </sheetView>
  </sheetViews>
  <sheetFormatPr defaultColWidth="9.1796875" defaultRowHeight="13" x14ac:dyDescent="0.3"/>
  <cols>
    <col min="1" max="1" width="21" style="32" bestFit="1" customWidth="1"/>
    <col min="2" max="2" width="11.7265625" style="34" bestFit="1" customWidth="1"/>
    <col min="3" max="3" width="11.54296875" style="33" bestFit="1" customWidth="1"/>
    <col min="4" max="4" width="11.81640625" style="33" bestFit="1" customWidth="1"/>
    <col min="5" max="5" width="12.26953125" style="33" bestFit="1" customWidth="1"/>
    <col min="6" max="6" width="7.54296875" style="33" bestFit="1" customWidth="1"/>
    <col min="7" max="7" width="12.7265625" style="33" bestFit="1" customWidth="1"/>
    <col min="8" max="8" width="10.26953125" style="33" bestFit="1" customWidth="1"/>
    <col min="9" max="9" width="8.1796875" style="33" bestFit="1" customWidth="1"/>
    <col min="10" max="10" width="7.54296875" style="33" bestFit="1" customWidth="1"/>
    <col min="11" max="11" width="11.54296875" style="33" bestFit="1" customWidth="1"/>
    <col min="12" max="12" width="11.453125" style="33" bestFit="1" customWidth="1"/>
    <col min="13" max="13" width="8.1796875" style="33" bestFit="1" customWidth="1"/>
    <col min="14" max="14" width="10" style="33" bestFit="1" customWidth="1"/>
    <col min="15" max="15" width="11.54296875" style="33" bestFit="1" customWidth="1"/>
    <col min="16" max="16" width="10.26953125" style="33" bestFit="1" customWidth="1"/>
    <col min="17" max="17" width="8.1796875" style="33" bestFit="1" customWidth="1"/>
    <col min="18" max="18" width="9.26953125" style="33" bestFit="1" customWidth="1"/>
    <col min="19" max="19" width="6.26953125" style="33" bestFit="1" customWidth="1"/>
    <col min="20" max="20" width="7.26953125" style="33" bestFit="1" customWidth="1"/>
    <col min="21" max="21" width="4" style="33" bestFit="1" customWidth="1"/>
    <col min="22" max="22" width="5" style="33" bestFit="1" customWidth="1"/>
    <col min="23" max="23" width="6.7265625" style="33" bestFit="1" customWidth="1"/>
    <col min="24" max="24" width="6.7265625" style="33" customWidth="1"/>
    <col min="25" max="25" width="5" style="32" bestFit="1" customWidth="1"/>
    <col min="26" max="26" width="8.26953125" style="32" bestFit="1" customWidth="1"/>
    <col min="27" max="27" width="8.26953125" style="32" customWidth="1"/>
    <col min="28" max="28" width="7" style="32" bestFit="1" customWidth="1"/>
    <col min="29" max="29" width="12" style="32" bestFit="1" customWidth="1"/>
    <col min="30" max="30" width="9.26953125" style="32" bestFit="1" customWidth="1"/>
    <col min="31" max="31" width="2.54296875" style="32" customWidth="1"/>
    <col min="32" max="16384" width="9.1796875" style="32"/>
  </cols>
  <sheetData>
    <row r="1" spans="1:24" x14ac:dyDescent="0.3">
      <c r="A1" s="34" t="s">
        <v>329</v>
      </c>
    </row>
    <row r="2" spans="1:24" x14ac:dyDescent="0.3">
      <c r="C2" s="34" t="s">
        <v>258</v>
      </c>
    </row>
    <row r="3" spans="1:24" x14ac:dyDescent="0.3">
      <c r="C3" s="903" t="s">
        <v>208</v>
      </c>
      <c r="D3" s="904"/>
      <c r="E3" s="904"/>
      <c r="F3" s="905"/>
      <c r="G3" s="903" t="s">
        <v>264</v>
      </c>
      <c r="H3" s="904"/>
      <c r="I3" s="904"/>
      <c r="J3" s="905"/>
      <c r="K3" s="903" t="s">
        <v>261</v>
      </c>
      <c r="L3" s="904"/>
      <c r="M3" s="904"/>
      <c r="N3" s="905"/>
      <c r="O3" s="903" t="s">
        <v>262</v>
      </c>
      <c r="P3" s="904"/>
      <c r="Q3" s="904"/>
      <c r="R3" s="905"/>
      <c r="S3" s="165"/>
      <c r="T3" s="165"/>
      <c r="U3" s="165"/>
      <c r="V3" s="165"/>
      <c r="W3" s="165"/>
      <c r="X3" s="165"/>
    </row>
    <row r="4" spans="1:24" x14ac:dyDescent="0.3">
      <c r="B4" s="34" t="s">
        <v>134</v>
      </c>
      <c r="C4" s="547" t="s">
        <v>31</v>
      </c>
      <c r="D4" s="202" t="s">
        <v>62</v>
      </c>
      <c r="E4" s="202" t="s">
        <v>260</v>
      </c>
      <c r="F4" s="548" t="s">
        <v>203</v>
      </c>
      <c r="G4" s="547" t="s">
        <v>31</v>
      </c>
      <c r="H4" s="202" t="s">
        <v>62</v>
      </c>
      <c r="I4" s="202" t="s">
        <v>260</v>
      </c>
      <c r="J4" s="548" t="s">
        <v>203</v>
      </c>
      <c r="K4" s="549" t="s">
        <v>31</v>
      </c>
      <c r="L4" s="208" t="s">
        <v>62</v>
      </c>
      <c r="M4" s="208" t="s">
        <v>260</v>
      </c>
      <c r="N4" s="550" t="s">
        <v>203</v>
      </c>
      <c r="O4" s="549" t="s">
        <v>31</v>
      </c>
      <c r="P4" s="208" t="s">
        <v>62</v>
      </c>
      <c r="Q4" s="208" t="s">
        <v>260</v>
      </c>
      <c r="R4" s="550" t="s">
        <v>203</v>
      </c>
      <c r="S4" s="208"/>
      <c r="T4" s="208"/>
      <c r="U4" s="208"/>
      <c r="V4" s="208"/>
      <c r="W4" s="208"/>
      <c r="X4" s="208"/>
    </row>
    <row r="5" spans="1:24" x14ac:dyDescent="0.3">
      <c r="B5" s="34">
        <v>32</v>
      </c>
      <c r="C5" s="708">
        <v>1</v>
      </c>
      <c r="D5" s="714"/>
      <c r="E5" s="714"/>
      <c r="F5" s="715"/>
      <c r="G5" s="551" t="str">
        <f>'2013 comm sample'!K5</f>
        <v>na</v>
      </c>
      <c r="H5" s="552" t="str">
        <f>'2013 comm sample'!L5</f>
        <v>na</v>
      </c>
      <c r="I5" s="552" t="str">
        <f>'2013 comm sample'!M5</f>
        <v>na</v>
      </c>
      <c r="J5" s="552" t="str">
        <f>'2013 comm sample'!N5</f>
        <v>na</v>
      </c>
      <c r="K5" s="553">
        <f>IF(C5&gt;0,'2013 comm sample'!C5/'2013 Comm catch'!C5,"na")</f>
        <v>0</v>
      </c>
      <c r="L5" s="554" t="str">
        <f>IF(D5&gt;0,'2013 comm sample'!D5/'2013 Comm catch'!D5,"na")</f>
        <v>na</v>
      </c>
      <c r="M5" s="554" t="str">
        <f>IF(E5&gt;0,'2013 comm sample'!E5/'2013 Comm catch'!E5,"na")</f>
        <v>na</v>
      </c>
      <c r="N5" s="554" t="str">
        <f>IF(F5&gt;0,'2013 comm sample'!F5/'2013 Comm catch'!F5,"na")</f>
        <v>na</v>
      </c>
      <c r="O5" s="555" t="str">
        <f t="shared" ref="O5:R18" si="0">IF(G5&lt;&gt;"na",C5*G5,"na")</f>
        <v>na</v>
      </c>
      <c r="P5" s="556" t="str">
        <f t="shared" si="0"/>
        <v>na</v>
      </c>
      <c r="Q5" s="556" t="str">
        <f t="shared" si="0"/>
        <v>na</v>
      </c>
      <c r="R5" s="557" t="str">
        <f t="shared" si="0"/>
        <v>na</v>
      </c>
      <c r="S5" s="514"/>
      <c r="T5" s="514"/>
      <c r="U5" s="514"/>
      <c r="V5" s="514"/>
      <c r="W5" s="514"/>
      <c r="X5" s="514"/>
    </row>
    <row r="6" spans="1:24" x14ac:dyDescent="0.3">
      <c r="B6" s="34">
        <v>33</v>
      </c>
      <c r="C6" s="708">
        <v>5</v>
      </c>
      <c r="D6" s="714"/>
      <c r="E6" s="714"/>
      <c r="F6" s="715"/>
      <c r="G6" s="551">
        <f>'2013 comm sample'!K6</f>
        <v>0</v>
      </c>
      <c r="H6" s="552" t="str">
        <f>'2013 comm sample'!L6</f>
        <v>na</v>
      </c>
      <c r="I6" s="552" t="str">
        <f>'2013 comm sample'!M6</f>
        <v>na</v>
      </c>
      <c r="J6" s="552" t="str">
        <f>'2013 comm sample'!N6</f>
        <v>na</v>
      </c>
      <c r="K6" s="558">
        <f>IF(C6&gt;0,'2013 comm sample'!C6/'2013 Comm catch'!C6,"na")</f>
        <v>0.4</v>
      </c>
      <c r="L6" s="559" t="str">
        <f>IF(D6&gt;0,'2013 comm sample'!D6/'2013 Comm catch'!D6,"na")</f>
        <v>na</v>
      </c>
      <c r="M6" s="559" t="str">
        <f>IF(E6&gt;0,'2013 comm sample'!E6/'2013 Comm catch'!E6,"na")</f>
        <v>na</v>
      </c>
      <c r="N6" s="559" t="str">
        <f>IF(F6&gt;0,'2013 comm sample'!F6/'2013 Comm catch'!F6,"na")</f>
        <v>na</v>
      </c>
      <c r="O6" s="560">
        <f t="shared" si="0"/>
        <v>0</v>
      </c>
      <c r="P6" s="514" t="str">
        <f t="shared" si="0"/>
        <v>na</v>
      </c>
      <c r="Q6" s="514" t="str">
        <f t="shared" si="0"/>
        <v>na</v>
      </c>
      <c r="R6" s="563" t="str">
        <f t="shared" si="0"/>
        <v>na</v>
      </c>
      <c r="S6" s="514"/>
      <c r="T6" s="514"/>
      <c r="U6" s="514"/>
      <c r="V6" s="514"/>
      <c r="W6" s="514"/>
      <c r="X6" s="514"/>
    </row>
    <row r="7" spans="1:24" x14ac:dyDescent="0.3">
      <c r="B7" s="34">
        <v>34</v>
      </c>
      <c r="C7" s="708">
        <v>78</v>
      </c>
      <c r="D7" s="714"/>
      <c r="E7" s="714"/>
      <c r="F7" s="715"/>
      <c r="G7" s="551">
        <f>'2013 comm sample'!K7</f>
        <v>6.5217391304347824E-2</v>
      </c>
      <c r="H7" s="552" t="str">
        <f>'2013 comm sample'!L7</f>
        <v>na</v>
      </c>
      <c r="I7" s="552" t="str">
        <f>'2013 comm sample'!M7</f>
        <v>na</v>
      </c>
      <c r="J7" s="552" t="str">
        <f>'2013 comm sample'!N7</f>
        <v>na</v>
      </c>
      <c r="K7" s="558">
        <f>IF(C7&gt;0,'2013 comm sample'!C7/'2013 Comm catch'!C7,"na")</f>
        <v>0.58974358974358976</v>
      </c>
      <c r="L7" s="559" t="str">
        <f>IF(D7&gt;0,'2013 comm sample'!D7/'2013 Comm catch'!D7,"na")</f>
        <v>na</v>
      </c>
      <c r="M7" s="559" t="str">
        <f>IF(E7&gt;0,'2013 comm sample'!E7/'2013 Comm catch'!E7,"na")</f>
        <v>na</v>
      </c>
      <c r="N7" s="559" t="str">
        <f>IF(F7&gt;0,'2013 comm sample'!F7/'2013 Comm catch'!F7,"na")</f>
        <v>na</v>
      </c>
      <c r="O7" s="560">
        <f t="shared" si="0"/>
        <v>5.0869565217391299</v>
      </c>
      <c r="P7" s="514" t="str">
        <f t="shared" si="0"/>
        <v>na</v>
      </c>
      <c r="Q7" s="514" t="str">
        <f t="shared" si="0"/>
        <v>na</v>
      </c>
      <c r="R7" s="563" t="str">
        <f t="shared" si="0"/>
        <v>na</v>
      </c>
      <c r="S7" s="514"/>
      <c r="T7" s="514"/>
      <c r="U7" s="514"/>
      <c r="V7" s="514"/>
      <c r="W7" s="514"/>
      <c r="X7" s="514"/>
    </row>
    <row r="8" spans="1:24" x14ac:dyDescent="0.3">
      <c r="B8" s="34">
        <v>35</v>
      </c>
      <c r="C8" s="708">
        <v>861</v>
      </c>
      <c r="D8" s="709">
        <v>577</v>
      </c>
      <c r="E8" s="709">
        <v>108</v>
      </c>
      <c r="F8" s="710">
        <v>428</v>
      </c>
      <c r="G8" s="551">
        <f>'2013 comm sample'!K8</f>
        <v>6.6115702479338845E-2</v>
      </c>
      <c r="H8" s="552">
        <f>'2013 comm sample'!L8</f>
        <v>7.6923076923076927E-2</v>
      </c>
      <c r="I8" s="552">
        <f>'2013 comm sample'!M8</f>
        <v>5.2631578947368418E-2</v>
      </c>
      <c r="J8" s="552">
        <f>'2013 comm sample'!N8</f>
        <v>2.3391812865497075E-2</v>
      </c>
      <c r="K8" s="558">
        <f>IF(C8&gt;0,'2013 comm sample'!C8/'2013 Comm catch'!C8,"na")</f>
        <v>0.28106852497096402</v>
      </c>
      <c r="L8" s="559">
        <f>IF(D8&gt;0,'2013 comm sample'!D8/'2013 Comm catch'!D8,"na")</f>
        <v>0.33795493934142112</v>
      </c>
      <c r="M8" s="559">
        <f>IF(E8&gt;0,'2013 comm sample'!E8/'2013 Comm catch'!E8,"na")</f>
        <v>0.17592592592592593</v>
      </c>
      <c r="N8" s="559">
        <f>IF(F8&gt;0,'2013 comm sample'!F8/'2013 Comm catch'!F8,"na")</f>
        <v>0.7990654205607477</v>
      </c>
      <c r="O8" s="560">
        <f t="shared" si="0"/>
        <v>56.925619834710744</v>
      </c>
      <c r="P8" s="514">
        <f t="shared" si="0"/>
        <v>44.384615384615387</v>
      </c>
      <c r="Q8" s="514">
        <f t="shared" si="0"/>
        <v>5.6842105263157894</v>
      </c>
      <c r="R8" s="563">
        <f t="shared" si="0"/>
        <v>10.011695906432749</v>
      </c>
      <c r="S8" s="514"/>
      <c r="T8" s="514"/>
      <c r="U8" s="514"/>
      <c r="V8" s="514"/>
      <c r="W8" s="514"/>
      <c r="X8" s="514"/>
    </row>
    <row r="9" spans="1:24" x14ac:dyDescent="0.3">
      <c r="B9" s="34">
        <v>36</v>
      </c>
      <c r="C9" s="708">
        <v>5994</v>
      </c>
      <c r="D9" s="709">
        <v>3499</v>
      </c>
      <c r="E9" s="709">
        <v>252</v>
      </c>
      <c r="F9" s="710">
        <v>1264</v>
      </c>
      <c r="G9" s="551">
        <f>'2013 comm sample'!K9</f>
        <v>5.4820415879017016E-2</v>
      </c>
      <c r="H9" s="552">
        <f>'2013 comm sample'!L9</f>
        <v>0.10119047619047619</v>
      </c>
      <c r="I9" s="552">
        <f>'2013 comm sample'!M9</f>
        <v>0.11475409836065574</v>
      </c>
      <c r="J9" s="552">
        <f>'2013 comm sample'!N9</f>
        <v>3.2863849765258218E-2</v>
      </c>
      <c r="K9" s="558">
        <f>IF(C9&gt;0,'2013 comm sample'!C9/'2013 Comm catch'!C9,"na")</f>
        <v>0.17650984317650983</v>
      </c>
      <c r="L9" s="559">
        <f>IF(D9&gt;0,'2013 comm sample'!D9/'2013 Comm catch'!D9,"na")</f>
        <v>0.33609602743641043</v>
      </c>
      <c r="M9" s="559">
        <f>IF(E9&gt;0,'2013 comm sample'!E9/'2013 Comm catch'!E9,"na")</f>
        <v>0.24206349206349206</v>
      </c>
      <c r="N9" s="559">
        <f>IF(F9&gt;0,'2013 comm sample'!F9/'2013 Comm catch'!F9,"na")</f>
        <v>0.33702531645569622</v>
      </c>
      <c r="O9" s="560">
        <f t="shared" si="0"/>
        <v>328.59357277882799</v>
      </c>
      <c r="P9" s="514">
        <f t="shared" si="0"/>
        <v>354.0654761904762</v>
      </c>
      <c r="Q9" s="514">
        <f t="shared" si="0"/>
        <v>28.918032786885245</v>
      </c>
      <c r="R9" s="563">
        <f t="shared" si="0"/>
        <v>41.539906103286391</v>
      </c>
      <c r="S9" s="514"/>
      <c r="T9" s="514"/>
      <c r="U9" s="514"/>
      <c r="V9" s="514"/>
      <c r="W9" s="514"/>
      <c r="X9" s="514"/>
    </row>
    <row r="10" spans="1:24" x14ac:dyDescent="0.3">
      <c r="B10" s="34">
        <v>37</v>
      </c>
      <c r="C10" s="708">
        <v>1852</v>
      </c>
      <c r="D10" s="709">
        <v>1247</v>
      </c>
      <c r="E10" s="709">
        <v>921</v>
      </c>
      <c r="F10" s="710">
        <v>2014</v>
      </c>
      <c r="G10" s="551">
        <f>'2013 comm sample'!K10</f>
        <v>6.3106796116504854E-2</v>
      </c>
      <c r="H10" s="552">
        <f>'2013 comm sample'!L10</f>
        <v>8.4210526315789472E-2</v>
      </c>
      <c r="I10" s="552">
        <f>'2013 comm sample'!M10</f>
        <v>7.1090047393364927E-2</v>
      </c>
      <c r="J10" s="552">
        <f>'2013 comm sample'!N10</f>
        <v>1.884570082449941E-2</v>
      </c>
      <c r="K10" s="558">
        <f>IF(C10&gt;0,'2013 comm sample'!C10/'2013 Comm catch'!C10,"na")</f>
        <v>0.11123110151187905</v>
      </c>
      <c r="L10" s="559">
        <f>IF(D10&gt;0,'2013 comm sample'!D10/'2013 Comm catch'!D10,"na")</f>
        <v>0.15236567762630313</v>
      </c>
      <c r="M10" s="559">
        <f>IF(E10&gt;0,'2013 comm sample'!E10/'2013 Comm catch'!E10,"na")</f>
        <v>0.22909880564603691</v>
      </c>
      <c r="N10" s="559">
        <f>IF(F10&gt;0,'2013 comm sample'!F10/'2013 Comm catch'!F10,"na")</f>
        <v>0.42154915590863951</v>
      </c>
      <c r="O10" s="560">
        <f t="shared" si="0"/>
        <v>116.87378640776699</v>
      </c>
      <c r="P10" s="514">
        <f t="shared" si="0"/>
        <v>105.01052631578948</v>
      </c>
      <c r="Q10" s="514">
        <f t="shared" si="0"/>
        <v>65.473933649289094</v>
      </c>
      <c r="R10" s="563">
        <f t="shared" si="0"/>
        <v>37.955241460541814</v>
      </c>
      <c r="S10" s="514"/>
      <c r="T10" s="514"/>
      <c r="U10" s="514"/>
      <c r="V10" s="514"/>
      <c r="W10" s="514"/>
      <c r="X10" s="514"/>
    </row>
    <row r="11" spans="1:24" x14ac:dyDescent="0.3">
      <c r="B11" s="34">
        <v>38</v>
      </c>
      <c r="C11" s="708">
        <v>3529</v>
      </c>
      <c r="D11" s="709">
        <v>6411</v>
      </c>
      <c r="E11" s="709">
        <v>895</v>
      </c>
      <c r="F11" s="710">
        <v>2777</v>
      </c>
      <c r="G11" s="551">
        <f>'2013 comm sample'!K11</f>
        <v>5.7627118644067797E-2</v>
      </c>
      <c r="H11" s="552">
        <f>'2013 comm sample'!L11</f>
        <v>6.1797752808988762E-2</v>
      </c>
      <c r="I11" s="552">
        <f>'2013 comm sample'!M11</f>
        <v>0.10902255639097744</v>
      </c>
      <c r="J11" s="552">
        <f>'2013 comm sample'!N11</f>
        <v>1.5021459227467811E-2</v>
      </c>
      <c r="K11" s="558">
        <f>IF(C11&gt;0,'2013 comm sample'!C11/'2013 Comm catch'!C11,"na")</f>
        <v>8.3593085860017E-2</v>
      </c>
      <c r="L11" s="559">
        <f>IF(D11&gt;0,'2013 comm sample'!D11/'2013 Comm catch'!D11,"na")</f>
        <v>0.13882389642801435</v>
      </c>
      <c r="M11" s="559">
        <f>IF(E11&gt;0,'2013 comm sample'!E11/'2013 Comm catch'!E11,"na")</f>
        <v>0.29720670391061454</v>
      </c>
      <c r="N11" s="559">
        <f>IF(F11&gt;0,'2013 comm sample'!F11/'2013 Comm catch'!F11,"na")</f>
        <v>0.50342095786820307</v>
      </c>
      <c r="O11" s="560">
        <f t="shared" si="0"/>
        <v>203.36610169491524</v>
      </c>
      <c r="P11" s="514">
        <f t="shared" si="0"/>
        <v>396.18539325842693</v>
      </c>
      <c r="Q11" s="514">
        <f t="shared" si="0"/>
        <v>97.575187969924812</v>
      </c>
      <c r="R11" s="563">
        <f t="shared" si="0"/>
        <v>41.714592274678111</v>
      </c>
      <c r="S11" s="514"/>
      <c r="T11" s="514"/>
      <c r="U11" s="514"/>
      <c r="V11" s="514"/>
      <c r="W11" s="514"/>
      <c r="X11" s="514"/>
    </row>
    <row r="12" spans="1:24" x14ac:dyDescent="0.3">
      <c r="B12" s="34">
        <v>39</v>
      </c>
      <c r="C12" s="708">
        <v>1017</v>
      </c>
      <c r="D12" s="709">
        <v>1170</v>
      </c>
      <c r="E12" s="709">
        <v>786</v>
      </c>
      <c r="F12" s="710">
        <v>2343</v>
      </c>
      <c r="G12" s="551">
        <f>'2013 comm sample'!K12</f>
        <v>8.2802547770700632E-2</v>
      </c>
      <c r="H12" s="552">
        <f>'2013 comm sample'!L12</f>
        <v>2.247191011235955E-2</v>
      </c>
      <c r="I12" s="552">
        <f>'2013 comm sample'!M12</f>
        <v>5.5374592833876218E-2</v>
      </c>
      <c r="J12" s="552">
        <f>'2013 comm sample'!N12</f>
        <v>1.4652014652014652E-2</v>
      </c>
      <c r="K12" s="558">
        <f>IF(C12&gt;0,'2013 comm sample'!C12/'2013 Comm catch'!C12,"na")</f>
        <v>0.30875122910521141</v>
      </c>
      <c r="L12" s="559">
        <f>IF(D12&gt;0,'2013 comm sample'!D12/'2013 Comm catch'!D12,"na")</f>
        <v>0.30427350427350425</v>
      </c>
      <c r="M12" s="559">
        <f>IF(E12&gt;0,'2013 comm sample'!E12/'2013 Comm catch'!E12,"na")</f>
        <v>0.39058524173027992</v>
      </c>
      <c r="N12" s="559">
        <f>IF(F12&gt;0,'2013 comm sample'!F12/'2013 Comm catch'!F12,"na")</f>
        <v>0.69910371318822018</v>
      </c>
      <c r="O12" s="560">
        <f t="shared" si="0"/>
        <v>84.210191082802538</v>
      </c>
      <c r="P12" s="514">
        <f t="shared" si="0"/>
        <v>26.292134831460672</v>
      </c>
      <c r="Q12" s="514">
        <f t="shared" si="0"/>
        <v>43.524429967426705</v>
      </c>
      <c r="R12" s="563">
        <f t="shared" si="0"/>
        <v>34.329670329670328</v>
      </c>
      <c r="S12" s="514"/>
      <c r="T12" s="514"/>
      <c r="U12" s="514"/>
      <c r="V12" s="514"/>
      <c r="W12" s="514"/>
      <c r="X12" s="514"/>
    </row>
    <row r="13" spans="1:24" x14ac:dyDescent="0.3">
      <c r="B13" s="34">
        <v>40</v>
      </c>
      <c r="C13" s="708">
        <v>765</v>
      </c>
      <c r="D13" s="709">
        <v>1004</v>
      </c>
      <c r="E13" s="709">
        <v>662</v>
      </c>
      <c r="F13" s="710">
        <v>995</v>
      </c>
      <c r="G13" s="551">
        <f>'2013 comm sample'!K13</f>
        <v>8.9552238805970144E-2</v>
      </c>
      <c r="H13" s="552">
        <f>'2013 comm sample'!L13</f>
        <v>0.05</v>
      </c>
      <c r="I13" s="552">
        <f>'2013 comm sample'!M13</f>
        <v>4.4117647058823532E-2</v>
      </c>
      <c r="J13" s="552">
        <f>'2013 comm sample'!N13</f>
        <v>1.5410958904109588E-2</v>
      </c>
      <c r="K13" s="558">
        <f>IF(C13&gt;0,'2013 comm sample'!C13/'2013 Comm catch'!C13,"na")</f>
        <v>0.2627450980392157</v>
      </c>
      <c r="L13" s="559">
        <f>IF(D13&gt;0,'2013 comm sample'!D13/'2013 Comm catch'!D13,"na")</f>
        <v>0.29880478087649404</v>
      </c>
      <c r="M13" s="559">
        <f>IF(E13&gt;0,'2013 comm sample'!E13/'2013 Comm catch'!E13,"na")</f>
        <v>0.20543806646525681</v>
      </c>
      <c r="N13" s="559">
        <f>IF(F13&gt;0,'2013 comm sample'!F13/'2013 Comm catch'!F13,"na")</f>
        <v>0.58693467336683414</v>
      </c>
      <c r="O13" s="560">
        <f t="shared" si="0"/>
        <v>68.507462686567166</v>
      </c>
      <c r="P13" s="514">
        <f t="shared" si="0"/>
        <v>50.2</v>
      </c>
      <c r="Q13" s="514">
        <f t="shared" si="0"/>
        <v>29.205882352941178</v>
      </c>
      <c r="R13" s="563">
        <f t="shared" si="0"/>
        <v>15.33390410958904</v>
      </c>
      <c r="S13" s="514"/>
      <c r="T13" s="514"/>
      <c r="U13" s="514"/>
      <c r="V13" s="514"/>
      <c r="W13" s="514"/>
      <c r="X13" s="514"/>
    </row>
    <row r="14" spans="1:24" x14ac:dyDescent="0.3">
      <c r="B14" s="34">
        <v>41</v>
      </c>
      <c r="C14" s="708">
        <v>86</v>
      </c>
      <c r="D14" s="709">
        <v>245</v>
      </c>
      <c r="E14" s="709">
        <v>165</v>
      </c>
      <c r="F14" s="710">
        <v>177</v>
      </c>
      <c r="G14" s="551" t="str">
        <f>'2013 comm sample'!K14</f>
        <v>na</v>
      </c>
      <c r="H14" s="552">
        <f>'2013 comm sample'!L14</f>
        <v>0.15789473684210525</v>
      </c>
      <c r="I14" s="552">
        <f>'2013 comm sample'!M14</f>
        <v>2.247191011235955E-2</v>
      </c>
      <c r="J14" s="552">
        <f>'2013 comm sample'!N14</f>
        <v>0</v>
      </c>
      <c r="K14" s="558">
        <f>IF(C14&gt;0,'2013 comm sample'!C14/'2013 Comm catch'!C14,"na")</f>
        <v>0</v>
      </c>
      <c r="L14" s="559">
        <f>IF(D14&gt;0,'2013 comm sample'!D14/'2013 Comm catch'!D14,"na")</f>
        <v>7.7551020408163265E-2</v>
      </c>
      <c r="M14" s="559">
        <f>IF(E14&gt;0,'2013 comm sample'!E14/'2013 Comm catch'!E14,"na")</f>
        <v>0.53939393939393943</v>
      </c>
      <c r="N14" s="559">
        <f>IF(F14&gt;0,'2013 comm sample'!F14/'2013 Comm catch'!F14,"na")</f>
        <v>0.22598870056497175</v>
      </c>
      <c r="O14" s="560" t="str">
        <f t="shared" si="0"/>
        <v>na</v>
      </c>
      <c r="P14" s="514">
        <f t="shared" si="0"/>
        <v>38.684210526315788</v>
      </c>
      <c r="Q14" s="514">
        <f t="shared" si="0"/>
        <v>3.7078651685393256</v>
      </c>
      <c r="R14" s="563">
        <f t="shared" si="0"/>
        <v>0</v>
      </c>
      <c r="S14" s="514"/>
      <c r="T14" s="514"/>
      <c r="U14" s="514"/>
      <c r="V14" s="514"/>
      <c r="W14" s="514"/>
      <c r="X14" s="514"/>
    </row>
    <row r="15" spans="1:24" x14ac:dyDescent="0.3">
      <c r="B15" s="34">
        <v>42</v>
      </c>
      <c r="C15" s="708">
        <v>37</v>
      </c>
      <c r="D15" s="709">
        <v>2</v>
      </c>
      <c r="E15" s="709">
        <v>57</v>
      </c>
      <c r="F15" s="710">
        <v>4</v>
      </c>
      <c r="G15" s="551">
        <f>'2013 comm sample'!K15</f>
        <v>0.75</v>
      </c>
      <c r="H15" s="552" t="str">
        <f>'2013 comm sample'!L15</f>
        <v>na</v>
      </c>
      <c r="I15" s="552">
        <f>'2013 comm sample'!M15</f>
        <v>0.26666666666666666</v>
      </c>
      <c r="J15" s="552">
        <f>'2013 comm sample'!N15</f>
        <v>0</v>
      </c>
      <c r="K15" s="558">
        <f>IF(C15&gt;0,'2013 comm sample'!C15/'2013 Comm catch'!C15,"na")</f>
        <v>0.10810810810810811</v>
      </c>
      <c r="L15" s="559">
        <f>IF(D15&gt;0,'2013 comm sample'!D15/'2013 Comm catch'!D15,"na")</f>
        <v>0</v>
      </c>
      <c r="M15" s="559">
        <f>IF(E15&gt;0,'2013 comm sample'!E15/'2013 Comm catch'!E15,"na")</f>
        <v>0.52631578947368418</v>
      </c>
      <c r="N15" s="559">
        <f>IF(F15&gt;0,'2013 comm sample'!F15/'2013 Comm catch'!F15,"na")</f>
        <v>1</v>
      </c>
      <c r="O15" s="560">
        <f t="shared" si="0"/>
        <v>27.75</v>
      </c>
      <c r="P15" s="514" t="str">
        <f t="shared" si="0"/>
        <v>na</v>
      </c>
      <c r="Q15" s="514">
        <f t="shared" si="0"/>
        <v>15.2</v>
      </c>
      <c r="R15" s="563">
        <f t="shared" si="0"/>
        <v>0</v>
      </c>
      <c r="S15" s="514"/>
      <c r="T15" s="514"/>
      <c r="U15" s="514"/>
      <c r="V15" s="514"/>
      <c r="W15" s="514"/>
      <c r="X15" s="514"/>
    </row>
    <row r="16" spans="1:24" x14ac:dyDescent="0.3">
      <c r="B16" s="34">
        <v>43</v>
      </c>
      <c r="C16" s="708">
        <v>14</v>
      </c>
      <c r="D16" s="709">
        <v>0</v>
      </c>
      <c r="E16" s="709">
        <v>36</v>
      </c>
      <c r="F16" s="715"/>
      <c r="G16" s="551" t="str">
        <f>'2013 comm sample'!K16</f>
        <v>na</v>
      </c>
      <c r="H16" s="552" t="str">
        <f>'2013 comm sample'!L16</f>
        <v>na</v>
      </c>
      <c r="I16" s="552" t="str">
        <f>'2013 comm sample'!M16</f>
        <v>na</v>
      </c>
      <c r="J16" s="552" t="str">
        <f>'2013 comm sample'!N16</f>
        <v>na</v>
      </c>
      <c r="K16" s="558">
        <f>IF(C16&gt;0,'2013 comm sample'!C16/'2013 Comm catch'!C16,"na")</f>
        <v>0</v>
      </c>
      <c r="L16" s="559" t="str">
        <f>IF(D16&gt;0,'2013 comm sample'!D16/'2013 Comm catch'!D16,"na")</f>
        <v>na</v>
      </c>
      <c r="M16" s="559">
        <f>IF(E16&gt;0,'2013 comm sample'!E16/'2013 Comm catch'!E16,"na")</f>
        <v>0</v>
      </c>
      <c r="N16" s="559" t="str">
        <f>IF(F16&gt;0,'2013 comm sample'!F16/'2013 Comm catch'!F16,"na")</f>
        <v>na</v>
      </c>
      <c r="O16" s="560" t="str">
        <f t="shared" si="0"/>
        <v>na</v>
      </c>
      <c r="P16" s="514" t="str">
        <f t="shared" si="0"/>
        <v>na</v>
      </c>
      <c r="Q16" s="514" t="str">
        <f t="shared" si="0"/>
        <v>na</v>
      </c>
      <c r="R16" s="563" t="str">
        <f t="shared" si="0"/>
        <v>na</v>
      </c>
      <c r="S16" s="514"/>
      <c r="T16" s="514"/>
      <c r="U16" s="514"/>
      <c r="V16" s="514"/>
      <c r="W16" s="514"/>
      <c r="X16" s="514"/>
    </row>
    <row r="17" spans="1:35" x14ac:dyDescent="0.3">
      <c r="B17" s="34">
        <v>44</v>
      </c>
      <c r="C17" s="708">
        <v>6</v>
      </c>
      <c r="D17" s="709">
        <v>0</v>
      </c>
      <c r="E17" s="709">
        <v>0</v>
      </c>
      <c r="F17" s="715"/>
      <c r="G17" s="551" t="str">
        <f>'2013 comm sample'!K17</f>
        <v>na</v>
      </c>
      <c r="H17" s="552" t="str">
        <f>'2013 comm sample'!L17</f>
        <v>na</v>
      </c>
      <c r="I17" s="552" t="str">
        <f>'2013 comm sample'!M17</f>
        <v>na</v>
      </c>
      <c r="J17" s="552" t="str">
        <f>'2013 comm sample'!N17</f>
        <v>na</v>
      </c>
      <c r="K17" s="558">
        <f>IF(C17&gt;0,'2013 comm sample'!C17/'2013 Comm catch'!C17,"na")</f>
        <v>0</v>
      </c>
      <c r="L17" s="559" t="str">
        <f>IF(D17&gt;0,'2013 comm sample'!D17/'2013 Comm catch'!D17,"na")</f>
        <v>na</v>
      </c>
      <c r="M17" s="559" t="str">
        <f>IF(E17&gt;0,'2013 comm sample'!E17/'2013 Comm catch'!E17,"na")</f>
        <v>na</v>
      </c>
      <c r="N17" s="559" t="str">
        <f>IF(F17&gt;0,'2013 comm sample'!F17/'2013 Comm catch'!F17,"na")</f>
        <v>na</v>
      </c>
      <c r="O17" s="560" t="str">
        <f t="shared" si="0"/>
        <v>na</v>
      </c>
      <c r="P17" s="514" t="str">
        <f t="shared" si="0"/>
        <v>na</v>
      </c>
      <c r="Q17" s="514" t="str">
        <f t="shared" si="0"/>
        <v>na</v>
      </c>
      <c r="R17" s="563" t="str">
        <f t="shared" si="0"/>
        <v>na</v>
      </c>
      <c r="S17" s="514"/>
      <c r="T17" s="514"/>
      <c r="U17" s="514"/>
      <c r="V17" s="514"/>
      <c r="W17" s="514"/>
      <c r="X17" s="514"/>
    </row>
    <row r="18" spans="1:35" x14ac:dyDescent="0.3">
      <c r="B18" s="34">
        <v>45</v>
      </c>
      <c r="C18" s="748"/>
      <c r="D18" s="749"/>
      <c r="E18" s="749"/>
      <c r="F18" s="747"/>
      <c r="G18" s="567" t="str">
        <f>'2013 comm sample'!K18</f>
        <v>na</v>
      </c>
      <c r="H18" s="568" t="str">
        <f>'2013 comm sample'!L18</f>
        <v>na</v>
      </c>
      <c r="I18" s="568" t="str">
        <f>'2013 comm sample'!M18</f>
        <v>na</v>
      </c>
      <c r="J18" s="568" t="str">
        <f>'2013 comm sample'!N18</f>
        <v>na</v>
      </c>
      <c r="K18" s="569" t="str">
        <f>IF(C18&gt;0,'2013 comm sample'!C18/'2013 Comm catch'!C18,"na")</f>
        <v>na</v>
      </c>
      <c r="L18" s="570" t="str">
        <f>IF(D18&gt;0,'2013 comm sample'!D18/'2013 Comm catch'!D18,"na")</f>
        <v>na</v>
      </c>
      <c r="M18" s="570" t="str">
        <f>IF(E18&gt;0,'2013 comm sample'!E18/'2013 Comm catch'!E18,"na")</f>
        <v>na</v>
      </c>
      <c r="N18" s="570" t="str">
        <f>IF(F18&gt;0,'2013 comm sample'!F18/'2013 Comm catch'!F18,"na")</f>
        <v>na</v>
      </c>
      <c r="O18" s="560" t="str">
        <f t="shared" si="0"/>
        <v>na</v>
      </c>
      <c r="P18" s="514" t="str">
        <f t="shared" si="0"/>
        <v>na</v>
      </c>
      <c r="Q18" s="514" t="str">
        <f t="shared" si="0"/>
        <v>na</v>
      </c>
      <c r="R18" s="563" t="str">
        <f t="shared" si="0"/>
        <v>na</v>
      </c>
      <c r="S18" s="514"/>
      <c r="T18" s="514"/>
      <c r="U18" s="514"/>
      <c r="V18" s="514"/>
      <c r="W18" s="514"/>
      <c r="X18" s="514"/>
    </row>
    <row r="19" spans="1:35" x14ac:dyDescent="0.3">
      <c r="B19" s="34" t="s">
        <v>184</v>
      </c>
      <c r="C19" s="547">
        <f>SUM(C5:C18)</f>
        <v>14245</v>
      </c>
      <c r="D19" s="202">
        <f>SUM(D5:D18)</f>
        <v>14155</v>
      </c>
      <c r="E19" s="202">
        <f>SUM(E5:E18)</f>
        <v>3882</v>
      </c>
      <c r="F19" s="548">
        <f>SUM(F5:F18)</f>
        <v>10002</v>
      </c>
      <c r="G19" s="571">
        <f>'2013 comm sample'!K19</f>
        <v>6.5033783783783786E-2</v>
      </c>
      <c r="H19" s="571">
        <f>'2013 comm sample'!L19</f>
        <v>7.3896353166986561E-2</v>
      </c>
      <c r="I19" s="571">
        <f>'2013 comm sample'!M19</f>
        <v>7.5960679177837359E-2</v>
      </c>
      <c r="J19" s="571">
        <f>'2013 comm sample'!N19</f>
        <v>1.7420943003219086E-2</v>
      </c>
      <c r="K19" s="721">
        <f>IF(C19&gt;0,'2013 comm sample'!C19/'2013 Comm catch'!C19,"na")</f>
        <v>0.16623376623376623</v>
      </c>
      <c r="L19" s="722">
        <f>IF(D19&gt;0,'2013 comm sample'!D19/'2013 Comm catch'!D19,"na")</f>
        <v>0.220840692334864</v>
      </c>
      <c r="M19" s="722">
        <f>IF(E19&gt;0,'2013 comm sample'!E19/'2013 Comm catch'!E19,"na")</f>
        <v>0.28825347758887171</v>
      </c>
      <c r="N19" s="723">
        <f>IF(F19&gt;0,'2013 comm sample'!F19/'2013 Comm catch'!F19,"na")</f>
        <v>0.52799440111977602</v>
      </c>
      <c r="O19" s="572">
        <f>SUM(O5:O18)</f>
        <v>891.31369100732979</v>
      </c>
      <c r="P19" s="573">
        <f>SUM(P5:P18)</f>
        <v>1014.8223565070846</v>
      </c>
      <c r="Q19" s="573">
        <f>SUM(Q5:Q18)</f>
        <v>289.28954242132215</v>
      </c>
      <c r="R19" s="574">
        <f>SUM(R5:R18)</f>
        <v>180.88501018419845</v>
      </c>
      <c r="S19" s="575"/>
      <c r="T19" s="575"/>
      <c r="U19" s="575"/>
      <c r="V19" s="575"/>
      <c r="W19" s="575"/>
      <c r="X19" s="575"/>
    </row>
    <row r="20" spans="1:35" x14ac:dyDescent="0.3">
      <c r="B20" s="208"/>
      <c r="C20" s="208"/>
      <c r="D20" s="208"/>
      <c r="E20" s="208"/>
      <c r="F20" s="575"/>
      <c r="G20" s="34"/>
      <c r="H20" s="34"/>
      <c r="I20" s="208"/>
      <c r="J20" s="576"/>
      <c r="K20" s="208"/>
      <c r="L20" s="208"/>
      <c r="M20" s="208"/>
      <c r="N20" s="577"/>
      <c r="O20" s="208"/>
      <c r="P20" s="208"/>
      <c r="Q20" s="208"/>
      <c r="R20" s="575"/>
      <c r="S20" s="575"/>
      <c r="T20" s="575"/>
      <c r="U20" s="575"/>
      <c r="V20" s="575"/>
      <c r="W20" s="575"/>
      <c r="X20" s="575"/>
    </row>
    <row r="21" spans="1:35" x14ac:dyDescent="0.3">
      <c r="B21" s="208"/>
      <c r="C21" s="457"/>
      <c r="D21" s="457"/>
      <c r="E21" s="457"/>
      <c r="F21" s="514"/>
      <c r="I21" s="457"/>
      <c r="J21" s="457"/>
      <c r="K21" s="457"/>
      <c r="L21" s="457"/>
      <c r="M21" s="457"/>
      <c r="N21" s="457"/>
      <c r="O21" s="457"/>
      <c r="P21" s="457"/>
      <c r="Q21" s="457"/>
      <c r="R21" s="514"/>
      <c r="S21" s="514"/>
      <c r="T21" s="514"/>
      <c r="U21" s="514"/>
      <c r="V21" s="514"/>
      <c r="W21" s="514"/>
      <c r="X21" s="514"/>
    </row>
    <row r="22" spans="1:35" x14ac:dyDescent="0.3">
      <c r="C22" s="34" t="s">
        <v>123</v>
      </c>
      <c r="H22" s="457"/>
      <c r="I22" s="457"/>
      <c r="J22" s="457"/>
      <c r="Y22" s="33"/>
      <c r="Z22" s="33"/>
      <c r="AA22" s="33"/>
    </row>
    <row r="23" spans="1:35" x14ac:dyDescent="0.3">
      <c r="C23" s="903" t="s">
        <v>263</v>
      </c>
      <c r="D23" s="904"/>
      <c r="E23" s="904"/>
      <c r="F23" s="904"/>
      <c r="G23" s="904"/>
      <c r="H23" s="904"/>
      <c r="I23" s="904"/>
      <c r="J23" s="905"/>
      <c r="K23" s="903" t="s">
        <v>264</v>
      </c>
      <c r="L23" s="904"/>
      <c r="M23" s="904"/>
      <c r="N23" s="904"/>
      <c r="O23" s="905"/>
      <c r="P23" s="903" t="s">
        <v>261</v>
      </c>
      <c r="Q23" s="904"/>
      <c r="R23" s="904"/>
      <c r="S23" s="904"/>
      <c r="T23" s="904"/>
      <c r="U23" s="697" t="s">
        <v>323</v>
      </c>
      <c r="V23" s="698"/>
      <c r="W23" s="698"/>
      <c r="X23" s="698"/>
      <c r="Y23" s="698"/>
      <c r="Z23" s="698"/>
      <c r="AA23" s="698"/>
      <c r="AB23" s="699"/>
      <c r="AC23" s="33" t="s">
        <v>14</v>
      </c>
      <c r="AF23" s="34" t="s">
        <v>328</v>
      </c>
    </row>
    <row r="24" spans="1:35" x14ac:dyDescent="0.3">
      <c r="B24" s="34" t="s">
        <v>134</v>
      </c>
      <c r="C24" s="547">
        <v>1</v>
      </c>
      <c r="D24" s="202">
        <v>2</v>
      </c>
      <c r="E24" s="202">
        <v>3</v>
      </c>
      <c r="F24" s="202"/>
      <c r="G24" s="202">
        <v>4</v>
      </c>
      <c r="H24" s="202">
        <v>5</v>
      </c>
      <c r="I24" s="202"/>
      <c r="J24" s="548" t="s">
        <v>272</v>
      </c>
      <c r="K24" s="367">
        <v>1</v>
      </c>
      <c r="L24" s="175">
        <v>2</v>
      </c>
      <c r="M24" s="175">
        <v>3</v>
      </c>
      <c r="N24" s="175">
        <v>4</v>
      </c>
      <c r="O24" s="368">
        <v>5</v>
      </c>
      <c r="P24" s="367">
        <v>1</v>
      </c>
      <c r="Q24" s="175">
        <v>2</v>
      </c>
      <c r="R24" s="175">
        <v>3</v>
      </c>
      <c r="S24" s="175">
        <v>4</v>
      </c>
      <c r="T24" s="175">
        <v>5</v>
      </c>
      <c r="U24" s="367">
        <v>1</v>
      </c>
      <c r="V24" s="175">
        <v>2</v>
      </c>
      <c r="W24" s="175">
        <v>3</v>
      </c>
      <c r="X24" s="175"/>
      <c r="Y24" s="175">
        <v>4</v>
      </c>
      <c r="Z24" s="175">
        <v>5</v>
      </c>
      <c r="AA24" s="175"/>
      <c r="AB24" s="368" t="s">
        <v>272</v>
      </c>
      <c r="AC24" s="33" t="s">
        <v>313</v>
      </c>
      <c r="AD24" s="33" t="s">
        <v>314</v>
      </c>
      <c r="AF24" s="32" t="str">
        <f>'2013 comm sample'!R24</f>
        <v>Z1-3 Agg</v>
      </c>
      <c r="AG24" s="32" t="str">
        <f>'2013 comm sample'!S24</f>
        <v>Z4-5 Agg</v>
      </c>
      <c r="AH24" s="73"/>
      <c r="AI24" s="73"/>
    </row>
    <row r="25" spans="1:35" x14ac:dyDescent="0.3">
      <c r="B25" s="34">
        <v>32</v>
      </c>
      <c r="C25" s="716"/>
      <c r="D25" s="717"/>
      <c r="E25" s="717"/>
      <c r="F25" s="700"/>
      <c r="G25" s="717"/>
      <c r="H25" s="717"/>
      <c r="I25" s="700"/>
      <c r="J25" s="579"/>
      <c r="K25" s="532" t="str">
        <f>'2013 comm sample'!M25</f>
        <v>na</v>
      </c>
      <c r="L25" s="532" t="str">
        <f>'2013 comm sample'!N25</f>
        <v>na</v>
      </c>
      <c r="M25" s="532" t="str">
        <f>'2013 comm sample'!O25</f>
        <v>na</v>
      </c>
      <c r="N25" s="532" t="str">
        <f>'2013 comm sample'!P25</f>
        <v>na</v>
      </c>
      <c r="O25" s="533" t="str">
        <f>'2013 comm sample'!Q25</f>
        <v>na</v>
      </c>
      <c r="P25" s="559" t="str">
        <f>IF(C25&gt;0,'2013 comm sample'!C25/'2013 Comm catch'!C25,"na")</f>
        <v>na</v>
      </c>
      <c r="Q25" s="559" t="str">
        <f>IF(D25&gt;0,'2013 comm sample'!D25/'2013 Comm catch'!D25,"na")</f>
        <v>na</v>
      </c>
      <c r="R25" s="33" t="str">
        <f>IF(E25&gt;0,'2013 comm sample'!E25/'2013 Comm catch'!E25,"na")</f>
        <v>na</v>
      </c>
      <c r="S25" s="554" t="str">
        <f>IF(G25&gt;0,'2013 comm sample'!F25/'2013 Comm catch'!G25,"na")</f>
        <v>na</v>
      </c>
      <c r="T25" s="554" t="str">
        <f>IF(H25&gt;0,'2013 comm sample'!G25/'2013 Comm catch'!H25,"na")</f>
        <v>na</v>
      </c>
      <c r="U25" s="560">
        <f t="shared" ref="U25:W40" si="1">IF(K25&lt;&gt;"na",C25*K25,0)</f>
        <v>0</v>
      </c>
      <c r="V25" s="514">
        <f t="shared" si="1"/>
        <v>0</v>
      </c>
      <c r="W25" s="514">
        <f t="shared" si="1"/>
        <v>0</v>
      </c>
      <c r="X25" s="705">
        <f t="shared" ref="X25:X32" si="2">SUM(U25:W25)</f>
        <v>0</v>
      </c>
      <c r="Y25" s="514">
        <f t="shared" ref="Y25:Z40" si="3">IF(N25&lt;&gt;"na",G25*N25,0)</f>
        <v>0</v>
      </c>
      <c r="Z25" s="514">
        <f t="shared" si="3"/>
        <v>0</v>
      </c>
      <c r="AA25" s="705">
        <f t="shared" ref="AA25:AA32" si="4">SUM(Y25:Z25)</f>
        <v>0</v>
      </c>
      <c r="AB25" s="580">
        <f>X25+AA25</f>
        <v>0</v>
      </c>
      <c r="AC25" s="647"/>
    </row>
    <row r="26" spans="1:35" x14ac:dyDescent="0.3">
      <c r="A26" s="34" t="s">
        <v>324</v>
      </c>
      <c r="B26" s="34">
        <v>33</v>
      </c>
      <c r="C26" s="718"/>
      <c r="D26" s="714"/>
      <c r="E26" s="714"/>
      <c r="F26" s="701"/>
      <c r="G26" s="709">
        <v>10</v>
      </c>
      <c r="H26" s="709">
        <v>5</v>
      </c>
      <c r="I26" s="704">
        <f t="shared" ref="I26:I31" si="5">SUM(G26:H26)</f>
        <v>15</v>
      </c>
      <c r="J26" s="515">
        <f>F26+I26</f>
        <v>15</v>
      </c>
      <c r="K26" s="532" t="str">
        <f>'2013 comm sample'!M26</f>
        <v>na</v>
      </c>
      <c r="L26" s="532" t="str">
        <f>'2013 comm sample'!N26</f>
        <v>na</v>
      </c>
      <c r="M26" s="532" t="str">
        <f>'2013 comm sample'!O26</f>
        <v>na</v>
      </c>
      <c r="N26" s="532">
        <f>'2013 comm sample'!P26</f>
        <v>0.4</v>
      </c>
      <c r="O26" s="533">
        <f>'2013 comm sample'!Q26</f>
        <v>0.66666666666666663</v>
      </c>
      <c r="P26" s="559" t="str">
        <f>IF(C26&gt;0,'2013 comm sample'!C26/'2013 Comm catch'!C26,"na")</f>
        <v>na</v>
      </c>
      <c r="Q26" s="559" t="str">
        <f>IF(D26&gt;0,'2013 comm sample'!D26/'2013 Comm catch'!D26,"na")</f>
        <v>na</v>
      </c>
      <c r="R26" s="559" t="str">
        <f>IF(E26&gt;0,'2013 comm sample'!E26/'2013 Comm catch'!E26,"na")</f>
        <v>na</v>
      </c>
      <c r="S26" s="559">
        <f>IF(G26&gt;0,'2013 comm sample'!F26/'2013 Comm catch'!G26,"na")</f>
        <v>0.5</v>
      </c>
      <c r="T26" s="559">
        <f>IF(H26&gt;0,'2013 comm sample'!G26/'2013 Comm catch'!H26,"na")</f>
        <v>1.2</v>
      </c>
      <c r="U26" s="560">
        <f t="shared" si="1"/>
        <v>0</v>
      </c>
      <c r="V26" s="514">
        <f t="shared" si="1"/>
        <v>0</v>
      </c>
      <c r="W26" s="514">
        <f t="shared" si="1"/>
        <v>0</v>
      </c>
      <c r="X26" s="705">
        <f t="shared" si="2"/>
        <v>0</v>
      </c>
      <c r="Y26" s="514">
        <f t="shared" si="3"/>
        <v>4</v>
      </c>
      <c r="Z26" s="514">
        <f t="shared" si="3"/>
        <v>3.333333333333333</v>
      </c>
      <c r="AA26" s="705">
        <f t="shared" si="4"/>
        <v>7.333333333333333</v>
      </c>
      <c r="AB26" s="580">
        <f t="shared" ref="AB26:AB41" si="6">X26+AA26</f>
        <v>7.333333333333333</v>
      </c>
      <c r="AC26" s="647"/>
    </row>
    <row r="27" spans="1:35" x14ac:dyDescent="0.3">
      <c r="A27" s="34" t="s">
        <v>324</v>
      </c>
      <c r="B27" s="34">
        <v>34</v>
      </c>
      <c r="C27" s="718"/>
      <c r="D27" s="714"/>
      <c r="E27" s="714"/>
      <c r="F27" s="701"/>
      <c r="G27" s="711">
        <v>108</v>
      </c>
      <c r="H27" s="711">
        <v>38</v>
      </c>
      <c r="I27" s="704">
        <f t="shared" si="5"/>
        <v>146</v>
      </c>
      <c r="J27" s="515">
        <f t="shared" ref="J27:J40" si="7">F27+I27</f>
        <v>146</v>
      </c>
      <c r="K27" s="532" t="str">
        <f>'2013 comm sample'!M27</f>
        <v>na</v>
      </c>
      <c r="L27" s="532" t="str">
        <f>'2013 comm sample'!N27</f>
        <v>na</v>
      </c>
      <c r="M27" s="532" t="str">
        <f>'2013 comm sample'!O27</f>
        <v>na</v>
      </c>
      <c r="N27" s="532">
        <f>'2013 comm sample'!P27</f>
        <v>0.5178571428571429</v>
      </c>
      <c r="O27" s="533">
        <f>'2013 comm sample'!Q27</f>
        <v>0.5757575757575758</v>
      </c>
      <c r="P27" s="559" t="str">
        <f>IF(C27&gt;0,'2013 comm sample'!C27/'2013 Comm catch'!C27,"na")</f>
        <v>na</v>
      </c>
      <c r="Q27" s="559" t="str">
        <f>IF(D27&gt;0,'2013 comm sample'!D27/'2013 Comm catch'!D27,"na")</f>
        <v>na</v>
      </c>
      <c r="R27" s="559" t="str">
        <f>IF(E27&gt;0,'2013 comm sample'!E27/'2013 Comm catch'!E27,"na")</f>
        <v>na</v>
      </c>
      <c r="S27" s="559">
        <f>IF(G27&gt;0,'2013 comm sample'!F27/'2013 Comm catch'!G27,"na")</f>
        <v>0.51851851851851849</v>
      </c>
      <c r="T27" s="559">
        <f>IF(H27&gt;0,'2013 comm sample'!G27/'2013 Comm catch'!H27,"na")</f>
        <v>0.86842105263157898</v>
      </c>
      <c r="U27" s="560">
        <f t="shared" si="1"/>
        <v>0</v>
      </c>
      <c r="V27" s="514">
        <f t="shared" si="1"/>
        <v>0</v>
      </c>
      <c r="W27" s="514">
        <f t="shared" si="1"/>
        <v>0</v>
      </c>
      <c r="X27" s="705">
        <f t="shared" si="2"/>
        <v>0</v>
      </c>
      <c r="Y27" s="514">
        <f t="shared" si="3"/>
        <v>55.928571428571431</v>
      </c>
      <c r="Z27" s="514">
        <f t="shared" si="3"/>
        <v>21.878787878787879</v>
      </c>
      <c r="AA27" s="705">
        <f t="shared" si="4"/>
        <v>77.807359307359306</v>
      </c>
      <c r="AB27" s="580">
        <f t="shared" si="6"/>
        <v>77.807359307359306</v>
      </c>
      <c r="AC27" s="647"/>
      <c r="AD27" s="32">
        <f>SUM(Y27:Z27)/SUM(G27:H27)</f>
        <v>0.5329271185435569</v>
      </c>
    </row>
    <row r="28" spans="1:35" x14ac:dyDescent="0.3">
      <c r="A28" s="34" t="s">
        <v>324</v>
      </c>
      <c r="B28" s="34">
        <v>35</v>
      </c>
      <c r="C28" s="718"/>
      <c r="D28" s="714"/>
      <c r="E28" s="714"/>
      <c r="F28" s="701"/>
      <c r="G28" s="711">
        <v>181</v>
      </c>
      <c r="H28" s="711">
        <v>62</v>
      </c>
      <c r="I28" s="704">
        <f t="shared" si="5"/>
        <v>243</v>
      </c>
      <c r="J28" s="515">
        <f t="shared" si="7"/>
        <v>243</v>
      </c>
      <c r="K28" s="532" t="str">
        <f>'2013 comm sample'!M28</f>
        <v>na</v>
      </c>
      <c r="L28" s="532" t="str">
        <f>'2013 comm sample'!N28</f>
        <v>na</v>
      </c>
      <c r="M28" s="532" t="str">
        <f>'2013 comm sample'!O28</f>
        <v>na</v>
      </c>
      <c r="N28" s="532">
        <f>'2013 comm sample'!P28</f>
        <v>0.63934426229508201</v>
      </c>
      <c r="O28" s="533">
        <f>'2013 comm sample'!Q28</f>
        <v>0.67391304347826086</v>
      </c>
      <c r="P28" s="559" t="str">
        <f>IF(C28&gt;0,'2013 comm sample'!C28/'2013 Comm catch'!C28,"na")</f>
        <v>na</v>
      </c>
      <c r="Q28" s="559" t="str">
        <f>IF(D28&gt;0,'2013 comm sample'!D28/'2013 Comm catch'!D28,"na")</f>
        <v>na</v>
      </c>
      <c r="R28" s="559" t="str">
        <f>IF(E28&gt;0,'2013 comm sample'!E28/'2013 Comm catch'!E28,"na")</f>
        <v>na</v>
      </c>
      <c r="S28" s="559">
        <f>IF(G28&gt;0,'2013 comm sample'!F28/'2013 Comm catch'!G28,"na")</f>
        <v>0.33701657458563539</v>
      </c>
      <c r="T28" s="559">
        <f>IF(H28&gt;0,'2013 comm sample'!G28/'2013 Comm catch'!H28,"na")</f>
        <v>0.74193548387096775</v>
      </c>
      <c r="U28" s="560">
        <f t="shared" si="1"/>
        <v>0</v>
      </c>
      <c r="V28" s="514">
        <f t="shared" si="1"/>
        <v>0</v>
      </c>
      <c r="W28" s="514">
        <f t="shared" si="1"/>
        <v>0</v>
      </c>
      <c r="X28" s="705">
        <f t="shared" si="2"/>
        <v>0</v>
      </c>
      <c r="Y28" s="514">
        <f t="shared" si="3"/>
        <v>115.72131147540985</v>
      </c>
      <c r="Z28" s="514">
        <f t="shared" si="3"/>
        <v>41.782608695652172</v>
      </c>
      <c r="AA28" s="705">
        <f t="shared" si="4"/>
        <v>157.50392017106202</v>
      </c>
      <c r="AB28" s="580">
        <f t="shared" si="6"/>
        <v>157.50392017106202</v>
      </c>
      <c r="AC28" s="647"/>
      <c r="AD28" s="32">
        <f>SUM(Y28:Z28)/SUM(G28:H28)</f>
        <v>0.64816428053934982</v>
      </c>
    </row>
    <row r="29" spans="1:35" x14ac:dyDescent="0.3">
      <c r="A29"/>
      <c r="B29" s="34">
        <v>36</v>
      </c>
      <c r="C29" s="718"/>
      <c r="D29" s="714"/>
      <c r="E29" s="714"/>
      <c r="F29" s="701"/>
      <c r="G29" s="719"/>
      <c r="H29" s="719"/>
      <c r="I29" s="704">
        <f t="shared" si="5"/>
        <v>0</v>
      </c>
      <c r="J29" s="515">
        <f t="shared" si="7"/>
        <v>0</v>
      </c>
      <c r="K29" s="532" t="str">
        <f>'2013 comm sample'!M29</f>
        <v>na</v>
      </c>
      <c r="L29" s="532" t="str">
        <f>'2013 comm sample'!N29</f>
        <v>na</v>
      </c>
      <c r="M29" s="532" t="str">
        <f>'2013 comm sample'!O29</f>
        <v>na</v>
      </c>
      <c r="N29" s="532" t="str">
        <f>'2013 comm sample'!P29</f>
        <v>na</v>
      </c>
      <c r="O29" s="533" t="str">
        <f>'2013 comm sample'!Q29</f>
        <v>na</v>
      </c>
      <c r="P29" s="559" t="str">
        <f>IF(C29&gt;0,'2013 comm sample'!C29/'2013 Comm catch'!C29,"na")</f>
        <v>na</v>
      </c>
      <c r="Q29" s="559" t="str">
        <f>IF(D29&gt;0,'2013 comm sample'!D29/'2013 Comm catch'!D29,"na")</f>
        <v>na</v>
      </c>
      <c r="R29" s="559" t="str">
        <f>IF(E29&gt;0,'2013 comm sample'!E29/'2013 Comm catch'!E29,"na")</f>
        <v>na</v>
      </c>
      <c r="S29" s="559" t="str">
        <f>IF(G29&gt;0,'2013 comm sample'!F29/'2013 Comm catch'!G29,"na")</f>
        <v>na</v>
      </c>
      <c r="T29" s="559" t="str">
        <f>IF(H29&gt;0,'2013 comm sample'!G29/'2013 Comm catch'!H29,"na")</f>
        <v>na</v>
      </c>
      <c r="U29" s="560">
        <f t="shared" si="1"/>
        <v>0</v>
      </c>
      <c r="V29" s="514">
        <f t="shared" si="1"/>
        <v>0</v>
      </c>
      <c r="W29" s="514">
        <f t="shared" si="1"/>
        <v>0</v>
      </c>
      <c r="X29" s="705">
        <f t="shared" si="2"/>
        <v>0</v>
      </c>
      <c r="Y29" s="514">
        <f t="shared" si="3"/>
        <v>0</v>
      </c>
      <c r="Z29" s="514">
        <f t="shared" si="3"/>
        <v>0</v>
      </c>
      <c r="AA29" s="705">
        <f t="shared" si="4"/>
        <v>0</v>
      </c>
      <c r="AB29" s="580">
        <f t="shared" si="6"/>
        <v>0</v>
      </c>
      <c r="AC29" s="647"/>
    </row>
    <row r="30" spans="1:35" x14ac:dyDescent="0.3">
      <c r="A30"/>
      <c r="B30" s="34">
        <v>37</v>
      </c>
      <c r="C30" s="718"/>
      <c r="D30" s="714"/>
      <c r="E30" s="714"/>
      <c r="F30" s="701"/>
      <c r="G30" s="714"/>
      <c r="H30" s="714"/>
      <c r="I30" s="701">
        <f t="shared" si="5"/>
        <v>0</v>
      </c>
      <c r="J30" s="515">
        <f t="shared" si="7"/>
        <v>0</v>
      </c>
      <c r="K30" s="532" t="str">
        <f>'2013 comm sample'!M30</f>
        <v>na</v>
      </c>
      <c r="L30" s="532" t="str">
        <f>'2013 comm sample'!N30</f>
        <v>na</v>
      </c>
      <c r="M30" s="532" t="str">
        <f>'2013 comm sample'!O30</f>
        <v>na</v>
      </c>
      <c r="N30" s="532" t="str">
        <f>'2013 comm sample'!P30</f>
        <v>na</v>
      </c>
      <c r="O30" s="533" t="str">
        <f>'2013 comm sample'!Q30</f>
        <v>na</v>
      </c>
      <c r="P30" s="558" t="str">
        <f>IF(C30&gt;0,'2013 comm sample'!C30/'2013 Comm catch'!C30,"na")</f>
        <v>na</v>
      </c>
      <c r="Q30" s="559" t="str">
        <f>IF(D30&gt;0,'2013 comm sample'!D30/'2013 Comm catch'!D30,"na")</f>
        <v>na</v>
      </c>
      <c r="R30" s="559" t="str">
        <f>IF(E30&gt;0,'2013 comm sample'!E30/'2013 Comm catch'!E30,"na")</f>
        <v>na</v>
      </c>
      <c r="S30" s="559" t="str">
        <f>IF(G30&gt;0,'2013 comm sample'!F30/'2013 Comm catch'!G30,"na")</f>
        <v>na</v>
      </c>
      <c r="T30" s="559" t="str">
        <f>IF(H30&gt;0,'2013 comm sample'!G30/'2013 Comm catch'!H30,"na")</f>
        <v>na</v>
      </c>
      <c r="U30" s="560">
        <f t="shared" si="1"/>
        <v>0</v>
      </c>
      <c r="V30" s="514">
        <f t="shared" si="1"/>
        <v>0</v>
      </c>
      <c r="W30" s="514">
        <f t="shared" si="1"/>
        <v>0</v>
      </c>
      <c r="X30" s="705">
        <f t="shared" si="2"/>
        <v>0</v>
      </c>
      <c r="Y30" s="514">
        <f t="shared" si="3"/>
        <v>0</v>
      </c>
      <c r="Z30" s="514">
        <f t="shared" si="3"/>
        <v>0</v>
      </c>
      <c r="AA30" s="705">
        <f t="shared" si="4"/>
        <v>0</v>
      </c>
      <c r="AB30" s="580">
        <f t="shared" si="6"/>
        <v>0</v>
      </c>
      <c r="AC30" s="647"/>
    </row>
    <row r="31" spans="1:35" x14ac:dyDescent="0.3">
      <c r="A31" s="34" t="s">
        <v>322</v>
      </c>
      <c r="B31" s="34">
        <v>38</v>
      </c>
      <c r="C31" s="718"/>
      <c r="D31" s="714"/>
      <c r="E31" s="714"/>
      <c r="F31" s="701"/>
      <c r="G31" s="709">
        <v>669</v>
      </c>
      <c r="H31" s="709">
        <v>212</v>
      </c>
      <c r="I31" s="701">
        <f t="shared" si="5"/>
        <v>881</v>
      </c>
      <c r="J31" s="515">
        <f t="shared" si="7"/>
        <v>881</v>
      </c>
      <c r="K31" s="532" t="str">
        <f>'2013 comm sample'!M31</f>
        <v>na</v>
      </c>
      <c r="L31" s="532" t="str">
        <f>'2013 comm sample'!N31</f>
        <v>na</v>
      </c>
      <c r="M31" s="532" t="str">
        <f>'2013 comm sample'!O31</f>
        <v>na</v>
      </c>
      <c r="N31" s="532">
        <f>'2013 comm sample'!P31</f>
        <v>0.54878048780487809</v>
      </c>
      <c r="O31" s="533">
        <f>'2013 comm sample'!Q31</f>
        <v>0.41666666666666669</v>
      </c>
      <c r="P31" s="558" t="str">
        <f>IF(C31&gt;0,'2013 comm sample'!C31/'2013 Comm catch'!C31,"na")</f>
        <v>na</v>
      </c>
      <c r="Q31" s="559" t="str">
        <f>IF(D31&gt;0,'2013 comm sample'!D31/'2013 Comm catch'!D31,"na")</f>
        <v>na</v>
      </c>
      <c r="R31" s="559" t="str">
        <f>IF(E31&gt;0,'2013 comm sample'!E31/'2013 Comm catch'!E31,"na")</f>
        <v>na</v>
      </c>
      <c r="S31" s="559">
        <f>IF(G31&gt;0,'2013 comm sample'!F31/'2013 Comm catch'!G31,"na")</f>
        <v>0.24514200298953662</v>
      </c>
      <c r="T31" s="559">
        <f>IF(H31&gt;0,'2013 comm sample'!G31/'2013 Comm catch'!H31,"na")</f>
        <v>0.22641509433962265</v>
      </c>
      <c r="U31" s="560">
        <f t="shared" si="1"/>
        <v>0</v>
      </c>
      <c r="V31" s="514">
        <f t="shared" si="1"/>
        <v>0</v>
      </c>
      <c r="W31" s="514">
        <f t="shared" si="1"/>
        <v>0</v>
      </c>
      <c r="X31" s="705">
        <f t="shared" si="2"/>
        <v>0</v>
      </c>
      <c r="Y31" s="514">
        <f t="shared" si="3"/>
        <v>367.13414634146346</v>
      </c>
      <c r="Z31" s="514">
        <f t="shared" si="3"/>
        <v>88.333333333333343</v>
      </c>
      <c r="AA31" s="755">
        <f t="shared" si="4"/>
        <v>455.46747967479678</v>
      </c>
      <c r="AB31" s="580">
        <f t="shared" si="6"/>
        <v>455.46747967479678</v>
      </c>
      <c r="AC31" s="647"/>
    </row>
    <row r="32" spans="1:35" x14ac:dyDescent="0.3">
      <c r="A32" s="34" t="s">
        <v>322</v>
      </c>
      <c r="B32" s="34">
        <v>39</v>
      </c>
      <c r="C32" s="708">
        <v>52</v>
      </c>
      <c r="D32" s="709">
        <v>126</v>
      </c>
      <c r="E32" s="709">
        <v>22</v>
      </c>
      <c r="F32" s="701">
        <f t="shared" ref="F32:F39" si="8">SUM(C32:E32)</f>
        <v>200</v>
      </c>
      <c r="G32" s="720">
        <v>381</v>
      </c>
      <c r="H32" s="720">
        <v>212</v>
      </c>
      <c r="I32" s="704">
        <f t="shared" ref="I32:I39" si="9">SUM(G32:H32)</f>
        <v>593</v>
      </c>
      <c r="J32" s="737">
        <f t="shared" si="7"/>
        <v>793</v>
      </c>
      <c r="K32" s="532">
        <f>'2013 comm sample'!M32</f>
        <v>0</v>
      </c>
      <c r="L32" s="532">
        <f>'2013 comm sample'!N32</f>
        <v>0.23076923076923078</v>
      </c>
      <c r="M32" s="532" t="str">
        <f>'2013 comm sample'!O32</f>
        <v>na</v>
      </c>
      <c r="N32" s="532">
        <f>'2013 comm sample'!P32</f>
        <v>0.31007751937984496</v>
      </c>
      <c r="O32" s="533">
        <f>'2013 comm sample'!Q32</f>
        <v>0.31896551724137934</v>
      </c>
      <c r="P32" s="558">
        <f>IF(C32&gt;0,'2013 comm sample'!C32/'2013 Comm catch'!C32,"na")</f>
        <v>5.7692307692307696E-2</v>
      </c>
      <c r="Q32" s="559">
        <f>IF(D32&gt;0,'2013 comm sample'!D32/'2013 Comm catch'!D32,"na")</f>
        <v>0.20634920634920634</v>
      </c>
      <c r="R32" s="559">
        <f>IF(E32&gt;0,'2013 comm sample'!E32/'2013 Comm catch'!E32,"na")</f>
        <v>0</v>
      </c>
      <c r="S32" s="559">
        <f>IF(G32&gt;0,'2013 comm sample'!F32/'2013 Comm catch'!G32,"na")</f>
        <v>0.33858267716535434</v>
      </c>
      <c r="T32" s="559">
        <f>IF(H32&gt;0,'2013 comm sample'!G32/'2013 Comm catch'!H32,"na")</f>
        <v>0.54716981132075471</v>
      </c>
      <c r="U32" s="583">
        <f>IF(K32&lt;&gt;"na",C32*L32,0)</f>
        <v>12</v>
      </c>
      <c r="V32" s="584">
        <f t="shared" si="1"/>
        <v>29.07692307692308</v>
      </c>
      <c r="W32" s="584">
        <f>E32*L32</f>
        <v>5.0769230769230775</v>
      </c>
      <c r="X32" s="706">
        <f t="shared" si="2"/>
        <v>46.15384615384616</v>
      </c>
      <c r="Y32" s="584">
        <f t="shared" si="3"/>
        <v>118.13953488372093</v>
      </c>
      <c r="Z32" s="584">
        <f t="shared" si="3"/>
        <v>67.620689655172413</v>
      </c>
      <c r="AA32" s="755">
        <f t="shared" si="4"/>
        <v>185.76022453889334</v>
      </c>
      <c r="AB32" s="580">
        <f t="shared" si="6"/>
        <v>231.9140706927395</v>
      </c>
      <c r="AC32" s="647">
        <f t="shared" ref="AC32:AC39" si="10">SUM(U32:W32)/SUM(C32:E32)</f>
        <v>0.23076923076923081</v>
      </c>
      <c r="AD32" s="32">
        <f t="shared" ref="AD32:AD39" si="11">SUM(Y32:Z32)/SUM(G32:H32)</f>
        <v>0.31325501608582351</v>
      </c>
      <c r="AE32" s="585"/>
      <c r="AF32" s="754">
        <f>F32*'2013 comm sample'!R32</f>
        <v>41.379310344827587</v>
      </c>
      <c r="AG32" s="585">
        <f>I32*'2013 comm sample'!S32</f>
        <v>186.37142857142857</v>
      </c>
      <c r="AH32" s="585"/>
      <c r="AI32" s="585"/>
    </row>
    <row r="33" spans="1:35" x14ac:dyDescent="0.3">
      <c r="A33" s="34" t="s">
        <v>322</v>
      </c>
      <c r="B33" s="34">
        <v>40</v>
      </c>
      <c r="C33" s="708">
        <v>8</v>
      </c>
      <c r="D33" s="709">
        <v>12</v>
      </c>
      <c r="E33" s="709">
        <v>39</v>
      </c>
      <c r="F33" s="701">
        <f>SUM(C33:E33)</f>
        <v>59</v>
      </c>
      <c r="G33" s="720">
        <v>210</v>
      </c>
      <c r="H33" s="720">
        <v>132</v>
      </c>
      <c r="I33" s="704">
        <f>SUM(G33:H33)</f>
        <v>342</v>
      </c>
      <c r="J33" s="515">
        <f>F33+I33</f>
        <v>401</v>
      </c>
      <c r="K33" s="532" t="str">
        <f>'2013 comm sample'!M33</f>
        <v>na</v>
      </c>
      <c r="L33" s="532">
        <f>'2013 comm sample'!N33</f>
        <v>0.22857142857142856</v>
      </c>
      <c r="M33" s="532" t="str">
        <f>'2013 comm sample'!O33</f>
        <v>na</v>
      </c>
      <c r="N33" s="532">
        <f>'2013 comm sample'!P33</f>
        <v>0.1</v>
      </c>
      <c r="O33" s="533">
        <f>'2013 comm sample'!Q33</f>
        <v>0.27450980392156865</v>
      </c>
      <c r="P33" s="558">
        <f>IF(C33&gt;0,'2013 comm sample'!C33/'2013 Comm catch'!C33,"na")</f>
        <v>0</v>
      </c>
      <c r="Q33" s="559">
        <f>IF(D33&gt;0,'2013 comm sample'!D33/'2013 Comm catch'!D33,"na")</f>
        <v>2.9166666666666665</v>
      </c>
      <c r="R33" s="559">
        <f>IF(E33&gt;0,'2013 comm sample'!E33/'2013 Comm catch'!E33,"na")</f>
        <v>0</v>
      </c>
      <c r="S33" s="559">
        <f>IF(G33&gt;0,'2013 comm sample'!F33/'2013 Comm catch'!G33,"na")</f>
        <v>4.7619047619047616E-2</v>
      </c>
      <c r="T33" s="559">
        <f>IF(H33&gt;0,'2013 comm sample'!G33/'2013 Comm catch'!H33,"na")</f>
        <v>0.38636363636363635</v>
      </c>
      <c r="U33" s="583">
        <f>C33*L33</f>
        <v>1.8285714285714285</v>
      </c>
      <c r="V33" s="514">
        <f>IF(L33&lt;&gt;"na",D33*L33,0)</f>
        <v>2.7428571428571429</v>
      </c>
      <c r="W33" s="584">
        <f>E33*L33</f>
        <v>8.9142857142857146</v>
      </c>
      <c r="X33" s="705">
        <f t="shared" ref="X33:X39" si="12">SUM(U33:W33)</f>
        <v>13.485714285714286</v>
      </c>
      <c r="Y33" s="514">
        <f>G33*0.2459</f>
        <v>51.639000000000003</v>
      </c>
      <c r="Z33" s="514">
        <f>H33*0.2459</f>
        <v>32.458800000000004</v>
      </c>
      <c r="AA33" s="705">
        <f t="shared" ref="AA33:AA39" si="13">SUM(Y33:Z33)</f>
        <v>84.097800000000007</v>
      </c>
      <c r="AB33" s="580">
        <f>X33+AA33</f>
        <v>97.583514285714287</v>
      </c>
      <c r="AC33" s="647">
        <f>SUM(U33:W33)/SUM(C33:E33)</f>
        <v>0.22857142857142856</v>
      </c>
      <c r="AD33" s="32">
        <f>SUM(Y33:Z33)/SUM(G33:H33)</f>
        <v>0.24590000000000001</v>
      </c>
      <c r="AE33" s="585"/>
      <c r="AF33" s="754">
        <f>F33*'2013 comm sample'!R33</f>
        <v>13.485714285714286</v>
      </c>
      <c r="AG33" s="754">
        <f>I33*'2013 comm sample'!S33</f>
        <v>84.098360655737707</v>
      </c>
      <c r="AH33" s="585"/>
      <c r="AI33" s="585"/>
    </row>
    <row r="34" spans="1:35" x14ac:dyDescent="0.3">
      <c r="A34" s="34" t="s">
        <v>321</v>
      </c>
      <c r="B34" s="34">
        <v>40</v>
      </c>
      <c r="C34" s="708">
        <v>277</v>
      </c>
      <c r="D34" s="709">
        <v>566</v>
      </c>
      <c r="E34" s="709">
        <v>241</v>
      </c>
      <c r="F34" s="701">
        <f t="shared" si="8"/>
        <v>1084</v>
      </c>
      <c r="G34" s="702"/>
      <c r="H34" s="702"/>
      <c r="I34" s="704">
        <f t="shared" si="9"/>
        <v>0</v>
      </c>
      <c r="J34" s="515">
        <f t="shared" si="7"/>
        <v>1084</v>
      </c>
      <c r="K34" s="532">
        <f>'2013 comm sample'!M34</f>
        <v>0</v>
      </c>
      <c r="L34" s="532">
        <f>'2013 comm sample'!N34</f>
        <v>0</v>
      </c>
      <c r="M34" s="532" t="str">
        <f>'2013 comm sample'!O34</f>
        <v>na</v>
      </c>
      <c r="N34" s="532" t="str">
        <f>'2013 comm sample'!P34</f>
        <v>na</v>
      </c>
      <c r="O34" s="533" t="str">
        <f>'2013 comm sample'!Q34</f>
        <v>na</v>
      </c>
      <c r="P34" s="558">
        <f>IF(C34&gt;0,'2013 comm sample'!C34/'2013 Comm catch'!C34,"na")</f>
        <v>0.11913357400722022</v>
      </c>
      <c r="Q34" s="559">
        <f>IF(D34&gt;0,'2013 comm sample'!D34/'2013 Comm catch'!D34,"na")</f>
        <v>0.34805653710247347</v>
      </c>
      <c r="R34" s="559">
        <f>IF(E34&gt;0,'2013 comm sample'!E34/'2013 Comm catch'!E34,"na")</f>
        <v>0</v>
      </c>
      <c r="S34" s="559" t="str">
        <f>IF(G34&gt;0,'2013 comm sample'!F34/'2013 Comm catch'!G34,"na")</f>
        <v>na</v>
      </c>
      <c r="T34" s="559" t="str">
        <f>IF(H34&gt;0,'2013 comm sample'!G34/'2013 Comm catch'!H34,"na")</f>
        <v>na</v>
      </c>
      <c r="U34" s="560">
        <f t="shared" si="1"/>
        <v>0</v>
      </c>
      <c r="V34" s="514">
        <f t="shared" si="1"/>
        <v>0</v>
      </c>
      <c r="W34" s="514">
        <f t="shared" si="1"/>
        <v>0</v>
      </c>
      <c r="X34" s="705">
        <f t="shared" si="12"/>
        <v>0</v>
      </c>
      <c r="Y34" s="514">
        <f t="shared" si="3"/>
        <v>0</v>
      </c>
      <c r="Z34" s="514">
        <f t="shared" si="3"/>
        <v>0</v>
      </c>
      <c r="AA34" s="705">
        <f t="shared" si="13"/>
        <v>0</v>
      </c>
      <c r="AB34" s="580">
        <f t="shared" si="6"/>
        <v>0</v>
      </c>
      <c r="AC34" s="647">
        <f t="shared" si="10"/>
        <v>0</v>
      </c>
      <c r="AD34" s="32" t="e">
        <f t="shared" si="11"/>
        <v>#DIV/0!</v>
      </c>
      <c r="AE34" s="585"/>
      <c r="AF34" s="754">
        <f>F34*'2013 comm sample'!R34</f>
        <v>0</v>
      </c>
      <c r="AG34" s="585"/>
      <c r="AH34" s="585"/>
      <c r="AI34" s="585"/>
    </row>
    <row r="35" spans="1:35" x14ac:dyDescent="0.3">
      <c r="A35" s="34" t="s">
        <v>326</v>
      </c>
      <c r="B35" s="34">
        <v>41</v>
      </c>
      <c r="C35" s="708">
        <v>110</v>
      </c>
      <c r="D35" s="709">
        <v>1942</v>
      </c>
      <c r="E35" s="709">
        <v>988</v>
      </c>
      <c r="F35" s="701">
        <f t="shared" si="8"/>
        <v>3040</v>
      </c>
      <c r="G35" s="742">
        <v>203</v>
      </c>
      <c r="H35" s="742">
        <v>80</v>
      </c>
      <c r="I35" s="704">
        <f t="shared" si="9"/>
        <v>283</v>
      </c>
      <c r="J35" s="515">
        <f t="shared" si="7"/>
        <v>3323</v>
      </c>
      <c r="K35" s="532" t="str">
        <f>'2013 comm sample'!M35</f>
        <v>na</v>
      </c>
      <c r="L35" s="532">
        <f>'2013 comm sample'!N35</f>
        <v>6.1403508771929821E-2</v>
      </c>
      <c r="M35" s="532">
        <f>'2013 comm sample'!O35</f>
        <v>8.4745762711864406E-3</v>
      </c>
      <c r="N35" s="532">
        <f>'2013 comm sample'!P35</f>
        <v>0.25757575757575757</v>
      </c>
      <c r="O35" s="533">
        <f>'2013 comm sample'!Q35</f>
        <v>0.18181818181818182</v>
      </c>
      <c r="P35" s="558">
        <f>IF(C35&gt;0,'2013 comm sample'!C35/'2013 Comm catch'!C35,"na")</f>
        <v>0</v>
      </c>
      <c r="Q35" s="559">
        <f>IF(D35&gt;0,'2013 comm sample'!D35/'2013 Comm catch'!D35,"na")</f>
        <v>5.8702368692070031E-2</v>
      </c>
      <c r="R35" s="559">
        <f>IF(E35&gt;0,'2013 comm sample'!E35/'2013 Comm catch'!E35,"na")</f>
        <v>0.1194331983805668</v>
      </c>
      <c r="S35" s="559">
        <f>IF(G35&gt;0,'2013 comm sample'!F35/'2013 Comm catch'!G35,"na")</f>
        <v>0.3251231527093596</v>
      </c>
      <c r="T35" s="559">
        <f>IF(H35&gt;0,'2013 comm sample'!G35/'2013 Comm catch'!H35,"na")</f>
        <v>0.96250000000000002</v>
      </c>
      <c r="U35" s="560">
        <f t="shared" si="1"/>
        <v>0</v>
      </c>
      <c r="V35" s="514">
        <f t="shared" si="1"/>
        <v>119.24561403508771</v>
      </c>
      <c r="W35" s="514">
        <f t="shared" si="1"/>
        <v>8.3728813559322042</v>
      </c>
      <c r="X35" s="705">
        <f t="shared" si="12"/>
        <v>127.61849539101992</v>
      </c>
      <c r="Y35" s="514">
        <f t="shared" si="3"/>
        <v>52.287878787878789</v>
      </c>
      <c r="Z35" s="514">
        <f>IF(O35&lt;&gt;"na",H35*O35,0)</f>
        <v>14.545454545454547</v>
      </c>
      <c r="AA35" s="755">
        <f t="shared" si="13"/>
        <v>66.833333333333343</v>
      </c>
      <c r="AB35" s="580">
        <f t="shared" si="6"/>
        <v>194.45182872435328</v>
      </c>
      <c r="AC35" s="647">
        <f t="shared" si="10"/>
        <v>4.1979768220730233E-2</v>
      </c>
      <c r="AD35" s="32">
        <f t="shared" si="11"/>
        <v>0.23616018845700829</v>
      </c>
      <c r="AE35" s="657"/>
      <c r="AF35" s="754">
        <f>F35*'2013 comm sample'!R35</f>
        <v>104.82758620689656</v>
      </c>
      <c r="AG35" s="585">
        <f>I35*'2013 comm sample'!S35</f>
        <v>61.349650349650346</v>
      </c>
      <c r="AH35" s="657"/>
    </row>
    <row r="36" spans="1:35" x14ac:dyDescent="0.3">
      <c r="A36" s="34" t="s">
        <v>327</v>
      </c>
      <c r="B36" s="34">
        <v>42</v>
      </c>
      <c r="C36" s="708">
        <v>70</v>
      </c>
      <c r="D36" s="709">
        <v>791</v>
      </c>
      <c r="E36" s="709">
        <v>254</v>
      </c>
      <c r="F36" s="701">
        <f t="shared" si="8"/>
        <v>1115</v>
      </c>
      <c r="G36" s="709">
        <v>119</v>
      </c>
      <c r="H36" s="709">
        <v>37</v>
      </c>
      <c r="I36" s="704">
        <f t="shared" si="9"/>
        <v>156</v>
      </c>
      <c r="J36" s="515">
        <f t="shared" si="7"/>
        <v>1271</v>
      </c>
      <c r="K36" s="532">
        <f>'2013 comm sample'!M36</f>
        <v>0.22672064777327935</v>
      </c>
      <c r="L36" s="532">
        <f>'2013 comm sample'!N36</f>
        <v>0.22672064777327935</v>
      </c>
      <c r="M36" s="532">
        <f>'2013 comm sample'!O36</f>
        <v>0.21739130434782608</v>
      </c>
      <c r="N36" s="532">
        <f>'2013 comm sample'!P36</f>
        <v>0.25806451612903225</v>
      </c>
      <c r="O36" s="533">
        <f>'2013 comm sample'!Q36</f>
        <v>0.14285714285714285</v>
      </c>
      <c r="P36" s="558">
        <f>IF(C36&gt;0,'2013 comm sample'!C36/'2013 Comm catch'!C36,"na")</f>
        <v>0.22857142857142856</v>
      </c>
      <c r="Q36" s="559">
        <f>IF(D36&gt;0,'2013 comm sample'!D36/'2013 Comm catch'!D36,"na")</f>
        <v>0.31226295828065742</v>
      </c>
      <c r="R36" s="559">
        <f>IF(E36&gt;0,'2013 comm sample'!E36/'2013 Comm catch'!E36,"na")</f>
        <v>0.90551181102362199</v>
      </c>
      <c r="S36" s="559">
        <f>IF(G36&gt;0,'2013 comm sample'!F36/'2013 Comm catch'!G36,"na")</f>
        <v>0.26050420168067229</v>
      </c>
      <c r="T36" s="559">
        <f>IF(H36&gt;0,'2013 comm sample'!G36/'2013 Comm catch'!H36,"na")</f>
        <v>0.3783783783783784</v>
      </c>
      <c r="U36" s="560">
        <f t="shared" si="1"/>
        <v>15.870445344129555</v>
      </c>
      <c r="V36" s="514">
        <f t="shared" si="1"/>
        <v>179.33603238866397</v>
      </c>
      <c r="W36" s="514">
        <f t="shared" si="1"/>
        <v>55.217391304347828</v>
      </c>
      <c r="X36" s="755">
        <f t="shared" si="12"/>
        <v>250.42386903714134</v>
      </c>
      <c r="Y36" s="514">
        <f t="shared" si="3"/>
        <v>30.709677419354836</v>
      </c>
      <c r="Z36" s="514">
        <f t="shared" si="3"/>
        <v>5.2857142857142856</v>
      </c>
      <c r="AA36" s="755">
        <f t="shared" si="13"/>
        <v>35.995391705069125</v>
      </c>
      <c r="AB36" s="580">
        <f t="shared" si="6"/>
        <v>286.41926074221044</v>
      </c>
      <c r="AC36" s="647">
        <f t="shared" si="10"/>
        <v>0.22459539823958866</v>
      </c>
      <c r="AD36" s="32">
        <f t="shared" si="11"/>
        <v>0.23073969041710976</v>
      </c>
      <c r="AF36" s="585">
        <f>F36*'2013 comm sample'!R36</f>
        <v>251.04462474645032</v>
      </c>
      <c r="AG36" s="585">
        <f>I36*'2013 comm sample'!S36</f>
        <v>34.666666666666664</v>
      </c>
    </row>
    <row r="37" spans="1:35" x14ac:dyDescent="0.3">
      <c r="A37" s="34" t="s">
        <v>321</v>
      </c>
      <c r="B37" s="34">
        <v>42</v>
      </c>
      <c r="C37" s="708">
        <v>16</v>
      </c>
      <c r="D37" s="709">
        <v>453</v>
      </c>
      <c r="E37" s="709">
        <v>238</v>
      </c>
      <c r="F37" s="701">
        <f>SUM(C37:E37)</f>
        <v>707</v>
      </c>
      <c r="G37" s="702"/>
      <c r="H37" s="702"/>
      <c r="I37" s="704">
        <f>SUM(G37:H37)</f>
        <v>0</v>
      </c>
      <c r="J37" s="515">
        <f>F37+I37</f>
        <v>707</v>
      </c>
      <c r="K37" s="532">
        <f>'2013 comm sample'!M37</f>
        <v>0</v>
      </c>
      <c r="L37" s="532">
        <f>'2013 comm sample'!N37</f>
        <v>0</v>
      </c>
      <c r="M37" s="532">
        <f>'2013 comm sample'!O37</f>
        <v>0</v>
      </c>
      <c r="N37" s="532" t="str">
        <f>'2013 comm sample'!P37</f>
        <v>na</v>
      </c>
      <c r="O37" s="533" t="str">
        <f>'2013 comm sample'!Q37</f>
        <v>na</v>
      </c>
      <c r="P37" s="558">
        <f>IF(C37&gt;0,'2013 comm sample'!C37/'2013 Comm catch'!C37,"na")</f>
        <v>0</v>
      </c>
      <c r="Q37" s="559">
        <f>IF(D37&gt;0,'2013 comm sample'!D37/'2013 Comm catch'!D37,"na")</f>
        <v>0.38852097130242824</v>
      </c>
      <c r="R37" s="559">
        <f>IF(E37&gt;0,'2013 comm sample'!E37/'2013 Comm catch'!E37,"na")</f>
        <v>0.68067226890756305</v>
      </c>
      <c r="S37" s="559" t="str">
        <f>IF(G37&gt;0,'2013 comm sample'!F37/'2013 Comm catch'!G37,"na")</f>
        <v>na</v>
      </c>
      <c r="T37" s="559" t="str">
        <f>IF(H37&gt;0,'2013 comm sample'!G37/'2013 Comm catch'!H37,"na")</f>
        <v>na</v>
      </c>
      <c r="U37" s="560">
        <f>IF(K37&lt;&gt;"na",C37*K37,0)</f>
        <v>0</v>
      </c>
      <c r="V37" s="514">
        <f>IF(L37&lt;&gt;"na",D37*L37,0)</f>
        <v>0</v>
      </c>
      <c r="W37" s="514">
        <f>IF(M37&lt;&gt;"na",E37*M37,0)</f>
        <v>0</v>
      </c>
      <c r="X37" s="705">
        <f>SUM(U37:W37)</f>
        <v>0</v>
      </c>
      <c r="Y37" s="514">
        <f>IF(N37&lt;&gt;"na",G37*N37,0)</f>
        <v>0</v>
      </c>
      <c r="Z37" s="514">
        <f>IF(O37&lt;&gt;"na",H37*O37,0)</f>
        <v>0</v>
      </c>
      <c r="AA37" s="705">
        <f>SUM(Y37:Z37)</f>
        <v>0</v>
      </c>
      <c r="AB37" s="580">
        <f>X37+AA37</f>
        <v>0</v>
      </c>
      <c r="AC37" s="647">
        <f>SUM(U37:W37)/SUM(C37:E37)</f>
        <v>0</v>
      </c>
      <c r="AD37" s="32" t="e">
        <f>SUM(Y37:Z37)/SUM(G37:H37)</f>
        <v>#DIV/0!</v>
      </c>
      <c r="AF37" s="754">
        <f>F37*'2013 comm sample'!R37</f>
        <v>0</v>
      </c>
      <c r="AG37" s="585"/>
    </row>
    <row r="38" spans="1:35" x14ac:dyDescent="0.3">
      <c r="A38" s="34" t="s">
        <v>327</v>
      </c>
      <c r="B38" s="34">
        <v>43</v>
      </c>
      <c r="C38" s="708">
        <v>93</v>
      </c>
      <c r="D38" s="709">
        <v>499</v>
      </c>
      <c r="E38" s="709">
        <v>244</v>
      </c>
      <c r="F38" s="701">
        <f t="shared" si="8"/>
        <v>836</v>
      </c>
      <c r="G38" s="709">
        <v>24</v>
      </c>
      <c r="H38" s="709">
        <v>32</v>
      </c>
      <c r="I38" s="704">
        <f t="shared" si="9"/>
        <v>56</v>
      </c>
      <c r="J38" s="515">
        <f t="shared" si="7"/>
        <v>892</v>
      </c>
      <c r="K38" s="532" t="str">
        <f>'2013 comm sample'!M38</f>
        <v>na</v>
      </c>
      <c r="L38" s="532">
        <f>'2013 comm sample'!N38</f>
        <v>0.29891304347826086</v>
      </c>
      <c r="M38" s="532">
        <f>'2013 comm sample'!O38</f>
        <v>0.29891304347826086</v>
      </c>
      <c r="N38" s="532" t="str">
        <f>'2013 comm sample'!P38</f>
        <v>na</v>
      </c>
      <c r="O38" s="532">
        <f>'2013 comm sample'!Q38</f>
        <v>0.25</v>
      </c>
      <c r="P38" s="558">
        <f>IF(C38&gt;0,'2013 comm sample'!C38/'2013 Comm catch'!C38,"na")</f>
        <v>0</v>
      </c>
      <c r="Q38" s="559">
        <f>IF(D38&gt;0,'2013 comm sample'!D38/'2013 Comm catch'!D38,"na")</f>
        <v>0.12224448897795591</v>
      </c>
      <c r="R38" s="559">
        <f>IF(E38&gt;0,'2013 comm sample'!E38/'2013 Comm catch'!E38,"na")</f>
        <v>0.75409836065573765</v>
      </c>
      <c r="S38" s="559">
        <f>IF(G38&gt;0,'2013 comm sample'!F38/'2013 Comm catch'!G38,"na")</f>
        <v>0</v>
      </c>
      <c r="T38" s="559">
        <f>IF(H38&gt;0,'2013 comm sample'!G38/'2013 Comm catch'!H38,"na")</f>
        <v>0.25</v>
      </c>
      <c r="U38" s="560">
        <f t="shared" si="1"/>
        <v>0</v>
      </c>
      <c r="V38" s="514">
        <f t="shared" si="1"/>
        <v>149.15760869565216</v>
      </c>
      <c r="W38" s="514">
        <f t="shared" si="1"/>
        <v>72.934782608695656</v>
      </c>
      <c r="X38" s="705">
        <f t="shared" si="12"/>
        <v>222.09239130434781</v>
      </c>
      <c r="Y38" s="514">
        <f t="shared" si="3"/>
        <v>0</v>
      </c>
      <c r="Z38" s="514">
        <f t="shared" si="3"/>
        <v>8</v>
      </c>
      <c r="AA38" s="705">
        <f t="shared" si="13"/>
        <v>8</v>
      </c>
      <c r="AB38" s="580">
        <f t="shared" si="6"/>
        <v>230.09239130434781</v>
      </c>
      <c r="AC38" s="647">
        <f t="shared" si="10"/>
        <v>0.26566075514874138</v>
      </c>
      <c r="AD38" s="32">
        <f t="shared" si="11"/>
        <v>0.14285714285714285</v>
      </c>
      <c r="AF38" s="754">
        <f>F38*'2013 comm sample'!R38</f>
        <v>232.03265306122449</v>
      </c>
      <c r="AG38" s="754">
        <f>I38*'2013 comm sample'!S38</f>
        <v>14</v>
      </c>
    </row>
    <row r="39" spans="1:35" x14ac:dyDescent="0.3">
      <c r="A39" s="34" t="s">
        <v>322</v>
      </c>
      <c r="B39" s="34">
        <v>44</v>
      </c>
      <c r="C39" s="753"/>
      <c r="D39" s="701"/>
      <c r="E39" s="701"/>
      <c r="F39" s="701">
        <f t="shared" si="8"/>
        <v>0</v>
      </c>
      <c r="G39" s="709">
        <v>2</v>
      </c>
      <c r="H39" s="709">
        <v>9</v>
      </c>
      <c r="I39" s="704">
        <f t="shared" si="9"/>
        <v>11</v>
      </c>
      <c r="J39" s="515">
        <f t="shared" si="7"/>
        <v>11</v>
      </c>
      <c r="K39" s="532" t="str">
        <f>'2013 comm sample'!M39</f>
        <v>na</v>
      </c>
      <c r="L39" s="532" t="str">
        <f>'2013 comm sample'!N39</f>
        <v>na</v>
      </c>
      <c r="M39" s="532" t="str">
        <f>'2013 comm sample'!O39</f>
        <v>na</v>
      </c>
      <c r="N39" s="532">
        <f>'2013 comm sample'!P39</f>
        <v>0</v>
      </c>
      <c r="O39" s="533">
        <f>'2013 comm sample'!Q39</f>
        <v>0</v>
      </c>
      <c r="P39" s="558" t="str">
        <f>IF(C39&gt;0,'2013 comm sample'!C39/'2013 Comm catch'!C39,"na")</f>
        <v>na</v>
      </c>
      <c r="Q39" s="559" t="str">
        <f>IF(D39&gt;0,'2013 comm sample'!D39/'2013 Comm catch'!D39,"na")</f>
        <v>na</v>
      </c>
      <c r="R39" s="559" t="str">
        <f>IF(E39&gt;0,'2013 comm sample'!E39/'2013 Comm catch'!E39,"na")</f>
        <v>na</v>
      </c>
      <c r="S39" s="559">
        <f>IF(G39&gt;0,'2013 comm sample'!F39/'2013 Comm catch'!G39,"na")</f>
        <v>0.5</v>
      </c>
      <c r="T39" s="559">
        <f>IF(H39&gt;0,'2013 comm sample'!G39/'2013 Comm catch'!H39,"na")</f>
        <v>0.22222222222222221</v>
      </c>
      <c r="U39" s="560">
        <f t="shared" si="1"/>
        <v>0</v>
      </c>
      <c r="V39" s="514">
        <f t="shared" si="1"/>
        <v>0</v>
      </c>
      <c r="W39" s="514">
        <f t="shared" si="1"/>
        <v>0</v>
      </c>
      <c r="X39" s="705">
        <f t="shared" si="12"/>
        <v>0</v>
      </c>
      <c r="Y39" s="514">
        <f t="shared" si="3"/>
        <v>0</v>
      </c>
      <c r="Z39" s="514">
        <f t="shared" si="3"/>
        <v>0</v>
      </c>
      <c r="AA39" s="755">
        <f t="shared" si="13"/>
        <v>0</v>
      </c>
      <c r="AB39" s="580">
        <f t="shared" si="6"/>
        <v>0</v>
      </c>
      <c r="AC39" s="647" t="e">
        <f t="shared" si="10"/>
        <v>#DIV/0!</v>
      </c>
      <c r="AD39" s="32">
        <f t="shared" si="11"/>
        <v>0</v>
      </c>
      <c r="AF39" s="585">
        <f>F39*'2013 comm sample'!R39</f>
        <v>0</v>
      </c>
      <c r="AG39" s="585">
        <f>I39*'2013 comm sample'!S39</f>
        <v>0</v>
      </c>
    </row>
    <row r="40" spans="1:35" x14ac:dyDescent="0.3">
      <c r="B40" s="34">
        <v>45</v>
      </c>
      <c r="C40" s="750"/>
      <c r="D40" s="751"/>
      <c r="E40" s="751"/>
      <c r="F40" s="751"/>
      <c r="G40" s="751"/>
      <c r="H40" s="751"/>
      <c r="I40" s="751"/>
      <c r="J40" s="566">
        <f t="shared" si="7"/>
        <v>0</v>
      </c>
      <c r="K40" s="534" t="str">
        <f>'2013 comm sample'!M40</f>
        <v>na</v>
      </c>
      <c r="L40" s="534" t="str">
        <f>'2013 comm sample'!N40</f>
        <v>na</v>
      </c>
      <c r="M40" s="534" t="str">
        <f>'2013 comm sample'!O40</f>
        <v>na</v>
      </c>
      <c r="N40" s="534" t="str">
        <f>'2013 comm sample'!P40</f>
        <v>na</v>
      </c>
      <c r="O40" s="535" t="str">
        <f>'2013 comm sample'!Q40</f>
        <v>na</v>
      </c>
      <c r="P40" s="569" t="str">
        <f>IF(C40&gt;0,'2013 comm sample'!C40/'2013 Comm catch'!C40,"na")</f>
        <v>na</v>
      </c>
      <c r="Q40" s="570" t="str">
        <f>IF(D40&gt;0,'2013 comm sample'!D40/'2013 Comm catch'!D40,"na")</f>
        <v>na</v>
      </c>
      <c r="R40" s="570" t="str">
        <f>IF(E40&gt;0,'2013 comm sample'!E40/'2013 Comm catch'!E40,"na")</f>
        <v>na</v>
      </c>
      <c r="S40" s="570" t="str">
        <f>IF(G40&gt;0,'2013 comm sample'!F40/'2013 Comm catch'!G40,"na")</f>
        <v>na</v>
      </c>
      <c r="T40" s="570" t="str">
        <f>IF(H40&gt;0,'2013 comm sample'!G40/'2013 Comm catch'!H40,"na")</f>
        <v>na</v>
      </c>
      <c r="U40" s="588">
        <f t="shared" si="1"/>
        <v>0</v>
      </c>
      <c r="V40" s="589">
        <f t="shared" si="1"/>
        <v>0</v>
      </c>
      <c r="W40" s="589">
        <f t="shared" si="1"/>
        <v>0</v>
      </c>
      <c r="X40" s="707"/>
      <c r="Y40" s="589">
        <f t="shared" si="3"/>
        <v>0</v>
      </c>
      <c r="Z40" s="589">
        <f t="shared" si="3"/>
        <v>0</v>
      </c>
      <c r="AA40" s="707"/>
      <c r="AB40" s="590">
        <f t="shared" si="6"/>
        <v>0</v>
      </c>
      <c r="AC40" s="647"/>
    </row>
    <row r="41" spans="1:35" x14ac:dyDescent="0.3">
      <c r="B41" s="591" t="s">
        <v>184</v>
      </c>
      <c r="C41" s="592">
        <f>SUM(C25:C40)</f>
        <v>626</v>
      </c>
      <c r="D41" s="593">
        <f>SUM(D25:D40)</f>
        <v>4389</v>
      </c>
      <c r="E41" s="593">
        <f>SUM(E25:E40)</f>
        <v>2026</v>
      </c>
      <c r="F41" s="593"/>
      <c r="G41" s="593">
        <f>SUM(G25:G40)</f>
        <v>1907</v>
      </c>
      <c r="H41" s="593">
        <f>SUM(H25:H40)</f>
        <v>819</v>
      </c>
      <c r="I41" s="593"/>
      <c r="J41" s="594">
        <f>SUM(C41:H41)</f>
        <v>9767</v>
      </c>
      <c r="K41" s="595">
        <f>'2013 comm sample'!M41</f>
        <v>9.6153846153846159E-2</v>
      </c>
      <c r="L41" s="595">
        <f>'2013 comm sample'!N41</f>
        <v>0.10514018691588785</v>
      </c>
      <c r="M41" s="595">
        <f>'2013 comm sample'!O41</f>
        <v>0.15273775216138327</v>
      </c>
      <c r="N41" s="595">
        <f>'2013 comm sample'!P41</f>
        <v>0.43212237093690248</v>
      </c>
      <c r="O41" s="595">
        <f>'2013 comm sample'!Q41</f>
        <v>0.35660847880299251</v>
      </c>
      <c r="P41" s="596">
        <f>IF(C41&gt;0,'2013 comm sample'!C41/'2013 Comm catch'!C41,"na")</f>
        <v>8.3067092651757185E-2</v>
      </c>
      <c r="Q41" s="596">
        <f>IF(D41&gt;0,'2013 comm sample'!D41/'2013 Comm catch'!D41,"na")</f>
        <v>0.19503303713830031</v>
      </c>
      <c r="R41" s="596">
        <f>IF(E41&gt;0,'2013 comm sample'!E41/'2013 Comm catch'!E41,"na")</f>
        <v>0.34254689042448172</v>
      </c>
      <c r="S41" s="596">
        <f>IF(G41&gt;0,'2013 comm sample'!F41/'2013 Comm catch'!G41,"na")</f>
        <v>0.27425275301520713</v>
      </c>
      <c r="T41" s="596">
        <f>IF(H41&gt;0,'2013 comm sample'!G41/'2013 Comm catch'!H41,"na")</f>
        <v>0.4896214896214896</v>
      </c>
      <c r="U41" s="588">
        <f t="shared" ref="U41:AA41" si="14">SUM(U25:U40)</f>
        <v>29.699016772700986</v>
      </c>
      <c r="V41" s="589">
        <f t="shared" si="14"/>
        <v>479.55903533918399</v>
      </c>
      <c r="W41" s="589">
        <f t="shared" si="14"/>
        <v>150.51626406018448</v>
      </c>
      <c r="X41" s="589">
        <f t="shared" si="14"/>
        <v>659.77431617206958</v>
      </c>
      <c r="Y41" s="589">
        <f t="shared" si="14"/>
        <v>795.56012033639934</v>
      </c>
      <c r="Z41" s="589">
        <f t="shared" si="14"/>
        <v>283.23872172744797</v>
      </c>
      <c r="AA41" s="589">
        <f t="shared" si="14"/>
        <v>1078.7988420638471</v>
      </c>
      <c r="AB41" s="590">
        <f t="shared" si="6"/>
        <v>1738.5731582359167</v>
      </c>
      <c r="AC41" s="647">
        <f>SUM(U41:W41)/SUM(C41:E41)</f>
        <v>9.3704632320986997E-2</v>
      </c>
      <c r="AD41" s="32">
        <f>SUM(Y41:Z41)/SUM(G41:H41)</f>
        <v>0.3957442560762463</v>
      </c>
    </row>
    <row r="42" spans="1:35" x14ac:dyDescent="0.3">
      <c r="B42" s="591"/>
      <c r="C42" s="597"/>
      <c r="D42" s="597"/>
      <c r="E42" s="597">
        <f>E41+D41+C41</f>
        <v>7041</v>
      </c>
      <c r="F42" s="597"/>
      <c r="G42" s="597"/>
      <c r="J42" s="597"/>
      <c r="K42" s="597"/>
      <c r="L42" s="597"/>
      <c r="M42" s="597"/>
      <c r="N42" s="597"/>
      <c r="O42" s="598"/>
      <c r="P42" s="597"/>
      <c r="Q42" s="597"/>
      <c r="R42" s="597"/>
      <c r="S42" s="597"/>
      <c r="T42" s="599"/>
      <c r="U42" s="597"/>
      <c r="V42" s="597"/>
      <c r="W42" s="597"/>
      <c r="X42" s="597"/>
      <c r="Y42" s="597"/>
      <c r="Z42" s="33"/>
      <c r="AA42" s="33"/>
      <c r="AB42" s="597"/>
      <c r="AC42" s="647">
        <f>AC41*E42</f>
        <v>659.77431617206946</v>
      </c>
    </row>
    <row r="45" spans="1:35" ht="15.5" thickBot="1" x14ac:dyDescent="0.35">
      <c r="B45" s="33"/>
      <c r="C45" s="597"/>
      <c r="D45" s="597"/>
      <c r="E45" s="597"/>
      <c r="G45" s="903" t="s">
        <v>209</v>
      </c>
      <c r="H45" s="904"/>
      <c r="I45" s="904"/>
      <c r="J45" s="905"/>
      <c r="K45" s="597"/>
      <c r="L45" s="597"/>
      <c r="W45" s="597"/>
      <c r="X45" s="597"/>
    </row>
    <row r="46" spans="1:35" x14ac:dyDescent="0.3">
      <c r="B46" s="484" t="s">
        <v>258</v>
      </c>
      <c r="C46" s="600" t="s">
        <v>44</v>
      </c>
      <c r="D46" s="600" t="s">
        <v>55</v>
      </c>
      <c r="E46" s="601" t="s">
        <v>56</v>
      </c>
      <c r="G46" s="367"/>
      <c r="H46" s="175" t="s">
        <v>160</v>
      </c>
      <c r="I46" s="368" t="s">
        <v>161</v>
      </c>
      <c r="J46" s="367" t="s">
        <v>44</v>
      </c>
      <c r="K46" s="906" t="s">
        <v>207</v>
      </c>
      <c r="L46" s="907"/>
    </row>
    <row r="47" spans="1:35" x14ac:dyDescent="0.3">
      <c r="B47" s="485" t="s">
        <v>31</v>
      </c>
      <c r="C47" s="582">
        <f>C19</f>
        <v>14245</v>
      </c>
      <c r="D47" s="582">
        <f>O19</f>
        <v>891.31369100732979</v>
      </c>
      <c r="E47" s="533">
        <f>D47/C47</f>
        <v>6.2570283678998237E-2</v>
      </c>
      <c r="G47" s="603" t="s">
        <v>31</v>
      </c>
      <c r="H47" s="604">
        <f>D47*K47</f>
        <v>106.95764292087956</v>
      </c>
      <c r="I47" s="605">
        <v>0</v>
      </c>
      <c r="J47" s="734">
        <f>I47+H47</f>
        <v>106.95764292087956</v>
      </c>
      <c r="K47" s="735">
        <v>0.12</v>
      </c>
      <c r="L47" s="731" t="s">
        <v>31</v>
      </c>
    </row>
    <row r="48" spans="1:35" x14ac:dyDescent="0.3">
      <c r="B48" s="485" t="s">
        <v>62</v>
      </c>
      <c r="C48" s="582">
        <f>D19</f>
        <v>14155</v>
      </c>
      <c r="D48" s="582">
        <f>P19</f>
        <v>1014.8223565070846</v>
      </c>
      <c r="E48" s="533">
        <f>D48/C48</f>
        <v>7.169356103900279E-2</v>
      </c>
      <c r="G48" s="603" t="s">
        <v>62</v>
      </c>
      <c r="H48" s="604">
        <f>D48*K48</f>
        <v>202.96447130141692</v>
      </c>
      <c r="I48" s="605">
        <v>0</v>
      </c>
      <c r="J48" s="734">
        <f>I48+H48</f>
        <v>202.96447130141692</v>
      </c>
      <c r="K48" s="735">
        <v>0.2</v>
      </c>
      <c r="L48" s="731" t="s">
        <v>62</v>
      </c>
    </row>
    <row r="49" spans="2:17" x14ac:dyDescent="0.3">
      <c r="B49" s="485" t="s">
        <v>32</v>
      </c>
      <c r="C49" s="582">
        <f>E19</f>
        <v>3882</v>
      </c>
      <c r="D49" s="582">
        <f>Q19</f>
        <v>289.28954242132215</v>
      </c>
      <c r="E49" s="533">
        <f>D49/C49</f>
        <v>7.4520747661340064E-2</v>
      </c>
      <c r="G49" s="603" t="s">
        <v>32</v>
      </c>
      <c r="H49" s="604">
        <f>D49*K49</f>
        <v>37.60764051477188</v>
      </c>
      <c r="I49" s="605">
        <v>0</v>
      </c>
      <c r="J49" s="738">
        <f>I49+H49</f>
        <v>37.60764051477188</v>
      </c>
      <c r="K49" s="735">
        <v>0.13</v>
      </c>
      <c r="L49" s="731" t="s">
        <v>32</v>
      </c>
    </row>
    <row r="50" spans="2:17" ht="13.5" thickBot="1" x14ac:dyDescent="0.35">
      <c r="B50" s="485" t="s">
        <v>203</v>
      </c>
      <c r="C50" s="582">
        <f>F19</f>
        <v>10002</v>
      </c>
      <c r="D50" s="582">
        <f>R19</f>
        <v>180.88501018419845</v>
      </c>
      <c r="E50" s="533">
        <f>D50/C50</f>
        <v>1.8084884041611522E-2</v>
      </c>
      <c r="G50" s="603" t="s">
        <v>203</v>
      </c>
      <c r="H50" s="604">
        <f>D50*K50</f>
        <v>19.897351120261831</v>
      </c>
      <c r="I50" s="561">
        <v>0</v>
      </c>
      <c r="J50" s="734">
        <f>I50+H50</f>
        <v>19.897351120261831</v>
      </c>
      <c r="K50" s="736">
        <v>0.11</v>
      </c>
      <c r="L50" s="733" t="s">
        <v>203</v>
      </c>
    </row>
    <row r="51" spans="2:17" x14ac:dyDescent="0.3">
      <c r="B51" s="610" t="s">
        <v>61</v>
      </c>
      <c r="C51" s="611">
        <f>SUM(C47:C50)</f>
        <v>42284</v>
      </c>
      <c r="D51" s="611">
        <f>SUM(D47:D50)</f>
        <v>2376.3106001199349</v>
      </c>
      <c r="E51" s="612">
        <f>D51/C51</f>
        <v>5.6198812792544101E-2</v>
      </c>
      <c r="F51" s="34"/>
      <c r="G51" s="361" t="s">
        <v>61</v>
      </c>
      <c r="H51" s="739">
        <f>SUM(H47:H50)</f>
        <v>367.42710585733022</v>
      </c>
      <c r="I51" s="740">
        <f>SUM(I47:I50)</f>
        <v>0</v>
      </c>
      <c r="J51" s="741">
        <f>I51+H51</f>
        <v>367.42710585733022</v>
      </c>
    </row>
    <row r="52" spans="2:17" ht="13.5" thickBot="1" x14ac:dyDescent="0.35">
      <c r="C52" s="591"/>
      <c r="D52" s="591"/>
      <c r="E52" s="617"/>
      <c r="F52" s="34"/>
      <c r="G52" s="603"/>
      <c r="H52" s="618"/>
      <c r="I52" s="618"/>
      <c r="J52" s="619"/>
      <c r="K52" s="468"/>
      <c r="L52" s="515"/>
    </row>
    <row r="53" spans="2:17" x14ac:dyDescent="0.3">
      <c r="B53" s="484" t="s">
        <v>123</v>
      </c>
      <c r="C53" s="600" t="s">
        <v>44</v>
      </c>
      <c r="D53" s="600" t="s">
        <v>55</v>
      </c>
      <c r="E53" s="601" t="s">
        <v>56</v>
      </c>
      <c r="F53" s="34"/>
      <c r="G53" s="363" t="s">
        <v>123</v>
      </c>
      <c r="H53" s="620" t="s">
        <v>160</v>
      </c>
      <c r="I53" s="562" t="s">
        <v>161</v>
      </c>
      <c r="J53" s="728" t="s">
        <v>44</v>
      </c>
      <c r="K53" s="906" t="s">
        <v>270</v>
      </c>
      <c r="L53" s="907"/>
      <c r="M53" s="909" t="s">
        <v>320</v>
      </c>
      <c r="N53" s="910"/>
      <c r="O53" s="910"/>
      <c r="P53" s="910"/>
      <c r="Q53" s="910"/>
    </row>
    <row r="54" spans="2:17" x14ac:dyDescent="0.3">
      <c r="B54" s="485">
        <v>1</v>
      </c>
      <c r="C54" s="582">
        <f>C41</f>
        <v>626</v>
      </c>
      <c r="D54" s="582">
        <f>U41</f>
        <v>29.699016772700986</v>
      </c>
      <c r="E54" s="533">
        <f t="shared" ref="E54:E59" si="15">D54/C54</f>
        <v>4.7442518806231605E-2</v>
      </c>
      <c r="G54" s="603">
        <v>1</v>
      </c>
      <c r="H54" s="622">
        <f>SUM(U25:U30)*$K$54+U31*$K$55+U32*$K$56+U33*$K$57+U34*$K$57+U35*$K$58+SUM(U36:U40)*$K$59</f>
        <v>6.9142857142857146</v>
      </c>
      <c r="I54" s="622">
        <f>U31*$K$55+U32*$K$56+U33*$K$57+U34*$K$57+U35*$K$58+SUM(U36:U40)</f>
        <v>22.784731058415268</v>
      </c>
      <c r="J54" s="729">
        <f>I54+H54</f>
        <v>29.699016772700983</v>
      </c>
      <c r="K54" s="730">
        <v>1</v>
      </c>
      <c r="L54" s="731" t="s">
        <v>206</v>
      </c>
      <c r="M54" s="909"/>
      <c r="N54" s="910"/>
      <c r="O54" s="910"/>
      <c r="P54" s="910"/>
      <c r="Q54" s="910"/>
    </row>
    <row r="55" spans="2:17" x14ac:dyDescent="0.3">
      <c r="B55" s="485">
        <v>2</v>
      </c>
      <c r="C55" s="582">
        <f>D41</f>
        <v>4389</v>
      </c>
      <c r="D55" s="582">
        <f>V41</f>
        <v>479.55903533918399</v>
      </c>
      <c r="E55" s="533">
        <f t="shared" si="15"/>
        <v>0.10926384947349829</v>
      </c>
      <c r="G55" s="603">
        <v>2</v>
      </c>
      <c r="H55" s="622">
        <f>SUM(V25:V30)*$K$54+V31*$K$55+V32*$K$56+V33*$K$57+V34*$K$57+V35*$K$58+SUM(V36:V40)*$K$59</f>
        <v>75.532697127433963</v>
      </c>
      <c r="I55" s="622">
        <f>V31*$K$55+V32*$K$56+V33*$K$57+V34*$K$57+V35*$K$58+SUM(V36:V40)</f>
        <v>404.02633821175004</v>
      </c>
      <c r="J55" s="729">
        <f>I55+H55</f>
        <v>479.55903533918399</v>
      </c>
      <c r="K55" s="730">
        <v>0.5</v>
      </c>
      <c r="L55" s="731" t="s">
        <v>204</v>
      </c>
      <c r="M55" s="909"/>
      <c r="N55" s="910"/>
      <c r="O55" s="910"/>
      <c r="P55" s="910"/>
      <c r="Q55" s="910"/>
    </row>
    <row r="56" spans="2:17" x14ac:dyDescent="0.3">
      <c r="B56" s="485">
        <v>3</v>
      </c>
      <c r="C56" s="582">
        <f>E41</f>
        <v>2026</v>
      </c>
      <c r="D56" s="582">
        <f>W41</f>
        <v>150.51626406018448</v>
      </c>
      <c r="E56" s="533">
        <f t="shared" si="15"/>
        <v>7.429233171776134E-2</v>
      </c>
      <c r="G56" s="603">
        <v>3</v>
      </c>
      <c r="H56" s="622">
        <f>SUM(W25:W30)*$K$54+W31*$K$55+W32*$K$56+W33*$K$57+W34*$K$57+W35*$K$58+SUM(W36:W40)*$K$59</f>
        <v>11.182045073570498</v>
      </c>
      <c r="I56" s="622">
        <f>W31*$K$55+W32*$K$56+W33*$K$57+W34*$K$57+W35*$K$58+SUM(W36:W40)</f>
        <v>139.33421898661399</v>
      </c>
      <c r="J56" s="729">
        <f>I56+H56</f>
        <v>150.51626406018448</v>
      </c>
      <c r="K56" s="730">
        <v>0.5</v>
      </c>
      <c r="L56" s="731" t="s">
        <v>175</v>
      </c>
      <c r="M56" s="909"/>
      <c r="N56" s="910"/>
      <c r="O56" s="910"/>
      <c r="P56" s="910"/>
      <c r="Q56" s="910"/>
    </row>
    <row r="57" spans="2:17" x14ac:dyDescent="0.3">
      <c r="B57" s="485">
        <v>4</v>
      </c>
      <c r="C57" s="582">
        <f>G41</f>
        <v>1907</v>
      </c>
      <c r="D57" s="582">
        <f>Y41</f>
        <v>795.56012033639934</v>
      </c>
      <c r="E57" s="533">
        <f t="shared" si="15"/>
        <v>0.41717887799496556</v>
      </c>
      <c r="G57" s="603">
        <v>4</v>
      </c>
      <c r="H57" s="622">
        <f>SUM(Y25:Y30)*$K$54+Y31*$K$55+Y32*$K$56+Y33*$K$57+Y34*$K$57+Y35*$K$58+SUM(Y36:Y40)*$K$59</f>
        <v>470.25016291051287</v>
      </c>
      <c r="I57" s="622">
        <f>Y31*$K$55+Y32*$K$56+Y33*$K$57+Y34*$K$57+Y35*$K$58+SUM(Y36:Y40)</f>
        <v>325.30995742588641</v>
      </c>
      <c r="J57" s="729">
        <f>I57+H57</f>
        <v>795.56012033639922</v>
      </c>
      <c r="K57" s="730">
        <v>0.5</v>
      </c>
      <c r="L57" s="731" t="s">
        <v>172</v>
      </c>
      <c r="M57" s="909"/>
      <c r="N57" s="910"/>
      <c r="O57" s="910"/>
      <c r="P57" s="910"/>
      <c r="Q57" s="910"/>
    </row>
    <row r="58" spans="2:17" x14ac:dyDescent="0.3">
      <c r="B58" s="564">
        <v>5</v>
      </c>
      <c r="C58" s="587">
        <f>H41</f>
        <v>819</v>
      </c>
      <c r="D58" s="587">
        <f>Z41</f>
        <v>283.23872172744797</v>
      </c>
      <c r="E58" s="535">
        <f t="shared" si="15"/>
        <v>0.34583482506403901</v>
      </c>
      <c r="G58" s="367">
        <v>5</v>
      </c>
      <c r="H58" s="622">
        <f>SUM(Z25:Z30)*$K$54+Z31*$K$55+Z32*$K$56+Z33*$K$57+Z34*$K$57+Z35*$K$58+SUM(Z36:Z40)*$K$59</f>
        <v>168.47386867475353</v>
      </c>
      <c r="I58" s="622">
        <f>Z31*$K$55+Z32*$K$56+Z33*$K$57+Z34*$K$57+Z35*$K$58+SUM(Z36:Z40)</f>
        <v>114.76485305269443</v>
      </c>
      <c r="J58" s="729">
        <f>I58+H58</f>
        <v>283.23872172744797</v>
      </c>
      <c r="K58" s="730">
        <v>0.5</v>
      </c>
      <c r="L58" s="731" t="s">
        <v>176</v>
      </c>
      <c r="M58" s="909"/>
      <c r="N58" s="910"/>
      <c r="O58" s="910"/>
      <c r="P58" s="910"/>
      <c r="Q58" s="910"/>
    </row>
    <row r="59" spans="2:17" ht="13.5" thickBot="1" x14ac:dyDescent="0.35">
      <c r="B59" s="547" t="s">
        <v>60</v>
      </c>
      <c r="C59" s="624">
        <f>SUM(C54:C58)</f>
        <v>9767</v>
      </c>
      <c r="D59" s="624">
        <f>SUM(D54:D58)</f>
        <v>1738.5731582359167</v>
      </c>
      <c r="E59" s="625">
        <f t="shared" si="15"/>
        <v>0.17800482832352993</v>
      </c>
      <c r="G59" s="361" t="s">
        <v>60</v>
      </c>
      <c r="H59" s="740">
        <f>SUM(H54:H58)</f>
        <v>732.35305950055658</v>
      </c>
      <c r="I59" s="615">
        <f>SUM(I54:I58)</f>
        <v>1006.2200987353601</v>
      </c>
      <c r="J59" s="614">
        <f>SUM(J54:J58)</f>
        <v>1738.5731582359165</v>
      </c>
      <c r="K59" s="732">
        <v>0</v>
      </c>
      <c r="L59" s="733" t="s">
        <v>205</v>
      </c>
      <c r="M59" s="909"/>
      <c r="N59" s="910"/>
      <c r="O59" s="910"/>
      <c r="P59" s="910"/>
      <c r="Q59" s="910"/>
    </row>
    <row r="60" spans="2:17" x14ac:dyDescent="0.3">
      <c r="B60" s="33"/>
      <c r="C60" s="626"/>
      <c r="D60" s="626"/>
      <c r="E60" s="598"/>
      <c r="G60" s="627"/>
      <c r="H60" s="607"/>
      <c r="I60" s="628"/>
      <c r="J60" s="628"/>
    </row>
    <row r="61" spans="2:17" ht="15.5" x14ac:dyDescent="0.35">
      <c r="B61" s="33"/>
      <c r="G61" s="629" t="s">
        <v>44</v>
      </c>
      <c r="H61" s="630">
        <f>H59+H51</f>
        <v>1099.7801653578867</v>
      </c>
      <c r="I61" s="630">
        <f>I59+I51</f>
        <v>1006.2200987353601</v>
      </c>
      <c r="J61" s="631">
        <f>I61+H61</f>
        <v>2106.0002640932471</v>
      </c>
    </row>
    <row r="62" spans="2:17" x14ac:dyDescent="0.3">
      <c r="B62" s="610" t="s">
        <v>69</v>
      </c>
      <c r="C62" s="632">
        <f>C51+C59</f>
        <v>52051</v>
      </c>
      <c r="D62" s="632">
        <f>D51+D59</f>
        <v>4114.8837583558516</v>
      </c>
      <c r="E62" s="612">
        <f>D62/C62</f>
        <v>7.905484540846193E-2</v>
      </c>
      <c r="G62" s="908" t="s">
        <v>210</v>
      </c>
      <c r="H62" s="908"/>
      <c r="I62" s="908"/>
      <c r="J62" s="908"/>
    </row>
    <row r="63" spans="2:17" ht="12.5" x14ac:dyDescent="0.25">
      <c r="B63" s="33"/>
      <c r="D63" s="633"/>
      <c r="E63" s="622"/>
      <c r="H63" s="597"/>
      <c r="L63" s="633"/>
    </row>
    <row r="64" spans="2:17" x14ac:dyDescent="0.3">
      <c r="B64" s="903" t="s">
        <v>208</v>
      </c>
      <c r="C64" s="904"/>
      <c r="D64" s="904"/>
      <c r="E64" s="905"/>
      <c r="L64" s="633"/>
    </row>
    <row r="65" spans="2:12" x14ac:dyDescent="0.3">
      <c r="B65" s="603" t="s">
        <v>258</v>
      </c>
      <c r="C65" s="165" t="s">
        <v>160</v>
      </c>
      <c r="D65" s="634" t="s">
        <v>161</v>
      </c>
      <c r="E65" s="369" t="s">
        <v>44</v>
      </c>
      <c r="L65" s="633"/>
    </row>
    <row r="66" spans="2:12" ht="12.5" x14ac:dyDescent="0.25">
      <c r="B66" s="485" t="s">
        <v>31</v>
      </c>
      <c r="C66" s="582">
        <f>C19</f>
        <v>14245</v>
      </c>
      <c r="D66" s="561">
        <v>0</v>
      </c>
      <c r="E66" s="496">
        <f>D66+C66</f>
        <v>14245</v>
      </c>
    </row>
    <row r="67" spans="2:12" ht="12.5" x14ac:dyDescent="0.25">
      <c r="B67" s="485" t="s">
        <v>62</v>
      </c>
      <c r="C67" s="582">
        <f>D19</f>
        <v>14155</v>
      </c>
      <c r="D67" s="605">
        <v>0</v>
      </c>
      <c r="E67" s="496">
        <f>D67+C67</f>
        <v>14155</v>
      </c>
      <c r="K67" s="633"/>
      <c r="L67" s="622"/>
    </row>
    <row r="68" spans="2:12" ht="12.5" x14ac:dyDescent="0.25">
      <c r="B68" s="485" t="s">
        <v>32</v>
      </c>
      <c r="C68" s="582">
        <f>E19</f>
        <v>3882</v>
      </c>
      <c r="D68" s="605">
        <v>0</v>
      </c>
      <c r="E68" s="496">
        <f>D68+C68</f>
        <v>3882</v>
      </c>
      <c r="L68" s="622"/>
    </row>
    <row r="69" spans="2:12" ht="12.5" x14ac:dyDescent="0.25">
      <c r="B69" s="485" t="s">
        <v>203</v>
      </c>
      <c r="C69" s="582">
        <f>F19</f>
        <v>10002</v>
      </c>
      <c r="D69" s="608">
        <v>0</v>
      </c>
      <c r="E69" s="496">
        <f>D69+C69</f>
        <v>10002</v>
      </c>
    </row>
    <row r="70" spans="2:12" x14ac:dyDescent="0.3">
      <c r="B70" s="635" t="s">
        <v>61</v>
      </c>
      <c r="C70" s="636">
        <f>SUM(C66:C69)</f>
        <v>42284</v>
      </c>
      <c r="D70" s="636">
        <f>SUM(D66:D69)</f>
        <v>0</v>
      </c>
      <c r="E70" s="637">
        <f>SUM(E66:E69)</f>
        <v>42284</v>
      </c>
    </row>
    <row r="71" spans="2:12" x14ac:dyDescent="0.3">
      <c r="B71" s="603" t="s">
        <v>123</v>
      </c>
      <c r="C71" s="165" t="s">
        <v>160</v>
      </c>
      <c r="D71" s="634" t="s">
        <v>161</v>
      </c>
      <c r="E71" s="369" t="s">
        <v>44</v>
      </c>
    </row>
    <row r="72" spans="2:12" ht="12.5" x14ac:dyDescent="0.25">
      <c r="B72" s="602">
        <v>1</v>
      </c>
      <c r="C72" s="638">
        <f>SUM(C25:C30)*$K$54+C31*$K$55+C32*$K$56+C34*$K$57+C35*$K$58</f>
        <v>219.5</v>
      </c>
      <c r="D72" s="639">
        <f>C31*$K$55+C32*$K$56+C34*$K$57+C35*$K$58+SUM(C36:C40)</f>
        <v>398.5</v>
      </c>
      <c r="E72" s="648">
        <f>D72+C72</f>
        <v>618</v>
      </c>
    </row>
    <row r="73" spans="2:12" ht="12.5" x14ac:dyDescent="0.25">
      <c r="B73" s="602">
        <v>2</v>
      </c>
      <c r="C73" s="597">
        <f>SUM(D25:D30)*$K$54+D31*$K$55+D32*$K$56+D34*$K$57+D35*$K$58</f>
        <v>1317</v>
      </c>
      <c r="D73" s="597">
        <f>D31*$K$55+D32*$K$56+D34*$K$57+D35*$K$58+SUM(D36:D40)</f>
        <v>3060</v>
      </c>
      <c r="E73" s="648">
        <f>D73+C73</f>
        <v>4377</v>
      </c>
    </row>
    <row r="74" spans="2:12" ht="12.5" x14ac:dyDescent="0.25">
      <c r="B74" s="602">
        <v>3</v>
      </c>
      <c r="C74" s="597">
        <f>SUM(E25:E30)*$K$54+E31*$K$55+E32*$K$56+E34*$K$57+E35*$K$58</f>
        <v>625.5</v>
      </c>
      <c r="D74" s="597">
        <f>E31*$K$55+E32*$K$56+E34*$K$57+E35*$K$58+SUM(E36:E40)</f>
        <v>1361.5</v>
      </c>
      <c r="E74" s="648">
        <f>D74+C74</f>
        <v>1987</v>
      </c>
    </row>
    <row r="75" spans="2:12" ht="12.5" x14ac:dyDescent="0.25">
      <c r="B75" s="602">
        <v>4</v>
      </c>
      <c r="C75" s="597">
        <f>SUM(G25:G30)*$K$54+G31*$K$55+G32*$K$56+G34*$K$57+G35*$K$58</f>
        <v>925.5</v>
      </c>
      <c r="D75" s="597">
        <f>G31*$K$55+G32*$K$56+G34*$K$57+G35*$K$58+SUM(G36:G40)</f>
        <v>771.5</v>
      </c>
      <c r="E75" s="648">
        <f>D75+C75</f>
        <v>1697</v>
      </c>
    </row>
    <row r="76" spans="2:12" ht="12.5" x14ac:dyDescent="0.25">
      <c r="B76" s="627">
        <v>5</v>
      </c>
      <c r="C76" s="597">
        <f>SUM(H25:H30)*$K$54+H31*$K$55+H32*$K$56+H34*$K$57+H35*$K$58</f>
        <v>357</v>
      </c>
      <c r="D76" s="597">
        <f>H31*$K$55+H32*$K$56+H34*$K$57+H35*$K$58+SUM(H36:H40)</f>
        <v>330</v>
      </c>
      <c r="E76" s="648">
        <f>D76+C76</f>
        <v>687</v>
      </c>
    </row>
    <row r="77" spans="2:12" x14ac:dyDescent="0.3">
      <c r="B77" s="635" t="s">
        <v>60</v>
      </c>
      <c r="C77" s="649">
        <f>SUM(C72:C76)</f>
        <v>3444.5</v>
      </c>
      <c r="D77" s="649">
        <f>SUM(D72:D76)</f>
        <v>5921.5</v>
      </c>
      <c r="E77" s="650">
        <f>SUM(E72:E76)</f>
        <v>9366</v>
      </c>
    </row>
    <row r="78" spans="2:12" x14ac:dyDescent="0.3">
      <c r="B78" s="367" t="s">
        <v>44</v>
      </c>
      <c r="C78" s="651">
        <f>C77+C70</f>
        <v>45728.5</v>
      </c>
      <c r="D78" s="652">
        <f>D77+D70</f>
        <v>5921.5</v>
      </c>
      <c r="E78" s="653">
        <f>D78+C78</f>
        <v>51650</v>
      </c>
    </row>
  </sheetData>
  <mergeCells count="13">
    <mergeCell ref="K53:L53"/>
    <mergeCell ref="G62:J62"/>
    <mergeCell ref="B64:E64"/>
    <mergeCell ref="C3:F3"/>
    <mergeCell ref="G3:J3"/>
    <mergeCell ref="K3:N3"/>
    <mergeCell ref="M53:Q59"/>
    <mergeCell ref="O3:R3"/>
    <mergeCell ref="C23:J23"/>
    <mergeCell ref="K23:O23"/>
    <mergeCell ref="P23:T23"/>
    <mergeCell ref="G45:J45"/>
    <mergeCell ref="K46:L46"/>
  </mergeCells>
  <conditionalFormatting sqref="K5:N18">
    <cfRule type="cellIs" dxfId="11" priority="5" operator="equal">
      <formula>"na"</formula>
    </cfRule>
    <cfRule type="cellIs" dxfId="10" priority="6" operator="greaterThan">
      <formula>1</formula>
    </cfRule>
    <cfRule type="cellIs" dxfId="9" priority="7" operator="lessThan">
      <formula>0.2</formula>
    </cfRule>
    <cfRule type="cellIs" dxfId="8" priority="13" stopIfTrue="1" operator="equal">
      <formula>0</formula>
    </cfRule>
  </conditionalFormatting>
  <conditionalFormatting sqref="P25:T36 P38:T40">
    <cfRule type="cellIs" dxfId="7" priority="8" stopIfTrue="1" operator="equal">
      <formula>"na"</formula>
    </cfRule>
    <cfRule type="cellIs" dxfId="6" priority="9" operator="greaterThan">
      <formula>1</formula>
    </cfRule>
    <cfRule type="cellIs" dxfId="5" priority="10" operator="lessThan">
      <formula>0.2</formula>
    </cfRule>
    <cfRule type="cellIs" dxfId="4" priority="11" stopIfTrue="1" operator="equal">
      <formula>0</formula>
    </cfRule>
  </conditionalFormatting>
  <conditionalFormatting sqref="P37:T37">
    <cfRule type="cellIs" dxfId="3" priority="1" stopIfTrue="1" operator="equal">
      <formula>"na"</formula>
    </cfRule>
    <cfRule type="cellIs" dxfId="2" priority="2" operator="greaterThan">
      <formula>1</formula>
    </cfRule>
    <cfRule type="cellIs" dxfId="1" priority="3" operator="lessThan">
      <formula>0.2</formula>
    </cfRule>
    <cfRule type="cellIs" dxfId="0" priority="4" stopIfTrue="1" operator="equal">
      <formula>0</formula>
    </cfRule>
  </conditionalFormatting>
  <pageMargins left="0.75" right="0.75" top="1" bottom="1" header="0.5" footer="0.5"/>
  <pageSetup scale="49" orientation="landscape" r:id="rId1"/>
  <headerFooter alignWithMargins="0"/>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S42"/>
  <sheetViews>
    <sheetView workbookViewId="0">
      <pane xSplit="2" topLeftCell="C1" activePane="topRight" state="frozen"/>
      <selection activeCell="I30" sqref="I30"/>
      <selection pane="topRight" activeCell="I30" sqref="I30"/>
    </sheetView>
  </sheetViews>
  <sheetFormatPr defaultRowHeight="12.5" x14ac:dyDescent="0.25"/>
  <cols>
    <col min="1" max="1" width="20.7265625" bestFit="1" customWidth="1"/>
    <col min="2" max="2" width="5.81640625" bestFit="1" customWidth="1"/>
    <col min="3" max="3" width="11.1796875" bestFit="1" customWidth="1"/>
    <col min="4" max="4" width="9.453125" bestFit="1" customWidth="1"/>
    <col min="5" max="5" width="7.453125" bestFit="1" customWidth="1"/>
    <col min="6" max="6" width="7.1796875" bestFit="1" customWidth="1"/>
    <col min="7" max="7" width="11.1796875" bestFit="1" customWidth="1"/>
    <col min="8" max="8" width="9.453125" bestFit="1" customWidth="1"/>
    <col min="9" max="9" width="7.453125" bestFit="1" customWidth="1"/>
    <col min="10" max="10" width="7.1796875" bestFit="1" customWidth="1"/>
    <col min="11" max="11" width="11.1796875" bestFit="1" customWidth="1"/>
    <col min="12" max="12" width="9.453125" bestFit="1" customWidth="1"/>
    <col min="13" max="14" width="8.26953125" customWidth="1"/>
    <col min="15" max="15" width="7" bestFit="1" customWidth="1"/>
    <col min="16" max="17" width="8.26953125" bestFit="1" customWidth="1"/>
  </cols>
  <sheetData>
    <row r="2" spans="2:14" ht="13" x14ac:dyDescent="0.3">
      <c r="C2" s="2" t="s">
        <v>325</v>
      </c>
    </row>
    <row r="3" spans="2:14" x14ac:dyDescent="0.25">
      <c r="C3" s="900" t="s">
        <v>265</v>
      </c>
      <c r="D3" s="901"/>
      <c r="E3" s="901"/>
      <c r="F3" s="902"/>
      <c r="G3" s="900" t="s">
        <v>266</v>
      </c>
      <c r="H3" s="901"/>
      <c r="I3" s="901"/>
      <c r="J3" s="902"/>
      <c r="K3" s="900" t="s">
        <v>267</v>
      </c>
      <c r="L3" s="901"/>
      <c r="M3" s="901"/>
      <c r="N3" s="902"/>
    </row>
    <row r="4" spans="2:14" x14ac:dyDescent="0.25">
      <c r="B4" t="s">
        <v>134</v>
      </c>
      <c r="C4" s="274" t="s">
        <v>31</v>
      </c>
      <c r="D4" s="42" t="s">
        <v>62</v>
      </c>
      <c r="E4" s="42" t="s">
        <v>260</v>
      </c>
      <c r="F4" s="134" t="s">
        <v>203</v>
      </c>
      <c r="G4" s="274" t="s">
        <v>31</v>
      </c>
      <c r="H4" s="42" t="s">
        <v>62</v>
      </c>
      <c r="I4" s="42" t="s">
        <v>260</v>
      </c>
      <c r="J4" s="134" t="s">
        <v>203</v>
      </c>
      <c r="K4" s="274" t="s">
        <v>31</v>
      </c>
      <c r="L4" s="42" t="s">
        <v>62</v>
      </c>
      <c r="M4" s="42" t="s">
        <v>260</v>
      </c>
      <c r="N4" s="134" t="s">
        <v>203</v>
      </c>
    </row>
    <row r="5" spans="2:14" x14ac:dyDescent="0.25">
      <c r="B5">
        <v>32</v>
      </c>
      <c r="C5" s="711">
        <v>0</v>
      </c>
      <c r="D5" s="704"/>
      <c r="E5" s="704"/>
      <c r="F5" s="727"/>
      <c r="G5" s="711">
        <v>0</v>
      </c>
      <c r="H5" s="704"/>
      <c r="I5" s="704"/>
      <c r="J5" s="704"/>
      <c r="K5" s="521" t="str">
        <f t="shared" ref="K5:N18" si="0">IF(C5&gt;0,G5/C5,"na")</f>
        <v>na</v>
      </c>
      <c r="L5" s="522" t="str">
        <f t="shared" si="0"/>
        <v>na</v>
      </c>
      <c r="M5" s="522" t="str">
        <f t="shared" si="0"/>
        <v>na</v>
      </c>
      <c r="N5" s="523" t="str">
        <f t="shared" si="0"/>
        <v>na</v>
      </c>
    </row>
    <row r="6" spans="2:14" x14ac:dyDescent="0.25">
      <c r="B6">
        <v>33</v>
      </c>
      <c r="C6" s="711">
        <v>2</v>
      </c>
      <c r="D6" s="704"/>
      <c r="E6" s="704"/>
      <c r="F6" s="725"/>
      <c r="G6" s="711">
        <v>0</v>
      </c>
      <c r="H6" s="704"/>
      <c r="I6" s="704"/>
      <c r="J6" s="704"/>
      <c r="K6" s="524">
        <f t="shared" si="0"/>
        <v>0</v>
      </c>
      <c r="L6" s="525" t="str">
        <f t="shared" si="0"/>
        <v>na</v>
      </c>
      <c r="M6" s="525" t="str">
        <f t="shared" si="0"/>
        <v>na</v>
      </c>
      <c r="N6" s="526" t="str">
        <f t="shared" si="0"/>
        <v>na</v>
      </c>
    </row>
    <row r="7" spans="2:14" x14ac:dyDescent="0.25">
      <c r="B7">
        <v>34</v>
      </c>
      <c r="C7" s="711">
        <v>46</v>
      </c>
      <c r="D7" s="704"/>
      <c r="E7" s="704"/>
      <c r="F7" s="725"/>
      <c r="G7" s="711">
        <v>3</v>
      </c>
      <c r="H7" s="704"/>
      <c r="I7" s="704"/>
      <c r="J7" s="704"/>
      <c r="K7" s="524">
        <f t="shared" si="0"/>
        <v>6.5217391304347824E-2</v>
      </c>
      <c r="L7" s="525" t="str">
        <f t="shared" si="0"/>
        <v>na</v>
      </c>
      <c r="M7" s="525" t="str">
        <f t="shared" si="0"/>
        <v>na</v>
      </c>
      <c r="N7" s="526" t="str">
        <f t="shared" si="0"/>
        <v>na</v>
      </c>
    </row>
    <row r="8" spans="2:14" x14ac:dyDescent="0.25">
      <c r="B8">
        <v>35</v>
      </c>
      <c r="C8" s="711">
        <v>242</v>
      </c>
      <c r="D8" s="711">
        <v>195</v>
      </c>
      <c r="E8" s="711">
        <v>19</v>
      </c>
      <c r="F8" s="712">
        <v>342</v>
      </c>
      <c r="G8" s="711">
        <v>16</v>
      </c>
      <c r="H8" s="711">
        <v>15</v>
      </c>
      <c r="I8" s="711">
        <v>1</v>
      </c>
      <c r="J8" s="711">
        <v>8</v>
      </c>
      <c r="K8" s="524">
        <f t="shared" si="0"/>
        <v>6.6115702479338845E-2</v>
      </c>
      <c r="L8" s="525">
        <f t="shared" si="0"/>
        <v>7.6923076923076927E-2</v>
      </c>
      <c r="M8" s="525">
        <f t="shared" si="0"/>
        <v>5.2631578947368418E-2</v>
      </c>
      <c r="N8" s="526">
        <f t="shared" si="0"/>
        <v>2.3391812865497075E-2</v>
      </c>
    </row>
    <row r="9" spans="2:14" x14ac:dyDescent="0.25">
      <c r="B9">
        <v>36</v>
      </c>
      <c r="C9" s="711">
        <v>1058</v>
      </c>
      <c r="D9" s="711">
        <v>1176</v>
      </c>
      <c r="E9" s="711">
        <v>61</v>
      </c>
      <c r="F9" s="712">
        <v>426</v>
      </c>
      <c r="G9" s="711">
        <v>58</v>
      </c>
      <c r="H9" s="711">
        <v>119</v>
      </c>
      <c r="I9" s="711">
        <v>7</v>
      </c>
      <c r="J9" s="711">
        <v>14</v>
      </c>
      <c r="K9" s="524">
        <f t="shared" si="0"/>
        <v>5.4820415879017016E-2</v>
      </c>
      <c r="L9" s="525">
        <f t="shared" si="0"/>
        <v>0.10119047619047619</v>
      </c>
      <c r="M9" s="525">
        <f t="shared" si="0"/>
        <v>0.11475409836065574</v>
      </c>
      <c r="N9" s="526">
        <f t="shared" si="0"/>
        <v>3.2863849765258218E-2</v>
      </c>
    </row>
    <row r="10" spans="2:14" x14ac:dyDescent="0.25">
      <c r="B10">
        <v>37</v>
      </c>
      <c r="C10" s="711">
        <v>206</v>
      </c>
      <c r="D10" s="711">
        <v>190</v>
      </c>
      <c r="E10" s="711">
        <v>211</v>
      </c>
      <c r="F10" s="712">
        <v>849</v>
      </c>
      <c r="G10" s="711">
        <v>13</v>
      </c>
      <c r="H10" s="711">
        <v>16</v>
      </c>
      <c r="I10" s="711">
        <v>15</v>
      </c>
      <c r="J10" s="711">
        <v>16</v>
      </c>
      <c r="K10" s="524">
        <f t="shared" si="0"/>
        <v>6.3106796116504854E-2</v>
      </c>
      <c r="L10" s="525">
        <f t="shared" si="0"/>
        <v>8.4210526315789472E-2</v>
      </c>
      <c r="M10" s="525">
        <f t="shared" si="0"/>
        <v>7.1090047393364927E-2</v>
      </c>
      <c r="N10" s="526">
        <f t="shared" si="0"/>
        <v>1.884570082449941E-2</v>
      </c>
    </row>
    <row r="11" spans="2:14" x14ac:dyDescent="0.25">
      <c r="B11">
        <v>38</v>
      </c>
      <c r="C11" s="711">
        <v>295</v>
      </c>
      <c r="D11" s="711">
        <v>890</v>
      </c>
      <c r="E11" s="711">
        <v>266</v>
      </c>
      <c r="F11" s="712">
        <v>1398</v>
      </c>
      <c r="G11" s="711">
        <v>17</v>
      </c>
      <c r="H11" s="711">
        <v>55</v>
      </c>
      <c r="I11" s="711">
        <v>29</v>
      </c>
      <c r="J11" s="711">
        <v>21</v>
      </c>
      <c r="K11" s="524">
        <f t="shared" si="0"/>
        <v>5.7627118644067797E-2</v>
      </c>
      <c r="L11" s="525">
        <f t="shared" si="0"/>
        <v>6.1797752808988762E-2</v>
      </c>
      <c r="M11" s="525">
        <f t="shared" si="0"/>
        <v>0.10902255639097744</v>
      </c>
      <c r="N11" s="526">
        <f t="shared" si="0"/>
        <v>1.5021459227467811E-2</v>
      </c>
    </row>
    <row r="12" spans="2:14" x14ac:dyDescent="0.25">
      <c r="B12">
        <v>39</v>
      </c>
      <c r="C12" s="711">
        <v>314</v>
      </c>
      <c r="D12" s="711">
        <v>356</v>
      </c>
      <c r="E12" s="711">
        <v>307</v>
      </c>
      <c r="F12" s="712">
        <v>1638</v>
      </c>
      <c r="G12" s="711">
        <v>26</v>
      </c>
      <c r="H12" s="711">
        <v>8</v>
      </c>
      <c r="I12" s="711">
        <v>17</v>
      </c>
      <c r="J12" s="711">
        <v>24</v>
      </c>
      <c r="K12" s="524">
        <f t="shared" si="0"/>
        <v>8.2802547770700632E-2</v>
      </c>
      <c r="L12" s="525">
        <f t="shared" si="0"/>
        <v>2.247191011235955E-2</v>
      </c>
      <c r="M12" s="525">
        <f t="shared" si="0"/>
        <v>5.5374592833876218E-2</v>
      </c>
      <c r="N12" s="526">
        <f t="shared" si="0"/>
        <v>1.4652014652014652E-2</v>
      </c>
    </row>
    <row r="13" spans="2:14" x14ac:dyDescent="0.25">
      <c r="B13">
        <v>40</v>
      </c>
      <c r="C13" s="711">
        <v>201</v>
      </c>
      <c r="D13" s="711">
        <v>300</v>
      </c>
      <c r="E13" s="711">
        <v>136</v>
      </c>
      <c r="F13" s="712">
        <v>584</v>
      </c>
      <c r="G13" s="711">
        <v>18</v>
      </c>
      <c r="H13" s="711">
        <v>15</v>
      </c>
      <c r="I13" s="711">
        <v>6</v>
      </c>
      <c r="J13" s="711">
        <v>9</v>
      </c>
      <c r="K13" s="524">
        <f t="shared" si="0"/>
        <v>8.9552238805970144E-2</v>
      </c>
      <c r="L13" s="525">
        <f t="shared" si="0"/>
        <v>0.05</v>
      </c>
      <c r="M13" s="525">
        <f t="shared" si="0"/>
        <v>4.4117647058823532E-2</v>
      </c>
      <c r="N13" s="526">
        <f t="shared" si="0"/>
        <v>1.5410958904109588E-2</v>
      </c>
    </row>
    <row r="14" spans="2:14" x14ac:dyDescent="0.25">
      <c r="B14">
        <v>41</v>
      </c>
      <c r="C14" s="711">
        <v>0</v>
      </c>
      <c r="D14" s="711">
        <v>19</v>
      </c>
      <c r="E14" s="711">
        <v>89</v>
      </c>
      <c r="F14" s="712">
        <v>40</v>
      </c>
      <c r="G14" s="711">
        <v>0</v>
      </c>
      <c r="H14" s="711">
        <v>3</v>
      </c>
      <c r="I14" s="711">
        <v>2</v>
      </c>
      <c r="J14" s="711">
        <v>0</v>
      </c>
      <c r="K14" s="524" t="str">
        <f t="shared" ref="K14:N16" si="1">IF(C14&gt;0,G14/C14,"na")</f>
        <v>na</v>
      </c>
      <c r="L14" s="525">
        <f t="shared" si="1"/>
        <v>0.15789473684210525</v>
      </c>
      <c r="M14" s="525">
        <f t="shared" si="1"/>
        <v>2.247191011235955E-2</v>
      </c>
      <c r="N14" s="526">
        <f t="shared" si="1"/>
        <v>0</v>
      </c>
    </row>
    <row r="15" spans="2:14" x14ac:dyDescent="0.25">
      <c r="B15">
        <v>42</v>
      </c>
      <c r="C15" s="711">
        <v>4</v>
      </c>
      <c r="D15" s="711">
        <v>0</v>
      </c>
      <c r="E15" s="711">
        <v>30</v>
      </c>
      <c r="F15" s="712">
        <v>4</v>
      </c>
      <c r="G15" s="711">
        <v>3</v>
      </c>
      <c r="H15" s="711">
        <v>0</v>
      </c>
      <c r="I15" s="711">
        <v>8</v>
      </c>
      <c r="J15" s="711">
        <v>0</v>
      </c>
      <c r="K15" s="524">
        <f t="shared" si="1"/>
        <v>0.75</v>
      </c>
      <c r="L15" s="525" t="str">
        <f t="shared" si="1"/>
        <v>na</v>
      </c>
      <c r="M15" s="525">
        <f t="shared" si="1"/>
        <v>0.26666666666666666</v>
      </c>
      <c r="N15" s="526">
        <f t="shared" si="1"/>
        <v>0</v>
      </c>
    </row>
    <row r="16" spans="2:14" x14ac:dyDescent="0.25">
      <c r="B16">
        <v>43</v>
      </c>
      <c r="C16" s="711">
        <v>0</v>
      </c>
      <c r="D16" s="711">
        <v>0</v>
      </c>
      <c r="E16" s="711">
        <v>0</v>
      </c>
      <c r="F16" s="725"/>
      <c r="G16" s="711">
        <v>0</v>
      </c>
      <c r="H16" s="711">
        <v>0</v>
      </c>
      <c r="I16" s="711">
        <v>0</v>
      </c>
      <c r="J16" s="704"/>
      <c r="K16" s="524" t="str">
        <f t="shared" si="1"/>
        <v>na</v>
      </c>
      <c r="L16" s="525" t="str">
        <f t="shared" si="1"/>
        <v>na</v>
      </c>
      <c r="M16" s="525" t="str">
        <f t="shared" si="1"/>
        <v>na</v>
      </c>
      <c r="N16" s="526" t="str">
        <f t="shared" si="1"/>
        <v>na</v>
      </c>
    </row>
    <row r="17" spans="1:19" x14ac:dyDescent="0.25">
      <c r="B17">
        <v>44</v>
      </c>
      <c r="C17" s="743">
        <v>0</v>
      </c>
      <c r="D17" s="713">
        <v>0</v>
      </c>
      <c r="E17" s="713">
        <v>0</v>
      </c>
      <c r="F17" s="725"/>
      <c r="G17" s="713">
        <v>0</v>
      </c>
      <c r="H17" s="713">
        <v>0</v>
      </c>
      <c r="I17" s="713">
        <v>0</v>
      </c>
      <c r="J17" s="724"/>
      <c r="K17" s="524" t="str">
        <f>IF(C17&gt;0,G17/C17,"na")</f>
        <v>na</v>
      </c>
      <c r="L17" s="525" t="str">
        <f>IF(D17&gt;0,H17/D17,"na")</f>
        <v>na</v>
      </c>
      <c r="M17" s="525" t="str">
        <f>IF(E17&gt;0,I17/E17,"na")</f>
        <v>na</v>
      </c>
      <c r="N17" s="526" t="str">
        <f>IF(F17&gt;0,J17/F17,"na")</f>
        <v>na</v>
      </c>
    </row>
    <row r="18" spans="1:19" x14ac:dyDescent="0.25">
      <c r="B18">
        <v>45</v>
      </c>
      <c r="C18" s="744"/>
      <c r="D18" s="745"/>
      <c r="E18" s="745"/>
      <c r="F18" s="746"/>
      <c r="G18" s="724"/>
      <c r="H18" s="724"/>
      <c r="I18" s="724"/>
      <c r="J18" s="724"/>
      <c r="K18" s="412" t="str">
        <f t="shared" si="0"/>
        <v>na</v>
      </c>
      <c r="L18" s="229" t="str">
        <f t="shared" si="0"/>
        <v>na</v>
      </c>
      <c r="M18" s="229" t="str">
        <f t="shared" si="0"/>
        <v>na</v>
      </c>
      <c r="N18" s="413" t="str">
        <f t="shared" si="0"/>
        <v>na</v>
      </c>
    </row>
    <row r="19" spans="1:19" x14ac:dyDescent="0.25">
      <c r="B19" t="s">
        <v>184</v>
      </c>
      <c r="C19" s="274">
        <f t="shared" ref="C19:J19" si="2">SUM(C5:C18)</f>
        <v>2368</v>
      </c>
      <c r="D19" s="42">
        <f t="shared" si="2"/>
        <v>3126</v>
      </c>
      <c r="E19" s="42">
        <f t="shared" si="2"/>
        <v>1119</v>
      </c>
      <c r="F19" s="42">
        <f t="shared" si="2"/>
        <v>5281</v>
      </c>
      <c r="G19" s="329">
        <f t="shared" si="2"/>
        <v>154</v>
      </c>
      <c r="H19" s="195">
        <f t="shared" si="2"/>
        <v>231</v>
      </c>
      <c r="I19" s="195">
        <f t="shared" si="2"/>
        <v>85</v>
      </c>
      <c r="J19" s="403">
        <f t="shared" si="2"/>
        <v>92</v>
      </c>
      <c r="K19" s="527">
        <f>IF(C19&gt;0,G19/C19,"na")</f>
        <v>6.5033783783783786E-2</v>
      </c>
      <c r="L19" s="528">
        <f>IF(D19&gt;0,H19/D19,"na")</f>
        <v>7.3896353166986561E-2</v>
      </c>
      <c r="M19" s="528">
        <f>IF(E19&gt;0,I19/E19,"na")</f>
        <v>7.5960679177837359E-2</v>
      </c>
      <c r="N19" s="529">
        <f>IF(F19&gt;0,J19/F19,"na")</f>
        <v>1.7420943003219086E-2</v>
      </c>
    </row>
    <row r="20" spans="1:19" x14ac:dyDescent="0.25">
      <c r="F20">
        <f>SUM(C19:F19)</f>
        <v>11894</v>
      </c>
      <c r="J20">
        <f>SUM(G19:J19)</f>
        <v>562</v>
      </c>
      <c r="N20" s="530">
        <f>J20/F20</f>
        <v>4.7250714646040019E-2</v>
      </c>
    </row>
    <row r="22" spans="1:19" ht="13" x14ac:dyDescent="0.3">
      <c r="C22" s="2" t="s">
        <v>123</v>
      </c>
    </row>
    <row r="23" spans="1:19" x14ac:dyDescent="0.25">
      <c r="C23" s="900" t="s">
        <v>268</v>
      </c>
      <c r="D23" s="901"/>
      <c r="E23" s="901"/>
      <c r="F23" s="901"/>
      <c r="G23" s="902"/>
      <c r="H23" s="900" t="s">
        <v>269</v>
      </c>
      <c r="I23" s="901"/>
      <c r="J23" s="901"/>
      <c r="K23" s="901"/>
      <c r="L23" s="902"/>
      <c r="M23" s="900" t="s">
        <v>56</v>
      </c>
      <c r="N23" s="901"/>
      <c r="O23" s="901"/>
      <c r="P23" s="901"/>
      <c r="Q23" s="902"/>
      <c r="R23" s="417"/>
    </row>
    <row r="24" spans="1:19" x14ac:dyDescent="0.25">
      <c r="B24" t="s">
        <v>134</v>
      </c>
      <c r="C24" s="274">
        <v>1</v>
      </c>
      <c r="D24" s="42">
        <v>2</v>
      </c>
      <c r="E24" s="42">
        <v>3</v>
      </c>
      <c r="F24" s="42">
        <v>4</v>
      </c>
      <c r="G24" s="134">
        <v>5</v>
      </c>
      <c r="H24" s="274">
        <v>1</v>
      </c>
      <c r="I24" s="42">
        <v>2</v>
      </c>
      <c r="J24" s="42">
        <v>3</v>
      </c>
      <c r="K24" s="42">
        <v>4</v>
      </c>
      <c r="L24" s="134">
        <v>5</v>
      </c>
      <c r="M24" s="274">
        <v>1</v>
      </c>
      <c r="N24" s="42">
        <v>2</v>
      </c>
      <c r="O24" s="42">
        <v>3</v>
      </c>
      <c r="P24" s="42">
        <v>4</v>
      </c>
      <c r="Q24" s="134">
        <v>5</v>
      </c>
      <c r="R24" s="44" t="s">
        <v>282</v>
      </c>
      <c r="S24" t="s">
        <v>283</v>
      </c>
    </row>
    <row r="25" spans="1:19" x14ac:dyDescent="0.25">
      <c r="B25">
        <v>32</v>
      </c>
      <c r="C25" s="726"/>
      <c r="D25" s="726"/>
      <c r="E25" s="726"/>
      <c r="F25" s="726"/>
      <c r="G25" s="727"/>
      <c r="H25" s="704"/>
      <c r="I25" s="704"/>
      <c r="J25" s="704"/>
      <c r="K25" s="704"/>
      <c r="L25" s="727"/>
      <c r="M25" s="3" t="str">
        <f t="shared" ref="M25:Q26" si="3">IF(C25&gt;0,H25/C25,"na")</f>
        <v>na</v>
      </c>
      <c r="N25" s="3" t="str">
        <f t="shared" si="3"/>
        <v>na</v>
      </c>
      <c r="O25" s="3" t="str">
        <f t="shared" si="3"/>
        <v>na</v>
      </c>
      <c r="P25" s="3" t="str">
        <f t="shared" si="3"/>
        <v>na</v>
      </c>
      <c r="Q25" s="407" t="str">
        <f t="shared" si="3"/>
        <v>na</v>
      </c>
      <c r="R25" s="525"/>
    </row>
    <row r="26" spans="1:19" ht="13" x14ac:dyDescent="0.3">
      <c r="A26" s="34" t="str">
        <f>'2013 Comm catch'!A26</f>
        <v>9-inch</v>
      </c>
      <c r="B26">
        <v>33</v>
      </c>
      <c r="C26" s="724"/>
      <c r="D26" s="724"/>
      <c r="E26" s="724"/>
      <c r="F26" s="713">
        <v>5</v>
      </c>
      <c r="G26" s="712">
        <v>6</v>
      </c>
      <c r="H26" s="704"/>
      <c r="I26" s="704"/>
      <c r="J26" s="704"/>
      <c r="K26" s="711">
        <v>2</v>
      </c>
      <c r="L26" s="712">
        <v>4</v>
      </c>
      <c r="M26" s="3" t="str">
        <f t="shared" si="3"/>
        <v>na</v>
      </c>
      <c r="N26" s="3" t="str">
        <f t="shared" si="3"/>
        <v>na</v>
      </c>
      <c r="O26" s="3" t="str">
        <f t="shared" si="3"/>
        <v>na</v>
      </c>
      <c r="P26" s="3">
        <f t="shared" si="3"/>
        <v>0.4</v>
      </c>
      <c r="Q26" s="409">
        <f t="shared" si="3"/>
        <v>0.66666666666666663</v>
      </c>
      <c r="R26" s="525"/>
    </row>
    <row r="27" spans="1:19" ht="13" x14ac:dyDescent="0.3">
      <c r="A27" s="34" t="str">
        <f>'2013 Comm catch'!A27</f>
        <v>9-inch</v>
      </c>
      <c r="B27">
        <v>34</v>
      </c>
      <c r="C27" s="724"/>
      <c r="D27" s="724"/>
      <c r="E27" s="724"/>
      <c r="F27" s="713">
        <v>56</v>
      </c>
      <c r="G27" s="712">
        <v>33</v>
      </c>
      <c r="H27" s="704"/>
      <c r="I27" s="704"/>
      <c r="J27" s="704"/>
      <c r="K27" s="711">
        <v>29</v>
      </c>
      <c r="L27" s="712">
        <v>19</v>
      </c>
      <c r="M27" s="3" t="str">
        <f t="shared" ref="M27:M35" si="4">IF(C27&gt;0,H27/C27,"na")</f>
        <v>na</v>
      </c>
      <c r="N27" s="3" t="str">
        <f t="shared" ref="N27:N35" si="5">IF(D27&gt;0,I27/D27,"na")</f>
        <v>na</v>
      </c>
      <c r="O27" s="3" t="str">
        <f t="shared" ref="O27:O35" si="6">IF(E27&gt;0,J27/E27,"na")</f>
        <v>na</v>
      </c>
      <c r="P27" s="3">
        <f t="shared" ref="P27:P35" si="7">IF(F27&gt;0,K27/F27,"na")</f>
        <v>0.5178571428571429</v>
      </c>
      <c r="Q27" s="409">
        <f t="shared" ref="Q27:Q35" si="8">IF(G27&gt;0,L27/G27,"na")</f>
        <v>0.5757575757575758</v>
      </c>
      <c r="R27" s="525"/>
    </row>
    <row r="28" spans="1:19" ht="13" x14ac:dyDescent="0.3">
      <c r="A28" s="34" t="str">
        <f>'2013 Comm catch'!A28</f>
        <v>9-inch</v>
      </c>
      <c r="B28">
        <v>35</v>
      </c>
      <c r="C28" s="724"/>
      <c r="D28" s="724"/>
      <c r="E28" s="724"/>
      <c r="F28" s="713">
        <v>61</v>
      </c>
      <c r="G28" s="712">
        <v>46</v>
      </c>
      <c r="H28" s="704"/>
      <c r="I28" s="704"/>
      <c r="J28" s="704"/>
      <c r="K28" s="711">
        <v>39</v>
      </c>
      <c r="L28" s="712">
        <v>31</v>
      </c>
      <c r="M28" s="3" t="str">
        <f t="shared" si="4"/>
        <v>na</v>
      </c>
      <c r="N28" s="3" t="str">
        <f t="shared" si="5"/>
        <v>na</v>
      </c>
      <c r="O28" s="3" t="str">
        <f t="shared" si="6"/>
        <v>na</v>
      </c>
      <c r="P28" s="3">
        <f t="shared" si="7"/>
        <v>0.63934426229508201</v>
      </c>
      <c r="Q28" s="409">
        <f t="shared" si="8"/>
        <v>0.67391304347826086</v>
      </c>
      <c r="R28" s="525"/>
    </row>
    <row r="29" spans="1:19" x14ac:dyDescent="0.25">
      <c r="B29">
        <v>36</v>
      </c>
      <c r="C29" s="724"/>
      <c r="D29" s="724"/>
      <c r="E29" s="724"/>
      <c r="F29" s="724"/>
      <c r="G29" s="725"/>
      <c r="H29" s="704"/>
      <c r="I29" s="704"/>
      <c r="J29" s="704"/>
      <c r="K29" s="704"/>
      <c r="L29" s="725"/>
      <c r="M29" s="3" t="str">
        <f t="shared" si="4"/>
        <v>na</v>
      </c>
      <c r="N29" s="3" t="str">
        <f t="shared" si="5"/>
        <v>na</v>
      </c>
      <c r="O29" s="3" t="str">
        <f t="shared" si="6"/>
        <v>na</v>
      </c>
      <c r="P29" s="3" t="str">
        <f t="shared" si="7"/>
        <v>na</v>
      </c>
      <c r="Q29" s="409" t="str">
        <f t="shared" si="8"/>
        <v>na</v>
      </c>
      <c r="R29" s="525"/>
    </row>
    <row r="30" spans="1:19" x14ac:dyDescent="0.25">
      <c r="B30">
        <v>37</v>
      </c>
      <c r="C30" s="724"/>
      <c r="D30" s="724"/>
      <c r="E30" s="724"/>
      <c r="F30" s="724"/>
      <c r="G30" s="725"/>
      <c r="H30" s="704"/>
      <c r="I30" s="704"/>
      <c r="J30" s="704"/>
      <c r="K30" s="704"/>
      <c r="L30" s="725"/>
      <c r="M30" s="3" t="str">
        <f t="shared" si="4"/>
        <v>na</v>
      </c>
      <c r="N30" s="3" t="str">
        <f t="shared" si="5"/>
        <v>na</v>
      </c>
      <c r="O30" s="3" t="str">
        <f t="shared" si="6"/>
        <v>na</v>
      </c>
      <c r="P30" s="3" t="str">
        <f t="shared" si="7"/>
        <v>na</v>
      </c>
      <c r="Q30" s="409" t="str">
        <f t="shared" si="8"/>
        <v>na</v>
      </c>
      <c r="R30" s="525"/>
    </row>
    <row r="31" spans="1:19" ht="13" x14ac:dyDescent="0.3">
      <c r="A31" s="34" t="str">
        <f>'2013 Comm catch'!A31</f>
        <v>8-inch</v>
      </c>
      <c r="B31">
        <v>38</v>
      </c>
      <c r="C31" s="724"/>
      <c r="D31" s="724"/>
      <c r="E31" s="724"/>
      <c r="F31" s="713">
        <v>164</v>
      </c>
      <c r="G31" s="712">
        <v>48</v>
      </c>
      <c r="H31" s="704"/>
      <c r="I31" s="704"/>
      <c r="J31" s="704"/>
      <c r="K31" s="711">
        <v>90</v>
      </c>
      <c r="L31" s="712">
        <v>20</v>
      </c>
      <c r="M31" s="3" t="str">
        <f t="shared" si="4"/>
        <v>na</v>
      </c>
      <c r="N31" s="3" t="str">
        <f t="shared" si="5"/>
        <v>na</v>
      </c>
      <c r="O31" s="3" t="str">
        <f t="shared" si="6"/>
        <v>na</v>
      </c>
      <c r="P31" s="3">
        <f t="shared" si="7"/>
        <v>0.54878048780487809</v>
      </c>
      <c r="Q31" s="409">
        <f t="shared" si="8"/>
        <v>0.41666666666666669</v>
      </c>
      <c r="R31" s="525"/>
    </row>
    <row r="32" spans="1:19" ht="13" x14ac:dyDescent="0.3">
      <c r="A32" s="34" t="str">
        <f>'2013 Comm catch'!A32</f>
        <v>8-inch</v>
      </c>
      <c r="B32">
        <v>39</v>
      </c>
      <c r="C32" s="713">
        <v>3</v>
      </c>
      <c r="D32" s="713">
        <v>26</v>
      </c>
      <c r="E32" s="713">
        <v>0</v>
      </c>
      <c r="F32" s="713">
        <v>129</v>
      </c>
      <c r="G32" s="712">
        <v>116</v>
      </c>
      <c r="H32" s="711">
        <v>0</v>
      </c>
      <c r="I32" s="711">
        <v>6</v>
      </c>
      <c r="J32" s="711">
        <v>0</v>
      </c>
      <c r="K32" s="711">
        <v>40</v>
      </c>
      <c r="L32" s="712">
        <v>37</v>
      </c>
      <c r="M32" s="3">
        <f t="shared" si="4"/>
        <v>0</v>
      </c>
      <c r="N32" s="3">
        <f t="shared" si="5"/>
        <v>0.23076923076923078</v>
      </c>
      <c r="O32" s="3" t="str">
        <f t="shared" si="6"/>
        <v>na</v>
      </c>
      <c r="P32" s="3">
        <f t="shared" si="7"/>
        <v>0.31007751937984496</v>
      </c>
      <c r="Q32" s="409">
        <f t="shared" si="8"/>
        <v>0.31896551724137934</v>
      </c>
      <c r="R32" s="525">
        <f t="shared" ref="R32:R38" si="9">SUM(H32:J32)/SUM(C32:E32)</f>
        <v>0.20689655172413793</v>
      </c>
      <c r="S32" s="656">
        <f>SUM(K32:L32)/SUM(F32:G32)</f>
        <v>0.31428571428571428</v>
      </c>
    </row>
    <row r="33" spans="1:19" ht="13" x14ac:dyDescent="0.3">
      <c r="A33" s="34" t="str">
        <f>'2013 Comm catch'!A33</f>
        <v>8-inch</v>
      </c>
      <c r="B33">
        <v>40</v>
      </c>
      <c r="C33" s="713">
        <v>0</v>
      </c>
      <c r="D33" s="713">
        <v>35</v>
      </c>
      <c r="E33" s="713">
        <v>0</v>
      </c>
      <c r="F33" s="713">
        <v>10</v>
      </c>
      <c r="G33" s="712">
        <v>51</v>
      </c>
      <c r="H33" s="711">
        <v>0</v>
      </c>
      <c r="I33" s="711">
        <v>8</v>
      </c>
      <c r="J33" s="711">
        <v>0</v>
      </c>
      <c r="K33" s="711">
        <v>1</v>
      </c>
      <c r="L33" s="712">
        <v>14</v>
      </c>
      <c r="M33" s="3" t="str">
        <f>IF(C33&gt;0,H33/C33,"na")</f>
        <v>na</v>
      </c>
      <c r="N33" s="3">
        <f>IF(D33&gt;0,I33/D33,"na")</f>
        <v>0.22857142857142856</v>
      </c>
      <c r="O33" s="3" t="str">
        <f>IF(E33&gt;0,J33/E33,"na")</f>
        <v>na</v>
      </c>
      <c r="P33" s="3">
        <f>IF(F33&gt;0,K33/F33,"na")</f>
        <v>0.1</v>
      </c>
      <c r="Q33" s="409">
        <f>IF(G33&gt;0,L33/G33,"na")</f>
        <v>0.27450980392156865</v>
      </c>
      <c r="R33" s="525">
        <f t="shared" si="9"/>
        <v>0.22857142857142856</v>
      </c>
      <c r="S33" s="656">
        <f>SUM(K33:L33)/SUM(F33:G33)</f>
        <v>0.24590163934426229</v>
      </c>
    </row>
    <row r="34" spans="1:19" ht="13" x14ac:dyDescent="0.3">
      <c r="A34" s="34" t="str">
        <f>'2013 Comm catch'!A34</f>
        <v>Tangle net</v>
      </c>
      <c r="B34">
        <v>40</v>
      </c>
      <c r="C34" s="713">
        <v>33</v>
      </c>
      <c r="D34" s="713">
        <v>197</v>
      </c>
      <c r="E34" s="713">
        <v>0</v>
      </c>
      <c r="F34" s="724"/>
      <c r="G34" s="725"/>
      <c r="H34" s="711">
        <v>0</v>
      </c>
      <c r="I34" s="711">
        <v>0</v>
      </c>
      <c r="J34" s="711">
        <v>0</v>
      </c>
      <c r="K34" s="704"/>
      <c r="L34" s="725"/>
      <c r="M34" s="3">
        <f t="shared" si="4"/>
        <v>0</v>
      </c>
      <c r="N34" s="3">
        <f t="shared" si="5"/>
        <v>0</v>
      </c>
      <c r="O34" s="3" t="str">
        <f t="shared" si="6"/>
        <v>na</v>
      </c>
      <c r="P34" s="3" t="str">
        <f t="shared" si="7"/>
        <v>na</v>
      </c>
      <c r="Q34" s="409" t="str">
        <f t="shared" si="8"/>
        <v>na</v>
      </c>
      <c r="R34" s="525">
        <f t="shared" si="9"/>
        <v>0</v>
      </c>
      <c r="S34" s="752"/>
    </row>
    <row r="35" spans="1:19" ht="13" x14ac:dyDescent="0.3">
      <c r="A35" s="34" t="str">
        <f>'2013 Comm catch'!A35</f>
        <v>1-3=tangle, 4-5=8-inch</v>
      </c>
      <c r="B35">
        <v>41</v>
      </c>
      <c r="C35" s="713">
        <v>0</v>
      </c>
      <c r="D35" s="713">
        <v>114</v>
      </c>
      <c r="E35" s="713">
        <v>118</v>
      </c>
      <c r="F35" s="713">
        <v>66</v>
      </c>
      <c r="G35" s="712">
        <v>77</v>
      </c>
      <c r="H35" s="711">
        <v>0</v>
      </c>
      <c r="I35" s="711">
        <v>7</v>
      </c>
      <c r="J35" s="711">
        <v>1</v>
      </c>
      <c r="K35" s="711">
        <v>17</v>
      </c>
      <c r="L35" s="712">
        <v>14</v>
      </c>
      <c r="M35" s="3" t="str">
        <f t="shared" si="4"/>
        <v>na</v>
      </c>
      <c r="N35" s="3">
        <f t="shared" si="5"/>
        <v>6.1403508771929821E-2</v>
      </c>
      <c r="O35" s="3">
        <f t="shared" si="6"/>
        <v>8.4745762711864406E-3</v>
      </c>
      <c r="P35" s="3">
        <f t="shared" si="7"/>
        <v>0.25757575757575757</v>
      </c>
      <c r="Q35" s="409">
        <f t="shared" si="8"/>
        <v>0.18181818181818182</v>
      </c>
      <c r="R35" s="525">
        <f t="shared" si="9"/>
        <v>3.4482758620689655E-2</v>
      </c>
      <c r="S35" s="656">
        <f>SUM(K35:L35)/SUM(F35:G35)</f>
        <v>0.21678321678321677</v>
      </c>
    </row>
    <row r="36" spans="1:19" ht="13" x14ac:dyDescent="0.3">
      <c r="A36" s="34" t="str">
        <f>'2013 Comm catch'!A36</f>
        <v>1-3=6-inch, 4-5=8-inch</v>
      </c>
      <c r="B36">
        <v>42</v>
      </c>
      <c r="C36" s="713">
        <v>16</v>
      </c>
      <c r="D36" s="713">
        <v>247</v>
      </c>
      <c r="E36" s="713">
        <v>230</v>
      </c>
      <c r="F36" s="713">
        <v>31</v>
      </c>
      <c r="G36" s="712">
        <v>14</v>
      </c>
      <c r="H36" s="711">
        <v>5</v>
      </c>
      <c r="I36" s="711">
        <v>56</v>
      </c>
      <c r="J36" s="711">
        <v>50</v>
      </c>
      <c r="K36" s="711">
        <v>8</v>
      </c>
      <c r="L36" s="712">
        <v>2</v>
      </c>
      <c r="M36" s="3">
        <f>N36</f>
        <v>0.22672064777327935</v>
      </c>
      <c r="N36" s="3">
        <f t="shared" ref="N36:Q37" si="10">IF(D36&gt;0,I36/D36,"na")</f>
        <v>0.22672064777327935</v>
      </c>
      <c r="O36" s="3">
        <f t="shared" si="10"/>
        <v>0.21739130434782608</v>
      </c>
      <c r="P36" s="3">
        <f t="shared" si="10"/>
        <v>0.25806451612903225</v>
      </c>
      <c r="Q36" s="409">
        <f t="shared" si="10"/>
        <v>0.14285714285714285</v>
      </c>
      <c r="R36" s="525">
        <f t="shared" si="9"/>
        <v>0.22515212981744423</v>
      </c>
      <c r="S36" s="656">
        <f>SUM(K36:L36)/SUM(F36:G36)</f>
        <v>0.22222222222222221</v>
      </c>
    </row>
    <row r="37" spans="1:19" ht="13" x14ac:dyDescent="0.3">
      <c r="A37" s="34" t="str">
        <f>'2013 Comm catch'!A37</f>
        <v>Tangle net</v>
      </c>
      <c r="B37">
        <v>42</v>
      </c>
      <c r="C37" s="713">
        <v>0</v>
      </c>
      <c r="D37" s="713">
        <v>176</v>
      </c>
      <c r="E37" s="713">
        <v>162</v>
      </c>
      <c r="F37" s="724"/>
      <c r="G37" s="725"/>
      <c r="H37" s="711">
        <v>0</v>
      </c>
      <c r="I37" s="711">
        <v>0</v>
      </c>
      <c r="J37" s="711">
        <v>0</v>
      </c>
      <c r="K37" s="704"/>
      <c r="L37" s="725"/>
      <c r="M37" s="3">
        <f>N37</f>
        <v>0</v>
      </c>
      <c r="N37" s="3">
        <f t="shared" si="10"/>
        <v>0</v>
      </c>
      <c r="O37" s="3">
        <f t="shared" si="10"/>
        <v>0</v>
      </c>
      <c r="P37" s="3" t="str">
        <f t="shared" si="10"/>
        <v>na</v>
      </c>
      <c r="Q37" s="409" t="str">
        <f t="shared" si="10"/>
        <v>na</v>
      </c>
      <c r="R37" s="525">
        <f t="shared" si="9"/>
        <v>0</v>
      </c>
      <c r="S37" s="704"/>
    </row>
    <row r="38" spans="1:19" ht="13" x14ac:dyDescent="0.3">
      <c r="A38" s="34" t="str">
        <f>'2013 Comm catch'!A38</f>
        <v>1-3=6-inch, 4-5=8-inch</v>
      </c>
      <c r="B38">
        <v>43</v>
      </c>
      <c r="C38" s="713">
        <v>0</v>
      </c>
      <c r="D38" s="713">
        <v>61</v>
      </c>
      <c r="E38" s="713">
        <v>184</v>
      </c>
      <c r="F38" s="713">
        <v>0</v>
      </c>
      <c r="G38" s="712">
        <v>8</v>
      </c>
      <c r="H38" s="711">
        <v>0</v>
      </c>
      <c r="I38" s="711">
        <v>13</v>
      </c>
      <c r="J38" s="711">
        <v>55</v>
      </c>
      <c r="K38" s="711">
        <v>0</v>
      </c>
      <c r="L38" s="712">
        <v>2</v>
      </c>
      <c r="M38" s="3" t="str">
        <f>IF(C38&gt;0,H38/C38,"na")</f>
        <v>na</v>
      </c>
      <c r="N38" s="3">
        <f>O38</f>
        <v>0.29891304347826086</v>
      </c>
      <c r="O38" s="3">
        <f t="shared" ref="O38:Q39" si="11">IF(E38&gt;0,J38/E38,"na")</f>
        <v>0.29891304347826086</v>
      </c>
      <c r="P38" s="3" t="str">
        <f t="shared" si="11"/>
        <v>na</v>
      </c>
      <c r="Q38" s="409">
        <f t="shared" si="11"/>
        <v>0.25</v>
      </c>
      <c r="R38" s="525">
        <f t="shared" si="9"/>
        <v>0.27755102040816326</v>
      </c>
      <c r="S38" s="656">
        <f>SUM(K38:L38)/SUM(F38:G38)</f>
        <v>0.25</v>
      </c>
    </row>
    <row r="39" spans="1:19" ht="13" x14ac:dyDescent="0.3">
      <c r="A39" s="34" t="str">
        <f>'2013 Comm catch'!A39</f>
        <v>8-inch</v>
      </c>
      <c r="B39">
        <v>44</v>
      </c>
      <c r="C39" s="724"/>
      <c r="D39" s="724"/>
      <c r="E39" s="724"/>
      <c r="F39" s="713">
        <v>1</v>
      </c>
      <c r="G39" s="712">
        <v>2</v>
      </c>
      <c r="H39" s="704"/>
      <c r="I39" s="704"/>
      <c r="J39" s="704"/>
      <c r="K39" s="711">
        <v>0</v>
      </c>
      <c r="L39" s="712">
        <v>0</v>
      </c>
      <c r="M39" s="3" t="str">
        <f>IF(C39&gt;0,H39/C39,"na")</f>
        <v>na</v>
      </c>
      <c r="N39" s="3" t="str">
        <f>IF(D39&gt;0,I39/D39,"na")</f>
        <v>na</v>
      </c>
      <c r="O39" s="3" t="str">
        <f t="shared" si="11"/>
        <v>na</v>
      </c>
      <c r="P39" s="3">
        <f t="shared" si="11"/>
        <v>0</v>
      </c>
      <c r="Q39" s="409">
        <f t="shared" si="11"/>
        <v>0</v>
      </c>
      <c r="R39" s="752"/>
      <c r="S39" s="656">
        <f>SUM(K39:L39)/SUM(F39:G39)</f>
        <v>0</v>
      </c>
    </row>
    <row r="40" spans="1:19" x14ac:dyDescent="0.25">
      <c r="B40">
        <v>45</v>
      </c>
      <c r="C40" s="745"/>
      <c r="D40" s="745"/>
      <c r="E40" s="745"/>
      <c r="F40" s="745"/>
      <c r="G40" s="746"/>
      <c r="H40" s="704"/>
      <c r="I40" s="704"/>
      <c r="J40" s="704"/>
      <c r="K40" s="704"/>
      <c r="L40" s="725"/>
      <c r="M40" s="3" t="str">
        <f>IF(C40&gt;0,H40/C40,"na")</f>
        <v>na</v>
      </c>
      <c r="N40" s="3" t="str">
        <f t="shared" ref="N40:P41" si="12">IF(D40&gt;0,I40/D40,"na")</f>
        <v>na</v>
      </c>
      <c r="O40" s="3" t="str">
        <f t="shared" si="12"/>
        <v>na</v>
      </c>
      <c r="P40" s="3" t="str">
        <f t="shared" si="12"/>
        <v>na</v>
      </c>
      <c r="Q40" s="409" t="str">
        <f>IF(G40&gt;0,L40/G40,"na")</f>
        <v>na</v>
      </c>
      <c r="R40" s="402"/>
    </row>
    <row r="41" spans="1:19" x14ac:dyDescent="0.25">
      <c r="B41" t="s">
        <v>184</v>
      </c>
      <c r="C41" s="329">
        <f>SUM(C25:C40)</f>
        <v>52</v>
      </c>
      <c r="D41" s="195">
        <f t="shared" ref="D41:L41" si="13">SUM(D25:D40)</f>
        <v>856</v>
      </c>
      <c r="E41" s="195">
        <f t="shared" si="13"/>
        <v>694</v>
      </c>
      <c r="F41" s="195">
        <f t="shared" si="13"/>
        <v>523</v>
      </c>
      <c r="G41" s="330">
        <f t="shared" si="13"/>
        <v>401</v>
      </c>
      <c r="H41" s="329">
        <f t="shared" si="13"/>
        <v>5</v>
      </c>
      <c r="I41" s="195">
        <f t="shared" si="13"/>
        <v>90</v>
      </c>
      <c r="J41" s="195">
        <f t="shared" si="13"/>
        <v>106</v>
      </c>
      <c r="K41" s="195">
        <f t="shared" si="13"/>
        <v>226</v>
      </c>
      <c r="L41" s="404">
        <f t="shared" si="13"/>
        <v>143</v>
      </c>
      <c r="M41" s="223">
        <f>IF(C41&gt;0,H41/C41,"na")</f>
        <v>9.6153846153846159E-2</v>
      </c>
      <c r="N41" s="528">
        <f t="shared" si="12"/>
        <v>0.10514018691588785</v>
      </c>
      <c r="O41" s="528">
        <f t="shared" si="12"/>
        <v>0.15273775216138327</v>
      </c>
      <c r="P41" s="528">
        <f t="shared" si="12"/>
        <v>0.43212237093690248</v>
      </c>
      <c r="Q41" s="529">
        <f>IF(G41&gt;0,L41/G41,"na")</f>
        <v>0.35660847880299251</v>
      </c>
      <c r="R41" s="525"/>
    </row>
    <row r="42" spans="1:19" x14ac:dyDescent="0.25">
      <c r="C42" s="44"/>
      <c r="D42" s="44"/>
      <c r="E42" s="44"/>
      <c r="F42" s="44"/>
      <c r="G42" s="44"/>
      <c r="H42" s="44"/>
      <c r="I42" s="44"/>
      <c r="J42" s="44"/>
      <c r="K42" s="44"/>
      <c r="L42" s="44"/>
      <c r="M42" s="44"/>
      <c r="N42" s="44"/>
      <c r="O42" s="44"/>
      <c r="P42" s="44"/>
      <c r="Q42" s="531"/>
      <c r="R42" s="531"/>
    </row>
  </sheetData>
  <mergeCells count="6">
    <mergeCell ref="C3:F3"/>
    <mergeCell ref="G3:J3"/>
    <mergeCell ref="K3:N3"/>
    <mergeCell ref="C23:G23"/>
    <mergeCell ref="H23:L23"/>
    <mergeCell ref="M23:Q23"/>
  </mergeCells>
  <pageMargins left="0.75" right="0.75" top="1" bottom="1" header="0.5" footer="0.5"/>
  <pageSetup orientation="portrait" r:id="rId1"/>
  <headerFooter alignWithMargins="0"/>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2:AH76"/>
  <sheetViews>
    <sheetView topLeftCell="A16" workbookViewId="0">
      <pane xSplit="1" topLeftCell="L1" activePane="topRight" state="frozen"/>
      <selection activeCell="I30" sqref="I30"/>
      <selection pane="topRight" activeCell="I30" sqref="I30"/>
    </sheetView>
  </sheetViews>
  <sheetFormatPr defaultColWidth="9.1796875" defaultRowHeight="13" x14ac:dyDescent="0.3"/>
  <cols>
    <col min="1" max="1" width="11.7265625" style="34" bestFit="1" customWidth="1"/>
    <col min="2" max="2" width="11.54296875" style="33" bestFit="1" customWidth="1"/>
    <col min="3" max="3" width="11.81640625" style="33" bestFit="1" customWidth="1"/>
    <col min="4" max="4" width="12.26953125" style="33" bestFit="1" customWidth="1"/>
    <col min="5" max="5" width="7.54296875" style="33" bestFit="1" customWidth="1"/>
    <col min="6" max="6" width="12.7265625" style="33" bestFit="1" customWidth="1"/>
    <col min="7" max="7" width="10.26953125" style="33" bestFit="1" customWidth="1"/>
    <col min="8" max="8" width="8.1796875" style="33" bestFit="1" customWidth="1"/>
    <col min="9" max="9" width="7.54296875" style="33" bestFit="1" customWidth="1"/>
    <col min="10" max="10" width="11.54296875" style="33" bestFit="1" customWidth="1"/>
    <col min="11" max="11" width="11.453125" style="33" bestFit="1" customWidth="1"/>
    <col min="12" max="12" width="8.1796875" style="33" bestFit="1" customWidth="1"/>
    <col min="13" max="13" width="10" style="33" bestFit="1" customWidth="1"/>
    <col min="14" max="14" width="11.54296875" style="33" bestFit="1" customWidth="1"/>
    <col min="15" max="15" width="10.26953125" style="33" bestFit="1" customWidth="1"/>
    <col min="16" max="16" width="8.1796875" style="33" bestFit="1" customWidth="1"/>
    <col min="17" max="17" width="9.26953125" style="33" bestFit="1" customWidth="1"/>
    <col min="18" max="18" width="6.26953125" style="33" bestFit="1" customWidth="1"/>
    <col min="19" max="19" width="7.26953125" style="33" bestFit="1" customWidth="1"/>
    <col min="20" max="20" width="4" style="33" bestFit="1" customWidth="1"/>
    <col min="21" max="21" width="5" style="33" bestFit="1" customWidth="1"/>
    <col min="22" max="22" width="6.7265625" style="33" bestFit="1" customWidth="1"/>
    <col min="23" max="23" width="6.7265625" style="33" customWidth="1"/>
    <col min="24" max="24" width="5" style="32" bestFit="1" customWidth="1"/>
    <col min="25" max="25" width="8.26953125" style="32" bestFit="1" customWidth="1"/>
    <col min="26" max="26" width="8.26953125" style="32" customWidth="1"/>
    <col min="27" max="27" width="7" style="32" bestFit="1" customWidth="1"/>
    <col min="28" max="28" width="12" style="32" bestFit="1" customWidth="1"/>
    <col min="29" max="29" width="9.26953125" style="32" bestFit="1" customWidth="1"/>
    <col min="30" max="30" width="10.453125" style="32" bestFit="1" customWidth="1"/>
    <col min="31" max="16384" width="9.1796875" style="32"/>
  </cols>
  <sheetData>
    <row r="2" spans="1:23" x14ac:dyDescent="0.3">
      <c r="B2" s="34" t="s">
        <v>258</v>
      </c>
    </row>
    <row r="3" spans="1:23" x14ac:dyDescent="0.3">
      <c r="B3" s="903" t="s">
        <v>208</v>
      </c>
      <c r="C3" s="904"/>
      <c r="D3" s="904"/>
      <c r="E3" s="905"/>
      <c r="F3" s="903" t="s">
        <v>264</v>
      </c>
      <c r="G3" s="904"/>
      <c r="H3" s="904"/>
      <c r="I3" s="905"/>
      <c r="J3" s="903" t="s">
        <v>261</v>
      </c>
      <c r="K3" s="904"/>
      <c r="L3" s="904"/>
      <c r="M3" s="905"/>
      <c r="N3" s="903" t="s">
        <v>262</v>
      </c>
      <c r="O3" s="904"/>
      <c r="P3" s="904"/>
      <c r="Q3" s="905"/>
      <c r="R3" s="165"/>
      <c r="S3" s="165"/>
      <c r="T3" s="165"/>
      <c r="U3" s="165"/>
      <c r="V3" s="165"/>
      <c r="W3" s="165"/>
    </row>
    <row r="4" spans="1:23" x14ac:dyDescent="0.3">
      <c r="A4" s="34" t="s">
        <v>134</v>
      </c>
      <c r="B4" s="547" t="s">
        <v>31</v>
      </c>
      <c r="C4" s="202" t="s">
        <v>62</v>
      </c>
      <c r="D4" s="202" t="s">
        <v>260</v>
      </c>
      <c r="E4" s="548" t="s">
        <v>203</v>
      </c>
      <c r="F4" s="547" t="s">
        <v>31</v>
      </c>
      <c r="G4" s="202" t="s">
        <v>62</v>
      </c>
      <c r="H4" s="202" t="s">
        <v>260</v>
      </c>
      <c r="I4" s="548" t="s">
        <v>203</v>
      </c>
      <c r="J4" s="549" t="s">
        <v>31</v>
      </c>
      <c r="K4" s="208" t="s">
        <v>62</v>
      </c>
      <c r="L4" s="208" t="s">
        <v>260</v>
      </c>
      <c r="M4" s="550" t="s">
        <v>203</v>
      </c>
      <c r="N4" s="549" t="s">
        <v>31</v>
      </c>
      <c r="O4" s="208" t="s">
        <v>62</v>
      </c>
      <c r="P4" s="208" t="s">
        <v>260</v>
      </c>
      <c r="Q4" s="550" t="s">
        <v>203</v>
      </c>
      <c r="R4" s="208"/>
      <c r="S4" s="208"/>
      <c r="T4" s="208"/>
      <c r="U4" s="208"/>
      <c r="V4" s="208"/>
      <c r="W4" s="208"/>
    </row>
    <row r="5" spans="1:23" x14ac:dyDescent="0.3">
      <c r="A5" s="34">
        <v>32</v>
      </c>
      <c r="B5" s="485"/>
      <c r="C5" s="457"/>
      <c r="D5" s="457"/>
      <c r="E5" s="515"/>
      <c r="F5" s="551" t="str">
        <f>'2012 comm sample'!J4</f>
        <v>na</v>
      </c>
      <c r="G5" s="552" t="str">
        <f>'2012 comm sample'!K4</f>
        <v>na</v>
      </c>
      <c r="H5" s="552" t="str">
        <f>'2012 comm sample'!L4</f>
        <v>na</v>
      </c>
      <c r="I5" s="552" t="str">
        <f>'2012 comm sample'!M4</f>
        <v>na</v>
      </c>
      <c r="J5" s="553" t="str">
        <f>IF(B5&gt;0,'2012 comm sample'!B4/'2012 Comm catch'!B5,"na")</f>
        <v>na</v>
      </c>
      <c r="K5" s="554" t="str">
        <f>IF(C5&gt;0,'2012 comm sample'!C4/'2012 Comm catch'!C5,"na")</f>
        <v>na</v>
      </c>
      <c r="L5" s="554" t="str">
        <f>IF(D5&gt;0,'2012 comm sample'!D4/'2012 Comm catch'!D5,"na")</f>
        <v>na</v>
      </c>
      <c r="M5" s="554" t="str">
        <f>IF(E5&gt;0,'2012 comm sample'!E4/'2012 Comm catch'!E5,"na")</f>
        <v>na</v>
      </c>
      <c r="N5" s="555" t="str">
        <f t="shared" ref="N5:Q18" si="0">IF(F5&lt;&gt;"na",B5*F5,"na")</f>
        <v>na</v>
      </c>
      <c r="O5" s="556" t="str">
        <f t="shared" si="0"/>
        <v>na</v>
      </c>
      <c r="P5" s="556" t="str">
        <f t="shared" si="0"/>
        <v>na</v>
      </c>
      <c r="Q5" s="557" t="str">
        <f t="shared" si="0"/>
        <v>na</v>
      </c>
      <c r="R5" s="514"/>
      <c r="S5" s="514"/>
      <c r="T5" s="514"/>
      <c r="U5" s="514"/>
      <c r="V5" s="514"/>
      <c r="W5" s="514"/>
    </row>
    <row r="6" spans="1:23" x14ac:dyDescent="0.3">
      <c r="A6" s="34">
        <v>33</v>
      </c>
      <c r="B6" s="485"/>
      <c r="C6" s="457"/>
      <c r="D6" s="457"/>
      <c r="E6" s="515"/>
      <c r="F6" s="551" t="str">
        <f>'2012 comm sample'!J5</f>
        <v>na</v>
      </c>
      <c r="G6" s="552" t="str">
        <f>'2012 comm sample'!K5</f>
        <v>na</v>
      </c>
      <c r="H6" s="552" t="str">
        <f>'2012 comm sample'!L5</f>
        <v>na</v>
      </c>
      <c r="I6" s="552" t="str">
        <f>'2012 comm sample'!M5</f>
        <v>na</v>
      </c>
      <c r="J6" s="558" t="str">
        <f>IF(B6&gt;0,'2012 comm sample'!B5/'2012 Comm catch'!B6,"na")</f>
        <v>na</v>
      </c>
      <c r="K6" s="559" t="str">
        <f>IF(C6&gt;0,'2012 comm sample'!C5/'2012 Comm catch'!C6,"na")</f>
        <v>na</v>
      </c>
      <c r="L6" s="559" t="str">
        <f>IF(D6&gt;0,'2012 comm sample'!D5/'2012 Comm catch'!D6,"na")</f>
        <v>na</v>
      </c>
      <c r="M6" s="559" t="str">
        <f>IF(E6&gt;0,'2012 comm sample'!E5/'2012 Comm catch'!E6,"na")</f>
        <v>na</v>
      </c>
      <c r="N6" s="560" t="str">
        <f t="shared" si="0"/>
        <v>na</v>
      </c>
      <c r="O6" s="514" t="str">
        <f t="shared" si="0"/>
        <v>na</v>
      </c>
      <c r="P6" s="514" t="str">
        <f t="shared" si="0"/>
        <v>na</v>
      </c>
      <c r="Q6" s="563" t="str">
        <f t="shared" si="0"/>
        <v>na</v>
      </c>
      <c r="R6" s="514"/>
      <c r="S6" s="514"/>
      <c r="T6" s="514"/>
      <c r="U6" s="514"/>
      <c r="V6" s="514"/>
      <c r="W6" s="514"/>
    </row>
    <row r="7" spans="1:23" x14ac:dyDescent="0.3">
      <c r="A7" s="34">
        <v>34</v>
      </c>
      <c r="B7" s="485"/>
      <c r="C7" s="457"/>
      <c r="D7" s="457"/>
      <c r="E7" s="515">
        <v>10</v>
      </c>
      <c r="F7" s="551" t="str">
        <f>'2012 comm sample'!J6</f>
        <v>na</v>
      </c>
      <c r="G7" s="552" t="str">
        <f>'2012 comm sample'!K6</f>
        <v>na</v>
      </c>
      <c r="H7" s="552" t="str">
        <f>'2012 comm sample'!L6</f>
        <v>na</v>
      </c>
      <c r="I7" s="552">
        <f>'2012 comm sample'!M6</f>
        <v>0</v>
      </c>
      <c r="J7" s="558" t="str">
        <f>IF(B7&gt;0,'2012 comm sample'!B6/'2012 Comm catch'!B7,"na")</f>
        <v>na</v>
      </c>
      <c r="K7" s="559" t="str">
        <f>IF(C7&gt;0,'2012 comm sample'!C6/'2012 Comm catch'!C7,"na")</f>
        <v>na</v>
      </c>
      <c r="L7" s="559" t="str">
        <f>IF(D7&gt;0,'2012 comm sample'!D6/'2012 Comm catch'!D7,"na")</f>
        <v>na</v>
      </c>
      <c r="M7" s="559">
        <f>IF(E7&gt;0,'2012 comm sample'!E6/'2012 Comm catch'!E7,"na")</f>
        <v>1</v>
      </c>
      <c r="N7" s="560" t="str">
        <f t="shared" si="0"/>
        <v>na</v>
      </c>
      <c r="O7" s="514" t="str">
        <f t="shared" si="0"/>
        <v>na</v>
      </c>
      <c r="P7" s="514" t="str">
        <f t="shared" si="0"/>
        <v>na</v>
      </c>
      <c r="Q7" s="563">
        <f t="shared" si="0"/>
        <v>0</v>
      </c>
      <c r="R7" s="514"/>
      <c r="S7" s="514"/>
      <c r="T7" s="514"/>
      <c r="U7" s="514"/>
      <c r="V7" s="514"/>
      <c r="W7" s="514"/>
    </row>
    <row r="8" spans="1:23" x14ac:dyDescent="0.3">
      <c r="A8" s="34">
        <v>35</v>
      </c>
      <c r="B8" s="485">
        <v>12</v>
      </c>
      <c r="C8" s="457"/>
      <c r="D8" s="457"/>
      <c r="E8" s="515">
        <v>334</v>
      </c>
      <c r="F8" s="551">
        <f>'2012 comm sample'!J7</f>
        <v>0</v>
      </c>
      <c r="G8" s="552" t="str">
        <f>'2012 comm sample'!K7</f>
        <v>na</v>
      </c>
      <c r="H8" s="552" t="str">
        <f>'2012 comm sample'!L7</f>
        <v>na</v>
      </c>
      <c r="I8" s="552">
        <f>'2012 comm sample'!M7</f>
        <v>4.3478260869565216E-2</v>
      </c>
      <c r="J8" s="558">
        <f>IF(B8&gt;0,'2012 comm sample'!B7/'2012 Comm catch'!B8,"na")</f>
        <v>0.66666666666666663</v>
      </c>
      <c r="K8" s="559" t="str">
        <f>IF(C8&gt;0,'2012 comm sample'!C7/'2012 Comm catch'!C8,"na")</f>
        <v>na</v>
      </c>
      <c r="L8" s="559" t="str">
        <f>IF(D8&gt;0,'2012 comm sample'!D7/'2012 Comm catch'!D8,"na")</f>
        <v>na</v>
      </c>
      <c r="M8" s="559">
        <f>IF(E8&gt;0,'2012 comm sample'!E7/'2012 Comm catch'!E8,"na")</f>
        <v>0.34431137724550898</v>
      </c>
      <c r="N8" s="560">
        <f t="shared" si="0"/>
        <v>0</v>
      </c>
      <c r="O8" s="514" t="str">
        <f t="shared" si="0"/>
        <v>na</v>
      </c>
      <c r="P8" s="514" t="str">
        <f t="shared" si="0"/>
        <v>na</v>
      </c>
      <c r="Q8" s="563">
        <f t="shared" si="0"/>
        <v>14.521739130434781</v>
      </c>
      <c r="R8" s="514"/>
      <c r="S8" s="514"/>
      <c r="T8" s="514"/>
      <c r="U8" s="514"/>
      <c r="V8" s="514"/>
      <c r="W8" s="514"/>
    </row>
    <row r="9" spans="1:23" x14ac:dyDescent="0.3">
      <c r="A9" s="34">
        <v>36</v>
      </c>
      <c r="B9" s="485">
        <v>515</v>
      </c>
      <c r="C9" s="457">
        <v>172</v>
      </c>
      <c r="D9" s="457">
        <v>33</v>
      </c>
      <c r="E9" s="515">
        <v>903</v>
      </c>
      <c r="F9" s="551">
        <f>'2012 comm sample'!J8</f>
        <v>1.7857142857142856E-2</v>
      </c>
      <c r="G9" s="552">
        <f>'2012 comm sample'!K8</f>
        <v>0.1111111111111111</v>
      </c>
      <c r="H9" s="552">
        <f>'2012 comm sample'!L8</f>
        <v>0.2</v>
      </c>
      <c r="I9" s="552">
        <f>'2012 comm sample'!M8</f>
        <v>4.5023696682464455E-2</v>
      </c>
      <c r="J9" s="558">
        <f>IF(B9&gt;0,'2012 comm sample'!B8/'2012 Comm catch'!B9,"na")</f>
        <v>0.1087378640776699</v>
      </c>
      <c r="K9" s="559">
        <f>IF(C9&gt;0,'2012 comm sample'!C8/'2012 Comm catch'!C9,"na")</f>
        <v>5.232558139534884E-2</v>
      </c>
      <c r="L9" s="559">
        <f>IF(D9&gt;0,'2012 comm sample'!D8/'2012 Comm catch'!D9,"na")</f>
        <v>0.15151515151515152</v>
      </c>
      <c r="M9" s="559">
        <f>IF(E9&gt;0,'2012 comm sample'!E8/'2012 Comm catch'!E9,"na")</f>
        <v>0.46733111849390918</v>
      </c>
      <c r="N9" s="560">
        <f t="shared" si="0"/>
        <v>9.1964285714285712</v>
      </c>
      <c r="O9" s="514">
        <f t="shared" si="0"/>
        <v>19.111111111111111</v>
      </c>
      <c r="P9" s="514">
        <f t="shared" si="0"/>
        <v>6.6000000000000005</v>
      </c>
      <c r="Q9" s="563">
        <f t="shared" si="0"/>
        <v>40.656398104265406</v>
      </c>
      <c r="R9" s="514"/>
      <c r="S9" s="514"/>
      <c r="T9" s="514"/>
      <c r="U9" s="514"/>
      <c r="V9" s="514"/>
      <c r="W9" s="514"/>
    </row>
    <row r="10" spans="1:23" x14ac:dyDescent="0.3">
      <c r="A10" s="34">
        <v>37</v>
      </c>
      <c r="B10" s="485">
        <v>905</v>
      </c>
      <c r="C10" s="457">
        <v>518</v>
      </c>
      <c r="D10" s="457">
        <v>46</v>
      </c>
      <c r="E10" s="515">
        <v>1022</v>
      </c>
      <c r="F10" s="551">
        <f>'2012 comm sample'!J9</f>
        <v>1.8518518518518517E-2</v>
      </c>
      <c r="G10" s="552">
        <f>'2012 comm sample'!K9</f>
        <v>1.7857142857142856E-2</v>
      </c>
      <c r="H10" s="552">
        <f>'2012 comm sample'!L9</f>
        <v>0.25</v>
      </c>
      <c r="I10" s="552">
        <f>'2012 comm sample'!M9</f>
        <v>3.2432432432432434E-2</v>
      </c>
      <c r="J10" s="558">
        <f>IF(B10&gt;0,'2012 comm sample'!B9/'2012 Comm catch'!B10,"na")</f>
        <v>5.9668508287292817E-2</v>
      </c>
      <c r="K10" s="559">
        <f>IF(C10&gt;0,'2012 comm sample'!C9/'2012 Comm catch'!C10,"na")</f>
        <v>0.10810810810810811</v>
      </c>
      <c r="L10" s="559">
        <f>IF(D10&gt;0,'2012 comm sample'!D9/'2012 Comm catch'!D10,"na")</f>
        <v>8.6956521739130432E-2</v>
      </c>
      <c r="M10" s="559">
        <f>IF(E10&gt;0,'2012 comm sample'!E9/'2012 Comm catch'!E10,"na")</f>
        <v>0.36203522504892366</v>
      </c>
      <c r="N10" s="560">
        <f t="shared" si="0"/>
        <v>16.75925925925926</v>
      </c>
      <c r="O10" s="514">
        <f t="shared" si="0"/>
        <v>9.25</v>
      </c>
      <c r="P10" s="514">
        <f t="shared" si="0"/>
        <v>11.5</v>
      </c>
      <c r="Q10" s="563">
        <f t="shared" si="0"/>
        <v>33.145945945945947</v>
      </c>
      <c r="R10" s="514"/>
      <c r="S10" s="514"/>
      <c r="T10" s="514"/>
      <c r="U10" s="514"/>
      <c r="V10" s="514"/>
      <c r="W10" s="514"/>
    </row>
    <row r="11" spans="1:23" x14ac:dyDescent="0.3">
      <c r="A11" s="34">
        <v>38</v>
      </c>
      <c r="B11" s="485">
        <v>3008</v>
      </c>
      <c r="C11" s="457">
        <v>2085</v>
      </c>
      <c r="D11" s="457">
        <v>302</v>
      </c>
      <c r="E11" s="515">
        <v>961</v>
      </c>
      <c r="F11" s="551">
        <f>'2012 comm sample'!J10</f>
        <v>4.0330920372285417E-2</v>
      </c>
      <c r="G11" s="552">
        <f>'2012 comm sample'!K10</f>
        <v>0.13050314465408805</v>
      </c>
      <c r="H11" s="552">
        <f>'2012 comm sample'!L10</f>
        <v>4.5454545454545456E-2</v>
      </c>
      <c r="I11" s="552">
        <f>'2012 comm sample'!M10</f>
        <v>5.0761421319796954E-2</v>
      </c>
      <c r="J11" s="558">
        <f>IF(B11&gt;0,'2012 comm sample'!B10/'2012 Comm catch'!B11,"na")</f>
        <v>0.32147606382978722</v>
      </c>
      <c r="K11" s="559">
        <f>IF(C11&gt;0,'2012 comm sample'!C10/'2012 Comm catch'!C11,"na")</f>
        <v>0.30503597122302156</v>
      </c>
      <c r="L11" s="559">
        <f>IF(D11&gt;0,'2012 comm sample'!D10/'2012 Comm catch'!D11,"na")</f>
        <v>0.4370860927152318</v>
      </c>
      <c r="M11" s="559">
        <f>IF(E11&gt;0,'2012 comm sample'!E10/'2012 Comm catch'!E11,"na")</f>
        <v>0.40998959417273673</v>
      </c>
      <c r="N11" s="560">
        <f t="shared" si="0"/>
        <v>121.31540847983453</v>
      </c>
      <c r="O11" s="514">
        <f t="shared" si="0"/>
        <v>272.09905660377359</v>
      </c>
      <c r="P11" s="514">
        <f t="shared" si="0"/>
        <v>13.727272727272728</v>
      </c>
      <c r="Q11" s="563">
        <f t="shared" si="0"/>
        <v>48.781725888324871</v>
      </c>
      <c r="R11" s="514"/>
      <c r="S11" s="514"/>
      <c r="T11" s="514"/>
      <c r="U11" s="514"/>
      <c r="V11" s="514"/>
      <c r="W11" s="514"/>
    </row>
    <row r="12" spans="1:23" x14ac:dyDescent="0.3">
      <c r="A12" s="34">
        <v>39</v>
      </c>
      <c r="B12" s="485">
        <v>787</v>
      </c>
      <c r="C12" s="457">
        <v>721</v>
      </c>
      <c r="D12" s="457">
        <v>363</v>
      </c>
      <c r="E12" s="515">
        <v>400</v>
      </c>
      <c r="F12" s="551">
        <f>'2012 comm sample'!J11</f>
        <v>7.0588235294117646E-2</v>
      </c>
      <c r="G12" s="552">
        <f>'2012 comm sample'!K11</f>
        <v>6.070287539936102E-2</v>
      </c>
      <c r="H12" s="552">
        <f>'2012 comm sample'!L11</f>
        <v>0.13286713286713286</v>
      </c>
      <c r="I12" s="552">
        <f>'2012 comm sample'!M11</f>
        <v>0.1497005988023952</v>
      </c>
      <c r="J12" s="558">
        <f>IF(B12&gt;0,'2012 comm sample'!B11/'2012 Comm catch'!B12,"na")</f>
        <v>0.10800508259212198</v>
      </c>
      <c r="K12" s="559">
        <f>IF(C12&gt;0,'2012 comm sample'!C11/'2012 Comm catch'!C12,"na")</f>
        <v>0.43411927877947293</v>
      </c>
      <c r="L12" s="559">
        <f>IF(D12&gt;0,'2012 comm sample'!D11/'2012 Comm catch'!D12,"na")</f>
        <v>0.39393939393939392</v>
      </c>
      <c r="M12" s="559">
        <f>IF(E12&gt;0,'2012 comm sample'!E11/'2012 Comm catch'!E12,"na")</f>
        <v>0.41749999999999998</v>
      </c>
      <c r="N12" s="560">
        <f t="shared" si="0"/>
        <v>55.55294117647059</v>
      </c>
      <c r="O12" s="514">
        <f t="shared" si="0"/>
        <v>43.766773162939295</v>
      </c>
      <c r="P12" s="514">
        <f t="shared" si="0"/>
        <v>48.230769230769226</v>
      </c>
      <c r="Q12" s="563">
        <f t="shared" si="0"/>
        <v>59.880239520958078</v>
      </c>
      <c r="R12" s="514"/>
      <c r="S12" s="514"/>
      <c r="T12" s="514"/>
      <c r="U12" s="514"/>
      <c r="V12" s="514"/>
      <c r="W12" s="514"/>
    </row>
    <row r="13" spans="1:23" x14ac:dyDescent="0.3">
      <c r="A13" s="34">
        <v>40</v>
      </c>
      <c r="B13" s="485">
        <v>291</v>
      </c>
      <c r="C13" s="457">
        <v>174</v>
      </c>
      <c r="D13" s="457">
        <v>368</v>
      </c>
      <c r="E13" s="515">
        <v>168</v>
      </c>
      <c r="F13" s="551">
        <f>'2012 comm sample'!J12</f>
        <v>7.03125E-2</v>
      </c>
      <c r="G13" s="552">
        <f>'2012 comm sample'!K12</f>
        <v>0.23529411764705882</v>
      </c>
      <c r="H13" s="552">
        <f>'2012 comm sample'!L12</f>
        <v>0.15306122448979592</v>
      </c>
      <c r="I13" s="552">
        <f>'2012 comm sample'!M12</f>
        <v>0.12222222222222222</v>
      </c>
      <c r="J13" s="558">
        <f>IF(B13&gt;0,'2012 comm sample'!B12/'2012 Comm catch'!B13,"na")</f>
        <v>0.43986254295532645</v>
      </c>
      <c r="K13" s="559">
        <f>IF(C13&gt;0,'2012 comm sample'!C12/'2012 Comm catch'!C13,"na")</f>
        <v>9.7701149425287362E-2</v>
      </c>
      <c r="L13" s="559">
        <f>IF(D13&gt;0,'2012 comm sample'!D12/'2012 Comm catch'!D13,"na")</f>
        <v>0.26630434782608697</v>
      </c>
      <c r="M13" s="559">
        <f>IF(E13&gt;0,'2012 comm sample'!E12/'2012 Comm catch'!E13,"na")</f>
        <v>0.5357142857142857</v>
      </c>
      <c r="N13" s="560">
        <f t="shared" si="0"/>
        <v>20.4609375</v>
      </c>
      <c r="O13" s="514">
        <f t="shared" si="0"/>
        <v>40.941176470588232</v>
      </c>
      <c r="P13" s="514">
        <f t="shared" si="0"/>
        <v>56.326530612244902</v>
      </c>
      <c r="Q13" s="563">
        <f t="shared" si="0"/>
        <v>20.533333333333331</v>
      </c>
      <c r="R13" s="514"/>
      <c r="S13" s="514"/>
      <c r="T13" s="514"/>
      <c r="U13" s="514"/>
      <c r="V13" s="514"/>
      <c r="W13" s="514"/>
    </row>
    <row r="14" spans="1:23" x14ac:dyDescent="0.3">
      <c r="A14" s="34">
        <v>41</v>
      </c>
      <c r="B14" s="485">
        <v>73</v>
      </c>
      <c r="C14" s="457">
        <v>14</v>
      </c>
      <c r="D14" s="457">
        <v>164</v>
      </c>
      <c r="E14" s="515">
        <v>35</v>
      </c>
      <c r="F14" s="551">
        <f>'2012 comm sample'!J13</f>
        <v>0</v>
      </c>
      <c r="G14" s="552">
        <f>'2012 comm sample'!K13</f>
        <v>0.1111</v>
      </c>
      <c r="H14" s="552">
        <f>'2012 comm sample'!L13</f>
        <v>0.19444444444444445</v>
      </c>
      <c r="I14" s="552">
        <f>'2012 comm sample'!M13</f>
        <v>0.13636363636363635</v>
      </c>
      <c r="J14" s="558">
        <f>IF(B14&gt;0,'2012 comm sample'!B13/'2012 Comm catch'!B14,"na")</f>
        <v>2.7397260273972601E-2</v>
      </c>
      <c r="K14" s="559">
        <f>IF(C14&gt;0,'2012 comm sample'!C13/'2012 Comm catch'!C14,"na")</f>
        <v>0</v>
      </c>
      <c r="L14" s="559">
        <f>IF(D14&gt;0,'2012 comm sample'!D13/'2012 Comm catch'!D14,"na")</f>
        <v>0.43902439024390244</v>
      </c>
      <c r="M14" s="559">
        <f>IF(E14&gt;0,'2012 comm sample'!E13/'2012 Comm catch'!E14,"na")</f>
        <v>0.62857142857142856</v>
      </c>
      <c r="N14" s="560">
        <f t="shared" si="0"/>
        <v>0</v>
      </c>
      <c r="O14" s="514">
        <f t="shared" si="0"/>
        <v>1.5554000000000001</v>
      </c>
      <c r="P14" s="514">
        <f t="shared" si="0"/>
        <v>31.888888888888889</v>
      </c>
      <c r="Q14" s="563">
        <f t="shared" si="0"/>
        <v>4.7727272727272725</v>
      </c>
      <c r="R14" s="514"/>
      <c r="S14" s="514"/>
      <c r="T14" s="514"/>
      <c r="U14" s="514"/>
      <c r="V14" s="514"/>
      <c r="W14" s="514"/>
    </row>
    <row r="15" spans="1:23" x14ac:dyDescent="0.3">
      <c r="A15" s="34">
        <v>42</v>
      </c>
      <c r="B15" s="485">
        <v>6</v>
      </c>
      <c r="C15" s="457"/>
      <c r="D15" s="457">
        <v>84</v>
      </c>
      <c r="E15" s="515">
        <v>99</v>
      </c>
      <c r="F15" s="551">
        <f>'2012 comm sample'!J14</f>
        <v>4.0108523325910229E-2</v>
      </c>
      <c r="G15" s="552" t="str">
        <f>'2012 comm sample'!K14</f>
        <v>na</v>
      </c>
      <c r="H15" s="552">
        <f>'2012 comm sample'!L14</f>
        <v>0.17647058823529413</v>
      </c>
      <c r="I15" s="552">
        <f>'2012 comm sample'!M14</f>
        <v>0.13333333333333333</v>
      </c>
      <c r="J15" s="558">
        <f>IF(B15&gt;0,'2012 comm sample'!B14/'2012 Comm catch'!B15,"na")</f>
        <v>0</v>
      </c>
      <c r="K15" s="559" t="str">
        <f>IF(C15&gt;0,'2012 comm sample'!C14/'2012 Comm catch'!C15,"na")</f>
        <v>na</v>
      </c>
      <c r="L15" s="559">
        <f>IF(D15&gt;0,'2012 comm sample'!D14/'2012 Comm catch'!D15,"na")</f>
        <v>0.80952380952380953</v>
      </c>
      <c r="M15" s="559">
        <f>IF(E15&gt;0,'2012 comm sample'!E14/'2012 Comm catch'!E15,"na")</f>
        <v>0.75757575757575757</v>
      </c>
      <c r="N15" s="560">
        <f t="shared" si="0"/>
        <v>0.24065113995546139</v>
      </c>
      <c r="O15" s="514" t="str">
        <f t="shared" si="0"/>
        <v>na</v>
      </c>
      <c r="P15" s="514">
        <f t="shared" si="0"/>
        <v>14.823529411764707</v>
      </c>
      <c r="Q15" s="563">
        <f t="shared" si="0"/>
        <v>13.2</v>
      </c>
      <c r="R15" s="514"/>
      <c r="S15" s="514"/>
      <c r="T15" s="514"/>
      <c r="U15" s="514"/>
      <c r="V15" s="514"/>
      <c r="W15" s="514"/>
    </row>
    <row r="16" spans="1:23" x14ac:dyDescent="0.3">
      <c r="A16" s="34">
        <v>43</v>
      </c>
      <c r="B16" s="485">
        <v>389</v>
      </c>
      <c r="C16" s="457">
        <v>218</v>
      </c>
      <c r="D16" s="457">
        <v>161</v>
      </c>
      <c r="E16" s="515"/>
      <c r="F16" s="551">
        <f>'2012 comm sample'!J15</f>
        <v>0.10326086956521739</v>
      </c>
      <c r="G16" s="552">
        <f>'2012 comm sample'!K15</f>
        <v>0.1111</v>
      </c>
      <c r="H16" s="552">
        <f>'2012 comm sample'!L15</f>
        <v>0.33333333333333331</v>
      </c>
      <c r="I16" s="552" t="str">
        <f>'2012 comm sample'!M15</f>
        <v>na</v>
      </c>
      <c r="J16" s="558">
        <f>IF(B16&gt;0,'2012 comm sample'!B15/'2012 Comm catch'!B16,"na")</f>
        <v>0.47300771208226222</v>
      </c>
      <c r="K16" s="559">
        <f>IF(C16&gt;0,'2012 comm sample'!C15/'2012 Comm catch'!C16,"na")</f>
        <v>0</v>
      </c>
      <c r="L16" s="559">
        <f>IF(D16&gt;0,'2012 comm sample'!D15/'2012 Comm catch'!D16,"na")</f>
        <v>0.27950310559006208</v>
      </c>
      <c r="M16" s="559" t="str">
        <f>IF(E16&gt;0,'2012 comm sample'!E15/'2012 Comm catch'!E16,"na")</f>
        <v>na</v>
      </c>
      <c r="N16" s="560">
        <f t="shared" si="0"/>
        <v>40.168478260869563</v>
      </c>
      <c r="O16" s="514">
        <f t="shared" si="0"/>
        <v>24.219799999999999</v>
      </c>
      <c r="P16" s="514">
        <f t="shared" si="0"/>
        <v>53.666666666666664</v>
      </c>
      <c r="Q16" s="563" t="str">
        <f t="shared" si="0"/>
        <v>na</v>
      </c>
      <c r="R16" s="514"/>
      <c r="S16" s="514"/>
      <c r="T16" s="514"/>
      <c r="U16" s="514"/>
      <c r="V16" s="514"/>
      <c r="W16" s="514"/>
    </row>
    <row r="17" spans="1:34" x14ac:dyDescent="0.3">
      <c r="A17" s="34">
        <v>44</v>
      </c>
      <c r="B17" s="485"/>
      <c r="C17" s="457"/>
      <c r="D17" s="457">
        <v>13</v>
      </c>
      <c r="E17" s="515"/>
      <c r="F17" s="551" t="str">
        <f>'2012 comm sample'!J16</f>
        <v>na</v>
      </c>
      <c r="G17" s="552" t="str">
        <f>'2012 comm sample'!K16</f>
        <v>na</v>
      </c>
      <c r="H17" s="552" t="str">
        <f>'2012 comm sample'!L16</f>
        <v>na</v>
      </c>
      <c r="I17" s="552" t="str">
        <f>'2012 comm sample'!M16</f>
        <v>na</v>
      </c>
      <c r="J17" s="558" t="str">
        <f>IF(B17&gt;0,'2012 comm sample'!B16/'2012 Comm catch'!B17,"na")</f>
        <v>na</v>
      </c>
      <c r="K17" s="559" t="str">
        <f>IF(C17&gt;0,'2012 comm sample'!C16/'2012 Comm catch'!C17,"na")</f>
        <v>na</v>
      </c>
      <c r="L17" s="559">
        <f>IF(D17&gt;0,'2012 comm sample'!D16/'2012 Comm catch'!D17,"na")</f>
        <v>0</v>
      </c>
      <c r="M17" s="559" t="str">
        <f>IF(E17&gt;0,'2012 comm sample'!E16/'2012 Comm catch'!E17,"na")</f>
        <v>na</v>
      </c>
      <c r="N17" s="560" t="str">
        <f t="shared" si="0"/>
        <v>na</v>
      </c>
      <c r="O17" s="514" t="str">
        <f t="shared" si="0"/>
        <v>na</v>
      </c>
      <c r="P17" s="514" t="str">
        <f t="shared" si="0"/>
        <v>na</v>
      </c>
      <c r="Q17" s="563" t="str">
        <f t="shared" si="0"/>
        <v>na</v>
      </c>
      <c r="R17" s="514"/>
      <c r="S17" s="514"/>
      <c r="T17" s="514"/>
      <c r="U17" s="514"/>
      <c r="V17" s="514"/>
      <c r="W17" s="514"/>
    </row>
    <row r="18" spans="1:34" x14ac:dyDescent="0.3">
      <c r="A18" s="34">
        <v>45</v>
      </c>
      <c r="B18" s="564"/>
      <c r="C18" s="565"/>
      <c r="D18" s="565"/>
      <c r="E18" s="566"/>
      <c r="F18" s="567" t="str">
        <f>'2012 comm sample'!J17</f>
        <v>na</v>
      </c>
      <c r="G18" s="568" t="str">
        <f>'2012 comm sample'!K17</f>
        <v>na</v>
      </c>
      <c r="H18" s="568" t="str">
        <f>'2012 comm sample'!L17</f>
        <v>na</v>
      </c>
      <c r="I18" s="568" t="str">
        <f>'2012 comm sample'!M17</f>
        <v>na</v>
      </c>
      <c r="J18" s="569" t="str">
        <f>IF(B18&gt;0,'2012 comm sample'!B17/'2012 Comm catch'!B18,"na")</f>
        <v>na</v>
      </c>
      <c r="K18" s="570" t="str">
        <f>IF(C18&gt;0,'2012 comm sample'!C17/'2012 Comm catch'!C18,"na")</f>
        <v>na</v>
      </c>
      <c r="L18" s="570" t="str">
        <f>IF(D18&gt;0,'2012 comm sample'!D17/'2012 Comm catch'!D18,"na")</f>
        <v>na</v>
      </c>
      <c r="M18" s="570" t="str">
        <f>IF(E18&gt;0,'2012 comm sample'!E17/'2012 Comm catch'!E18,"na")</f>
        <v>na</v>
      </c>
      <c r="N18" s="560" t="str">
        <f t="shared" si="0"/>
        <v>na</v>
      </c>
      <c r="O18" s="514" t="str">
        <f t="shared" si="0"/>
        <v>na</v>
      </c>
      <c r="P18" s="514" t="str">
        <f t="shared" si="0"/>
        <v>na</v>
      </c>
      <c r="Q18" s="563" t="str">
        <f t="shared" si="0"/>
        <v>na</v>
      </c>
      <c r="R18" s="514"/>
      <c r="S18" s="514"/>
      <c r="T18" s="514"/>
      <c r="U18" s="514"/>
      <c r="V18" s="514"/>
      <c r="W18" s="514"/>
    </row>
    <row r="19" spans="1:34" x14ac:dyDescent="0.3">
      <c r="A19" s="34" t="s">
        <v>184</v>
      </c>
      <c r="B19" s="547">
        <f>SUM(B5:B18)</f>
        <v>5986</v>
      </c>
      <c r="C19" s="202">
        <f>SUM(C5:C18)</f>
        <v>3902</v>
      </c>
      <c r="D19" s="202">
        <f>SUM(D5:D18)</f>
        <v>1534</v>
      </c>
      <c r="E19" s="548">
        <f>SUM(E5:E18)</f>
        <v>3932</v>
      </c>
      <c r="F19" s="571">
        <f>'2012 comm sample'!J18</f>
        <v>5.0539083557951482E-2</v>
      </c>
      <c r="G19" s="571">
        <f>'2012 comm sample'!K18</f>
        <v>0.10475266731328807</v>
      </c>
      <c r="H19" s="571">
        <f>'2012 comm sample'!L18</f>
        <v>0.14638447971781304</v>
      </c>
      <c r="I19" s="571">
        <f>'2012 comm sample'!M18</f>
        <v>6.3063063063063057E-2</v>
      </c>
      <c r="J19" s="572">
        <f>IF(B19&gt;0,'2012 comm sample'!B18/'2012 Comm catch'!B19,"na")</f>
        <v>0.24791179418643502</v>
      </c>
      <c r="K19" s="573">
        <f>IF(C19&gt;0,'2012 comm sample'!C18/'2012 Comm catch'!C19,"na")</f>
        <v>0.26422347514095335</v>
      </c>
      <c r="L19" s="573">
        <f>IF(D19&gt;0,'2012 comm sample'!D18/'2012 Comm catch'!D19,"na")</f>
        <v>0.36962190352020863</v>
      </c>
      <c r="M19" s="574">
        <f>IF(E19&gt;0,'2012 comm sample'!E18/'2012 Comm catch'!E19,"na")</f>
        <v>0.42344862665310273</v>
      </c>
      <c r="N19" s="572">
        <f>SUM(N5:N18)</f>
        <v>263.69410438781802</v>
      </c>
      <c r="O19" s="573">
        <f>SUM(O5:O18)</f>
        <v>410.94331734841222</v>
      </c>
      <c r="P19" s="573">
        <f>SUM(P5:P18)</f>
        <v>236.76365753760709</v>
      </c>
      <c r="Q19" s="574">
        <f>SUM(Q5:Q18)</f>
        <v>235.49210919598968</v>
      </c>
      <c r="R19" s="575"/>
      <c r="S19" s="575"/>
      <c r="T19" s="575"/>
      <c r="U19" s="575"/>
      <c r="V19" s="575"/>
      <c r="W19" s="575"/>
    </row>
    <row r="20" spans="1:34" x14ac:dyDescent="0.3">
      <c r="A20" s="208"/>
      <c r="B20" s="208"/>
      <c r="C20" s="208"/>
      <c r="D20" s="208"/>
      <c r="E20" s="575"/>
      <c r="F20" s="34"/>
      <c r="G20" s="34"/>
      <c r="H20" s="208"/>
      <c r="I20" s="576"/>
      <c r="J20" s="208"/>
      <c r="K20" s="208"/>
      <c r="L20" s="208"/>
      <c r="M20" s="577"/>
      <c r="N20" s="208"/>
      <c r="O20" s="208"/>
      <c r="P20" s="208"/>
      <c r="Q20" s="575"/>
      <c r="R20" s="575"/>
      <c r="S20" s="575"/>
      <c r="T20" s="575"/>
      <c r="U20" s="575"/>
      <c r="V20" s="575"/>
      <c r="W20" s="575"/>
    </row>
    <row r="21" spans="1:34" x14ac:dyDescent="0.3">
      <c r="A21" s="208"/>
      <c r="B21" s="457"/>
      <c r="C21" s="457"/>
      <c r="D21" s="457"/>
      <c r="E21" s="514"/>
      <c r="H21" s="457"/>
      <c r="I21" s="457"/>
      <c r="J21" s="457"/>
      <c r="K21" s="457"/>
      <c r="L21" s="457"/>
      <c r="M21" s="457"/>
      <c r="N21" s="457"/>
      <c r="O21" s="457"/>
      <c r="P21" s="457"/>
      <c r="Q21" s="514"/>
      <c r="R21" s="514"/>
      <c r="S21" s="514"/>
      <c r="T21" s="514"/>
      <c r="U21" s="514"/>
      <c r="V21" s="514"/>
      <c r="W21" s="514"/>
    </row>
    <row r="22" spans="1:34" x14ac:dyDescent="0.3">
      <c r="B22" s="34" t="s">
        <v>123</v>
      </c>
      <c r="G22" s="457"/>
      <c r="H22" s="457"/>
      <c r="I22" s="457"/>
      <c r="X22" s="33"/>
      <c r="Y22" s="33"/>
      <c r="Z22" s="33"/>
    </row>
    <row r="23" spans="1:34" x14ac:dyDescent="0.3">
      <c r="B23" s="903" t="s">
        <v>263</v>
      </c>
      <c r="C23" s="904"/>
      <c r="D23" s="904"/>
      <c r="E23" s="904"/>
      <c r="F23" s="904"/>
      <c r="G23" s="904"/>
      <c r="H23" s="904"/>
      <c r="I23" s="905"/>
      <c r="J23" s="903" t="s">
        <v>264</v>
      </c>
      <c r="K23" s="904"/>
      <c r="L23" s="904"/>
      <c r="M23" s="904"/>
      <c r="N23" s="905"/>
      <c r="O23" s="903" t="s">
        <v>261</v>
      </c>
      <c r="P23" s="904"/>
      <c r="Q23" s="904"/>
      <c r="R23" s="904"/>
      <c r="S23" s="904"/>
      <c r="T23" s="697" t="s">
        <v>262</v>
      </c>
      <c r="U23" s="698"/>
      <c r="V23" s="698"/>
      <c r="W23" s="698"/>
      <c r="X23" s="698"/>
      <c r="Y23" s="698"/>
      <c r="Z23" s="698"/>
      <c r="AA23" s="699"/>
      <c r="AB23" s="33" t="s">
        <v>14</v>
      </c>
    </row>
    <row r="24" spans="1:34" x14ac:dyDescent="0.3">
      <c r="A24" s="34" t="s">
        <v>134</v>
      </c>
      <c r="B24" s="547">
        <v>1</v>
      </c>
      <c r="C24" s="202">
        <v>2</v>
      </c>
      <c r="D24" s="202">
        <v>3</v>
      </c>
      <c r="E24" s="202"/>
      <c r="F24" s="202">
        <v>4</v>
      </c>
      <c r="G24" s="202">
        <v>5</v>
      </c>
      <c r="H24" s="202"/>
      <c r="I24" s="548" t="s">
        <v>272</v>
      </c>
      <c r="J24" s="367">
        <v>1</v>
      </c>
      <c r="K24" s="175">
        <v>2</v>
      </c>
      <c r="L24" s="175">
        <v>3</v>
      </c>
      <c r="M24" s="175">
        <v>4</v>
      </c>
      <c r="N24" s="368">
        <v>5</v>
      </c>
      <c r="O24" s="367">
        <v>1</v>
      </c>
      <c r="P24" s="175">
        <v>2</v>
      </c>
      <c r="Q24" s="175">
        <v>3</v>
      </c>
      <c r="R24" s="175">
        <v>4</v>
      </c>
      <c r="S24" s="175">
        <v>5</v>
      </c>
      <c r="T24" s="367">
        <v>1</v>
      </c>
      <c r="U24" s="175">
        <v>2</v>
      </c>
      <c r="V24" s="175">
        <v>3</v>
      </c>
      <c r="W24" s="175"/>
      <c r="X24" s="175">
        <v>4</v>
      </c>
      <c r="Y24" s="175">
        <v>5</v>
      </c>
      <c r="Z24" s="175"/>
      <c r="AA24" s="368" t="s">
        <v>272</v>
      </c>
      <c r="AB24" s="33" t="s">
        <v>313</v>
      </c>
      <c r="AC24" s="33" t="s">
        <v>314</v>
      </c>
      <c r="AF24" s="73"/>
      <c r="AG24" s="73"/>
      <c r="AH24" s="73"/>
    </row>
    <row r="25" spans="1:34" x14ac:dyDescent="0.3">
      <c r="A25" s="34">
        <v>32</v>
      </c>
      <c r="B25" s="578"/>
      <c r="C25" s="646"/>
      <c r="D25" s="646"/>
      <c r="E25" s="700"/>
      <c r="F25" s="646"/>
      <c r="G25" s="646"/>
      <c r="H25" s="700"/>
      <c r="I25" s="579"/>
      <c r="J25" s="532" t="str">
        <f>'2012 comm sample'!L24</f>
        <v>na</v>
      </c>
      <c r="K25" s="532" t="str">
        <f>'2012 comm sample'!M24</f>
        <v>na</v>
      </c>
      <c r="L25" s="532" t="str">
        <f>'2012 comm sample'!N24</f>
        <v>na</v>
      </c>
      <c r="M25" s="532" t="str">
        <f>'2012 comm sample'!O24</f>
        <v>na</v>
      </c>
      <c r="N25" s="533" t="str">
        <f>'2012 comm sample'!P24</f>
        <v>na</v>
      </c>
      <c r="O25" s="559" t="str">
        <f>IF(B25&gt;0,'2012 comm sample'!B24/'2012 Comm catch'!B25,"na")</f>
        <v>na</v>
      </c>
      <c r="P25" s="559" t="str">
        <f>IF(C25&gt;0,'2012 comm sample'!C24/'2012 Comm catch'!C25,"na")</f>
        <v>na</v>
      </c>
      <c r="Q25" s="33" t="str">
        <f>IF(D25&gt;0,'2012 comm sample'!D24/'2012 Comm catch'!D25,"na")</f>
        <v>na</v>
      </c>
      <c r="R25" s="554" t="str">
        <f>IF(F25&gt;0,'2012 comm sample'!E24/'2012 Comm catch'!F25,"na")</f>
        <v>na</v>
      </c>
      <c r="S25" s="554" t="str">
        <f>IF(G25&gt;0,'2012 comm sample'!F24/'2012 Comm catch'!G25,"na")</f>
        <v>na</v>
      </c>
      <c r="T25" s="560">
        <f t="shared" ref="T25:T38" si="1">IF(J25&lt;&gt;"na",B25*J25,0)</f>
        <v>0</v>
      </c>
      <c r="U25" s="514">
        <f t="shared" ref="U25:U38" si="2">IF(K25&lt;&gt;"na",C25*K25,0)</f>
        <v>0</v>
      </c>
      <c r="V25" s="514">
        <f t="shared" ref="V25:V38" si="3">IF(L25&lt;&gt;"na",D25*L25,0)</f>
        <v>0</v>
      </c>
      <c r="W25" s="705"/>
      <c r="X25" s="514">
        <f t="shared" ref="X25:X38" si="4">IF(M25&lt;&gt;"na",F25*M25,0)</f>
        <v>0</v>
      </c>
      <c r="Y25" s="514">
        <f t="shared" ref="Y25:Y38" si="5">IF(N25&lt;&gt;"na",G25*N25,0)</f>
        <v>0</v>
      </c>
      <c r="Z25" s="705"/>
      <c r="AA25" s="580">
        <f t="shared" ref="AA25:AA39" si="6">SUM(T25:Y25)</f>
        <v>0</v>
      </c>
      <c r="AB25" s="647"/>
    </row>
    <row r="26" spans="1:34" x14ac:dyDescent="0.3">
      <c r="A26" s="34">
        <v>33</v>
      </c>
      <c r="B26" s="485"/>
      <c r="C26" s="457"/>
      <c r="D26" s="457"/>
      <c r="E26" s="701"/>
      <c r="F26" s="457"/>
      <c r="G26" s="457"/>
      <c r="H26" s="701"/>
      <c r="I26" s="515"/>
      <c r="J26" s="532" t="str">
        <f>'2012 comm sample'!L25</f>
        <v>na</v>
      </c>
      <c r="K26" s="532" t="str">
        <f>'2012 comm sample'!M25</f>
        <v>na</v>
      </c>
      <c r="L26" s="532" t="str">
        <f>'2012 comm sample'!N25</f>
        <v>na</v>
      </c>
      <c r="M26" s="532" t="str">
        <f>'2012 comm sample'!O25</f>
        <v>na</v>
      </c>
      <c r="N26" s="533" t="str">
        <f>'2012 comm sample'!P25</f>
        <v>na</v>
      </c>
      <c r="O26" s="559" t="str">
        <f>IF(B26&gt;0,'2012 comm sample'!B25/'2012 Comm catch'!B26,"na")</f>
        <v>na</v>
      </c>
      <c r="P26" s="559" t="str">
        <f>IF(C26&gt;0,'2012 comm sample'!C25/'2012 Comm catch'!C26,"na")</f>
        <v>na</v>
      </c>
      <c r="Q26" s="559" t="str">
        <f>IF(D26&gt;0,'2012 comm sample'!D25/'2012 Comm catch'!D26,"na")</f>
        <v>na</v>
      </c>
      <c r="R26" s="559" t="str">
        <f>IF(F26&gt;0,'2012 comm sample'!E25/'2012 Comm catch'!F26,"na")</f>
        <v>na</v>
      </c>
      <c r="S26" s="559" t="str">
        <f>IF(G26&gt;0,'2012 comm sample'!F25/'2012 Comm catch'!G26,"na")</f>
        <v>na</v>
      </c>
      <c r="T26" s="560">
        <f t="shared" si="1"/>
        <v>0</v>
      </c>
      <c r="U26" s="514">
        <f t="shared" si="2"/>
        <v>0</v>
      </c>
      <c r="V26" s="514">
        <f t="shared" si="3"/>
        <v>0</v>
      </c>
      <c r="W26" s="705"/>
      <c r="X26" s="514">
        <f t="shared" si="4"/>
        <v>0</v>
      </c>
      <c r="Y26" s="514">
        <f t="shared" si="5"/>
        <v>0</v>
      </c>
      <c r="Z26" s="705"/>
      <c r="AA26" s="580">
        <f t="shared" si="6"/>
        <v>0</v>
      </c>
      <c r="AB26" s="647"/>
    </row>
    <row r="27" spans="1:34" x14ac:dyDescent="0.3">
      <c r="A27" s="34">
        <v>34</v>
      </c>
      <c r="B27" s="485"/>
      <c r="C27" s="457"/>
      <c r="D27" s="457"/>
      <c r="E27" s="701"/>
      <c r="F27">
        <v>3</v>
      </c>
      <c r="G27">
        <v>1</v>
      </c>
      <c r="H27" s="704">
        <f>SUM(F27:G27)</f>
        <v>4</v>
      </c>
      <c r="I27" s="515">
        <f t="shared" ref="I27:I39" si="7">SUM(B27:G27)</f>
        <v>4</v>
      </c>
      <c r="J27" s="532" t="str">
        <f>'2012 comm sample'!L26</f>
        <v>na</v>
      </c>
      <c r="K27" s="532" t="str">
        <f>'2012 comm sample'!M26</f>
        <v>na</v>
      </c>
      <c r="L27" s="532" t="str">
        <f>'2012 comm sample'!N26</f>
        <v>na</v>
      </c>
      <c r="M27" s="532">
        <f>'2012 comm sample'!O26</f>
        <v>1</v>
      </c>
      <c r="N27" s="533">
        <f>'2012 comm sample'!P26</f>
        <v>1</v>
      </c>
      <c r="O27" s="559" t="str">
        <f>IF(B27&gt;0,'2012 comm sample'!B26/'2012 Comm catch'!B27,"na")</f>
        <v>na</v>
      </c>
      <c r="P27" s="559" t="str">
        <f>IF(C27&gt;0,'2012 comm sample'!C26/'2012 Comm catch'!C27,"na")</f>
        <v>na</v>
      </c>
      <c r="Q27" s="559" t="str">
        <f>IF(D27&gt;0,'2012 comm sample'!D26/'2012 Comm catch'!D27,"na")</f>
        <v>na</v>
      </c>
      <c r="R27" s="559">
        <f>IF(F27&gt;0,'2012 comm sample'!E26/'2012 Comm catch'!F27,"na")</f>
        <v>0.66666666666666663</v>
      </c>
      <c r="S27" s="559">
        <f>IF(G27&gt;0,'2012 comm sample'!F26/'2012 Comm catch'!G27,"na")</f>
        <v>0</v>
      </c>
      <c r="T27" s="560">
        <f t="shared" si="1"/>
        <v>0</v>
      </c>
      <c r="U27" s="514">
        <f t="shared" si="2"/>
        <v>0</v>
      </c>
      <c r="V27" s="514">
        <f t="shared" si="3"/>
        <v>0</v>
      </c>
      <c r="W27" s="705"/>
      <c r="X27" s="514">
        <f t="shared" si="4"/>
        <v>3</v>
      </c>
      <c r="Y27" s="514">
        <f t="shared" si="5"/>
        <v>1</v>
      </c>
      <c r="Z27" s="705">
        <f>SUM(X27:Y27)</f>
        <v>4</v>
      </c>
      <c r="AA27" s="580">
        <f t="shared" si="6"/>
        <v>4</v>
      </c>
      <c r="AB27" s="647"/>
      <c r="AC27" s="32">
        <f>SUM(X27:Y27)/SUM(F27:G27)</f>
        <v>1</v>
      </c>
    </row>
    <row r="28" spans="1:34" x14ac:dyDescent="0.3">
      <c r="A28" s="34">
        <v>35</v>
      </c>
      <c r="B28" s="485"/>
      <c r="C28" s="457"/>
      <c r="D28" s="457"/>
      <c r="E28" s="701"/>
      <c r="F28">
        <v>50</v>
      </c>
      <c r="G28">
        <v>17</v>
      </c>
      <c r="H28" s="704">
        <f>SUM(F28:G28)</f>
        <v>67</v>
      </c>
      <c r="I28" s="515">
        <f t="shared" si="7"/>
        <v>67</v>
      </c>
      <c r="J28" s="532" t="str">
        <f>'2012 comm sample'!L27</f>
        <v>na</v>
      </c>
      <c r="K28" s="532" t="str">
        <f>'2012 comm sample'!M27</f>
        <v>na</v>
      </c>
      <c r="L28" s="532" t="str">
        <f>'2012 comm sample'!N27</f>
        <v>na</v>
      </c>
      <c r="M28" s="532">
        <f>'2012 comm sample'!O27</f>
        <v>0.78260869565217395</v>
      </c>
      <c r="N28" s="533">
        <f>'2012 comm sample'!P27</f>
        <v>1</v>
      </c>
      <c r="O28" s="559" t="str">
        <f>IF(B28&gt;0,'2012 comm sample'!B27/'2012 Comm catch'!B28,"na")</f>
        <v>na</v>
      </c>
      <c r="P28" s="559" t="str">
        <f>IF(C28&gt;0,'2012 comm sample'!C27/'2012 Comm catch'!C28,"na")</f>
        <v>na</v>
      </c>
      <c r="Q28" s="559" t="str">
        <f>IF(D28&gt;0,'2012 comm sample'!D27/'2012 Comm catch'!D28,"na")</f>
        <v>na</v>
      </c>
      <c r="R28" s="559">
        <f>IF(F28&gt;0,'2012 comm sample'!E27/'2012 Comm catch'!F28,"na")</f>
        <v>0.46</v>
      </c>
      <c r="S28" s="559">
        <f>IF(G28&gt;0,'2012 comm sample'!F27/'2012 Comm catch'!G28,"na")</f>
        <v>0.29411764705882354</v>
      </c>
      <c r="T28" s="560">
        <f t="shared" si="1"/>
        <v>0</v>
      </c>
      <c r="U28" s="514">
        <f t="shared" si="2"/>
        <v>0</v>
      </c>
      <c r="V28" s="514">
        <f t="shared" si="3"/>
        <v>0</v>
      </c>
      <c r="W28" s="705"/>
      <c r="X28" s="514">
        <f t="shared" si="4"/>
        <v>39.130434782608695</v>
      </c>
      <c r="Y28" s="514">
        <f t="shared" si="5"/>
        <v>17</v>
      </c>
      <c r="Z28" s="705">
        <f>SUM(X28:Y28)</f>
        <v>56.130434782608695</v>
      </c>
      <c r="AA28" s="580">
        <f t="shared" si="6"/>
        <v>56.130434782608695</v>
      </c>
      <c r="AB28" s="647"/>
      <c r="AC28" s="32">
        <f>SUM(X28:Y28)/SUM(F28:G28)</f>
        <v>0.83776768332251783</v>
      </c>
    </row>
    <row r="29" spans="1:34" x14ac:dyDescent="0.3">
      <c r="A29" s="34">
        <v>36</v>
      </c>
      <c r="B29" s="485"/>
      <c r="C29" s="457"/>
      <c r="D29" s="457"/>
      <c r="E29" s="701"/>
      <c r="F29">
        <v>173</v>
      </c>
      <c r="G29">
        <v>40</v>
      </c>
      <c r="H29" s="704">
        <f>SUM(F29:G29)</f>
        <v>213</v>
      </c>
      <c r="I29" s="515">
        <f t="shared" si="7"/>
        <v>213</v>
      </c>
      <c r="J29" s="532" t="str">
        <f>'2012 comm sample'!L28</f>
        <v>na</v>
      </c>
      <c r="K29" s="532" t="str">
        <f>'2012 comm sample'!M28</f>
        <v>na</v>
      </c>
      <c r="L29" s="532" t="str">
        <f>'2012 comm sample'!N28</f>
        <v>na</v>
      </c>
      <c r="M29" s="532">
        <f>'2012 comm sample'!O28</f>
        <v>0.84426229508196726</v>
      </c>
      <c r="N29" s="533">
        <f>'2012 comm sample'!P28</f>
        <v>0.9285714285714286</v>
      </c>
      <c r="O29" s="559" t="str">
        <f>IF(B29&gt;0,'2012 comm sample'!B28/'2012 Comm catch'!B29,"na")</f>
        <v>na</v>
      </c>
      <c r="P29" s="559" t="str">
        <f>IF(C29&gt;0,'2012 comm sample'!C28/'2012 Comm catch'!C29,"na")</f>
        <v>na</v>
      </c>
      <c r="Q29" s="559" t="str">
        <f>IF(D29&gt;0,'2012 comm sample'!D28/'2012 Comm catch'!D29,"na")</f>
        <v>na</v>
      </c>
      <c r="R29" s="559">
        <f>IF(F29&gt;0,'2012 comm sample'!E28/'2012 Comm catch'!F29,"na")</f>
        <v>0.7052023121387283</v>
      </c>
      <c r="S29" s="559">
        <f>IF(G29&gt;0,'2012 comm sample'!F28/'2012 Comm catch'!G29,"na")</f>
        <v>0.35</v>
      </c>
      <c r="T29" s="560">
        <f t="shared" si="1"/>
        <v>0</v>
      </c>
      <c r="U29" s="514">
        <f t="shared" si="2"/>
        <v>0</v>
      </c>
      <c r="V29" s="514">
        <f t="shared" si="3"/>
        <v>0</v>
      </c>
      <c r="W29" s="705"/>
      <c r="X29" s="514">
        <f t="shared" si="4"/>
        <v>146.05737704918033</v>
      </c>
      <c r="Y29" s="514">
        <f t="shared" si="5"/>
        <v>37.142857142857146</v>
      </c>
      <c r="Z29" s="705">
        <f>SUM(X29:Y29)</f>
        <v>183.20023419203747</v>
      </c>
      <c r="AA29" s="580">
        <f t="shared" si="6"/>
        <v>183.20023419203747</v>
      </c>
      <c r="AB29" s="647"/>
      <c r="AC29" s="32">
        <f>SUM(X29:Y29)/SUM(F29:G29)</f>
        <v>0.86009499620674867</v>
      </c>
    </row>
    <row r="30" spans="1:34" x14ac:dyDescent="0.3">
      <c r="A30" s="34">
        <v>37</v>
      </c>
      <c r="B30" s="485"/>
      <c r="C30" s="457"/>
      <c r="D30" s="457"/>
      <c r="E30" s="701"/>
      <c r="F30" s="457"/>
      <c r="G30" s="457"/>
      <c r="H30" s="701"/>
      <c r="I30" s="515">
        <f t="shared" si="7"/>
        <v>0</v>
      </c>
      <c r="J30" s="532" t="str">
        <f>'2012 comm sample'!L29</f>
        <v>na</v>
      </c>
      <c r="K30" s="532" t="str">
        <f>'2012 comm sample'!M29</f>
        <v>na</v>
      </c>
      <c r="L30" s="532" t="str">
        <f>'2012 comm sample'!N29</f>
        <v>na</v>
      </c>
      <c r="M30" s="532" t="str">
        <f>'2012 comm sample'!O29</f>
        <v>na</v>
      </c>
      <c r="N30" s="533" t="str">
        <f>'2012 comm sample'!P29</f>
        <v>na</v>
      </c>
      <c r="O30" s="558" t="str">
        <f>IF(B30&gt;0,'2012 comm sample'!B29/'2012 Comm catch'!B30,"na")</f>
        <v>na</v>
      </c>
      <c r="P30" s="559" t="str">
        <f>IF(C30&gt;0,'2012 comm sample'!C29/'2012 Comm catch'!C30,"na")</f>
        <v>na</v>
      </c>
      <c r="Q30" s="559" t="str">
        <f>IF(D30&gt;0,'2012 comm sample'!D29/'2012 Comm catch'!D30,"na")</f>
        <v>na</v>
      </c>
      <c r="R30" s="559" t="str">
        <f>IF(F30&gt;0,'2012 comm sample'!E29/'2012 Comm catch'!F30,"na")</f>
        <v>na</v>
      </c>
      <c r="S30" s="559" t="str">
        <f>IF(G30&gt;0,'2012 comm sample'!F29/'2012 Comm catch'!G30,"na")</f>
        <v>na</v>
      </c>
      <c r="T30" s="560">
        <f t="shared" si="1"/>
        <v>0</v>
      </c>
      <c r="U30" s="514">
        <f t="shared" si="2"/>
        <v>0</v>
      </c>
      <c r="V30" s="514">
        <f t="shared" si="3"/>
        <v>0</v>
      </c>
      <c r="W30" s="705"/>
      <c r="X30" s="514">
        <f t="shared" si="4"/>
        <v>0</v>
      </c>
      <c r="Y30" s="514">
        <f t="shared" si="5"/>
        <v>0</v>
      </c>
      <c r="Z30" s="705"/>
      <c r="AA30" s="580">
        <f t="shared" si="6"/>
        <v>0</v>
      </c>
      <c r="AB30" s="647"/>
    </row>
    <row r="31" spans="1:34" x14ac:dyDescent="0.3">
      <c r="A31" s="34">
        <v>38</v>
      </c>
      <c r="B31" s="485"/>
      <c r="C31" s="457"/>
      <c r="D31" s="457"/>
      <c r="E31" s="701"/>
      <c r="F31" s="457"/>
      <c r="G31" s="457"/>
      <c r="H31" s="701"/>
      <c r="I31" s="515">
        <f t="shared" si="7"/>
        <v>0</v>
      </c>
      <c r="J31" s="532" t="str">
        <f>'2012 comm sample'!L30</f>
        <v>na</v>
      </c>
      <c r="K31" s="532" t="str">
        <f>'2012 comm sample'!M30</f>
        <v>na</v>
      </c>
      <c r="L31" s="532" t="str">
        <f>'2012 comm sample'!N30</f>
        <v>na</v>
      </c>
      <c r="M31" s="532" t="str">
        <f>'2012 comm sample'!O30</f>
        <v>na</v>
      </c>
      <c r="N31" s="533" t="str">
        <f>'2012 comm sample'!P30</f>
        <v>na</v>
      </c>
      <c r="O31" s="558" t="str">
        <f>IF(B31&gt;0,'2012 comm sample'!B30/'2012 Comm catch'!B31,"na")</f>
        <v>na</v>
      </c>
      <c r="P31" s="559" t="str">
        <f>IF(C31&gt;0,'2012 comm sample'!C30/'2012 Comm catch'!C31,"na")</f>
        <v>na</v>
      </c>
      <c r="Q31" s="559" t="str">
        <f>IF(D31&gt;0,'2012 comm sample'!D30/'2012 Comm catch'!D31,"na")</f>
        <v>na</v>
      </c>
      <c r="R31" s="559" t="str">
        <f>IF(F31&gt;0,'2012 comm sample'!E30/'2012 Comm catch'!F31,"na")</f>
        <v>na</v>
      </c>
      <c r="S31" s="559" t="str">
        <f>IF(G31&gt;0,'2012 comm sample'!F30/'2012 Comm catch'!G31,"na")</f>
        <v>na</v>
      </c>
      <c r="T31" s="560">
        <f t="shared" si="1"/>
        <v>0</v>
      </c>
      <c r="U31" s="514">
        <f t="shared" si="2"/>
        <v>0</v>
      </c>
      <c r="V31" s="514">
        <f t="shared" si="3"/>
        <v>0</v>
      </c>
      <c r="W31" s="705"/>
      <c r="X31" s="514">
        <f t="shared" si="4"/>
        <v>0</v>
      </c>
      <c r="Y31" s="514">
        <f t="shared" si="5"/>
        <v>0</v>
      </c>
      <c r="Z31" s="705"/>
      <c r="AA31" s="580">
        <f t="shared" si="6"/>
        <v>0</v>
      </c>
      <c r="AB31" s="647"/>
    </row>
    <row r="32" spans="1:34" x14ac:dyDescent="0.3">
      <c r="A32" s="34">
        <v>39</v>
      </c>
      <c r="B32" s="581"/>
      <c r="C32" s="582"/>
      <c r="D32" s="582"/>
      <c r="E32" s="702"/>
      <c r="F32" s="582">
        <v>165</v>
      </c>
      <c r="G32" s="582">
        <v>77</v>
      </c>
      <c r="H32" s="704">
        <f t="shared" ref="H32:H37" si="8">SUM(F32:G32)</f>
        <v>242</v>
      </c>
      <c r="I32" s="515">
        <f t="shared" si="7"/>
        <v>242</v>
      </c>
      <c r="J32" s="532" t="str">
        <f>'2012 comm sample'!L31</f>
        <v>na</v>
      </c>
      <c r="K32" s="532" t="str">
        <f>'2012 comm sample'!M31</f>
        <v>na</v>
      </c>
      <c r="L32" s="532" t="str">
        <f>'2012 comm sample'!N31</f>
        <v>na</v>
      </c>
      <c r="M32" s="532">
        <f>'2012 comm sample'!O31</f>
        <v>0.34482758620689657</v>
      </c>
      <c r="N32" s="533">
        <f>'2012 comm sample'!P31</f>
        <v>0.54761904761904767</v>
      </c>
      <c r="O32" s="558" t="str">
        <f>IF(B32&gt;0,'2012 comm sample'!B31/'2012 Comm catch'!B32,"na")</f>
        <v>na</v>
      </c>
      <c r="P32" s="559" t="str">
        <f>IF(C32&gt;0,'2012 comm sample'!C31/'2012 Comm catch'!C32,"na")</f>
        <v>na</v>
      </c>
      <c r="Q32" s="559" t="str">
        <f>IF(D32&gt;0,'2012 comm sample'!D31/'2012 Comm catch'!D32,"na")</f>
        <v>na</v>
      </c>
      <c r="R32" s="559">
        <f>IF(F32&gt;0,'2012 comm sample'!E31/'2012 Comm catch'!F32,"na")</f>
        <v>0.52727272727272723</v>
      </c>
      <c r="S32" s="559">
        <f>IF(G32&gt;0,'2012 comm sample'!F31/'2012 Comm catch'!G32,"na")</f>
        <v>0.54545454545454541</v>
      </c>
      <c r="T32" s="583">
        <f t="shared" si="1"/>
        <v>0</v>
      </c>
      <c r="U32" s="584">
        <f t="shared" si="2"/>
        <v>0</v>
      </c>
      <c r="V32" s="584">
        <f t="shared" si="3"/>
        <v>0</v>
      </c>
      <c r="W32" s="706"/>
      <c r="X32" s="584">
        <f t="shared" si="4"/>
        <v>56.896551724137936</v>
      </c>
      <c r="Y32" s="584">
        <f t="shared" si="5"/>
        <v>42.166666666666671</v>
      </c>
      <c r="Z32" s="705">
        <f t="shared" ref="Z32:Z37" si="9">SUM(X32:Y32)</f>
        <v>99.063218390804607</v>
      </c>
      <c r="AA32" s="580">
        <f t="shared" si="6"/>
        <v>99.063218390804607</v>
      </c>
      <c r="AB32" s="647"/>
      <c r="AC32" s="32">
        <f t="shared" ref="AC32:AC37" si="10">SUM(X32:Y32)/SUM(F32:G32)</f>
        <v>0.40935214211076282</v>
      </c>
      <c r="AD32" s="585"/>
      <c r="AE32" s="585"/>
      <c r="AF32" s="585"/>
      <c r="AG32" s="585"/>
      <c r="AH32" s="585"/>
    </row>
    <row r="33" spans="1:34" x14ac:dyDescent="0.3">
      <c r="A33" s="34">
        <v>40</v>
      </c>
      <c r="B33" s="485">
        <v>24</v>
      </c>
      <c r="C33" s="457">
        <v>81</v>
      </c>
      <c r="D33" s="457">
        <v>35</v>
      </c>
      <c r="E33" s="701">
        <f>SUM(B33:D33)</f>
        <v>140</v>
      </c>
      <c r="F33" s="582">
        <v>249</v>
      </c>
      <c r="G33" s="582">
        <v>154</v>
      </c>
      <c r="H33" s="704">
        <f t="shared" si="8"/>
        <v>403</v>
      </c>
      <c r="I33" s="515">
        <f t="shared" si="7"/>
        <v>683</v>
      </c>
      <c r="J33" s="532">
        <f>'2012 comm sample'!L32</f>
        <v>7.1428571428571425E-2</v>
      </c>
      <c r="K33" s="532">
        <f>'2012 comm sample'!M32</f>
        <v>7.1428571428571425E-2</v>
      </c>
      <c r="L33" s="532">
        <f>'2012 comm sample'!N32</f>
        <v>0.58333333333333337</v>
      </c>
      <c r="M33" s="532">
        <f>'2012 comm sample'!O32</f>
        <v>0.34265734265734266</v>
      </c>
      <c r="N33" s="533">
        <f>'2012 comm sample'!P32</f>
        <v>0.46875</v>
      </c>
      <c r="O33" s="558">
        <f>IF(B33&gt;0,'2012 comm sample'!B32/'2012 Comm catch'!B33,"na")</f>
        <v>0</v>
      </c>
      <c r="P33" s="559">
        <f>IF(C33&gt;0,'2012 comm sample'!C32/'2012 Comm catch'!C33,"na")</f>
        <v>0.1728395061728395</v>
      </c>
      <c r="Q33" s="559">
        <f>IF(D33&gt;0,'2012 comm sample'!D32/'2012 Comm catch'!D33,"na")</f>
        <v>1.0285714285714285</v>
      </c>
      <c r="R33" s="559">
        <f>IF(F33&gt;0,'2012 comm sample'!E32/'2012 Comm catch'!F33,"na")</f>
        <v>0.57429718875502012</v>
      </c>
      <c r="S33" s="559">
        <f>IF(G33&gt;0,'2012 comm sample'!F32/'2012 Comm catch'!G33,"na")</f>
        <v>0.41558441558441561</v>
      </c>
      <c r="T33" s="560">
        <f t="shared" si="1"/>
        <v>1.7142857142857142</v>
      </c>
      <c r="U33" s="514">
        <f t="shared" si="2"/>
        <v>5.7857142857142856</v>
      </c>
      <c r="V33" s="514">
        <f t="shared" si="3"/>
        <v>20.416666666666668</v>
      </c>
      <c r="W33" s="705">
        <f>SUM(T33:V33)</f>
        <v>27.916666666666668</v>
      </c>
      <c r="X33" s="514">
        <f t="shared" si="4"/>
        <v>85.32167832167832</v>
      </c>
      <c r="Y33" s="514">
        <f t="shared" si="5"/>
        <v>72.1875</v>
      </c>
      <c r="Z33" s="705">
        <f t="shared" si="9"/>
        <v>157.50917832167832</v>
      </c>
      <c r="AA33" s="580">
        <f t="shared" si="6"/>
        <v>213.34251165501166</v>
      </c>
      <c r="AB33" s="647">
        <f>SUM(T33:V33)/SUM(B33:D33)</f>
        <v>0.19940476190476192</v>
      </c>
      <c r="AC33" s="32">
        <f t="shared" si="10"/>
        <v>0.39084163355255164</v>
      </c>
      <c r="AD33" s="585"/>
      <c r="AE33" s="585"/>
      <c r="AF33" s="585"/>
      <c r="AG33" s="585"/>
      <c r="AH33" s="585"/>
    </row>
    <row r="34" spans="1:34" x14ac:dyDescent="0.3">
      <c r="A34" s="34">
        <v>41</v>
      </c>
      <c r="B34" s="485">
        <v>38</v>
      </c>
      <c r="C34" s="457">
        <v>81</v>
      </c>
      <c r="D34" s="457">
        <v>59</v>
      </c>
      <c r="E34" s="701">
        <f>SUM(B34:D34)</f>
        <v>178</v>
      </c>
      <c r="F34" s="514">
        <v>60</v>
      </c>
      <c r="G34" s="514">
        <v>56</v>
      </c>
      <c r="H34" s="704">
        <f t="shared" si="8"/>
        <v>116</v>
      </c>
      <c r="I34" s="515">
        <f t="shared" si="7"/>
        <v>472</v>
      </c>
      <c r="J34" s="532">
        <f>'2012 comm sample'!L33</f>
        <v>0.4375</v>
      </c>
      <c r="K34" s="532">
        <f>'2012 comm sample'!M33</f>
        <v>0.4375</v>
      </c>
      <c r="L34" s="532">
        <f>'2012 comm sample'!N33</f>
        <v>0.30769230769230771</v>
      </c>
      <c r="M34" s="532">
        <f>'2012 comm sample'!O33</f>
        <v>0.22222222222222221</v>
      </c>
      <c r="N34" s="533">
        <f>'2012 comm sample'!P33</f>
        <v>0.3125</v>
      </c>
      <c r="O34" s="558">
        <f>IF(B34&gt;0,'2012 comm sample'!B33/'2012 Comm catch'!B34,"na")</f>
        <v>5.2631578947368418E-2</v>
      </c>
      <c r="P34" s="559">
        <f>IF(C34&gt;0,'2012 comm sample'!C33/'2012 Comm catch'!C34,"na")</f>
        <v>0.39506172839506171</v>
      </c>
      <c r="Q34" s="559">
        <f>IF(D34&gt;0,'2012 comm sample'!D33/'2012 Comm catch'!D34,"na")</f>
        <v>1.1016949152542372</v>
      </c>
      <c r="R34" s="559">
        <f>IF(F34&gt;0,'2012 comm sample'!E33/'2012 Comm catch'!F34,"na")</f>
        <v>0.3</v>
      </c>
      <c r="S34" s="559">
        <f>IF(G34&gt;0,'2012 comm sample'!F33/'2012 Comm catch'!G34,"na")</f>
        <v>0.2857142857142857</v>
      </c>
      <c r="T34" s="560">
        <f t="shared" si="1"/>
        <v>16.625</v>
      </c>
      <c r="U34" s="514">
        <f t="shared" si="2"/>
        <v>35.4375</v>
      </c>
      <c r="V34" s="514">
        <f t="shared" si="3"/>
        <v>18.153846153846153</v>
      </c>
      <c r="W34" s="705">
        <f>SUM(T34:V34)</f>
        <v>70.21634615384616</v>
      </c>
      <c r="X34" s="514">
        <f t="shared" si="4"/>
        <v>13.333333333333332</v>
      </c>
      <c r="Y34" s="514">
        <f t="shared" si="5"/>
        <v>17.5</v>
      </c>
      <c r="Z34" s="705">
        <f t="shared" si="9"/>
        <v>30.833333333333332</v>
      </c>
      <c r="AA34" s="580">
        <f t="shared" si="6"/>
        <v>171.26602564102566</v>
      </c>
      <c r="AB34" s="647">
        <f>SUM(T34:V34)/SUM(B34:D34)</f>
        <v>0.39447385479688857</v>
      </c>
      <c r="AC34" s="32">
        <f t="shared" si="10"/>
        <v>0.26580459770114939</v>
      </c>
      <c r="AD34" s="657"/>
      <c r="AE34" s="657"/>
      <c r="AF34" s="657"/>
      <c r="AG34" s="657"/>
    </row>
    <row r="35" spans="1:34" x14ac:dyDescent="0.3">
      <c r="A35" s="34">
        <v>42</v>
      </c>
      <c r="B35" s="485">
        <v>130</v>
      </c>
      <c r="C35" s="457">
        <v>549</v>
      </c>
      <c r="D35" s="457">
        <v>369</v>
      </c>
      <c r="E35" s="701">
        <f>SUM(B35:D35)</f>
        <v>1048</v>
      </c>
      <c r="F35" s="457">
        <v>42</v>
      </c>
      <c r="G35" s="457">
        <v>71</v>
      </c>
      <c r="H35" s="704">
        <f t="shared" si="8"/>
        <v>113</v>
      </c>
      <c r="I35" s="515">
        <f t="shared" si="7"/>
        <v>2209</v>
      </c>
      <c r="J35" s="532">
        <f>'2012 comm sample'!L34</f>
        <v>0.20833333333333334</v>
      </c>
      <c r="K35" s="532">
        <f>'2012 comm sample'!M34</f>
        <v>0.20833333333333334</v>
      </c>
      <c r="L35" s="532">
        <f>'2012 comm sample'!N34</f>
        <v>0.34313725490196079</v>
      </c>
      <c r="M35" s="532">
        <f>'2012 comm sample'!O34</f>
        <v>0.1875</v>
      </c>
      <c r="N35" s="533">
        <f>'2012 comm sample'!P34</f>
        <v>0.4</v>
      </c>
      <c r="O35" s="558">
        <f>IF(B35&gt;0,'2012 comm sample'!B34/'2012 Comm catch'!B35,"na")</f>
        <v>1.5384615384615385E-2</v>
      </c>
      <c r="P35" s="559">
        <f>IF(C35&gt;0,'2012 comm sample'!C34/'2012 Comm catch'!C35,"na")</f>
        <v>4.3715846994535519E-2</v>
      </c>
      <c r="Q35" s="559">
        <f>IF(D35&gt;0,'2012 comm sample'!D34/'2012 Comm catch'!D35,"na")</f>
        <v>0.27642276422764228</v>
      </c>
      <c r="R35" s="559">
        <f>IF(F35&gt;0,'2012 comm sample'!E34/'2012 Comm catch'!F35,"na")</f>
        <v>0.38095238095238093</v>
      </c>
      <c r="S35" s="559">
        <f>IF(G35&gt;0,'2012 comm sample'!F34/'2012 Comm catch'!G35,"na")</f>
        <v>0.21126760563380281</v>
      </c>
      <c r="T35" s="560">
        <f t="shared" si="1"/>
        <v>27.083333333333336</v>
      </c>
      <c r="U35" s="514">
        <f t="shared" si="2"/>
        <v>114.375</v>
      </c>
      <c r="V35" s="514">
        <f t="shared" si="3"/>
        <v>126.61764705882354</v>
      </c>
      <c r="W35" s="705">
        <f>SUM(T35:V35)</f>
        <v>268.07598039215691</v>
      </c>
      <c r="X35" s="514">
        <f t="shared" si="4"/>
        <v>7.875</v>
      </c>
      <c r="Y35" s="514">
        <f t="shared" si="5"/>
        <v>28.400000000000002</v>
      </c>
      <c r="Z35" s="705">
        <f t="shared" si="9"/>
        <v>36.275000000000006</v>
      </c>
      <c r="AA35" s="580">
        <f t="shared" si="6"/>
        <v>572.42696078431379</v>
      </c>
      <c r="AB35" s="647">
        <f>SUM(T35:V35)/SUM(B35:D35)</f>
        <v>0.25579769121389018</v>
      </c>
      <c r="AC35" s="32">
        <f t="shared" si="10"/>
        <v>0.3210176991150443</v>
      </c>
    </row>
    <row r="36" spans="1:34" x14ac:dyDescent="0.3">
      <c r="A36" s="34">
        <v>43</v>
      </c>
      <c r="B36" s="485"/>
      <c r="C36" s="457">
        <v>15</v>
      </c>
      <c r="D36" s="457">
        <v>31</v>
      </c>
      <c r="E36" s="701">
        <f>SUM(B36:D36)</f>
        <v>46</v>
      </c>
      <c r="F36" s="457">
        <v>14</v>
      </c>
      <c r="G36" s="457">
        <v>15</v>
      </c>
      <c r="H36" s="704">
        <f t="shared" si="8"/>
        <v>29</v>
      </c>
      <c r="I36" s="515">
        <f t="shared" si="7"/>
        <v>121</v>
      </c>
      <c r="J36" s="532" t="str">
        <f>'2012 comm sample'!L35</f>
        <v>na</v>
      </c>
      <c r="K36" s="532">
        <f>'2012 comm sample'!M35</f>
        <v>0.375</v>
      </c>
      <c r="L36" s="532">
        <f>'2012 comm sample'!N35</f>
        <v>0.375</v>
      </c>
      <c r="M36" s="532">
        <f>'2012 comm sample'!O35</f>
        <v>0.5</v>
      </c>
      <c r="N36" s="532">
        <f>'2012 comm sample'!P35</f>
        <v>0.2857142857142857</v>
      </c>
      <c r="O36" s="558" t="str">
        <f>IF(B36&gt;0,'2012 comm sample'!B35/'2012 Comm catch'!B36,"na")</f>
        <v>na</v>
      </c>
      <c r="P36" s="559">
        <f>IF(C36&gt;0,'2012 comm sample'!C35/'2012 Comm catch'!C36,"na")</f>
        <v>0</v>
      </c>
      <c r="Q36" s="559">
        <f>IF(D36&gt;0,'2012 comm sample'!D35/'2012 Comm catch'!D36,"na")</f>
        <v>0.77419354838709675</v>
      </c>
      <c r="R36" s="559">
        <f>IF(F36&gt;0,'2012 comm sample'!E35/'2012 Comm catch'!F36,"na")</f>
        <v>0.7142857142857143</v>
      </c>
      <c r="S36" s="559">
        <f>IF(G36&gt;0,'2012 comm sample'!F35/'2012 Comm catch'!G36,"na")</f>
        <v>0.46666666666666667</v>
      </c>
      <c r="T36" s="560">
        <f t="shared" si="1"/>
        <v>0</v>
      </c>
      <c r="U36" s="514">
        <f t="shared" si="2"/>
        <v>5.625</v>
      </c>
      <c r="V36" s="514">
        <f t="shared" si="3"/>
        <v>11.625</v>
      </c>
      <c r="W36" s="705">
        <f>SUM(T36:V36)</f>
        <v>17.25</v>
      </c>
      <c r="X36" s="514">
        <f t="shared" si="4"/>
        <v>7</v>
      </c>
      <c r="Y36" s="514">
        <f t="shared" si="5"/>
        <v>4.2857142857142856</v>
      </c>
      <c r="Z36" s="705">
        <f t="shared" si="9"/>
        <v>11.285714285714285</v>
      </c>
      <c r="AA36" s="580">
        <f t="shared" si="6"/>
        <v>45.785714285714285</v>
      </c>
      <c r="AB36" s="647">
        <f>SUM(T36:V36)/SUM(B36:D36)</f>
        <v>0.375</v>
      </c>
      <c r="AC36" s="32">
        <f t="shared" si="10"/>
        <v>0.38916256157635465</v>
      </c>
    </row>
    <row r="37" spans="1:34" x14ac:dyDescent="0.3">
      <c r="A37" s="34">
        <v>44</v>
      </c>
      <c r="B37" s="485"/>
      <c r="C37" s="457">
        <v>1</v>
      </c>
      <c r="D37" s="457">
        <v>7</v>
      </c>
      <c r="E37" s="701">
        <f>SUM(B37:D37)</f>
        <v>8</v>
      </c>
      <c r="F37" s="457">
        <v>2</v>
      </c>
      <c r="G37" s="457">
        <v>6</v>
      </c>
      <c r="H37" s="704">
        <f t="shared" si="8"/>
        <v>8</v>
      </c>
      <c r="I37" s="515">
        <f t="shared" si="7"/>
        <v>24</v>
      </c>
      <c r="J37" s="532" t="str">
        <f>'2012 comm sample'!L36</f>
        <v>na</v>
      </c>
      <c r="K37" s="532">
        <f>'2012 comm sample'!M36</f>
        <v>0.375</v>
      </c>
      <c r="L37" s="532">
        <f>'2012 comm sample'!N36</f>
        <v>0.375</v>
      </c>
      <c r="M37" s="532">
        <f>'2012 comm sample'!O36</f>
        <v>0.5</v>
      </c>
      <c r="N37" s="533">
        <f>'2012 comm sample'!P36</f>
        <v>0.36363636363636365</v>
      </c>
      <c r="O37" s="558" t="str">
        <f>IF(B37&gt;0,'2012 comm sample'!B36/'2012 Comm catch'!B37,"na")</f>
        <v>na</v>
      </c>
      <c r="P37" s="559">
        <f>IF(C37&gt;0,'2012 comm sample'!C36/'2012 Comm catch'!C37,"na")</f>
        <v>0</v>
      </c>
      <c r="Q37" s="559">
        <f>IF(D37&gt;0,'2012 comm sample'!D36/'2012 Comm catch'!D37,"na")</f>
        <v>0</v>
      </c>
      <c r="R37" s="559">
        <f>IF(F37&gt;0,'2012 comm sample'!E36/'2012 Comm catch'!F37,"na")</f>
        <v>0</v>
      </c>
      <c r="S37" s="559">
        <f>IF(G37&gt;0,'2012 comm sample'!F36/'2012 Comm catch'!G37,"na")</f>
        <v>1.8333333333333333</v>
      </c>
      <c r="T37" s="560">
        <f t="shared" si="1"/>
        <v>0</v>
      </c>
      <c r="U37" s="514">
        <f t="shared" si="2"/>
        <v>0.375</v>
      </c>
      <c r="V37" s="514">
        <f t="shared" si="3"/>
        <v>2.625</v>
      </c>
      <c r="W37" s="705">
        <f>SUM(T37:V37)</f>
        <v>3</v>
      </c>
      <c r="X37" s="514">
        <f t="shared" si="4"/>
        <v>1</v>
      </c>
      <c r="Y37" s="514">
        <f t="shared" si="5"/>
        <v>2.1818181818181817</v>
      </c>
      <c r="Z37" s="705">
        <f t="shared" si="9"/>
        <v>3.1818181818181817</v>
      </c>
      <c r="AA37" s="580">
        <f t="shared" si="6"/>
        <v>9.1818181818181817</v>
      </c>
      <c r="AB37" s="647">
        <f>SUM(T37:V37)/SUM(B37:D37)</f>
        <v>0.375</v>
      </c>
      <c r="AC37" s="32">
        <f t="shared" si="10"/>
        <v>0.39772727272727271</v>
      </c>
    </row>
    <row r="38" spans="1:34" x14ac:dyDescent="0.3">
      <c r="A38" s="34">
        <v>45</v>
      </c>
      <c r="B38" s="586"/>
      <c r="C38" s="587"/>
      <c r="D38" s="587"/>
      <c r="E38" s="703"/>
      <c r="F38" s="587"/>
      <c r="G38" s="587"/>
      <c r="H38" s="703"/>
      <c r="I38" s="566">
        <f t="shared" si="7"/>
        <v>0</v>
      </c>
      <c r="J38" s="534" t="str">
        <f>'2012 comm sample'!L37</f>
        <v>na</v>
      </c>
      <c r="K38" s="534" t="str">
        <f>'2012 comm sample'!M37</f>
        <v>na</v>
      </c>
      <c r="L38" s="534" t="str">
        <f>'2012 comm sample'!N37</f>
        <v>na</v>
      </c>
      <c r="M38" s="534" t="str">
        <f>'2012 comm sample'!O37</f>
        <v>na</v>
      </c>
      <c r="N38" s="535" t="str">
        <f>'2012 comm sample'!P37</f>
        <v>na</v>
      </c>
      <c r="O38" s="569" t="str">
        <f>IF(B38&gt;0,'2012 comm sample'!B37/'2012 Comm catch'!B38,"na")</f>
        <v>na</v>
      </c>
      <c r="P38" s="570" t="str">
        <f>IF(C38&gt;0,'2012 comm sample'!C37/'2012 Comm catch'!C38,"na")</f>
        <v>na</v>
      </c>
      <c r="Q38" s="570" t="str">
        <f>IF(D38&gt;0,'2012 comm sample'!D37/'2012 Comm catch'!D38,"na")</f>
        <v>na</v>
      </c>
      <c r="R38" s="570" t="str">
        <f>IF(F38&gt;0,'2012 comm sample'!E37/'2012 Comm catch'!F38,"na")</f>
        <v>na</v>
      </c>
      <c r="S38" s="570" t="str">
        <f>IF(G38&gt;0,'2012 comm sample'!F37/'2012 Comm catch'!G38,"na")</f>
        <v>na</v>
      </c>
      <c r="T38" s="588">
        <f t="shared" si="1"/>
        <v>0</v>
      </c>
      <c r="U38" s="589">
        <f t="shared" si="2"/>
        <v>0</v>
      </c>
      <c r="V38" s="589">
        <f t="shared" si="3"/>
        <v>0</v>
      </c>
      <c r="W38" s="707"/>
      <c r="X38" s="589">
        <f t="shared" si="4"/>
        <v>0</v>
      </c>
      <c r="Y38" s="589">
        <f t="shared" si="5"/>
        <v>0</v>
      </c>
      <c r="Z38" s="707"/>
      <c r="AA38" s="590">
        <f t="shared" si="6"/>
        <v>0</v>
      </c>
      <c r="AB38" s="647"/>
    </row>
    <row r="39" spans="1:34" x14ac:dyDescent="0.3">
      <c r="A39" s="591" t="s">
        <v>184</v>
      </c>
      <c r="B39" s="592">
        <f>SUM(B25:B38)</f>
        <v>192</v>
      </c>
      <c r="C39" s="593">
        <f>SUM(C25:C38)</f>
        <v>727</v>
      </c>
      <c r="D39" s="593">
        <f>SUM(D25:D38)</f>
        <v>501</v>
      </c>
      <c r="E39" s="593"/>
      <c r="F39" s="593">
        <f>SUM(F25:F38)</f>
        <v>758</v>
      </c>
      <c r="G39" s="593">
        <f>SUM(G25:G38)</f>
        <v>437</v>
      </c>
      <c r="H39" s="593"/>
      <c r="I39" s="594">
        <f t="shared" si="7"/>
        <v>2615</v>
      </c>
      <c r="J39" s="595">
        <f>'2012 comm sample'!L38</f>
        <v>0</v>
      </c>
      <c r="K39" s="595">
        <f>'2012 comm sample'!M38</f>
        <v>0</v>
      </c>
      <c r="L39" s="595">
        <f>'2012 comm sample'!N38</f>
        <v>0</v>
      </c>
      <c r="M39" s="595">
        <f>'2012 comm sample'!O38</f>
        <v>0</v>
      </c>
      <c r="N39" s="595">
        <f>'2012 comm sample'!P38</f>
        <v>0</v>
      </c>
      <c r="O39" s="596">
        <f>IF(B39&gt;0,'2012 comm sample'!B38/'2012 Comm catch'!B39,"na")</f>
        <v>0</v>
      </c>
      <c r="P39" s="596">
        <f>IF(C39&gt;0,'2012 comm sample'!C38/'2012 Comm catch'!C39,"na")</f>
        <v>0</v>
      </c>
      <c r="Q39" s="596">
        <f>IF(D39&gt;0,'2012 comm sample'!D38/'2012 Comm catch'!D39,"na")</f>
        <v>0</v>
      </c>
      <c r="R39" s="596">
        <f>IF(F39&gt;0,'2012 comm sample'!E38/'2012 Comm catch'!F39,"na")</f>
        <v>0</v>
      </c>
      <c r="S39" s="596">
        <f>IF(G39&gt;0,'2012 comm sample'!F38/'2012 Comm catch'!G39,"na")</f>
        <v>0</v>
      </c>
      <c r="T39" s="588">
        <f>SUM(T25:T38)</f>
        <v>45.422619047619051</v>
      </c>
      <c r="U39" s="589">
        <f>SUM(U25:U38)</f>
        <v>161.59821428571428</v>
      </c>
      <c r="V39" s="589">
        <f>SUM(V25:V38)</f>
        <v>179.43815987933635</v>
      </c>
      <c r="W39" s="589"/>
      <c r="X39" s="589">
        <f>SUM(X25:X38)</f>
        <v>359.61437521093859</v>
      </c>
      <c r="Y39" s="589">
        <f>SUM(Y25:Y38)</f>
        <v>221.86455627705629</v>
      </c>
      <c r="Z39" s="589"/>
      <c r="AA39" s="590">
        <f t="shared" si="6"/>
        <v>967.93792470066455</v>
      </c>
      <c r="AB39" s="647">
        <f>SUM(T39:V39)/SUM(B39:D39)</f>
        <v>0.2721542205723026</v>
      </c>
      <c r="AC39" s="32">
        <f>SUM(X39:Y39)/SUM(F39:G39)</f>
        <v>0.48659324810710874</v>
      </c>
    </row>
    <row r="40" spans="1:34" x14ac:dyDescent="0.3">
      <c r="A40" s="591"/>
      <c r="B40" s="597"/>
      <c r="C40" s="597"/>
      <c r="D40" s="597">
        <f>D39+C39+B39</f>
        <v>1420</v>
      </c>
      <c r="E40" s="597"/>
      <c r="F40" s="597"/>
      <c r="I40" s="597"/>
      <c r="J40" s="597"/>
      <c r="K40" s="597"/>
      <c r="L40" s="597"/>
      <c r="M40" s="597"/>
      <c r="N40" s="598"/>
      <c r="O40" s="597"/>
      <c r="P40" s="597"/>
      <c r="Q40" s="597"/>
      <c r="R40" s="597"/>
      <c r="S40" s="599"/>
      <c r="T40" s="597"/>
      <c r="U40" s="597"/>
      <c r="V40" s="597"/>
      <c r="W40" s="597"/>
      <c r="X40" s="597"/>
      <c r="Y40" s="33"/>
      <c r="Z40" s="33"/>
      <c r="AA40" s="597"/>
      <c r="AB40" s="647">
        <f>AB39*D40</f>
        <v>386.45899321266967</v>
      </c>
    </row>
    <row r="43" spans="1:34" ht="15" x14ac:dyDescent="0.3">
      <c r="A43" s="33"/>
      <c r="B43" s="597"/>
      <c r="C43" s="597"/>
      <c r="D43" s="597"/>
      <c r="F43" s="903" t="s">
        <v>209</v>
      </c>
      <c r="G43" s="904"/>
      <c r="H43" s="904"/>
      <c r="I43" s="905"/>
      <c r="J43" s="597"/>
      <c r="K43" s="597"/>
      <c r="V43" s="597"/>
      <c r="W43" s="597"/>
    </row>
    <row r="44" spans="1:34" x14ac:dyDescent="0.3">
      <c r="A44" s="484" t="s">
        <v>258</v>
      </c>
      <c r="B44" s="600" t="s">
        <v>44</v>
      </c>
      <c r="C44" s="600" t="s">
        <v>55</v>
      </c>
      <c r="D44" s="601" t="s">
        <v>56</v>
      </c>
      <c r="F44" s="367"/>
      <c r="G44" s="175" t="s">
        <v>160</v>
      </c>
      <c r="H44" s="368" t="s">
        <v>161</v>
      </c>
      <c r="I44" s="366" t="s">
        <v>44</v>
      </c>
      <c r="J44" s="913" t="s">
        <v>207</v>
      </c>
      <c r="K44" s="914"/>
    </row>
    <row r="45" spans="1:34" x14ac:dyDescent="0.3">
      <c r="A45" s="485" t="s">
        <v>31</v>
      </c>
      <c r="B45" s="582">
        <f>B19</f>
        <v>5986</v>
      </c>
      <c r="C45" s="582">
        <f>N19</f>
        <v>263.69410438781802</v>
      </c>
      <c r="D45" s="533">
        <f>C45/B45</f>
        <v>4.4051804942836288E-2</v>
      </c>
      <c r="F45" s="603" t="s">
        <v>31</v>
      </c>
      <c r="G45" s="604">
        <f>C45*J45</f>
        <v>31.643292526538161</v>
      </c>
      <c r="H45" s="605">
        <v>0</v>
      </c>
      <c r="I45" s="606">
        <f>H45+G45</f>
        <v>31.643292526538161</v>
      </c>
      <c r="J45" s="468">
        <v>0.12</v>
      </c>
      <c r="K45" s="515" t="s">
        <v>31</v>
      </c>
    </row>
    <row r="46" spans="1:34" x14ac:dyDescent="0.3">
      <c r="A46" s="485" t="s">
        <v>62</v>
      </c>
      <c r="B46" s="582">
        <f>C19</f>
        <v>3902</v>
      </c>
      <c r="C46" s="582">
        <f>O19</f>
        <v>410.94331734841222</v>
      </c>
      <c r="D46" s="533">
        <f>C46/B46</f>
        <v>0.10531607312875761</v>
      </c>
      <c r="F46" s="367" t="s">
        <v>62</v>
      </c>
      <c r="G46" s="607">
        <f>C46*J46</f>
        <v>82.188663469682453</v>
      </c>
      <c r="H46" s="608">
        <v>0</v>
      </c>
      <c r="I46" s="609">
        <f>H46+G46</f>
        <v>82.188663469682453</v>
      </c>
      <c r="J46" s="468">
        <v>0.2</v>
      </c>
      <c r="K46" s="515" t="s">
        <v>62</v>
      </c>
    </row>
    <row r="47" spans="1:34" x14ac:dyDescent="0.3">
      <c r="A47" s="485" t="s">
        <v>32</v>
      </c>
      <c r="B47" s="582">
        <f>D19</f>
        <v>1534</v>
      </c>
      <c r="C47" s="582">
        <f>P19</f>
        <v>236.76365753760709</v>
      </c>
      <c r="D47" s="533">
        <f>C47/B47</f>
        <v>0.15434397492673213</v>
      </c>
      <c r="F47" s="603" t="s">
        <v>32</v>
      </c>
      <c r="G47" s="604">
        <f>C47*J47</f>
        <v>30.779275479888923</v>
      </c>
      <c r="H47" s="605">
        <v>0</v>
      </c>
      <c r="I47" s="606">
        <f>H47+G47</f>
        <v>30.779275479888923</v>
      </c>
      <c r="J47" s="468">
        <v>0.13</v>
      </c>
      <c r="K47" s="515" t="s">
        <v>32</v>
      </c>
    </row>
    <row r="48" spans="1:34" x14ac:dyDescent="0.3">
      <c r="A48" s="485" t="s">
        <v>203</v>
      </c>
      <c r="B48" s="582">
        <f>E19</f>
        <v>3932</v>
      </c>
      <c r="C48" s="582">
        <f>Q19</f>
        <v>235.49210919598968</v>
      </c>
      <c r="D48" s="533">
        <f>C48/B48</f>
        <v>5.9891177313323926E-2</v>
      </c>
      <c r="F48" s="603" t="s">
        <v>203</v>
      </c>
      <c r="G48" s="604">
        <f>C48*J48</f>
        <v>25.904132011558865</v>
      </c>
      <c r="H48" s="561">
        <v>0</v>
      </c>
      <c r="I48" s="606">
        <f>H48+G48</f>
        <v>25.904132011558865</v>
      </c>
      <c r="J48" s="468">
        <v>0.11</v>
      </c>
      <c r="K48" s="515" t="s">
        <v>203</v>
      </c>
    </row>
    <row r="49" spans="1:11" x14ac:dyDescent="0.3">
      <c r="A49" s="610" t="s">
        <v>61</v>
      </c>
      <c r="B49" s="611">
        <f>SUM(B45:B48)</f>
        <v>15354</v>
      </c>
      <c r="C49" s="611">
        <f>SUM(C45:C48)</f>
        <v>1146.893188469827</v>
      </c>
      <c r="D49" s="612">
        <f>C49/B49</f>
        <v>7.4696703690883617E-2</v>
      </c>
      <c r="E49" s="34"/>
      <c r="F49" s="613" t="s">
        <v>61</v>
      </c>
      <c r="G49" s="614">
        <f>SUM(G45:G48)</f>
        <v>170.5153634876684</v>
      </c>
      <c r="H49" s="615"/>
      <c r="I49" s="616">
        <f>H49+G49</f>
        <v>170.5153634876684</v>
      </c>
    </row>
    <row r="50" spans="1:11" x14ac:dyDescent="0.3">
      <c r="B50" s="591"/>
      <c r="C50" s="591"/>
      <c r="D50" s="617"/>
      <c r="E50" s="34"/>
      <c r="F50" s="603"/>
      <c r="G50" s="618"/>
      <c r="H50" s="618"/>
      <c r="I50" s="619"/>
      <c r="J50" s="468"/>
      <c r="K50" s="515"/>
    </row>
    <row r="51" spans="1:11" x14ac:dyDescent="0.3">
      <c r="A51" s="484" t="s">
        <v>123</v>
      </c>
      <c r="B51" s="600" t="s">
        <v>44</v>
      </c>
      <c r="C51" s="600" t="s">
        <v>55</v>
      </c>
      <c r="D51" s="601" t="s">
        <v>56</v>
      </c>
      <c r="E51" s="34"/>
      <c r="F51" s="363" t="s">
        <v>123</v>
      </c>
      <c r="G51" s="620" t="s">
        <v>160</v>
      </c>
      <c r="H51" s="562" t="s">
        <v>161</v>
      </c>
      <c r="I51" s="621" t="s">
        <v>44</v>
      </c>
      <c r="J51" s="911" t="s">
        <v>270</v>
      </c>
      <c r="K51" s="912"/>
    </row>
    <row r="52" spans="1:11" x14ac:dyDescent="0.3">
      <c r="A52" s="485">
        <v>1</v>
      </c>
      <c r="B52" s="582">
        <f>B39</f>
        <v>192</v>
      </c>
      <c r="C52" s="582">
        <f>T39</f>
        <v>45.422619047619051</v>
      </c>
      <c r="D52" s="533">
        <f t="shared" ref="D52:D57" si="11">C52/B52</f>
        <v>0.2365761408730159</v>
      </c>
      <c r="F52" s="603">
        <v>1</v>
      </c>
      <c r="G52" s="622">
        <f>SUM(T25:T30)*$J$52+T31*$J$53+T32*$J$54+T33*$J$55+T34*$J$56+SUM(T35:T38)*$J$57</f>
        <v>9.1696428571428577</v>
      </c>
      <c r="H52" s="622">
        <f>T31*$J$53+T32*$J$54+T33*$J$55+T34*$J$56+SUM(T35:T38)</f>
        <v>36.25297619047619</v>
      </c>
      <c r="I52" s="623">
        <f>H52+G52</f>
        <v>45.422619047619051</v>
      </c>
      <c r="J52" s="468">
        <v>1</v>
      </c>
      <c r="K52" s="515" t="s">
        <v>206</v>
      </c>
    </row>
    <row r="53" spans="1:11" x14ac:dyDescent="0.3">
      <c r="A53" s="485">
        <v>2</v>
      </c>
      <c r="B53" s="582">
        <f>C39</f>
        <v>727</v>
      </c>
      <c r="C53" s="582">
        <f>U39</f>
        <v>161.59821428571428</v>
      </c>
      <c r="D53" s="533">
        <f t="shared" si="11"/>
        <v>0.22228089998034975</v>
      </c>
      <c r="F53" s="603">
        <v>2</v>
      </c>
      <c r="G53" s="622">
        <f>SUM(U25:U30)*$J$52+U31*$J$53+U32*$J$54+U33*$J$55+U34*$J$56+SUM(U35:U38)*$J$57</f>
        <v>20.611607142857142</v>
      </c>
      <c r="H53" s="622">
        <f>U31*$J$53+U32*$J$54+U33*$J$55+U34*$J$56+SUM(U35:U38)</f>
        <v>140.98660714285714</v>
      </c>
      <c r="I53" s="623">
        <f>H53+G53</f>
        <v>161.59821428571428</v>
      </c>
      <c r="J53" s="468">
        <v>1</v>
      </c>
      <c r="K53" s="515" t="s">
        <v>204</v>
      </c>
    </row>
    <row r="54" spans="1:11" x14ac:dyDescent="0.3">
      <c r="A54" s="485">
        <v>3</v>
      </c>
      <c r="B54" s="582">
        <f>D39</f>
        <v>501</v>
      </c>
      <c r="C54" s="582">
        <f>V39</f>
        <v>179.43815987933635</v>
      </c>
      <c r="D54" s="533">
        <f t="shared" si="11"/>
        <v>0.35815999975915441</v>
      </c>
      <c r="F54" s="603">
        <v>3</v>
      </c>
      <c r="G54" s="622">
        <f>SUM(V25:V30)*$J$52+V31*$J$53+V32*$J$54+V33*$J$55+V34*$J$56+SUM(V35:V38)*$J$57</f>
        <v>19.285256410256409</v>
      </c>
      <c r="H54" s="622">
        <f>V31*$J$53+V32*$J$54+V33*$J$55+V34*$J$56+SUM(V35:V38)</f>
        <v>160.15290346907994</v>
      </c>
      <c r="I54" s="623">
        <f>H54+G54</f>
        <v>179.43815987933635</v>
      </c>
      <c r="J54" s="468">
        <v>0.5</v>
      </c>
      <c r="K54" s="515" t="s">
        <v>175</v>
      </c>
    </row>
    <row r="55" spans="1:11" x14ac:dyDescent="0.3">
      <c r="A55" s="485">
        <v>4</v>
      </c>
      <c r="B55" s="582">
        <f>F39</f>
        <v>758</v>
      </c>
      <c r="C55" s="582">
        <f>X39</f>
        <v>359.61437521093859</v>
      </c>
      <c r="D55" s="533">
        <f t="shared" si="11"/>
        <v>0.47442529711205617</v>
      </c>
      <c r="F55" s="603">
        <v>4</v>
      </c>
      <c r="G55" s="622">
        <f>SUM(X25:X30)*$J$52+X31*$J$53+X32*$J$54+X33*$J$55+X34*$J$56+SUM(X35:X38)*$J$57</f>
        <v>265.9635935213638</v>
      </c>
      <c r="H55" s="622">
        <f>X31*$J$53+X32*$J$54+X33*$J$55+X34*$J$56+SUM(X35:X38)</f>
        <v>93.650781689574799</v>
      </c>
      <c r="I55" s="623">
        <f>H55+G55</f>
        <v>359.61437521093859</v>
      </c>
      <c r="J55" s="468">
        <v>0.5</v>
      </c>
      <c r="K55" s="515" t="s">
        <v>172</v>
      </c>
    </row>
    <row r="56" spans="1:11" x14ac:dyDescent="0.3">
      <c r="A56" s="564">
        <v>5</v>
      </c>
      <c r="B56" s="587">
        <f>G39</f>
        <v>437</v>
      </c>
      <c r="C56" s="587">
        <f>Y39</f>
        <v>221.86455627705629</v>
      </c>
      <c r="D56" s="535">
        <f t="shared" si="11"/>
        <v>0.50769921344864144</v>
      </c>
      <c r="F56" s="367">
        <v>5</v>
      </c>
      <c r="G56" s="622">
        <f>SUM(Y25:Y30)*$J$52+Y31*$J$53+Y32*$J$54+Y33*$J$55+Y34*$J$56+SUM(Y35:Y38)*$J$57</f>
        <v>121.06994047619048</v>
      </c>
      <c r="H56" s="622">
        <f>Y31*$J$53+Y32*$J$54+Y33*$J$55+Y34*$J$56+SUM(Y35:Y38)</f>
        <v>100.79461580086581</v>
      </c>
      <c r="I56" s="623">
        <f>H56+G56</f>
        <v>221.86455627705629</v>
      </c>
      <c r="J56" s="468">
        <v>0.5</v>
      </c>
      <c r="K56" s="515" t="s">
        <v>176</v>
      </c>
    </row>
    <row r="57" spans="1:11" x14ac:dyDescent="0.3">
      <c r="A57" s="547" t="s">
        <v>60</v>
      </c>
      <c r="B57" s="624">
        <f>SUM(B52:B56)</f>
        <v>2615</v>
      </c>
      <c r="C57" s="624">
        <f>SUM(C52:C56)</f>
        <v>967.93792470066455</v>
      </c>
      <c r="D57" s="625">
        <f t="shared" si="11"/>
        <v>0.37014834596583729</v>
      </c>
      <c r="F57" s="361" t="s">
        <v>60</v>
      </c>
      <c r="G57" s="615">
        <f>SUM(G52:G56)</f>
        <v>436.1000404078107</v>
      </c>
      <c r="H57" s="615">
        <f>SUM(H52:H56)</f>
        <v>531.83788429285391</v>
      </c>
      <c r="I57" s="615">
        <f>SUM(I52:I56)</f>
        <v>967.93792470066455</v>
      </c>
      <c r="J57" s="468">
        <v>0</v>
      </c>
      <c r="K57" s="515" t="s">
        <v>205</v>
      </c>
    </row>
    <row r="58" spans="1:11" x14ac:dyDescent="0.3">
      <c r="A58" s="33"/>
      <c r="B58" s="626"/>
      <c r="C58" s="626"/>
      <c r="D58" s="598"/>
      <c r="F58" s="627"/>
      <c r="G58" s="607"/>
      <c r="H58" s="628"/>
      <c r="I58" s="628"/>
    </row>
    <row r="59" spans="1:11" ht="15.5" x14ac:dyDescent="0.35">
      <c r="A59" s="33"/>
      <c r="F59" s="629" t="s">
        <v>44</v>
      </c>
      <c r="G59" s="630">
        <f>G57+G49</f>
        <v>606.61540389547906</v>
      </c>
      <c r="H59" s="630">
        <f>H57+H49</f>
        <v>531.83788429285391</v>
      </c>
      <c r="I59" s="631">
        <f>H59+G59</f>
        <v>1138.4532881883329</v>
      </c>
    </row>
    <row r="60" spans="1:11" x14ac:dyDescent="0.3">
      <c r="A60" s="610" t="s">
        <v>69</v>
      </c>
      <c r="B60" s="632">
        <f>B49+B57</f>
        <v>17969</v>
      </c>
      <c r="C60" s="632">
        <f>C49+C57</f>
        <v>2114.8311131704913</v>
      </c>
      <c r="D60" s="612">
        <f>C60/B60</f>
        <v>0.11769331143472042</v>
      </c>
      <c r="F60" s="908" t="s">
        <v>210</v>
      </c>
      <c r="G60" s="908"/>
      <c r="H60" s="908"/>
      <c r="I60" s="908"/>
    </row>
    <row r="61" spans="1:11" ht="12.5" x14ac:dyDescent="0.25">
      <c r="A61" s="33"/>
      <c r="C61" s="633"/>
      <c r="D61" s="622"/>
      <c r="G61" s="597"/>
      <c r="K61" s="633"/>
    </row>
    <row r="62" spans="1:11" x14ac:dyDescent="0.3">
      <c r="A62" s="903" t="s">
        <v>208</v>
      </c>
      <c r="B62" s="904"/>
      <c r="C62" s="904"/>
      <c r="D62" s="905"/>
      <c r="K62" s="633"/>
    </row>
    <row r="63" spans="1:11" x14ac:dyDescent="0.3">
      <c r="A63" s="603" t="s">
        <v>258</v>
      </c>
      <c r="B63" s="165" t="s">
        <v>160</v>
      </c>
      <c r="C63" s="634" t="s">
        <v>161</v>
      </c>
      <c r="D63" s="369" t="s">
        <v>44</v>
      </c>
      <c r="K63" s="633"/>
    </row>
    <row r="64" spans="1:11" ht="12.5" x14ac:dyDescent="0.25">
      <c r="A64" s="485" t="s">
        <v>31</v>
      </c>
      <c r="B64" s="582">
        <f>B19</f>
        <v>5986</v>
      </c>
      <c r="C64" s="561">
        <v>0</v>
      </c>
      <c r="D64" s="496">
        <f>C64+B64</f>
        <v>5986</v>
      </c>
    </row>
    <row r="65" spans="1:11" ht="12.5" x14ac:dyDescent="0.25">
      <c r="A65" s="485" t="s">
        <v>62</v>
      </c>
      <c r="B65" s="582">
        <f>C19</f>
        <v>3902</v>
      </c>
      <c r="C65" s="605">
        <v>0</v>
      </c>
      <c r="D65" s="496">
        <f>C65+B65</f>
        <v>3902</v>
      </c>
      <c r="J65" s="633"/>
      <c r="K65" s="622"/>
    </row>
    <row r="66" spans="1:11" ht="12.5" x14ac:dyDescent="0.25">
      <c r="A66" s="485" t="s">
        <v>32</v>
      </c>
      <c r="B66" s="582">
        <f>D19</f>
        <v>1534</v>
      </c>
      <c r="C66" s="605">
        <v>0</v>
      </c>
      <c r="D66" s="496">
        <f>C66+B66</f>
        <v>1534</v>
      </c>
      <c r="K66" s="622"/>
    </row>
    <row r="67" spans="1:11" ht="12.5" x14ac:dyDescent="0.25">
      <c r="A67" s="485" t="s">
        <v>203</v>
      </c>
      <c r="B67" s="582">
        <f>E19</f>
        <v>3932</v>
      </c>
      <c r="C67" s="608">
        <v>0</v>
      </c>
      <c r="D67" s="496">
        <f>C67+B67</f>
        <v>3932</v>
      </c>
    </row>
    <row r="68" spans="1:11" x14ac:dyDescent="0.3">
      <c r="A68" s="635" t="s">
        <v>61</v>
      </c>
      <c r="B68" s="636">
        <f>SUM(B64:B67)</f>
        <v>15354</v>
      </c>
      <c r="C68" s="636">
        <f>SUM(C64:C67)</f>
        <v>0</v>
      </c>
      <c r="D68" s="637">
        <f>SUM(D64:D67)</f>
        <v>15354</v>
      </c>
    </row>
    <row r="69" spans="1:11" x14ac:dyDescent="0.3">
      <c r="A69" s="603" t="s">
        <v>123</v>
      </c>
      <c r="B69" s="165" t="s">
        <v>160</v>
      </c>
      <c r="C69" s="634" t="s">
        <v>161</v>
      </c>
      <c r="D69" s="369" t="s">
        <v>44</v>
      </c>
    </row>
    <row r="70" spans="1:11" ht="12.5" x14ac:dyDescent="0.25">
      <c r="A70" s="602">
        <v>1</v>
      </c>
      <c r="B70" s="638">
        <f>SUM(B25:B30)*$J$52+B31*$J$53+B32*$J$54+B33*$J$55+B34*$J$56</f>
        <v>31</v>
      </c>
      <c r="C70" s="639">
        <f>B31*$J$53+B32*$J$54+B33*$J$55+B34*$J$56+SUM(B35:B38)</f>
        <v>161</v>
      </c>
      <c r="D70" s="648">
        <f>C70+B70</f>
        <v>192</v>
      </c>
    </row>
    <row r="71" spans="1:11" ht="12.5" x14ac:dyDescent="0.25">
      <c r="A71" s="602">
        <v>2</v>
      </c>
      <c r="B71" s="597">
        <f>SUM(C25:C30)*$J$52+C31*$J$53+C32*$J$54+C33*$J$55+C34*$J$56</f>
        <v>81</v>
      </c>
      <c r="C71" s="597">
        <f>C31*$J$53+C32*$J$54+C33*$J$55+C34*$J$56+SUM(C35:C38)</f>
        <v>646</v>
      </c>
      <c r="D71" s="648">
        <f>C71+B71</f>
        <v>727</v>
      </c>
    </row>
    <row r="72" spans="1:11" ht="12.5" x14ac:dyDescent="0.25">
      <c r="A72" s="602">
        <v>3</v>
      </c>
      <c r="B72" s="597">
        <f>SUM(D25:D30)*$J$52+D31*$J$53+D32*$J$54+D33*$J$55+D34*$J$56</f>
        <v>47</v>
      </c>
      <c r="C72" s="597">
        <f>D31*$J$53+D32*$J$54+D33*$J$55+D34*$J$56+SUM(D35:D38)</f>
        <v>454</v>
      </c>
      <c r="D72" s="648">
        <f>C72+B72</f>
        <v>501</v>
      </c>
    </row>
    <row r="73" spans="1:11" ht="12.5" x14ac:dyDescent="0.25">
      <c r="A73" s="602">
        <v>4</v>
      </c>
      <c r="B73" s="597">
        <f>SUM(F25:F30)*$J$52+F31*$J$53+F32*$J$54+F33*$J$55+F34*$J$56</f>
        <v>463</v>
      </c>
      <c r="C73" s="597">
        <f>F31*$J$53+F32*$J$54+F33*$J$55+F34*$J$56+SUM(F35:F38)</f>
        <v>295</v>
      </c>
      <c r="D73" s="648">
        <f>C73+B73</f>
        <v>758</v>
      </c>
    </row>
    <row r="74" spans="1:11" ht="12.5" x14ac:dyDescent="0.25">
      <c r="A74" s="627">
        <v>5</v>
      </c>
      <c r="B74" s="597">
        <f>SUM(G25:G30)*$J$52+G31*$J$53+G32*$J$54+G33*$J$55+G34*$J$56</f>
        <v>201.5</v>
      </c>
      <c r="C74" s="597">
        <f>G31*$J$53+G32*$J$54+G33*$J$55+G34*$J$56+SUM(G35:G38)</f>
        <v>235.5</v>
      </c>
      <c r="D74" s="648">
        <f>C74+B74</f>
        <v>437</v>
      </c>
    </row>
    <row r="75" spans="1:11" x14ac:dyDescent="0.3">
      <c r="A75" s="635" t="s">
        <v>60</v>
      </c>
      <c r="B75" s="649">
        <f>SUM(B70:B74)</f>
        <v>823.5</v>
      </c>
      <c r="C75" s="649">
        <f>SUM(C70:C74)</f>
        <v>1791.5</v>
      </c>
      <c r="D75" s="650">
        <f>SUM(D70:D74)</f>
        <v>2615</v>
      </c>
    </row>
    <row r="76" spans="1:11" x14ac:dyDescent="0.3">
      <c r="A76" s="367" t="s">
        <v>44</v>
      </c>
      <c r="B76" s="651">
        <f>B75+B68</f>
        <v>16177.5</v>
      </c>
      <c r="C76" s="652">
        <f>C75+C68</f>
        <v>1791.5</v>
      </c>
      <c r="D76" s="653">
        <f>C76+B76</f>
        <v>17969</v>
      </c>
    </row>
  </sheetData>
  <mergeCells count="12">
    <mergeCell ref="J51:K51"/>
    <mergeCell ref="F60:I60"/>
    <mergeCell ref="A62:D62"/>
    <mergeCell ref="B3:E3"/>
    <mergeCell ref="F3:I3"/>
    <mergeCell ref="J3:M3"/>
    <mergeCell ref="J44:K44"/>
    <mergeCell ref="N3:Q3"/>
    <mergeCell ref="J23:N23"/>
    <mergeCell ref="O23:S23"/>
    <mergeCell ref="B23:I23"/>
    <mergeCell ref="F43:I43"/>
  </mergeCells>
  <pageMargins left="0.75" right="0.75" top="1" bottom="1" header="0.5" footer="0.5"/>
  <pageSetup scale="49" orientation="landscape" r:id="rId1"/>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39"/>
  <sheetViews>
    <sheetView workbookViewId="0">
      <pane xSplit="1" topLeftCell="B1" activePane="topRight" state="frozen"/>
      <selection activeCell="I30" sqref="I30"/>
      <selection pane="topRight" activeCell="I30" sqref="I30"/>
    </sheetView>
  </sheetViews>
  <sheetFormatPr defaultRowHeight="12.5" x14ac:dyDescent="0.25"/>
  <cols>
    <col min="1" max="1" width="5.81640625" bestFit="1" customWidth="1"/>
    <col min="2" max="2" width="11.1796875" bestFit="1" customWidth="1"/>
    <col min="3" max="3" width="9.453125" bestFit="1" customWidth="1"/>
    <col min="4" max="4" width="7.453125" bestFit="1" customWidth="1"/>
    <col min="5" max="5" width="7.1796875" bestFit="1" customWidth="1"/>
    <col min="6" max="6" width="11.1796875" bestFit="1" customWidth="1"/>
    <col min="7" max="7" width="9.453125" bestFit="1" customWidth="1"/>
    <col min="8" max="8" width="7.453125" bestFit="1" customWidth="1"/>
    <col min="9" max="9" width="7.1796875" bestFit="1" customWidth="1"/>
    <col min="10" max="10" width="11.1796875" bestFit="1" customWidth="1"/>
    <col min="11" max="11" width="9.453125" bestFit="1" customWidth="1"/>
    <col min="12" max="12" width="7.453125" bestFit="1" customWidth="1"/>
    <col min="13" max="13" width="7.26953125" bestFit="1" customWidth="1"/>
    <col min="14" max="14" width="7" bestFit="1" customWidth="1"/>
    <col min="15" max="16" width="8.26953125" bestFit="1" customWidth="1"/>
  </cols>
  <sheetData>
    <row r="1" spans="1:13" ht="13" x14ac:dyDescent="0.3">
      <c r="B1" s="2" t="s">
        <v>258</v>
      </c>
    </row>
    <row r="2" spans="1:13" x14ac:dyDescent="0.25">
      <c r="B2" s="900" t="s">
        <v>265</v>
      </c>
      <c r="C2" s="901"/>
      <c r="D2" s="901"/>
      <c r="E2" s="902"/>
      <c r="F2" s="900" t="s">
        <v>266</v>
      </c>
      <c r="G2" s="901"/>
      <c r="H2" s="901"/>
      <c r="I2" s="902"/>
      <c r="J2" s="900" t="s">
        <v>267</v>
      </c>
      <c r="K2" s="901"/>
      <c r="L2" s="901"/>
      <c r="M2" s="902"/>
    </row>
    <row r="3" spans="1:13" x14ac:dyDescent="0.25">
      <c r="A3" t="s">
        <v>134</v>
      </c>
      <c r="B3" s="274" t="s">
        <v>31</v>
      </c>
      <c r="C3" s="42" t="s">
        <v>62</v>
      </c>
      <c r="D3" s="42" t="s">
        <v>260</v>
      </c>
      <c r="E3" s="134" t="s">
        <v>203</v>
      </c>
      <c r="F3" s="274" t="s">
        <v>31</v>
      </c>
      <c r="G3" s="42" t="s">
        <v>62</v>
      </c>
      <c r="H3" s="42" t="s">
        <v>260</v>
      </c>
      <c r="I3" s="134" t="s">
        <v>203</v>
      </c>
      <c r="J3" s="274" t="s">
        <v>31</v>
      </c>
      <c r="K3" s="42" t="s">
        <v>62</v>
      </c>
      <c r="L3" s="42" t="s">
        <v>260</v>
      </c>
      <c r="M3" s="134" t="s">
        <v>203</v>
      </c>
    </row>
    <row r="4" spans="1:13" x14ac:dyDescent="0.25">
      <c r="A4">
        <v>32</v>
      </c>
      <c r="B4" s="276">
        <v>0</v>
      </c>
      <c r="C4" s="401"/>
      <c r="D4" s="401"/>
      <c r="E4" s="277"/>
      <c r="F4" s="44"/>
      <c r="G4" s="44"/>
      <c r="H4" s="44"/>
      <c r="I4" s="44"/>
      <c r="J4" s="521" t="str">
        <f t="shared" ref="J4:M17" si="0">IF(B4&gt;0,F4/B4,"na")</f>
        <v>na</v>
      </c>
      <c r="K4" s="522" t="str">
        <f t="shared" si="0"/>
        <v>na</v>
      </c>
      <c r="L4" s="522" t="str">
        <f t="shared" si="0"/>
        <v>na</v>
      </c>
      <c r="M4" s="523" t="str">
        <f t="shared" si="0"/>
        <v>na</v>
      </c>
    </row>
    <row r="5" spans="1:13" x14ac:dyDescent="0.25">
      <c r="A5">
        <v>33</v>
      </c>
      <c r="B5" s="128">
        <v>0</v>
      </c>
      <c r="C5" s="44"/>
      <c r="D5" s="44"/>
      <c r="E5" s="130"/>
      <c r="F5" s="44"/>
      <c r="G5" s="44"/>
      <c r="H5" s="44"/>
      <c r="I5" s="44"/>
      <c r="J5" s="524" t="str">
        <f t="shared" si="0"/>
        <v>na</v>
      </c>
      <c r="K5" s="525" t="str">
        <f t="shared" si="0"/>
        <v>na</v>
      </c>
      <c r="L5" s="525" t="str">
        <f t="shared" si="0"/>
        <v>na</v>
      </c>
      <c r="M5" s="526" t="str">
        <f t="shared" si="0"/>
        <v>na</v>
      </c>
    </row>
    <row r="6" spans="1:13" x14ac:dyDescent="0.25">
      <c r="A6">
        <v>34</v>
      </c>
      <c r="B6" s="128">
        <v>0</v>
      </c>
      <c r="C6" s="44"/>
      <c r="D6" s="44"/>
      <c r="E6" s="130">
        <v>10</v>
      </c>
      <c r="F6" s="73"/>
      <c r="G6" s="44"/>
      <c r="H6" s="44"/>
      <c r="I6" s="44">
        <v>0</v>
      </c>
      <c r="J6" s="524" t="str">
        <f t="shared" si="0"/>
        <v>na</v>
      </c>
      <c r="K6" s="525" t="str">
        <f t="shared" si="0"/>
        <v>na</v>
      </c>
      <c r="L6" s="525" t="str">
        <f t="shared" si="0"/>
        <v>na</v>
      </c>
      <c r="M6" s="526">
        <f t="shared" si="0"/>
        <v>0</v>
      </c>
    </row>
    <row r="7" spans="1:13" x14ac:dyDescent="0.25">
      <c r="A7">
        <v>35</v>
      </c>
      <c r="B7" s="128">
        <v>8</v>
      </c>
      <c r="C7" s="73"/>
      <c r="D7" s="44"/>
      <c r="E7" s="130">
        <v>115</v>
      </c>
      <c r="F7" s="73">
        <v>0</v>
      </c>
      <c r="G7" s="44"/>
      <c r="H7" s="44"/>
      <c r="I7" s="44">
        <v>5</v>
      </c>
      <c r="J7" s="524">
        <f t="shared" si="0"/>
        <v>0</v>
      </c>
      <c r="K7" s="525" t="str">
        <f t="shared" si="0"/>
        <v>na</v>
      </c>
      <c r="L7" s="525" t="str">
        <f t="shared" si="0"/>
        <v>na</v>
      </c>
      <c r="M7" s="526">
        <f t="shared" si="0"/>
        <v>4.3478260869565216E-2</v>
      </c>
    </row>
    <row r="8" spans="1:13" x14ac:dyDescent="0.25">
      <c r="A8">
        <v>36</v>
      </c>
      <c r="B8" s="128">
        <v>56</v>
      </c>
      <c r="C8" s="73">
        <v>9</v>
      </c>
      <c r="D8" s="73">
        <v>5</v>
      </c>
      <c r="E8" s="130">
        <v>422</v>
      </c>
      <c r="F8" s="73">
        <v>1</v>
      </c>
      <c r="G8" s="73">
        <v>1</v>
      </c>
      <c r="H8" s="73">
        <v>1</v>
      </c>
      <c r="I8" s="73">
        <v>19</v>
      </c>
      <c r="J8" s="524">
        <f t="shared" si="0"/>
        <v>1.7857142857142856E-2</v>
      </c>
      <c r="K8" s="525">
        <f t="shared" si="0"/>
        <v>0.1111111111111111</v>
      </c>
      <c r="L8" s="525">
        <f t="shared" si="0"/>
        <v>0.2</v>
      </c>
      <c r="M8" s="526">
        <f t="shared" si="0"/>
        <v>4.5023696682464455E-2</v>
      </c>
    </row>
    <row r="9" spans="1:13" x14ac:dyDescent="0.25">
      <c r="A9">
        <v>37</v>
      </c>
      <c r="B9" s="73">
        <v>54</v>
      </c>
      <c r="C9" s="73">
        <v>56</v>
      </c>
      <c r="D9" s="73">
        <v>4</v>
      </c>
      <c r="E9" s="130">
        <v>370</v>
      </c>
      <c r="F9" s="73">
        <v>1</v>
      </c>
      <c r="G9" s="73">
        <v>1</v>
      </c>
      <c r="H9" s="73">
        <v>1</v>
      </c>
      <c r="I9" s="73">
        <v>12</v>
      </c>
      <c r="J9" s="524">
        <f t="shared" si="0"/>
        <v>1.8518518518518517E-2</v>
      </c>
      <c r="K9" s="525">
        <f t="shared" si="0"/>
        <v>1.7857142857142856E-2</v>
      </c>
      <c r="L9" s="525">
        <f t="shared" si="0"/>
        <v>0.25</v>
      </c>
      <c r="M9" s="526">
        <f t="shared" si="0"/>
        <v>3.2432432432432434E-2</v>
      </c>
    </row>
    <row r="10" spans="1:13" x14ac:dyDescent="0.25">
      <c r="A10">
        <v>38</v>
      </c>
      <c r="B10" s="128">
        <v>967</v>
      </c>
      <c r="C10" s="73">
        <v>636</v>
      </c>
      <c r="D10" s="73">
        <v>132</v>
      </c>
      <c r="E10" s="130">
        <v>394</v>
      </c>
      <c r="F10" s="73">
        <v>39</v>
      </c>
      <c r="G10" s="73">
        <v>83</v>
      </c>
      <c r="H10" s="73">
        <v>6</v>
      </c>
      <c r="I10" s="73">
        <v>20</v>
      </c>
      <c r="J10" s="524">
        <f t="shared" si="0"/>
        <v>4.0330920372285417E-2</v>
      </c>
      <c r="K10" s="525">
        <f t="shared" si="0"/>
        <v>0.13050314465408805</v>
      </c>
      <c r="L10" s="525">
        <f t="shared" si="0"/>
        <v>4.5454545454545456E-2</v>
      </c>
      <c r="M10" s="526">
        <f t="shared" si="0"/>
        <v>5.0761421319796954E-2</v>
      </c>
    </row>
    <row r="11" spans="1:13" x14ac:dyDescent="0.25">
      <c r="A11">
        <v>39</v>
      </c>
      <c r="B11" s="128">
        <v>85</v>
      </c>
      <c r="C11" s="73">
        <v>313</v>
      </c>
      <c r="D11" s="73">
        <v>143</v>
      </c>
      <c r="E11" s="130">
        <v>167</v>
      </c>
      <c r="F11" s="73">
        <v>6</v>
      </c>
      <c r="G11" s="73">
        <v>19</v>
      </c>
      <c r="H11" s="73">
        <v>19</v>
      </c>
      <c r="I11" s="73">
        <v>25</v>
      </c>
      <c r="J11" s="524">
        <f t="shared" si="0"/>
        <v>7.0588235294117646E-2</v>
      </c>
      <c r="K11" s="525">
        <f t="shared" si="0"/>
        <v>6.070287539936102E-2</v>
      </c>
      <c r="L11" s="525">
        <f t="shared" si="0"/>
        <v>0.13286713286713286</v>
      </c>
      <c r="M11" s="526">
        <f t="shared" si="0"/>
        <v>0.1497005988023952</v>
      </c>
    </row>
    <row r="12" spans="1:13" x14ac:dyDescent="0.25">
      <c r="A12">
        <v>40</v>
      </c>
      <c r="B12" s="128">
        <v>128</v>
      </c>
      <c r="C12" s="73">
        <v>17</v>
      </c>
      <c r="D12" s="73">
        <v>98</v>
      </c>
      <c r="E12" s="130">
        <v>90</v>
      </c>
      <c r="F12" s="73">
        <v>9</v>
      </c>
      <c r="G12" s="73">
        <v>4</v>
      </c>
      <c r="H12" s="73">
        <v>15</v>
      </c>
      <c r="I12" s="73">
        <v>11</v>
      </c>
      <c r="J12" s="524">
        <f t="shared" si="0"/>
        <v>7.03125E-2</v>
      </c>
      <c r="K12" s="525">
        <f t="shared" si="0"/>
        <v>0.23529411764705882</v>
      </c>
      <c r="L12" s="525">
        <f t="shared" si="0"/>
        <v>0.15306122448979592</v>
      </c>
      <c r="M12" s="526">
        <f t="shared" si="0"/>
        <v>0.12222222222222222</v>
      </c>
    </row>
    <row r="13" spans="1:13" x14ac:dyDescent="0.25">
      <c r="A13">
        <v>41</v>
      </c>
      <c r="B13" s="128">
        <v>2</v>
      </c>
      <c r="C13" s="687">
        <v>0</v>
      </c>
      <c r="D13" s="73">
        <v>72</v>
      </c>
      <c r="E13" s="130">
        <v>22</v>
      </c>
      <c r="F13" s="73">
        <v>0</v>
      </c>
      <c r="G13" s="73">
        <v>0</v>
      </c>
      <c r="H13" s="73">
        <v>14</v>
      </c>
      <c r="I13" s="73">
        <v>3</v>
      </c>
      <c r="J13" s="524">
        <f t="shared" si="0"/>
        <v>0</v>
      </c>
      <c r="K13" s="678">
        <v>0.1111</v>
      </c>
      <c r="L13" s="525">
        <f t="shared" si="0"/>
        <v>0.19444444444444445</v>
      </c>
      <c r="M13" s="526">
        <f t="shared" si="0"/>
        <v>0.13636363636363635</v>
      </c>
    </row>
    <row r="14" spans="1:13" x14ac:dyDescent="0.25">
      <c r="A14">
        <v>42</v>
      </c>
      <c r="B14" s="689">
        <v>0</v>
      </c>
      <c r="C14" s="73"/>
      <c r="D14" s="73">
        <v>68</v>
      </c>
      <c r="E14" s="130">
        <v>75</v>
      </c>
      <c r="F14" s="73">
        <v>0</v>
      </c>
      <c r="G14" s="73">
        <v>0</v>
      </c>
      <c r="H14" s="73">
        <v>12</v>
      </c>
      <c r="I14" s="73">
        <v>10</v>
      </c>
      <c r="J14" s="682">
        <f>AVERAGE(J7:J13,J15)</f>
        <v>4.0108523325910229E-2</v>
      </c>
      <c r="K14" s="525" t="str">
        <f t="shared" ref="J14:M16" si="1">IF(C14&gt;0,G14/C14,"na")</f>
        <v>na</v>
      </c>
      <c r="L14" s="525">
        <f t="shared" si="1"/>
        <v>0.17647058823529413</v>
      </c>
      <c r="M14" s="526">
        <f t="shared" si="1"/>
        <v>0.13333333333333333</v>
      </c>
    </row>
    <row r="15" spans="1:13" x14ac:dyDescent="0.25">
      <c r="A15">
        <v>43</v>
      </c>
      <c r="B15" s="128">
        <v>184</v>
      </c>
      <c r="C15" s="687">
        <v>0</v>
      </c>
      <c r="D15" s="73">
        <v>45</v>
      </c>
      <c r="E15" s="130"/>
      <c r="F15" s="73">
        <v>19</v>
      </c>
      <c r="G15" s="73">
        <v>0</v>
      </c>
      <c r="H15" s="73">
        <v>15</v>
      </c>
      <c r="I15" s="73"/>
      <c r="J15" s="524">
        <f t="shared" si="1"/>
        <v>0.10326086956521739</v>
      </c>
      <c r="K15" s="678">
        <v>0.1111</v>
      </c>
      <c r="L15" s="525">
        <f t="shared" si="1"/>
        <v>0.33333333333333331</v>
      </c>
      <c r="M15" s="526" t="str">
        <f t="shared" si="1"/>
        <v>na</v>
      </c>
    </row>
    <row r="16" spans="1:13" x14ac:dyDescent="0.25">
      <c r="A16">
        <v>44</v>
      </c>
      <c r="B16" s="128"/>
      <c r="C16" s="44"/>
      <c r="D16" s="73"/>
      <c r="E16" s="130"/>
      <c r="F16" s="73"/>
      <c r="G16" s="73"/>
      <c r="H16" s="73"/>
      <c r="I16" s="73"/>
      <c r="J16" s="524" t="str">
        <f t="shared" si="1"/>
        <v>na</v>
      </c>
      <c r="K16" s="525" t="str">
        <f t="shared" si="1"/>
        <v>na</v>
      </c>
      <c r="L16" s="525" t="str">
        <f t="shared" si="1"/>
        <v>na</v>
      </c>
      <c r="M16" s="526" t="str">
        <f t="shared" si="1"/>
        <v>na</v>
      </c>
    </row>
    <row r="17" spans="1:18" x14ac:dyDescent="0.25">
      <c r="A17">
        <v>45</v>
      </c>
      <c r="B17" s="274"/>
      <c r="C17" s="42"/>
      <c r="D17" s="42"/>
      <c r="E17" s="134"/>
      <c r="F17" s="73"/>
      <c r="G17" s="73"/>
      <c r="H17" s="73"/>
      <c r="I17" s="73"/>
      <c r="J17" s="412" t="str">
        <f t="shared" si="0"/>
        <v>na</v>
      </c>
      <c r="K17" s="229" t="str">
        <f t="shared" si="0"/>
        <v>na</v>
      </c>
      <c r="L17" s="229" t="str">
        <f t="shared" si="0"/>
        <v>na</v>
      </c>
      <c r="M17" s="413" t="str">
        <f t="shared" si="0"/>
        <v>na</v>
      </c>
    </row>
    <row r="18" spans="1:18" x14ac:dyDescent="0.25">
      <c r="A18" t="s">
        <v>184</v>
      </c>
      <c r="B18" s="274">
        <f t="shared" ref="B18:I18" si="2">SUM(B4:B17)</f>
        <v>1484</v>
      </c>
      <c r="C18" s="42">
        <f t="shared" si="2"/>
        <v>1031</v>
      </c>
      <c r="D18" s="42">
        <f t="shared" si="2"/>
        <v>567</v>
      </c>
      <c r="E18" s="42">
        <f t="shared" si="2"/>
        <v>1665</v>
      </c>
      <c r="F18" s="329">
        <f t="shared" si="2"/>
        <v>75</v>
      </c>
      <c r="G18" s="195">
        <f t="shared" si="2"/>
        <v>108</v>
      </c>
      <c r="H18" s="195">
        <f t="shared" si="2"/>
        <v>83</v>
      </c>
      <c r="I18" s="403">
        <f t="shared" si="2"/>
        <v>105</v>
      </c>
      <c r="J18" s="527">
        <f>IF(B18&gt;0,F18/B18,"na")</f>
        <v>5.0539083557951482E-2</v>
      </c>
      <c r="K18" s="528">
        <f>IF(C18&gt;0,G18/C18,"na")</f>
        <v>0.10475266731328807</v>
      </c>
      <c r="L18" s="528">
        <f>IF(D18&gt;0,H18/D18,"na")</f>
        <v>0.14638447971781304</v>
      </c>
      <c r="M18" s="529">
        <f>IF(E18&gt;0,I18/E18,"na")</f>
        <v>6.3063063063063057E-2</v>
      </c>
    </row>
    <row r="19" spans="1:18" x14ac:dyDescent="0.25">
      <c r="E19">
        <f>SUM(B18:E18)</f>
        <v>4747</v>
      </c>
      <c r="I19">
        <f>SUM(F18:I18)</f>
        <v>371</v>
      </c>
      <c r="M19" s="530">
        <f>I19/E19</f>
        <v>7.8154623973035603E-2</v>
      </c>
    </row>
    <row r="21" spans="1:18" ht="13" x14ac:dyDescent="0.3">
      <c r="B21" s="2" t="s">
        <v>123</v>
      </c>
    </row>
    <row r="22" spans="1:18" x14ac:dyDescent="0.25">
      <c r="B22" s="900" t="s">
        <v>268</v>
      </c>
      <c r="C22" s="901"/>
      <c r="D22" s="901"/>
      <c r="E22" s="901"/>
      <c r="F22" s="902"/>
      <c r="G22" s="900" t="s">
        <v>269</v>
      </c>
      <c r="H22" s="901"/>
      <c r="I22" s="901"/>
      <c r="J22" s="901"/>
      <c r="K22" s="902"/>
      <c r="L22" s="900" t="s">
        <v>56</v>
      </c>
      <c r="M22" s="901"/>
      <c r="N22" s="901"/>
      <c r="O22" s="901"/>
      <c r="P22" s="902"/>
      <c r="Q22" s="417"/>
    </row>
    <row r="23" spans="1:18" x14ac:dyDescent="0.25">
      <c r="A23" t="s">
        <v>134</v>
      </c>
      <c r="B23" s="274">
        <v>1</v>
      </c>
      <c r="C23" s="42">
        <v>2</v>
      </c>
      <c r="D23" s="42">
        <v>3</v>
      </c>
      <c r="E23" s="42">
        <v>4</v>
      </c>
      <c r="F23" s="134">
        <v>5</v>
      </c>
      <c r="G23" s="274">
        <v>1</v>
      </c>
      <c r="H23" s="42">
        <v>2</v>
      </c>
      <c r="I23" s="42">
        <v>3</v>
      </c>
      <c r="J23" s="42">
        <v>4</v>
      </c>
      <c r="K23" s="134">
        <v>5</v>
      </c>
      <c r="L23" s="274">
        <v>1</v>
      </c>
      <c r="M23" s="42">
        <v>2</v>
      </c>
      <c r="N23" s="42">
        <v>3</v>
      </c>
      <c r="O23" s="42">
        <v>4</v>
      </c>
      <c r="P23" s="134">
        <v>5</v>
      </c>
      <c r="Q23" s="44" t="s">
        <v>282</v>
      </c>
      <c r="R23" t="s">
        <v>283</v>
      </c>
    </row>
    <row r="24" spans="1:18" x14ac:dyDescent="0.25">
      <c r="A24">
        <v>32</v>
      </c>
      <c r="B24" s="128"/>
      <c r="C24" s="44"/>
      <c r="D24" s="73"/>
      <c r="E24" s="73"/>
      <c r="F24" s="130"/>
      <c r="G24" s="276"/>
      <c r="H24" s="401"/>
      <c r="I24" s="401"/>
      <c r="J24" s="401"/>
      <c r="K24" s="277"/>
      <c r="L24" s="521" t="str">
        <f t="shared" ref="L24:P37" si="3">IF(B24&gt;0,G24/B24,"na")</f>
        <v>na</v>
      </c>
      <c r="M24" s="522" t="str">
        <f t="shared" si="3"/>
        <v>na</v>
      </c>
      <c r="N24" s="522" t="str">
        <f t="shared" si="3"/>
        <v>na</v>
      </c>
      <c r="O24" s="684" t="str">
        <f t="shared" si="3"/>
        <v>na</v>
      </c>
      <c r="P24" s="685" t="str">
        <f t="shared" si="3"/>
        <v>na</v>
      </c>
      <c r="Q24" s="525"/>
    </row>
    <row r="25" spans="1:18" x14ac:dyDescent="0.25">
      <c r="A25">
        <v>33</v>
      </c>
      <c r="B25" s="128"/>
      <c r="C25" s="44"/>
      <c r="D25" s="73"/>
      <c r="E25" s="73"/>
      <c r="F25" s="130"/>
      <c r="G25" s="128"/>
      <c r="H25" s="73"/>
      <c r="I25" s="73"/>
      <c r="J25" s="73"/>
      <c r="K25" s="130"/>
      <c r="L25" s="524" t="str">
        <f t="shared" si="3"/>
        <v>na</v>
      </c>
      <c r="M25" s="525" t="str">
        <f t="shared" si="3"/>
        <v>na</v>
      </c>
      <c r="N25" s="525" t="str">
        <f t="shared" si="3"/>
        <v>na</v>
      </c>
      <c r="O25" s="656" t="str">
        <f t="shared" si="3"/>
        <v>na</v>
      </c>
      <c r="P25" s="686" t="str">
        <f t="shared" si="3"/>
        <v>na</v>
      </c>
      <c r="Q25" s="525"/>
    </row>
    <row r="26" spans="1:18" x14ac:dyDescent="0.25">
      <c r="A26">
        <v>34</v>
      </c>
      <c r="B26" s="128"/>
      <c r="C26" s="73"/>
      <c r="D26" s="73"/>
      <c r="E26" s="73">
        <v>2</v>
      </c>
      <c r="F26" s="687"/>
      <c r="G26" s="128"/>
      <c r="H26" s="73"/>
      <c r="I26" s="73"/>
      <c r="J26" s="73">
        <v>2</v>
      </c>
      <c r="K26" s="688"/>
      <c r="L26" s="524" t="str">
        <f t="shared" si="3"/>
        <v>na</v>
      </c>
      <c r="M26" s="525" t="str">
        <f t="shared" si="3"/>
        <v>na</v>
      </c>
      <c r="N26" s="525" t="str">
        <f t="shared" si="3"/>
        <v>na</v>
      </c>
      <c r="O26" s="678">
        <f>(J26+K26)/(E26+F26)</f>
        <v>1</v>
      </c>
      <c r="P26" s="679">
        <f>O26</f>
        <v>1</v>
      </c>
      <c r="Q26" s="525"/>
    </row>
    <row r="27" spans="1:18" x14ac:dyDescent="0.25">
      <c r="A27">
        <v>35</v>
      </c>
      <c r="B27" s="128"/>
      <c r="C27" s="73"/>
      <c r="D27" s="73"/>
      <c r="E27" s="73">
        <v>23</v>
      </c>
      <c r="F27" s="73">
        <v>5</v>
      </c>
      <c r="G27" s="128"/>
      <c r="H27" s="73"/>
      <c r="I27" s="73"/>
      <c r="J27" s="73">
        <v>18</v>
      </c>
      <c r="K27" s="73">
        <v>5</v>
      </c>
      <c r="L27" s="524" t="str">
        <f t="shared" si="3"/>
        <v>na</v>
      </c>
      <c r="M27" s="525" t="str">
        <f t="shared" si="3"/>
        <v>na</v>
      </c>
      <c r="N27" s="525" t="str">
        <f t="shared" si="3"/>
        <v>na</v>
      </c>
      <c r="O27" s="525">
        <f>IF(E27&gt;0,J27/E27,"na")</f>
        <v>0.78260869565217395</v>
      </c>
      <c r="P27" s="526">
        <f>IF(F27&gt;0,K27/F27,"na")</f>
        <v>1</v>
      </c>
      <c r="Q27" s="525"/>
    </row>
    <row r="28" spans="1:18" x14ac:dyDescent="0.25">
      <c r="A28">
        <v>36</v>
      </c>
      <c r="B28" s="128"/>
      <c r="C28" s="44"/>
      <c r="D28" s="73"/>
      <c r="E28" s="73">
        <v>122</v>
      </c>
      <c r="F28" s="73">
        <v>14</v>
      </c>
      <c r="G28" s="128"/>
      <c r="H28" s="44"/>
      <c r="I28" s="44"/>
      <c r="J28" s="73">
        <v>103</v>
      </c>
      <c r="K28" s="130">
        <v>13</v>
      </c>
      <c r="L28" s="524" t="str">
        <f t="shared" si="3"/>
        <v>na</v>
      </c>
      <c r="M28" s="525" t="str">
        <f t="shared" si="3"/>
        <v>na</v>
      </c>
      <c r="N28" s="525" t="str">
        <f t="shared" si="3"/>
        <v>na</v>
      </c>
      <c r="O28" s="525">
        <f>IF(E28&gt;0,J28/E28,"na")</f>
        <v>0.84426229508196726</v>
      </c>
      <c r="P28" s="526">
        <f>IF(F28&gt;0,K28/F28,"na")</f>
        <v>0.9285714285714286</v>
      </c>
      <c r="Q28" s="525"/>
    </row>
    <row r="29" spans="1:18" x14ac:dyDescent="0.25">
      <c r="A29">
        <v>37</v>
      </c>
      <c r="B29" s="128"/>
      <c r="C29" s="44"/>
      <c r="D29" s="73"/>
      <c r="E29" s="73"/>
      <c r="F29" s="130"/>
      <c r="G29" s="128"/>
      <c r="H29" s="44"/>
      <c r="I29" s="44"/>
      <c r="J29" s="44"/>
      <c r="K29" s="130"/>
      <c r="L29" s="524" t="str">
        <f t="shared" si="3"/>
        <v>na</v>
      </c>
      <c r="M29" s="525" t="str">
        <f t="shared" si="3"/>
        <v>na</v>
      </c>
      <c r="N29" s="525" t="str">
        <f t="shared" si="3"/>
        <v>na</v>
      </c>
      <c r="O29" s="525" t="str">
        <f t="shared" si="3"/>
        <v>na</v>
      </c>
      <c r="P29" s="526" t="str">
        <f t="shared" si="3"/>
        <v>na</v>
      </c>
      <c r="Q29" s="525"/>
    </row>
    <row r="30" spans="1:18" x14ac:dyDescent="0.25">
      <c r="A30">
        <v>38</v>
      </c>
      <c r="B30" s="128"/>
      <c r="C30" s="44"/>
      <c r="D30" s="73"/>
      <c r="E30" s="73"/>
      <c r="F30" s="130"/>
      <c r="G30" s="128"/>
      <c r="H30" s="44"/>
      <c r="I30" s="44"/>
      <c r="J30" s="44"/>
      <c r="K30" s="130"/>
      <c r="L30" s="524" t="str">
        <f t="shared" si="3"/>
        <v>na</v>
      </c>
      <c r="M30" s="525" t="str">
        <f t="shared" si="3"/>
        <v>na</v>
      </c>
      <c r="N30" s="525" t="str">
        <f t="shared" si="3"/>
        <v>na</v>
      </c>
      <c r="O30" s="525" t="str">
        <f t="shared" si="3"/>
        <v>na</v>
      </c>
      <c r="P30" s="526" t="str">
        <f t="shared" si="3"/>
        <v>na</v>
      </c>
      <c r="Q30" s="525"/>
    </row>
    <row r="31" spans="1:18" x14ac:dyDescent="0.25">
      <c r="A31">
        <v>39</v>
      </c>
      <c r="B31" s="128"/>
      <c r="C31" s="44"/>
      <c r="D31" s="73"/>
      <c r="E31" s="73">
        <v>87</v>
      </c>
      <c r="F31" s="73">
        <v>42</v>
      </c>
      <c r="G31" s="128"/>
      <c r="H31" s="73"/>
      <c r="I31" s="73"/>
      <c r="J31" s="73">
        <v>30</v>
      </c>
      <c r="K31" s="130">
        <v>23</v>
      </c>
      <c r="L31" s="524" t="str">
        <f t="shared" si="3"/>
        <v>na</v>
      </c>
      <c r="M31" s="525" t="str">
        <f t="shared" si="3"/>
        <v>na</v>
      </c>
      <c r="N31" s="525" t="str">
        <f t="shared" si="3"/>
        <v>na</v>
      </c>
      <c r="O31" s="525">
        <f t="shared" si="3"/>
        <v>0.34482758620689657</v>
      </c>
      <c r="P31" s="526">
        <f t="shared" si="3"/>
        <v>0.54761904761904767</v>
      </c>
      <c r="Q31" s="525"/>
      <c r="R31" s="656"/>
    </row>
    <row r="32" spans="1:18" x14ac:dyDescent="0.25">
      <c r="A32">
        <v>40</v>
      </c>
      <c r="B32" s="128">
        <v>0</v>
      </c>
      <c r="C32" s="44">
        <v>14</v>
      </c>
      <c r="D32" s="73">
        <v>36</v>
      </c>
      <c r="E32" s="73">
        <v>143</v>
      </c>
      <c r="F32" s="130">
        <v>64</v>
      </c>
      <c r="G32" s="44">
        <v>0</v>
      </c>
      <c r="H32" s="44">
        <v>1</v>
      </c>
      <c r="I32" s="44">
        <v>21</v>
      </c>
      <c r="J32" s="73">
        <v>49</v>
      </c>
      <c r="K32" s="133">
        <v>30</v>
      </c>
      <c r="L32" s="682">
        <f>M32</f>
        <v>7.1428571428571425E-2</v>
      </c>
      <c r="M32" s="525">
        <f t="shared" si="3"/>
        <v>7.1428571428571425E-2</v>
      </c>
      <c r="N32" s="525">
        <f t="shared" si="3"/>
        <v>0.58333333333333337</v>
      </c>
      <c r="O32" s="525">
        <f t="shared" si="3"/>
        <v>0.34265734265734266</v>
      </c>
      <c r="P32" s="526">
        <f t="shared" si="3"/>
        <v>0.46875</v>
      </c>
      <c r="Q32" s="525">
        <f>SUM(G32:I32)/SUM(B32:D32)</f>
        <v>0.44</v>
      </c>
      <c r="R32" s="656">
        <f>SUM(J32:K32)/SUM(E32:F32)</f>
        <v>0.38164251207729466</v>
      </c>
    </row>
    <row r="33" spans="1:17" x14ac:dyDescent="0.25">
      <c r="A33">
        <v>41</v>
      </c>
      <c r="B33" s="680">
        <v>2</v>
      </c>
      <c r="C33" s="73">
        <v>32</v>
      </c>
      <c r="D33" s="73">
        <v>65</v>
      </c>
      <c r="E33" s="73">
        <v>18</v>
      </c>
      <c r="F33" s="133">
        <v>16</v>
      </c>
      <c r="G33" s="73">
        <v>0</v>
      </c>
      <c r="H33" s="73">
        <v>14</v>
      </c>
      <c r="I33" s="73">
        <v>20</v>
      </c>
      <c r="J33" s="73">
        <v>4</v>
      </c>
      <c r="K33" s="73">
        <v>5</v>
      </c>
      <c r="L33" s="682">
        <f>M33</f>
        <v>0.4375</v>
      </c>
      <c r="M33" s="525">
        <f t="shared" si="3"/>
        <v>0.4375</v>
      </c>
      <c r="N33" s="525">
        <f t="shared" si="3"/>
        <v>0.30769230769230771</v>
      </c>
      <c r="O33" s="525">
        <f t="shared" si="3"/>
        <v>0.22222222222222221</v>
      </c>
      <c r="P33" s="526">
        <f t="shared" si="3"/>
        <v>0.3125</v>
      </c>
      <c r="Q33" s="525"/>
    </row>
    <row r="34" spans="1:17" x14ac:dyDescent="0.25">
      <c r="A34">
        <v>42</v>
      </c>
      <c r="B34" s="128">
        <v>2</v>
      </c>
      <c r="C34" s="44">
        <v>24</v>
      </c>
      <c r="D34" s="73">
        <v>102</v>
      </c>
      <c r="E34" s="73">
        <v>16</v>
      </c>
      <c r="F34" s="130">
        <v>15</v>
      </c>
      <c r="G34" s="44">
        <v>1</v>
      </c>
      <c r="H34" s="44">
        <v>5</v>
      </c>
      <c r="I34" s="44">
        <v>35</v>
      </c>
      <c r="J34" s="44">
        <v>3</v>
      </c>
      <c r="K34" s="73">
        <v>6</v>
      </c>
      <c r="L34" s="683">
        <f>M34</f>
        <v>0.20833333333333334</v>
      </c>
      <c r="M34" s="402">
        <f t="shared" si="3"/>
        <v>0.20833333333333334</v>
      </c>
      <c r="N34" s="402">
        <f t="shared" si="3"/>
        <v>0.34313725490196079</v>
      </c>
      <c r="O34" s="402">
        <f t="shared" si="3"/>
        <v>0.1875</v>
      </c>
      <c r="P34" s="411">
        <f t="shared" si="3"/>
        <v>0.4</v>
      </c>
      <c r="Q34" s="525"/>
    </row>
    <row r="35" spans="1:17" x14ac:dyDescent="0.25">
      <c r="A35">
        <v>43</v>
      </c>
      <c r="B35" s="128"/>
      <c r="C35" s="687"/>
      <c r="D35" s="73">
        <v>24</v>
      </c>
      <c r="E35" s="73">
        <v>10</v>
      </c>
      <c r="F35" s="130">
        <v>7</v>
      </c>
      <c r="G35" s="44"/>
      <c r="H35" s="73"/>
      <c r="I35" s="73">
        <v>9</v>
      </c>
      <c r="J35" s="73">
        <v>5</v>
      </c>
      <c r="K35" s="73">
        <v>2</v>
      </c>
      <c r="L35" s="410" t="str">
        <f t="shared" si="3"/>
        <v>na</v>
      </c>
      <c r="M35" s="681">
        <f>N35</f>
        <v>0.375</v>
      </c>
      <c r="N35" s="402">
        <f t="shared" si="3"/>
        <v>0.375</v>
      </c>
      <c r="O35" s="402">
        <f t="shared" si="3"/>
        <v>0.5</v>
      </c>
      <c r="P35" s="411">
        <f t="shared" si="3"/>
        <v>0.2857142857142857</v>
      </c>
      <c r="Q35" s="402"/>
    </row>
    <row r="36" spans="1:17" x14ac:dyDescent="0.25">
      <c r="A36">
        <v>44</v>
      </c>
      <c r="B36" s="128"/>
      <c r="C36" s="687"/>
      <c r="D36" s="687"/>
      <c r="E36" s="687"/>
      <c r="F36" s="130">
        <v>11</v>
      </c>
      <c r="G36" s="44"/>
      <c r="H36" s="73"/>
      <c r="I36" s="44"/>
      <c r="J36" s="44"/>
      <c r="K36" s="73">
        <v>4</v>
      </c>
      <c r="L36" s="410" t="str">
        <f t="shared" si="3"/>
        <v>na</v>
      </c>
      <c r="M36" s="681">
        <f>M35</f>
        <v>0.375</v>
      </c>
      <c r="N36" s="681">
        <f>N35</f>
        <v>0.375</v>
      </c>
      <c r="O36" s="681">
        <f>O35</f>
        <v>0.5</v>
      </c>
      <c r="P36" s="411">
        <f t="shared" si="3"/>
        <v>0.36363636363636365</v>
      </c>
      <c r="Q36" s="402"/>
    </row>
    <row r="37" spans="1:17" x14ac:dyDescent="0.25">
      <c r="A37">
        <v>45</v>
      </c>
      <c r="B37" s="128"/>
      <c r="C37" s="44"/>
      <c r="D37" s="44"/>
      <c r="E37" s="44"/>
      <c r="F37" s="130"/>
      <c r="G37" s="44"/>
      <c r="H37" s="44"/>
      <c r="I37" s="44"/>
      <c r="J37" s="44"/>
      <c r="K37" s="44"/>
      <c r="L37" s="410" t="str">
        <f t="shared" si="3"/>
        <v>na</v>
      </c>
      <c r="M37" s="402" t="str">
        <f t="shared" si="3"/>
        <v>na</v>
      </c>
      <c r="N37" s="402" t="str">
        <f t="shared" si="3"/>
        <v>na</v>
      </c>
      <c r="O37" s="402" t="str">
        <f t="shared" si="3"/>
        <v>na</v>
      </c>
      <c r="P37" s="411" t="str">
        <f t="shared" si="3"/>
        <v>na</v>
      </c>
      <c r="Q37" s="402"/>
    </row>
    <row r="38" spans="1:17" x14ac:dyDescent="0.25">
      <c r="A38" t="s">
        <v>184</v>
      </c>
      <c r="B38" s="329"/>
      <c r="C38" s="195"/>
      <c r="D38" s="195"/>
      <c r="E38" s="195"/>
      <c r="F38" s="330"/>
      <c r="G38" s="329"/>
      <c r="H38" s="195"/>
      <c r="I38" s="195"/>
      <c r="J38" s="195"/>
      <c r="K38" s="404"/>
      <c r="L38" s="446"/>
      <c r="M38" s="528"/>
      <c r="N38" s="528"/>
      <c r="O38" s="528"/>
      <c r="P38" s="529"/>
      <c r="Q38" s="525"/>
    </row>
    <row r="39" spans="1:17" x14ac:dyDescent="0.25">
      <c r="B39" s="44"/>
      <c r="C39" s="44"/>
      <c r="D39" s="44"/>
      <c r="E39" s="44"/>
      <c r="F39" s="44"/>
      <c r="G39" s="44"/>
      <c r="H39" s="44"/>
      <c r="I39" s="44"/>
      <c r="J39" s="44"/>
      <c r="K39" s="44"/>
      <c r="L39" s="44"/>
      <c r="M39" s="44"/>
      <c r="N39" s="44"/>
      <c r="O39" s="44"/>
      <c r="P39" s="531"/>
      <c r="Q39" s="531"/>
    </row>
  </sheetData>
  <mergeCells count="6">
    <mergeCell ref="B2:E2"/>
    <mergeCell ref="F2:I2"/>
    <mergeCell ref="J2:M2"/>
    <mergeCell ref="B22:F22"/>
    <mergeCell ref="G22:K22"/>
    <mergeCell ref="L22:P22"/>
  </mergeCells>
  <pageMargins left="0.75" right="0.75" top="1" bottom="1" header="0.5" footer="0.5"/>
  <pageSetup orientation="portrait" r:id="rId1"/>
  <headerFooter alignWithMargins="0"/>
  <drawing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2:AD76"/>
  <sheetViews>
    <sheetView topLeftCell="A36" workbookViewId="0">
      <pane xSplit="1" topLeftCell="B1" activePane="topRight" state="frozen"/>
      <selection activeCell="I30" sqref="I30"/>
      <selection pane="topRight" activeCell="I30" sqref="I30"/>
    </sheetView>
  </sheetViews>
  <sheetFormatPr defaultColWidth="9.1796875" defaultRowHeight="13" x14ac:dyDescent="0.3"/>
  <cols>
    <col min="1" max="1" width="11.7265625" style="34" bestFit="1" customWidth="1"/>
    <col min="2" max="2" width="11.54296875" style="33" bestFit="1" customWidth="1"/>
    <col min="3" max="3" width="11.81640625" style="33" bestFit="1" customWidth="1"/>
    <col min="4" max="4" width="12.26953125" style="33" bestFit="1" customWidth="1"/>
    <col min="5" max="5" width="7.54296875" style="33" bestFit="1" customWidth="1"/>
    <col min="6" max="6" width="12.7265625" style="33" bestFit="1" customWidth="1"/>
    <col min="7" max="7" width="10.26953125" style="33" bestFit="1" customWidth="1"/>
    <col min="8" max="8" width="8.1796875" style="33" bestFit="1" customWidth="1"/>
    <col min="9" max="9" width="7.54296875" style="33" bestFit="1" customWidth="1"/>
    <col min="10" max="10" width="11.54296875" style="33" bestFit="1" customWidth="1"/>
    <col min="11" max="11" width="11.453125" style="33" bestFit="1" customWidth="1"/>
    <col min="12" max="12" width="8.1796875" style="33" bestFit="1" customWidth="1"/>
    <col min="13" max="13" width="10" style="33" bestFit="1" customWidth="1"/>
    <col min="14" max="14" width="11.54296875" style="33" bestFit="1" customWidth="1"/>
    <col min="15" max="15" width="10.26953125" style="33" bestFit="1" customWidth="1"/>
    <col min="16" max="16" width="8.1796875" style="33" bestFit="1" customWidth="1"/>
    <col min="17" max="17" width="9.26953125" style="33" bestFit="1" customWidth="1"/>
    <col min="18" max="19" width="5" style="33" bestFit="1" customWidth="1"/>
    <col min="20" max="20" width="4" style="33" bestFit="1" customWidth="1"/>
    <col min="21" max="21" width="5" style="33" bestFit="1" customWidth="1"/>
    <col min="22" max="22" width="6.7265625" style="33" bestFit="1" customWidth="1"/>
    <col min="23" max="23" width="5" style="32" bestFit="1" customWidth="1"/>
    <col min="24" max="24" width="7.26953125" style="32" bestFit="1" customWidth="1"/>
    <col min="25" max="25" width="7" style="32" bestFit="1" customWidth="1"/>
    <col min="26" max="26" width="12" style="32" bestFit="1" customWidth="1"/>
    <col min="27" max="27" width="9.26953125" style="32" bestFit="1" customWidth="1"/>
    <col min="28" max="28" width="10.453125" style="32" bestFit="1" customWidth="1"/>
    <col min="29" max="16384" width="9.1796875" style="32"/>
  </cols>
  <sheetData>
    <row r="2" spans="1:22" x14ac:dyDescent="0.3">
      <c r="B2" s="34" t="s">
        <v>258</v>
      </c>
    </row>
    <row r="3" spans="1:22" x14ac:dyDescent="0.3">
      <c r="B3" s="903" t="s">
        <v>208</v>
      </c>
      <c r="C3" s="904"/>
      <c r="D3" s="904"/>
      <c r="E3" s="905"/>
      <c r="F3" s="903" t="s">
        <v>264</v>
      </c>
      <c r="G3" s="904"/>
      <c r="H3" s="904"/>
      <c r="I3" s="905"/>
      <c r="J3" s="903" t="s">
        <v>261</v>
      </c>
      <c r="K3" s="904"/>
      <c r="L3" s="904"/>
      <c r="M3" s="905"/>
      <c r="N3" s="903" t="s">
        <v>262</v>
      </c>
      <c r="O3" s="904"/>
      <c r="P3" s="904"/>
      <c r="Q3" s="905"/>
      <c r="R3" s="165"/>
      <c r="S3" s="165"/>
      <c r="T3" s="165"/>
      <c r="U3" s="165"/>
      <c r="V3" s="165"/>
    </row>
    <row r="4" spans="1:22" x14ac:dyDescent="0.3">
      <c r="A4" s="34" t="s">
        <v>134</v>
      </c>
      <c r="B4" s="547" t="s">
        <v>31</v>
      </c>
      <c r="C4" s="202" t="s">
        <v>62</v>
      </c>
      <c r="D4" s="202" t="s">
        <v>260</v>
      </c>
      <c r="E4" s="548" t="s">
        <v>203</v>
      </c>
      <c r="F4" s="547" t="s">
        <v>31</v>
      </c>
      <c r="G4" s="202" t="s">
        <v>62</v>
      </c>
      <c r="H4" s="202" t="s">
        <v>260</v>
      </c>
      <c r="I4" s="548" t="s">
        <v>203</v>
      </c>
      <c r="J4" s="549" t="s">
        <v>31</v>
      </c>
      <c r="K4" s="208" t="s">
        <v>62</v>
      </c>
      <c r="L4" s="208" t="s">
        <v>260</v>
      </c>
      <c r="M4" s="550" t="s">
        <v>203</v>
      </c>
      <c r="N4" s="549" t="s">
        <v>31</v>
      </c>
      <c r="O4" s="208" t="s">
        <v>62</v>
      </c>
      <c r="P4" s="208" t="s">
        <v>260</v>
      </c>
      <c r="Q4" s="550" t="s">
        <v>203</v>
      </c>
      <c r="R4" s="208"/>
      <c r="S4" s="208"/>
      <c r="T4" s="208"/>
      <c r="U4" s="208"/>
      <c r="V4" s="208"/>
    </row>
    <row r="5" spans="1:22" x14ac:dyDescent="0.3">
      <c r="A5" s="34">
        <v>32</v>
      </c>
      <c r="B5" s="485">
        <v>0</v>
      </c>
      <c r="C5" s="457"/>
      <c r="D5" s="457"/>
      <c r="E5" s="515"/>
      <c r="F5" s="551" t="str">
        <f>'2011 comm sample'!J4</f>
        <v>na</v>
      </c>
      <c r="G5" s="552" t="str">
        <f>'2011 comm sample'!K4</f>
        <v>na</v>
      </c>
      <c r="H5" s="552" t="str">
        <f>'2011 comm sample'!L4</f>
        <v>na</v>
      </c>
      <c r="I5" s="552" t="str">
        <f>'2011 comm sample'!M4</f>
        <v>na</v>
      </c>
      <c r="J5" s="553" t="str">
        <f>IF(B5&gt;0,'2011 comm sample'!B4/'2011 Comm catch'!B5,"na")</f>
        <v>na</v>
      </c>
      <c r="K5" s="554" t="str">
        <f>IF(C5&gt;0,'2011 comm sample'!C4/'2011 Comm catch'!C5,"na")</f>
        <v>na</v>
      </c>
      <c r="L5" s="554" t="str">
        <f>IF(D5&gt;0,'2011 comm sample'!D4/'2011 Comm catch'!D5,"na")</f>
        <v>na</v>
      </c>
      <c r="M5" s="554" t="str">
        <f>IF(E5&gt;0,'2011 comm sample'!E4/'2011 Comm catch'!E5,"na")</f>
        <v>na</v>
      </c>
      <c r="N5" s="555" t="str">
        <f t="shared" ref="N5:N18" si="0">IF(F5&lt;&gt;"na",B5*F5,"na")</f>
        <v>na</v>
      </c>
      <c r="O5" s="556" t="str">
        <f t="shared" ref="O5:O18" si="1">IF(G5&lt;&gt;"na",C5*G5,"na")</f>
        <v>na</v>
      </c>
      <c r="P5" s="556" t="str">
        <f t="shared" ref="P5:P18" si="2">IF(H5&lt;&gt;"na",D5*H5,"na")</f>
        <v>na</v>
      </c>
      <c r="Q5" s="557" t="str">
        <f t="shared" ref="Q5:Q18" si="3">IF(I5&lt;&gt;"na",E5*I5,"na")</f>
        <v>na</v>
      </c>
      <c r="R5" s="514"/>
      <c r="S5" s="514"/>
      <c r="T5" s="514"/>
      <c r="U5" s="514"/>
      <c r="V5" s="514"/>
    </row>
    <row r="6" spans="1:22" x14ac:dyDescent="0.3">
      <c r="A6" s="34">
        <v>33</v>
      </c>
      <c r="B6" s="485">
        <v>1</v>
      </c>
      <c r="C6" s="457"/>
      <c r="D6" s="457"/>
      <c r="E6" s="515"/>
      <c r="F6" s="551">
        <f>'2011 comm sample'!J5</f>
        <v>0</v>
      </c>
      <c r="G6" s="552" t="str">
        <f>'2011 comm sample'!K5</f>
        <v>na</v>
      </c>
      <c r="H6" s="552" t="str">
        <f>'2011 comm sample'!L5</f>
        <v>na</v>
      </c>
      <c r="I6" s="552" t="str">
        <f>'2011 comm sample'!M5</f>
        <v>na</v>
      </c>
      <c r="J6" s="558">
        <f>IF(B6&gt;0,'2011 comm sample'!B5/'2011 Comm catch'!B6,"na")</f>
        <v>1</v>
      </c>
      <c r="K6" s="559" t="str">
        <f>IF(C6&gt;0,'2011 comm sample'!C5/'2011 Comm catch'!C6,"na")</f>
        <v>na</v>
      </c>
      <c r="L6" s="559" t="str">
        <f>IF(D6&gt;0,'2011 comm sample'!D5/'2011 Comm catch'!D6,"na")</f>
        <v>na</v>
      </c>
      <c r="M6" s="559" t="str">
        <f>IF(E6&gt;0,'2011 comm sample'!E5/'2011 Comm catch'!E6,"na")</f>
        <v>na</v>
      </c>
      <c r="N6" s="560">
        <f t="shared" si="0"/>
        <v>0</v>
      </c>
      <c r="O6" s="514" t="str">
        <f t="shared" si="1"/>
        <v>na</v>
      </c>
      <c r="P6" s="514" t="str">
        <f t="shared" si="2"/>
        <v>na</v>
      </c>
      <c r="Q6" s="563" t="str">
        <f t="shared" si="3"/>
        <v>na</v>
      </c>
      <c r="R6" s="514"/>
      <c r="S6" s="514"/>
      <c r="T6" s="514"/>
      <c r="U6" s="514"/>
      <c r="V6" s="514"/>
    </row>
    <row r="7" spans="1:22" x14ac:dyDescent="0.3">
      <c r="A7" s="34">
        <v>34</v>
      </c>
      <c r="B7" s="485">
        <v>19</v>
      </c>
      <c r="C7" s="457"/>
      <c r="D7" s="457"/>
      <c r="E7" s="515">
        <v>2</v>
      </c>
      <c r="F7" s="551">
        <f>'2011 comm sample'!J6</f>
        <v>4.7619047619047616E-2</v>
      </c>
      <c r="G7" s="552" t="str">
        <f>'2011 comm sample'!K6</f>
        <v>na</v>
      </c>
      <c r="H7" s="552" t="str">
        <f>'2011 comm sample'!L6</f>
        <v>na</v>
      </c>
      <c r="I7" s="552">
        <f>'2011 comm sample'!M6</f>
        <v>0</v>
      </c>
      <c r="J7" s="558">
        <f>IF(B7&gt;0,'2011 comm sample'!B6/'2011 Comm catch'!B7,"na")</f>
        <v>1.1052631578947369</v>
      </c>
      <c r="K7" s="559" t="str">
        <f>IF(C7&gt;0,'2011 comm sample'!C6/'2011 Comm catch'!C7,"na")</f>
        <v>na</v>
      </c>
      <c r="L7" s="559" t="str">
        <f>IF(D7&gt;0,'2011 comm sample'!D6/'2011 Comm catch'!D7,"na")</f>
        <v>na</v>
      </c>
      <c r="M7" s="559">
        <f>IF(E7&gt;0,'2011 comm sample'!E6/'2011 Comm catch'!E7,"na")</f>
        <v>1</v>
      </c>
      <c r="N7" s="560">
        <f t="shared" si="0"/>
        <v>0.90476190476190466</v>
      </c>
      <c r="O7" s="514" t="str">
        <f t="shared" si="1"/>
        <v>na</v>
      </c>
      <c r="P7" s="514" t="str">
        <f t="shared" si="2"/>
        <v>na</v>
      </c>
      <c r="Q7" s="563">
        <f t="shared" si="3"/>
        <v>0</v>
      </c>
      <c r="R7" s="514"/>
      <c r="S7" s="514"/>
      <c r="T7" s="514"/>
      <c r="U7" s="514"/>
      <c r="V7" s="514"/>
    </row>
    <row r="8" spans="1:22" x14ac:dyDescent="0.3">
      <c r="A8" s="34">
        <v>35</v>
      </c>
      <c r="B8" s="485">
        <v>108</v>
      </c>
      <c r="C8" s="457"/>
      <c r="D8" s="457"/>
      <c r="E8" s="515">
        <v>2</v>
      </c>
      <c r="F8" s="551">
        <f>'2011 comm sample'!J7</f>
        <v>8.8888888888888892E-2</v>
      </c>
      <c r="G8" s="552" t="str">
        <f>'2011 comm sample'!K7</f>
        <v>na</v>
      </c>
      <c r="H8" s="552" t="str">
        <f>'2011 comm sample'!L7</f>
        <v>na</v>
      </c>
      <c r="I8" s="552">
        <f>'2011 comm sample'!M7</f>
        <v>0</v>
      </c>
      <c r="J8" s="558">
        <f>IF(B8&gt;0,'2011 comm sample'!B7/'2011 Comm catch'!B8,"na")</f>
        <v>0.41666666666666669</v>
      </c>
      <c r="K8" s="559" t="str">
        <f>IF(C8&gt;0,'2011 comm sample'!C7/'2011 Comm catch'!C8,"na")</f>
        <v>na</v>
      </c>
      <c r="L8" s="559" t="str">
        <f>IF(D8&gt;0,'2011 comm sample'!D7/'2011 Comm catch'!D8,"na")</f>
        <v>na</v>
      </c>
      <c r="M8" s="559">
        <f>IF(E8&gt;0,'2011 comm sample'!E7/'2011 Comm catch'!E8,"na")</f>
        <v>1</v>
      </c>
      <c r="N8" s="560">
        <f t="shared" si="0"/>
        <v>9.6</v>
      </c>
      <c r="O8" s="514" t="str">
        <f t="shared" si="1"/>
        <v>na</v>
      </c>
      <c r="P8" s="514" t="str">
        <f t="shared" si="2"/>
        <v>na</v>
      </c>
      <c r="Q8" s="563">
        <f t="shared" si="3"/>
        <v>0</v>
      </c>
      <c r="R8" s="514"/>
      <c r="S8" s="514"/>
      <c r="T8" s="514"/>
      <c r="U8" s="514"/>
      <c r="V8" s="514"/>
    </row>
    <row r="9" spans="1:22" x14ac:dyDescent="0.3">
      <c r="A9" s="34">
        <v>36</v>
      </c>
      <c r="B9" s="485">
        <v>3409</v>
      </c>
      <c r="C9" s="457">
        <v>475</v>
      </c>
      <c r="D9" s="457">
        <v>163</v>
      </c>
      <c r="E9" s="515">
        <v>284</v>
      </c>
      <c r="F9" s="551">
        <f>'2011 comm sample'!J8</f>
        <v>7.3002754820936641E-2</v>
      </c>
      <c r="G9" s="552">
        <f>'2011 comm sample'!K8</f>
        <v>0.25</v>
      </c>
      <c r="H9" s="552">
        <f>'2011 comm sample'!L8</f>
        <v>0.5</v>
      </c>
      <c r="I9" s="552">
        <f>'2011 comm sample'!M8</f>
        <v>6.0869565217391307E-2</v>
      </c>
      <c r="J9" s="558">
        <f>IF(B9&gt;0,'2011 comm sample'!B8/'2011 Comm catch'!B9,"na")</f>
        <v>0.21296567908477559</v>
      </c>
      <c r="K9" s="559">
        <f>IF(C9&gt;0,'2011 comm sample'!C8/'2011 Comm catch'!C9,"na")</f>
        <v>4.2105263157894736E-2</v>
      </c>
      <c r="L9" s="559">
        <f>IF(D9&gt;0,'2011 comm sample'!D8/'2011 Comm catch'!D9,"na")</f>
        <v>1.2269938650306749E-2</v>
      </c>
      <c r="M9" s="559">
        <f>IF(E9&gt;0,'2011 comm sample'!E8/'2011 Comm catch'!E9,"na")</f>
        <v>0.40492957746478875</v>
      </c>
      <c r="N9" s="560">
        <f t="shared" si="0"/>
        <v>248.86639118457302</v>
      </c>
      <c r="O9" s="514">
        <f t="shared" si="1"/>
        <v>118.75</v>
      </c>
      <c r="P9" s="514">
        <f t="shared" si="2"/>
        <v>81.5</v>
      </c>
      <c r="Q9" s="563">
        <f t="shared" si="3"/>
        <v>17.286956521739132</v>
      </c>
      <c r="R9" s="514"/>
      <c r="S9" s="514"/>
      <c r="T9" s="514"/>
      <c r="U9" s="514"/>
      <c r="V9" s="514"/>
    </row>
    <row r="10" spans="1:22" x14ac:dyDescent="0.3">
      <c r="A10" s="34">
        <v>37</v>
      </c>
      <c r="B10" s="485">
        <v>8895</v>
      </c>
      <c r="C10" s="457">
        <v>1265</v>
      </c>
      <c r="D10" s="457">
        <v>65</v>
      </c>
      <c r="E10" s="515">
        <v>1608</v>
      </c>
      <c r="F10" s="551">
        <f>'2011 comm sample'!J9</f>
        <v>5.2631578947368418E-2</v>
      </c>
      <c r="G10" s="552">
        <f>'2011 comm sample'!K9</f>
        <v>0.1729106628242075</v>
      </c>
      <c r="H10" s="552">
        <f>'2011 comm sample'!L9</f>
        <v>0.16666666666666666</v>
      </c>
      <c r="I10" s="552">
        <f>'2011 comm sample'!M9</f>
        <v>3.6016949152542374E-2</v>
      </c>
      <c r="J10" s="558">
        <f>IF(B10&gt;0,'2011 comm sample'!B9/'2011 Comm catch'!B10,"na")</f>
        <v>8.7577290612703765E-2</v>
      </c>
      <c r="K10" s="559">
        <f>IF(C10&gt;0,'2011 comm sample'!C9/'2011 Comm catch'!C10,"na")</f>
        <v>0.27430830039525694</v>
      </c>
      <c r="L10" s="559">
        <f>IF(D10&gt;0,'2011 comm sample'!D9/'2011 Comm catch'!D10,"na")</f>
        <v>0.46153846153846156</v>
      </c>
      <c r="M10" s="559">
        <f>IF(E10&gt;0,'2011 comm sample'!E9/'2011 Comm catch'!E10,"na")</f>
        <v>0.29353233830845771</v>
      </c>
      <c r="N10" s="560">
        <f t="shared" si="0"/>
        <v>468.15789473684208</v>
      </c>
      <c r="O10" s="514">
        <f t="shared" si="1"/>
        <v>218.73198847262248</v>
      </c>
      <c r="P10" s="514">
        <f t="shared" si="2"/>
        <v>10.833333333333332</v>
      </c>
      <c r="Q10" s="563">
        <f t="shared" si="3"/>
        <v>57.915254237288138</v>
      </c>
      <c r="R10" s="514"/>
      <c r="S10" s="514"/>
      <c r="T10" s="514"/>
      <c r="U10" s="514"/>
      <c r="V10" s="514"/>
    </row>
    <row r="11" spans="1:22" x14ac:dyDescent="0.3">
      <c r="A11" s="34">
        <v>38</v>
      </c>
      <c r="B11" s="485">
        <v>5902</v>
      </c>
      <c r="C11" s="457">
        <v>1286</v>
      </c>
      <c r="D11" s="457">
        <v>261</v>
      </c>
      <c r="E11" s="515">
        <v>3327</v>
      </c>
      <c r="F11" s="551">
        <f>'2011 comm sample'!J10</f>
        <v>6.9025522041763335E-2</v>
      </c>
      <c r="G11" s="552">
        <f>'2011 comm sample'!K10</f>
        <v>0.11974789915966387</v>
      </c>
      <c r="H11" s="552">
        <f>'2011 comm sample'!L10</f>
        <v>0.13970588235294118</v>
      </c>
      <c r="I11" s="552">
        <f>'2011 comm sample'!M10</f>
        <v>2.3350253807106598E-2</v>
      </c>
      <c r="J11" s="558">
        <f>IF(B11&gt;0,'2011 comm sample'!B10/'2011 Comm catch'!B11,"na")</f>
        <v>0.29210437139952561</v>
      </c>
      <c r="K11" s="559">
        <f>IF(C11&gt;0,'2011 comm sample'!C10/'2011 Comm catch'!C11,"na")</f>
        <v>0.37013996889580092</v>
      </c>
      <c r="L11" s="559">
        <f>IF(D11&gt;0,'2011 comm sample'!D10/'2011 Comm catch'!D11,"na")</f>
        <v>0.52107279693486586</v>
      </c>
      <c r="M11" s="559">
        <f>IF(E11&gt;0,'2011 comm sample'!E10/'2011 Comm catch'!E11,"na")</f>
        <v>0.29606251878569284</v>
      </c>
      <c r="N11" s="560">
        <f t="shared" si="0"/>
        <v>407.38863109048719</v>
      </c>
      <c r="O11" s="514">
        <f t="shared" si="1"/>
        <v>153.99579831932775</v>
      </c>
      <c r="P11" s="514">
        <f t="shared" si="2"/>
        <v>36.463235294117645</v>
      </c>
      <c r="Q11" s="563">
        <f t="shared" si="3"/>
        <v>77.686294416243655</v>
      </c>
      <c r="R11" s="514"/>
      <c r="S11" s="514"/>
      <c r="T11" s="514"/>
      <c r="U11" s="514"/>
      <c r="V11" s="514"/>
    </row>
    <row r="12" spans="1:22" x14ac:dyDescent="0.3">
      <c r="A12" s="34">
        <v>39</v>
      </c>
      <c r="B12" s="485">
        <v>3384</v>
      </c>
      <c r="C12" s="457">
        <v>1166</v>
      </c>
      <c r="D12" s="457">
        <v>465</v>
      </c>
      <c r="E12" s="515">
        <v>3934</v>
      </c>
      <c r="F12" s="551">
        <f>'2011 comm sample'!J11</f>
        <v>2.5781249999999999E-2</v>
      </c>
      <c r="G12" s="552">
        <f>'2011 comm sample'!K11</f>
        <v>0.20481927710843373</v>
      </c>
      <c r="H12" s="552">
        <f>'2011 comm sample'!L11</f>
        <v>0.26573426573426573</v>
      </c>
      <c r="I12" s="552">
        <f>'2011 comm sample'!M11</f>
        <v>1.2849584278155708E-2</v>
      </c>
      <c r="J12" s="558">
        <f>IF(B12&gt;0,'2011 comm sample'!B11/'2011 Comm catch'!B12,"na")</f>
        <v>0.37825059101654845</v>
      </c>
      <c r="K12" s="559">
        <f>IF(C12&gt;0,'2011 comm sample'!C11/'2011 Comm catch'!C12,"na")</f>
        <v>0.14236706689536879</v>
      </c>
      <c r="L12" s="559">
        <f>IF(D12&gt;0,'2011 comm sample'!D11/'2011 Comm catch'!D12,"na")</f>
        <v>0.30752688172043013</v>
      </c>
      <c r="M12" s="559">
        <f>IF(E12&gt;0,'2011 comm sample'!E11/'2011 Comm catch'!E12,"na")</f>
        <v>0.33629893238434166</v>
      </c>
      <c r="N12" s="560">
        <f t="shared" si="0"/>
        <v>87.243749999999991</v>
      </c>
      <c r="O12" s="514">
        <f t="shared" si="1"/>
        <v>238.81927710843374</v>
      </c>
      <c r="P12" s="514">
        <f t="shared" si="2"/>
        <v>123.56643356643356</v>
      </c>
      <c r="Q12" s="563">
        <f t="shared" si="3"/>
        <v>50.550264550264551</v>
      </c>
      <c r="R12" s="514"/>
      <c r="S12" s="514"/>
      <c r="T12" s="514"/>
      <c r="U12" s="514"/>
      <c r="V12" s="514"/>
    </row>
    <row r="13" spans="1:22" x14ac:dyDescent="0.3">
      <c r="A13" s="34">
        <v>40</v>
      </c>
      <c r="B13" s="485">
        <v>2446</v>
      </c>
      <c r="C13" s="457">
        <v>540</v>
      </c>
      <c r="D13" s="457">
        <v>156</v>
      </c>
      <c r="E13" s="515">
        <v>3552</v>
      </c>
      <c r="F13" s="551">
        <f>'2011 comm sample'!J12</f>
        <v>3.7406483790523692E-2</v>
      </c>
      <c r="G13" s="552">
        <f>'2011 comm sample'!K12</f>
        <v>0.10483870967741936</v>
      </c>
      <c r="H13" s="552">
        <f>'2011 comm sample'!L12</f>
        <v>0.26760563380281688</v>
      </c>
      <c r="I13" s="552">
        <f>'2011 comm sample'!M12</f>
        <v>3.3282904689863842E-2</v>
      </c>
      <c r="J13" s="558">
        <f>IF(B13&gt;0,'2011 comm sample'!B12/'2011 Comm catch'!B13,"na")</f>
        <v>0.49182338511856094</v>
      </c>
      <c r="K13" s="559">
        <f>IF(C13&gt;0,'2011 comm sample'!C12/'2011 Comm catch'!C13,"na")</f>
        <v>0.22962962962962963</v>
      </c>
      <c r="L13" s="559">
        <f>IF(D13&gt;0,'2011 comm sample'!D12/'2011 Comm catch'!D13,"na")</f>
        <v>0.45512820512820512</v>
      </c>
      <c r="M13" s="559">
        <f>IF(E13&gt;0,'2011 comm sample'!E12/'2011 Comm catch'!E13,"na")</f>
        <v>0.18609234234234234</v>
      </c>
      <c r="N13" s="560">
        <f t="shared" si="0"/>
        <v>91.496259351620949</v>
      </c>
      <c r="O13" s="514">
        <f t="shared" si="1"/>
        <v>56.612903225806456</v>
      </c>
      <c r="P13" s="514">
        <f t="shared" si="2"/>
        <v>41.746478873239433</v>
      </c>
      <c r="Q13" s="563">
        <f t="shared" si="3"/>
        <v>118.22087745839636</v>
      </c>
      <c r="R13" s="514"/>
      <c r="S13" s="514"/>
      <c r="T13" s="514"/>
      <c r="U13" s="514"/>
      <c r="V13" s="514"/>
    </row>
    <row r="14" spans="1:22" x14ac:dyDescent="0.3">
      <c r="A14" s="34">
        <v>41</v>
      </c>
      <c r="B14" s="485">
        <v>301</v>
      </c>
      <c r="C14" s="457">
        <v>112</v>
      </c>
      <c r="D14" s="457">
        <v>87</v>
      </c>
      <c r="E14" s="515">
        <v>985</v>
      </c>
      <c r="F14" s="551">
        <f>'2011 comm sample'!J13</f>
        <v>0</v>
      </c>
      <c r="G14" s="552">
        <f>'2011 comm sample'!K13</f>
        <v>3.0303030303030304E-2</v>
      </c>
      <c r="H14" s="552">
        <f>'2011 comm sample'!L13</f>
        <v>0.32653061224489793</v>
      </c>
      <c r="I14" s="552">
        <f>'2011 comm sample'!M13</f>
        <v>2.3391812865497075E-2</v>
      </c>
      <c r="J14" s="558">
        <f>IF(B14&gt;0,'2011 comm sample'!B13/'2011 Comm catch'!B14,"na")</f>
        <v>2.3255813953488372E-2</v>
      </c>
      <c r="K14" s="559">
        <f>IF(C14&gt;0,'2011 comm sample'!C13/'2011 Comm catch'!C14,"na")</f>
        <v>0.29464285714285715</v>
      </c>
      <c r="L14" s="559">
        <f>IF(D14&gt;0,'2011 comm sample'!D13/'2011 Comm catch'!D14,"na")</f>
        <v>0.56321839080459768</v>
      </c>
      <c r="M14" s="559">
        <f>IF(E14&gt;0,'2011 comm sample'!E13/'2011 Comm catch'!E14,"na")</f>
        <v>0.17360406091370559</v>
      </c>
      <c r="N14" s="560">
        <f t="shared" si="0"/>
        <v>0</v>
      </c>
      <c r="O14" s="514">
        <f t="shared" si="1"/>
        <v>3.393939393939394</v>
      </c>
      <c r="P14" s="514">
        <f t="shared" si="2"/>
        <v>28.408163265306118</v>
      </c>
      <c r="Q14" s="563">
        <f t="shared" si="3"/>
        <v>23.040935672514617</v>
      </c>
      <c r="R14" s="514"/>
      <c r="S14" s="514"/>
      <c r="T14" s="514"/>
      <c r="U14" s="514"/>
      <c r="V14" s="514"/>
    </row>
    <row r="15" spans="1:22" x14ac:dyDescent="0.3">
      <c r="A15" s="34">
        <v>42</v>
      </c>
      <c r="B15" s="485">
        <v>310</v>
      </c>
      <c r="C15" s="457">
        <v>303</v>
      </c>
      <c r="D15" s="457">
        <v>100</v>
      </c>
      <c r="E15" s="515">
        <v>783</v>
      </c>
      <c r="F15" s="551">
        <f>'2011 comm sample'!J14</f>
        <v>3.9473684210526314E-2</v>
      </c>
      <c r="G15" s="552">
        <f>'2011 comm sample'!K14</f>
        <v>5.2173913043478258E-2</v>
      </c>
      <c r="H15" s="552">
        <f>'2011 comm sample'!L14</f>
        <v>0.36842105263157893</v>
      </c>
      <c r="I15" s="552">
        <f>'2011 comm sample'!M14</f>
        <v>1.9607843137254902E-2</v>
      </c>
      <c r="J15" s="558">
        <f>IF(B15&gt;0,'2011 comm sample'!B14/'2011 Comm catch'!B15,"na")</f>
        <v>0</v>
      </c>
      <c r="K15" s="559">
        <f>IF(C15&gt;0,'2011 comm sample'!C14/'2011 Comm catch'!C15,"na")</f>
        <v>0.75907590759075905</v>
      </c>
      <c r="L15" s="559">
        <f>IF(D15&gt;0,'2011 comm sample'!D14/'2011 Comm catch'!D15,"na")</f>
        <v>0.56999999999999995</v>
      </c>
      <c r="M15" s="559">
        <f>IF(E15&gt;0,'2011 comm sample'!E14/'2011 Comm catch'!E15,"na")</f>
        <v>0.19540229885057472</v>
      </c>
      <c r="N15" s="560">
        <f t="shared" si="0"/>
        <v>12.236842105263158</v>
      </c>
      <c r="O15" s="514">
        <f t="shared" si="1"/>
        <v>15.808695652173911</v>
      </c>
      <c r="P15" s="514">
        <f t="shared" si="2"/>
        <v>36.84210526315789</v>
      </c>
      <c r="Q15" s="563">
        <f t="shared" si="3"/>
        <v>15.352941176470589</v>
      </c>
      <c r="R15" s="514"/>
      <c r="S15" s="514"/>
      <c r="T15" s="514"/>
      <c r="U15" s="514"/>
      <c r="V15" s="514"/>
    </row>
    <row r="16" spans="1:22" x14ac:dyDescent="0.3">
      <c r="A16" s="34">
        <v>43</v>
      </c>
      <c r="B16" s="485">
        <v>17</v>
      </c>
      <c r="C16" s="457"/>
      <c r="D16" s="457"/>
      <c r="E16" s="515">
        <v>93</v>
      </c>
      <c r="F16" s="551">
        <f>'2011 comm sample'!J15</f>
        <v>3.9473684210526314E-2</v>
      </c>
      <c r="G16" s="552" t="str">
        <f>'2011 comm sample'!K15</f>
        <v>na</v>
      </c>
      <c r="H16" s="552" t="str">
        <f>'2011 comm sample'!L15</f>
        <v>na</v>
      </c>
      <c r="I16" s="552">
        <f>'2011 comm sample'!M15</f>
        <v>1.9607843137254902E-2</v>
      </c>
      <c r="J16" s="558">
        <f>IF(B16&gt;0,'2011 comm sample'!B15/'2011 Comm catch'!B16,"na")</f>
        <v>4.4705882352941178</v>
      </c>
      <c r="K16" s="559" t="str">
        <f>IF(C16&gt;0,'2011 comm sample'!C15/'2011 Comm catch'!C16,"na")</f>
        <v>na</v>
      </c>
      <c r="L16" s="559" t="str">
        <f>IF(D16&gt;0,'2011 comm sample'!D15/'2011 Comm catch'!D16,"na")</f>
        <v>na</v>
      </c>
      <c r="M16" s="559">
        <f>IF(E16&gt;0,'2011 comm sample'!E15/'2011 Comm catch'!E16,"na")</f>
        <v>0</v>
      </c>
      <c r="N16" s="560">
        <f t="shared" si="0"/>
        <v>0.67105263157894735</v>
      </c>
      <c r="O16" s="514" t="str">
        <f t="shared" si="1"/>
        <v>na</v>
      </c>
      <c r="P16" s="514" t="str">
        <f t="shared" si="2"/>
        <v>na</v>
      </c>
      <c r="Q16" s="563">
        <f t="shared" si="3"/>
        <v>1.8235294117647058</v>
      </c>
      <c r="R16" s="514"/>
      <c r="S16" s="514"/>
      <c r="T16" s="514"/>
      <c r="U16" s="514"/>
      <c r="V16" s="514"/>
    </row>
    <row r="17" spans="1:30" x14ac:dyDescent="0.3">
      <c r="A17" s="34">
        <v>44</v>
      </c>
      <c r="B17" s="485">
        <v>212</v>
      </c>
      <c r="C17" s="457"/>
      <c r="D17" s="457"/>
      <c r="E17" s="515">
        <v>53</v>
      </c>
      <c r="F17" s="551">
        <f>'2011 comm sample'!J16</f>
        <v>3.9473684210526314E-2</v>
      </c>
      <c r="G17" s="552" t="str">
        <f>'2011 comm sample'!K16</f>
        <v>na</v>
      </c>
      <c r="H17" s="552" t="str">
        <f>'2011 comm sample'!L16</f>
        <v>na</v>
      </c>
      <c r="I17" s="552">
        <f>'2011 comm sample'!M16</f>
        <v>1.9607843137254902E-2</v>
      </c>
      <c r="J17" s="558">
        <f>IF(B17&gt;0,'2011 comm sample'!B16/'2011 Comm catch'!B17,"na")</f>
        <v>0</v>
      </c>
      <c r="K17" s="559" t="str">
        <f>IF(C17&gt;0,'2011 comm sample'!C16/'2011 Comm catch'!C17,"na")</f>
        <v>na</v>
      </c>
      <c r="L17" s="559" t="str">
        <f>IF(D17&gt;0,'2011 comm sample'!D16/'2011 Comm catch'!D17,"na")</f>
        <v>na</v>
      </c>
      <c r="M17" s="559">
        <f>IF(E17&gt;0,'2011 comm sample'!E16/'2011 Comm catch'!E17,"na")</f>
        <v>0</v>
      </c>
      <c r="N17" s="560">
        <f t="shared" si="0"/>
        <v>8.3684210526315788</v>
      </c>
      <c r="O17" s="514" t="str">
        <f t="shared" si="1"/>
        <v>na</v>
      </c>
      <c r="P17" s="514" t="str">
        <f t="shared" si="2"/>
        <v>na</v>
      </c>
      <c r="Q17" s="563">
        <f t="shared" si="3"/>
        <v>1.0392156862745099</v>
      </c>
      <c r="R17" s="514"/>
      <c r="S17" s="514"/>
      <c r="T17" s="514"/>
      <c r="U17" s="514"/>
      <c r="V17" s="514"/>
    </row>
    <row r="18" spans="1:30" x14ac:dyDescent="0.3">
      <c r="A18" s="34">
        <v>45</v>
      </c>
      <c r="B18" s="564"/>
      <c r="C18" s="565"/>
      <c r="D18" s="565"/>
      <c r="E18" s="566"/>
      <c r="F18" s="567" t="str">
        <f>'2011 comm sample'!J17</f>
        <v>na</v>
      </c>
      <c r="G18" s="568" t="str">
        <f>'2011 comm sample'!K17</f>
        <v>na</v>
      </c>
      <c r="H18" s="568" t="str">
        <f>'2011 comm sample'!L17</f>
        <v>na</v>
      </c>
      <c r="I18" s="568" t="str">
        <f>'2011 comm sample'!M17</f>
        <v>na</v>
      </c>
      <c r="J18" s="569" t="str">
        <f>IF(B18&gt;0,'2011 comm sample'!B17/'2011 Comm catch'!B18,"na")</f>
        <v>na</v>
      </c>
      <c r="K18" s="570" t="str">
        <f>IF(C18&gt;0,'2011 comm sample'!C17/'2011 Comm catch'!C18,"na")</f>
        <v>na</v>
      </c>
      <c r="L18" s="570" t="str">
        <f>IF(D18&gt;0,'2011 comm sample'!D17/'2011 Comm catch'!D18,"na")</f>
        <v>na</v>
      </c>
      <c r="M18" s="570" t="str">
        <f>IF(E18&gt;0,'2011 comm sample'!E17/'2011 Comm catch'!E18,"na")</f>
        <v>na</v>
      </c>
      <c r="N18" s="560" t="str">
        <f t="shared" si="0"/>
        <v>na</v>
      </c>
      <c r="O18" s="514" t="str">
        <f t="shared" si="1"/>
        <v>na</v>
      </c>
      <c r="P18" s="514" t="str">
        <f t="shared" si="2"/>
        <v>na</v>
      </c>
      <c r="Q18" s="563" t="str">
        <f t="shared" si="3"/>
        <v>na</v>
      </c>
      <c r="R18" s="514"/>
      <c r="S18" s="514"/>
      <c r="T18" s="514"/>
      <c r="U18" s="514"/>
      <c r="V18" s="514"/>
    </row>
    <row r="19" spans="1:30" x14ac:dyDescent="0.3">
      <c r="A19" s="34" t="s">
        <v>184</v>
      </c>
      <c r="B19" s="547">
        <f>SUM(B5:B18)</f>
        <v>25004</v>
      </c>
      <c r="C19" s="202">
        <f>SUM(C5:C18)</f>
        <v>5147</v>
      </c>
      <c r="D19" s="202">
        <f>SUM(D5:D18)</f>
        <v>1297</v>
      </c>
      <c r="E19" s="548">
        <f>SUM(E5:E18)</f>
        <v>14623</v>
      </c>
      <c r="F19" s="571">
        <f>'2011 comm sample'!J18</f>
        <v>5.1006482429205052E-2</v>
      </c>
      <c r="G19" s="571">
        <f>'2011 comm sample'!K18</f>
        <v>0.13037249283667621</v>
      </c>
      <c r="H19" s="571">
        <f>'2011 comm sample'!L18</f>
        <v>0.24385245901639344</v>
      </c>
      <c r="I19" s="571">
        <f>'2011 comm sample'!M18</f>
        <v>2.3944387229660143E-2</v>
      </c>
      <c r="J19" s="572">
        <f>IF(B19&gt;0,'2011 comm sample'!B18/'2011 Comm catch'!B19,"na")</f>
        <v>0.23444248920172772</v>
      </c>
      <c r="K19" s="573">
        <f>IF(C19&gt;0,'2011 comm sample'!C18/'2011 Comm catch'!C19,"na")</f>
        <v>0.27122595686807849</v>
      </c>
      <c r="L19" s="573">
        <f>IF(D19&gt;0,'2011 comm sample'!D18/'2011 Comm catch'!D19,"na")</f>
        <v>0.37625289128758677</v>
      </c>
      <c r="M19" s="574">
        <f>IF(E19&gt;0,'2011 comm sample'!E18/'2011 Comm catch'!E19,"na")</f>
        <v>0.26560897216713397</v>
      </c>
      <c r="N19" s="572">
        <f>SUM(N5:N18)</f>
        <v>1334.934004057759</v>
      </c>
      <c r="O19" s="573">
        <f>SUM(O5:O18)</f>
        <v>806.1126021723037</v>
      </c>
      <c r="P19" s="573">
        <f>SUM(P5:P18)</f>
        <v>359.35974959558803</v>
      </c>
      <c r="Q19" s="574">
        <f>SUM(Q5:Q18)</f>
        <v>362.91626913095627</v>
      </c>
      <c r="R19" s="575"/>
      <c r="S19" s="575"/>
      <c r="T19" s="575"/>
      <c r="U19" s="575"/>
      <c r="V19" s="575"/>
    </row>
    <row r="20" spans="1:30" x14ac:dyDescent="0.3">
      <c r="A20" s="208"/>
      <c r="B20" s="208"/>
      <c r="C20" s="208"/>
      <c r="D20" s="208"/>
      <c r="E20" s="575"/>
      <c r="F20" s="34"/>
      <c r="G20" s="34"/>
      <c r="H20" s="208"/>
      <c r="I20" s="576"/>
      <c r="J20" s="208"/>
      <c r="K20" s="208"/>
      <c r="L20" s="208"/>
      <c r="M20" s="577"/>
      <c r="N20" s="208"/>
      <c r="O20" s="208"/>
      <c r="P20" s="208"/>
      <c r="Q20" s="575"/>
      <c r="R20" s="575"/>
      <c r="S20" s="575"/>
      <c r="T20" s="575"/>
      <c r="U20" s="575"/>
      <c r="V20" s="575"/>
    </row>
    <row r="21" spans="1:30" x14ac:dyDescent="0.3">
      <c r="A21" s="208"/>
      <c r="B21" s="457"/>
      <c r="C21" s="457"/>
      <c r="D21" s="457"/>
      <c r="E21" s="514"/>
      <c r="H21" s="457"/>
      <c r="I21" s="457"/>
      <c r="J21" s="457"/>
      <c r="K21" s="457"/>
      <c r="L21" s="457"/>
      <c r="M21" s="457"/>
      <c r="N21" s="457"/>
      <c r="O21" s="457"/>
      <c r="P21" s="457"/>
      <c r="Q21" s="514"/>
      <c r="R21" s="514"/>
      <c r="S21" s="514"/>
      <c r="T21" s="514"/>
      <c r="U21" s="514"/>
      <c r="V21" s="514"/>
    </row>
    <row r="22" spans="1:30" x14ac:dyDescent="0.3">
      <c r="B22" s="34" t="s">
        <v>123</v>
      </c>
      <c r="F22" s="457"/>
      <c r="G22" s="457"/>
    </row>
    <row r="23" spans="1:30" x14ac:dyDescent="0.3">
      <c r="B23" s="903" t="s">
        <v>263</v>
      </c>
      <c r="C23" s="904"/>
      <c r="D23" s="904"/>
      <c r="E23" s="904"/>
      <c r="F23" s="904"/>
      <c r="G23" s="905"/>
      <c r="H23" s="903" t="s">
        <v>264</v>
      </c>
      <c r="I23" s="904"/>
      <c r="J23" s="904"/>
      <c r="K23" s="904"/>
      <c r="L23" s="905"/>
      <c r="M23" s="903" t="s">
        <v>261</v>
      </c>
      <c r="N23" s="904"/>
      <c r="O23" s="904"/>
      <c r="P23" s="904"/>
      <c r="Q23" s="904"/>
      <c r="R23" s="903" t="s">
        <v>262</v>
      </c>
      <c r="S23" s="904"/>
      <c r="T23" s="904"/>
      <c r="U23" s="904"/>
      <c r="V23" s="904"/>
      <c r="W23" s="905"/>
      <c r="X23" s="33" t="s">
        <v>315</v>
      </c>
    </row>
    <row r="24" spans="1:30" x14ac:dyDescent="0.3">
      <c r="A24" s="34" t="s">
        <v>134</v>
      </c>
      <c r="B24" s="547">
        <v>1</v>
      </c>
      <c r="C24" s="202">
        <v>2</v>
      </c>
      <c r="D24" s="202">
        <v>3</v>
      </c>
      <c r="E24" s="202">
        <v>4</v>
      </c>
      <c r="F24" s="202">
        <v>5</v>
      </c>
      <c r="G24" s="548" t="s">
        <v>272</v>
      </c>
      <c r="H24" s="367">
        <v>1</v>
      </c>
      <c r="I24" s="175">
        <v>2</v>
      </c>
      <c r="J24" s="175">
        <v>3</v>
      </c>
      <c r="K24" s="175">
        <v>4</v>
      </c>
      <c r="L24" s="368">
        <v>5</v>
      </c>
      <c r="M24" s="367">
        <v>1</v>
      </c>
      <c r="N24" s="175">
        <v>2</v>
      </c>
      <c r="O24" s="175">
        <v>3</v>
      </c>
      <c r="P24" s="175">
        <v>4</v>
      </c>
      <c r="Q24" s="175">
        <v>5</v>
      </c>
      <c r="R24" s="367">
        <v>1</v>
      </c>
      <c r="S24" s="175">
        <v>2</v>
      </c>
      <c r="T24" s="175">
        <v>3</v>
      </c>
      <c r="U24" s="175">
        <v>4</v>
      </c>
      <c r="V24" s="175">
        <v>5</v>
      </c>
      <c r="W24" s="368" t="s">
        <v>272</v>
      </c>
      <c r="X24" s="690" t="s">
        <v>316</v>
      </c>
      <c r="Y24" s="690" t="s">
        <v>317</v>
      </c>
      <c r="Z24" s="32" t="s">
        <v>281</v>
      </c>
      <c r="AA24" s="32" t="s">
        <v>284</v>
      </c>
      <c r="AB24" s="73" t="s">
        <v>285</v>
      </c>
      <c r="AC24" s="73" t="s">
        <v>286</v>
      </c>
      <c r="AD24" s="73" t="s">
        <v>287</v>
      </c>
    </row>
    <row r="25" spans="1:30" x14ac:dyDescent="0.3">
      <c r="A25" s="34">
        <v>32</v>
      </c>
      <c r="B25" s="578">
        <v>0</v>
      </c>
      <c r="C25" s="646">
        <v>0</v>
      </c>
      <c r="D25" s="646">
        <v>0</v>
      </c>
      <c r="E25" s="646">
        <v>0</v>
      </c>
      <c r="F25" s="646">
        <v>0</v>
      </c>
      <c r="G25" s="579">
        <f t="shared" ref="G25:G39" si="4">SUM(B25:F25)</f>
        <v>0</v>
      </c>
      <c r="H25" s="532" t="str">
        <f>'2011 comm sample'!L24</f>
        <v>na</v>
      </c>
      <c r="I25" s="532" t="str">
        <f>'2011 comm sample'!M24</f>
        <v>na</v>
      </c>
      <c r="J25" s="532" t="str">
        <f>'2011 comm sample'!N24</f>
        <v>na</v>
      </c>
      <c r="K25" s="532" t="str">
        <f>'2011 comm sample'!O24</f>
        <v>na</v>
      </c>
      <c r="L25" s="533" t="str">
        <f>'2011 comm sample'!P24</f>
        <v>na</v>
      </c>
      <c r="M25" s="559" t="str">
        <f>IF(B25&gt;0,'2011 comm sample'!B24/'2011 Comm catch'!B25,"na")</f>
        <v>na</v>
      </c>
      <c r="N25" s="559" t="str">
        <f>IF(C25&gt;0,'2011 comm sample'!C24/'2011 Comm catch'!C25,"na")</f>
        <v>na</v>
      </c>
      <c r="O25" s="33" t="str">
        <f>IF(D25&gt;0,'2011 comm sample'!D24/'2011 Comm catch'!D25,"na")</f>
        <v>na</v>
      </c>
      <c r="P25" s="554" t="str">
        <f>IF(E25&gt;0,'2011 comm sample'!E24/'2011 Comm catch'!E25,"na")</f>
        <v>na</v>
      </c>
      <c r="Q25" s="554" t="str">
        <f>IF(F25&gt;0,'2011 comm sample'!F24/'2011 Comm catch'!F25,"na")</f>
        <v>na</v>
      </c>
      <c r="R25" s="560">
        <f t="shared" ref="R25:R38" si="5">IF(H25&lt;&gt;"na",B25*H25,0)</f>
        <v>0</v>
      </c>
      <c r="S25" s="514">
        <f t="shared" ref="S25:S38" si="6">IF(I25&lt;&gt;"na",C25*I25,0)</f>
        <v>0</v>
      </c>
      <c r="T25" s="514">
        <f t="shared" ref="T25:T38" si="7">IF(J25&lt;&gt;"na",D25*J25,0)</f>
        <v>0</v>
      </c>
      <c r="U25" s="514">
        <f t="shared" ref="U25:U38" si="8">IF(K25&lt;&gt;"na",E25*K25,0)</f>
        <v>0</v>
      </c>
      <c r="V25" s="514">
        <f t="shared" ref="V25:V38" si="9">IF(L25&lt;&gt;"na",F25*L25,0)</f>
        <v>0</v>
      </c>
      <c r="W25" s="580">
        <f t="shared" ref="W25:W39" si="10">SUM(R25:V25)</f>
        <v>0</v>
      </c>
      <c r="X25" s="647" t="e">
        <f>SUM(R25:T25)/SUM(B25:D25)</f>
        <v>#DIV/0!</v>
      </c>
      <c r="Y25" s="691" t="e">
        <f>SUM(U25:V25)/SUM(E25:F25)</f>
        <v>#DIV/0!</v>
      </c>
    </row>
    <row r="26" spans="1:30" x14ac:dyDescent="0.3">
      <c r="A26" s="34">
        <v>33</v>
      </c>
      <c r="B26" s="485"/>
      <c r="C26" s="457"/>
      <c r="D26" s="457"/>
      <c r="E26" s="457"/>
      <c r="F26" s="457"/>
      <c r="G26" s="515">
        <f t="shared" si="4"/>
        <v>0</v>
      </c>
      <c r="H26" s="532" t="str">
        <f>'2011 comm sample'!L25</f>
        <v>na</v>
      </c>
      <c r="I26" s="532" t="str">
        <f>'2011 comm sample'!M25</f>
        <v>na</v>
      </c>
      <c r="J26" s="532" t="str">
        <f>'2011 comm sample'!N25</f>
        <v>na</v>
      </c>
      <c r="K26" s="532" t="str">
        <f>'2011 comm sample'!O25</f>
        <v>na</v>
      </c>
      <c r="L26" s="533" t="str">
        <f>'2011 comm sample'!P25</f>
        <v>na</v>
      </c>
      <c r="M26" s="559" t="str">
        <f>IF(B26&gt;0,'2011 comm sample'!B25/'2011 Comm catch'!B26,"na")</f>
        <v>na</v>
      </c>
      <c r="N26" s="559" t="str">
        <f>IF(C26&gt;0,'2011 comm sample'!C25/'2011 Comm catch'!C26,"na")</f>
        <v>na</v>
      </c>
      <c r="O26" s="559" t="str">
        <f>IF(D26&gt;0,'2011 comm sample'!D25/'2011 Comm catch'!D26,"na")</f>
        <v>na</v>
      </c>
      <c r="P26" s="559" t="str">
        <f>IF(E26&gt;0,'2011 comm sample'!E25/'2011 Comm catch'!E26,"na")</f>
        <v>na</v>
      </c>
      <c r="Q26" s="559" t="str">
        <f>IF(F26&gt;0,'2011 comm sample'!F25/'2011 Comm catch'!F26,"na")</f>
        <v>na</v>
      </c>
      <c r="R26" s="560">
        <f t="shared" si="5"/>
        <v>0</v>
      </c>
      <c r="S26" s="514">
        <f t="shared" si="6"/>
        <v>0</v>
      </c>
      <c r="T26" s="514">
        <f t="shared" si="7"/>
        <v>0</v>
      </c>
      <c r="U26" s="514">
        <f t="shared" si="8"/>
        <v>0</v>
      </c>
      <c r="V26" s="514">
        <f t="shared" si="9"/>
        <v>0</v>
      </c>
      <c r="W26" s="580">
        <f t="shared" si="10"/>
        <v>0</v>
      </c>
      <c r="X26" s="647" t="e">
        <f t="shared" ref="X26:X39" si="11">SUM(R26:T26)/SUM(B26:D26)</f>
        <v>#DIV/0!</v>
      </c>
      <c r="Y26" s="691" t="e">
        <f t="shared" ref="Y26:Y39" si="12">SUM(U26:V26)/SUM(E26:F26)</f>
        <v>#DIV/0!</v>
      </c>
    </row>
    <row r="27" spans="1:30" x14ac:dyDescent="0.3">
      <c r="A27" s="34">
        <v>34</v>
      </c>
      <c r="B27" s="485"/>
      <c r="C27" s="457"/>
      <c r="D27" s="457"/>
      <c r="E27">
        <v>82</v>
      </c>
      <c r="F27">
        <v>11</v>
      </c>
      <c r="G27" s="515">
        <f t="shared" si="4"/>
        <v>93</v>
      </c>
      <c r="H27" s="532" t="str">
        <f>'2011 comm sample'!L26</f>
        <v>na</v>
      </c>
      <c r="I27" s="532" t="str">
        <f>'2011 comm sample'!M26</f>
        <v>na</v>
      </c>
      <c r="J27" s="532" t="str">
        <f>'2011 comm sample'!N26</f>
        <v>na</v>
      </c>
      <c r="K27" s="532">
        <f>'2011 comm sample'!O26</f>
        <v>0.64</v>
      </c>
      <c r="L27" s="533">
        <f>'2011 comm sample'!P26</f>
        <v>0.70588235294117652</v>
      </c>
      <c r="M27" s="559" t="str">
        <f>IF(B27&gt;0,'2011 comm sample'!B26/'2011 Comm catch'!B27,"na")</f>
        <v>na</v>
      </c>
      <c r="N27" s="559" t="str">
        <f>IF(C27&gt;0,'2011 comm sample'!C26/'2011 Comm catch'!C27,"na")</f>
        <v>na</v>
      </c>
      <c r="O27" s="559" t="str">
        <f>IF(D27&gt;0,'2011 comm sample'!D26/'2011 Comm catch'!D27,"na")</f>
        <v>na</v>
      </c>
      <c r="P27" s="559">
        <f>IF(E27&gt;0,'2011 comm sample'!E26/'2011 Comm catch'!E27,"na")</f>
        <v>0.3048780487804878</v>
      </c>
      <c r="Q27" s="559">
        <f>IF(F27&gt;0,'2011 comm sample'!F26/'2011 Comm catch'!F27,"na")</f>
        <v>1.5454545454545454</v>
      </c>
      <c r="R27" s="560">
        <f t="shared" si="5"/>
        <v>0</v>
      </c>
      <c r="S27" s="514">
        <f t="shared" si="6"/>
        <v>0</v>
      </c>
      <c r="T27" s="514">
        <f t="shared" si="7"/>
        <v>0</v>
      </c>
      <c r="U27" s="514">
        <f t="shared" si="8"/>
        <v>52.480000000000004</v>
      </c>
      <c r="V27" s="514">
        <f t="shared" si="9"/>
        <v>7.764705882352942</v>
      </c>
      <c r="W27" s="580">
        <f t="shared" si="10"/>
        <v>60.244705882352946</v>
      </c>
      <c r="X27" s="647" t="e">
        <f t="shared" si="11"/>
        <v>#DIV/0!</v>
      </c>
      <c r="Y27" s="691">
        <f t="shared" si="12"/>
        <v>0.6477925363693865</v>
      </c>
    </row>
    <row r="28" spans="1:30" x14ac:dyDescent="0.3">
      <c r="A28" s="34">
        <v>35</v>
      </c>
      <c r="B28" s="485"/>
      <c r="C28" s="457"/>
      <c r="D28" s="457"/>
      <c r="E28">
        <v>238</v>
      </c>
      <c r="F28">
        <v>61</v>
      </c>
      <c r="G28" s="515">
        <f t="shared" si="4"/>
        <v>299</v>
      </c>
      <c r="H28" s="532" t="str">
        <f>'2011 comm sample'!L27</f>
        <v>na</v>
      </c>
      <c r="I28" s="532" t="str">
        <f>'2011 comm sample'!M27</f>
        <v>na</v>
      </c>
      <c r="J28" s="532" t="str">
        <f>'2011 comm sample'!N27</f>
        <v>na</v>
      </c>
      <c r="K28" s="532">
        <f>'2011 comm sample'!O27</f>
        <v>0.84</v>
      </c>
      <c r="L28" s="533">
        <f>'2011 comm sample'!P27</f>
        <v>0.76923076923076927</v>
      </c>
      <c r="M28" s="559" t="str">
        <f>IF(B28&gt;0,'2011 comm sample'!B27/'2011 Comm catch'!B28,"na")</f>
        <v>na</v>
      </c>
      <c r="N28" s="559" t="str">
        <f>IF(C28&gt;0,'2011 comm sample'!C27/'2011 Comm catch'!C28,"na")</f>
        <v>na</v>
      </c>
      <c r="O28" s="559" t="str">
        <f>IF(D28&gt;0,'2011 comm sample'!D27/'2011 Comm catch'!D28,"na")</f>
        <v>na</v>
      </c>
      <c r="P28" s="559">
        <f>IF(E28&gt;0,'2011 comm sample'!E27/'2011 Comm catch'!E28,"na")</f>
        <v>0.42016806722689076</v>
      </c>
      <c r="Q28" s="559">
        <f>IF(F28&gt;0,'2011 comm sample'!F27/'2011 Comm catch'!F28,"na")</f>
        <v>0.42622950819672129</v>
      </c>
      <c r="R28" s="560">
        <f t="shared" si="5"/>
        <v>0</v>
      </c>
      <c r="S28" s="514">
        <f t="shared" si="6"/>
        <v>0</v>
      </c>
      <c r="T28" s="514">
        <f t="shared" si="7"/>
        <v>0</v>
      </c>
      <c r="U28" s="514">
        <f t="shared" si="8"/>
        <v>199.92</v>
      </c>
      <c r="V28" s="514">
        <f t="shared" si="9"/>
        <v>46.923076923076927</v>
      </c>
      <c r="W28" s="580">
        <f t="shared" si="10"/>
        <v>246.84307692307692</v>
      </c>
      <c r="X28" s="647" t="e">
        <f t="shared" si="11"/>
        <v>#DIV/0!</v>
      </c>
      <c r="Y28" s="691">
        <f t="shared" si="12"/>
        <v>0.82556213017751479</v>
      </c>
    </row>
    <row r="29" spans="1:30" x14ac:dyDescent="0.3">
      <c r="A29" s="34">
        <v>36</v>
      </c>
      <c r="B29" s="485"/>
      <c r="C29" s="457"/>
      <c r="D29" s="457"/>
      <c r="E29">
        <v>1152</v>
      </c>
      <c r="F29">
        <v>202</v>
      </c>
      <c r="G29" s="515">
        <f t="shared" si="4"/>
        <v>1354</v>
      </c>
      <c r="H29" s="532" t="str">
        <f>'2011 comm sample'!L28</f>
        <v>na</v>
      </c>
      <c r="I29" s="532" t="str">
        <f>'2011 comm sample'!M28</f>
        <v>na</v>
      </c>
      <c r="J29" s="532" t="str">
        <f>'2011 comm sample'!N28</f>
        <v>na</v>
      </c>
      <c r="K29" s="532">
        <f>'2011 comm sample'!O28</f>
        <v>0.77510040160642568</v>
      </c>
      <c r="L29" s="533">
        <f>'2011 comm sample'!P28</f>
        <v>0.83870967741935487</v>
      </c>
      <c r="M29" s="559" t="str">
        <f>IF(B29&gt;0,'2011 comm sample'!B28/'2011 Comm catch'!B29,"na")</f>
        <v>na</v>
      </c>
      <c r="N29" s="559" t="str">
        <f>IF(C29&gt;0,'2011 comm sample'!C28/'2011 Comm catch'!C29,"na")</f>
        <v>na</v>
      </c>
      <c r="O29" s="559" t="str">
        <f>IF(D29&gt;0,'2011 comm sample'!D28/'2011 Comm catch'!D29,"na")</f>
        <v>na</v>
      </c>
      <c r="P29" s="559">
        <f>IF(E29&gt;0,'2011 comm sample'!E28/'2011 Comm catch'!E29,"na")</f>
        <v>0.21614583333333334</v>
      </c>
      <c r="Q29" s="559">
        <f>IF(F29&gt;0,'2011 comm sample'!F28/'2011 Comm catch'!F29,"na")</f>
        <v>0.30693069306930693</v>
      </c>
      <c r="R29" s="560">
        <f t="shared" si="5"/>
        <v>0</v>
      </c>
      <c r="S29" s="514">
        <f t="shared" si="6"/>
        <v>0</v>
      </c>
      <c r="T29" s="514">
        <f t="shared" si="7"/>
        <v>0</v>
      </c>
      <c r="U29" s="514">
        <f t="shared" si="8"/>
        <v>892.91566265060237</v>
      </c>
      <c r="V29" s="514">
        <f t="shared" si="9"/>
        <v>169.41935483870969</v>
      </c>
      <c r="W29" s="580">
        <f t="shared" si="10"/>
        <v>1062.3350174893121</v>
      </c>
      <c r="X29" s="647" t="e">
        <f t="shared" si="11"/>
        <v>#DIV/0!</v>
      </c>
      <c r="Y29" s="691">
        <f t="shared" si="12"/>
        <v>0.78459011631411535</v>
      </c>
    </row>
    <row r="30" spans="1:30" x14ac:dyDescent="0.3">
      <c r="A30" s="34">
        <v>37</v>
      </c>
      <c r="B30" s="485"/>
      <c r="C30" s="457"/>
      <c r="D30" s="457"/>
      <c r="E30" s="457"/>
      <c r="F30" s="457"/>
      <c r="G30" s="515">
        <f t="shared" si="4"/>
        <v>0</v>
      </c>
      <c r="H30" s="532" t="str">
        <f>'2011 comm sample'!L29</f>
        <v>na</v>
      </c>
      <c r="I30" s="532" t="str">
        <f>'2011 comm sample'!M29</f>
        <v>na</v>
      </c>
      <c r="J30" s="532" t="str">
        <f>'2011 comm sample'!N29</f>
        <v>na</v>
      </c>
      <c r="K30" s="532" t="str">
        <f>'2011 comm sample'!O29</f>
        <v>na</v>
      </c>
      <c r="L30" s="533" t="str">
        <f>'2011 comm sample'!P29</f>
        <v>na</v>
      </c>
      <c r="M30" s="558" t="str">
        <f>IF(B30&gt;0,'2011 comm sample'!B29/'2011 Comm catch'!B30,"na")</f>
        <v>na</v>
      </c>
      <c r="N30" s="559" t="str">
        <f>IF(C30&gt;0,'2011 comm sample'!C29/'2011 Comm catch'!C30,"na")</f>
        <v>na</v>
      </c>
      <c r="O30" s="559" t="str">
        <f>IF(D30&gt;0,'2011 comm sample'!D29/'2011 Comm catch'!D30,"na")</f>
        <v>na</v>
      </c>
      <c r="P30" s="559" t="str">
        <f>IF(E30&gt;0,'2011 comm sample'!E29/'2011 Comm catch'!E30,"na")</f>
        <v>na</v>
      </c>
      <c r="Q30" s="559" t="str">
        <f>IF(F30&gt;0,'2011 comm sample'!F29/'2011 Comm catch'!F30,"na")</f>
        <v>na</v>
      </c>
      <c r="R30" s="560">
        <f t="shared" si="5"/>
        <v>0</v>
      </c>
      <c r="S30" s="514">
        <f t="shared" si="6"/>
        <v>0</v>
      </c>
      <c r="T30" s="514">
        <f t="shared" si="7"/>
        <v>0</v>
      </c>
      <c r="U30" s="514">
        <f t="shared" si="8"/>
        <v>0</v>
      </c>
      <c r="V30" s="514">
        <f t="shared" si="9"/>
        <v>0</v>
      </c>
      <c r="W30" s="580">
        <f t="shared" si="10"/>
        <v>0</v>
      </c>
      <c r="X30" s="647" t="e">
        <f t="shared" si="11"/>
        <v>#DIV/0!</v>
      </c>
      <c r="Y30" s="691" t="e">
        <f t="shared" si="12"/>
        <v>#DIV/0!</v>
      </c>
    </row>
    <row r="31" spans="1:30" x14ac:dyDescent="0.3">
      <c r="A31" s="34">
        <v>38</v>
      </c>
      <c r="B31" s="485"/>
      <c r="C31" s="457"/>
      <c r="D31" s="457"/>
      <c r="E31" s="457"/>
      <c r="F31" s="457"/>
      <c r="G31" s="515">
        <f t="shared" si="4"/>
        <v>0</v>
      </c>
      <c r="H31" s="532" t="str">
        <f>'2011 comm sample'!L30</f>
        <v>na</v>
      </c>
      <c r="I31" s="532" t="str">
        <f>'2011 comm sample'!M30</f>
        <v>na</v>
      </c>
      <c r="J31" s="532" t="str">
        <f>'2011 comm sample'!N30</f>
        <v>na</v>
      </c>
      <c r="K31" s="532" t="str">
        <f>'2011 comm sample'!O30</f>
        <v>na</v>
      </c>
      <c r="L31" s="533" t="str">
        <f>'2011 comm sample'!P30</f>
        <v>na</v>
      </c>
      <c r="M31" s="558" t="str">
        <f>IF(B31&gt;0,'2011 comm sample'!B30/'2011 Comm catch'!B31,"na")</f>
        <v>na</v>
      </c>
      <c r="N31" s="559" t="str">
        <f>IF(C31&gt;0,'2011 comm sample'!C30/'2011 Comm catch'!C31,"na")</f>
        <v>na</v>
      </c>
      <c r="O31" s="559" t="str">
        <f>IF(D31&gt;0,'2011 comm sample'!D30/'2011 Comm catch'!D31,"na")</f>
        <v>na</v>
      </c>
      <c r="P31" s="559" t="str">
        <f>IF(E31&gt;0,'2011 comm sample'!E30/'2011 Comm catch'!E31,"na")</f>
        <v>na</v>
      </c>
      <c r="Q31" s="559" t="str">
        <f>IF(F31&gt;0,'2011 comm sample'!F30/'2011 Comm catch'!F31,"na")</f>
        <v>na</v>
      </c>
      <c r="R31" s="560">
        <f t="shared" si="5"/>
        <v>0</v>
      </c>
      <c r="S31" s="514">
        <f t="shared" si="6"/>
        <v>0</v>
      </c>
      <c r="T31" s="514">
        <f t="shared" si="7"/>
        <v>0</v>
      </c>
      <c r="U31" s="514">
        <f t="shared" si="8"/>
        <v>0</v>
      </c>
      <c r="V31" s="514">
        <f t="shared" si="9"/>
        <v>0</v>
      </c>
      <c r="W31" s="580">
        <f t="shared" si="10"/>
        <v>0</v>
      </c>
      <c r="X31" s="647" t="e">
        <f t="shared" si="11"/>
        <v>#DIV/0!</v>
      </c>
      <c r="Y31" s="691" t="e">
        <f t="shared" si="12"/>
        <v>#DIV/0!</v>
      </c>
    </row>
    <row r="32" spans="1:30" x14ac:dyDescent="0.3">
      <c r="A32" s="34">
        <v>39</v>
      </c>
      <c r="B32" s="581">
        <v>291</v>
      </c>
      <c r="C32" s="582">
        <v>1211</v>
      </c>
      <c r="D32" s="582">
        <v>561</v>
      </c>
      <c r="E32" s="582">
        <v>3468</v>
      </c>
      <c r="F32" s="582">
        <v>1944</v>
      </c>
      <c r="G32" s="515">
        <f t="shared" si="4"/>
        <v>7475</v>
      </c>
      <c r="H32" s="532">
        <f>'2011 comm sample'!L31</f>
        <v>0.24242424242424243</v>
      </c>
      <c r="I32" s="532">
        <f>'2011 comm sample'!M31</f>
        <v>0.37309644670050762</v>
      </c>
      <c r="J32" s="532">
        <f>'2011 comm sample'!N31</f>
        <v>0.42690058479532161</v>
      </c>
      <c r="K32" s="532">
        <f>'2011 comm sample'!O31</f>
        <v>0.47404844290657439</v>
      </c>
      <c r="L32" s="533">
        <f>'2011 comm sample'!P31</f>
        <v>0.44327176781002636</v>
      </c>
      <c r="M32" s="558">
        <f>IF(B32&gt;0,'2011 comm sample'!B31/'2011 Comm catch'!B32,"na")</f>
        <v>0.1134020618556701</v>
      </c>
      <c r="N32" s="559">
        <f>IF(C32&gt;0,'2011 comm sample'!C31/'2011 Comm catch'!C32,"na")</f>
        <v>0.32535094962840627</v>
      </c>
      <c r="O32" s="559">
        <f>IF(D32&gt;0,'2011 comm sample'!D31/'2011 Comm catch'!D32,"na")</f>
        <v>0.60962566844919786</v>
      </c>
      <c r="P32" s="559">
        <f>IF(E32&gt;0,'2011 comm sample'!E31/'2011 Comm catch'!E32,"na")</f>
        <v>8.3333333333333329E-2</v>
      </c>
      <c r="Q32" s="559">
        <f>IF(F32&gt;0,'2011 comm sample'!F31/'2011 Comm catch'!F32,"na")</f>
        <v>0.1949588477366255</v>
      </c>
      <c r="R32" s="583">
        <f t="shared" si="5"/>
        <v>70.545454545454547</v>
      </c>
      <c r="S32" s="584">
        <f t="shared" si="6"/>
        <v>451.81979695431471</v>
      </c>
      <c r="T32" s="584">
        <f t="shared" si="7"/>
        <v>239.49122807017542</v>
      </c>
      <c r="U32" s="584">
        <f t="shared" si="8"/>
        <v>1644</v>
      </c>
      <c r="V32" s="584">
        <f t="shared" si="9"/>
        <v>861.72031662269126</v>
      </c>
      <c r="W32" s="580">
        <f t="shared" si="10"/>
        <v>3267.5767961926363</v>
      </c>
      <c r="X32" s="647">
        <f t="shared" si="11"/>
        <v>0.36929543362576089</v>
      </c>
      <c r="Y32" s="691">
        <f t="shared" si="12"/>
        <v>0.46299340661912258</v>
      </c>
      <c r="Z32" s="585">
        <f>SUM(B32:D32)*'2011 comm sample'!Q31</f>
        <v>807.49414824447342</v>
      </c>
      <c r="AA32" s="585">
        <f>SUM(E32:F32)*'2011 comm sample'!R31</f>
        <v>2471.0479041916169</v>
      </c>
      <c r="AB32" s="585">
        <f>SUM(E32:F32)*'2011 comm sample'!Q31</f>
        <v>2118.3511053315997</v>
      </c>
      <c r="AC32" s="585">
        <f>Z32+AA32</f>
        <v>3278.5420524360902</v>
      </c>
      <c r="AD32" s="585">
        <f>Z32+AB32</f>
        <v>2925.845253576073</v>
      </c>
    </row>
    <row r="33" spans="1:30" x14ac:dyDescent="0.3">
      <c r="A33" s="34">
        <v>40</v>
      </c>
      <c r="B33" s="485">
        <v>257</v>
      </c>
      <c r="C33" s="457">
        <v>225</v>
      </c>
      <c r="D33" s="457">
        <v>53</v>
      </c>
      <c r="E33" s="457">
        <v>178</v>
      </c>
      <c r="F33" s="457">
        <v>102</v>
      </c>
      <c r="G33" s="515">
        <f t="shared" si="4"/>
        <v>815</v>
      </c>
      <c r="H33" s="532">
        <f>'2011 comm sample'!L32</f>
        <v>0.16883116883116883</v>
      </c>
      <c r="I33" s="532">
        <f>'2011 comm sample'!M32</f>
        <v>0.19607843137254902</v>
      </c>
      <c r="J33" s="532">
        <f>'2011 comm sample'!N32</f>
        <v>0.28301886792452829</v>
      </c>
      <c r="K33" s="532">
        <f>'2011 comm sample'!O32</f>
        <v>0.27272727272727271</v>
      </c>
      <c r="L33" s="533">
        <f>'2011 comm sample'!P32</f>
        <v>0.5161290322580645</v>
      </c>
      <c r="M33" s="558">
        <f>IF(B33&gt;0,'2011 comm sample'!B32/'2011 Comm catch'!B33,"na")</f>
        <v>0.29961089494163423</v>
      </c>
      <c r="N33" s="559">
        <f>IF(C33&gt;0,'2011 comm sample'!C32/'2011 Comm catch'!C33,"na")</f>
        <v>0.45333333333333331</v>
      </c>
      <c r="O33" s="559">
        <f>IF(D33&gt;0,'2011 comm sample'!D32/'2011 Comm catch'!D33,"na")</f>
        <v>1</v>
      </c>
      <c r="P33" s="559">
        <f>IF(E33&gt;0,'2011 comm sample'!E32/'2011 Comm catch'!E33,"na")</f>
        <v>0.6797752808988764</v>
      </c>
      <c r="Q33" s="559">
        <f>IF(F33&gt;0,'2011 comm sample'!F32/'2011 Comm catch'!F33,"na")</f>
        <v>0.30392156862745096</v>
      </c>
      <c r="R33" s="560">
        <f t="shared" si="5"/>
        <v>43.38961038961039</v>
      </c>
      <c r="S33" s="514">
        <f t="shared" si="6"/>
        <v>44.117647058823529</v>
      </c>
      <c r="T33" s="514">
        <f t="shared" si="7"/>
        <v>15</v>
      </c>
      <c r="U33" s="514">
        <f t="shared" si="8"/>
        <v>48.54545454545454</v>
      </c>
      <c r="V33" s="514">
        <f t="shared" si="9"/>
        <v>52.645161290322577</v>
      </c>
      <c r="W33" s="580">
        <f t="shared" si="10"/>
        <v>203.69787328421103</v>
      </c>
      <c r="X33" s="647">
        <f t="shared" si="11"/>
        <v>0.19160235037090453</v>
      </c>
      <c r="Y33" s="691">
        <f t="shared" si="12"/>
        <v>0.36139505655634685</v>
      </c>
      <c r="Z33" s="585">
        <f>SUM(B33:D33)*'2011 comm sample'!Q32</f>
        <v>110.68965517241379</v>
      </c>
      <c r="AA33" s="585">
        <f>SUM(E33:F33)*'2011 comm sample'!R32</f>
        <v>90.26315789473685</v>
      </c>
      <c r="AB33" s="585">
        <f>SUM(E33:F33)*'2011 comm sample'!Q32</f>
        <v>57.931034482758619</v>
      </c>
      <c r="AC33" s="585">
        <f>Z33+AA33</f>
        <v>200.95281306715066</v>
      </c>
      <c r="AD33" s="585">
        <f>Z33+AB33</f>
        <v>168.62068965517241</v>
      </c>
    </row>
    <row r="34" spans="1:30" x14ac:dyDescent="0.3">
      <c r="A34" s="34">
        <v>41</v>
      </c>
      <c r="B34" s="485">
        <v>12</v>
      </c>
      <c r="C34" s="457">
        <v>369</v>
      </c>
      <c r="D34" s="457">
        <v>192</v>
      </c>
      <c r="E34" s="514">
        <v>176</v>
      </c>
      <c r="F34" s="514">
        <v>78</v>
      </c>
      <c r="G34" s="515">
        <f t="shared" si="4"/>
        <v>827</v>
      </c>
      <c r="H34" s="532">
        <f>'2011 comm sample'!L33</f>
        <v>0</v>
      </c>
      <c r="I34" s="532">
        <f>'2011 comm sample'!M33</f>
        <v>0.2413793103448276</v>
      </c>
      <c r="J34" s="532">
        <f>'2011 comm sample'!N33</f>
        <v>0.23684210526315788</v>
      </c>
      <c r="K34" s="532">
        <f>'2011 comm sample'!O33</f>
        <v>0.16753926701570682</v>
      </c>
      <c r="L34" s="533">
        <f>'2011 comm sample'!P33</f>
        <v>0.5161290322580645</v>
      </c>
      <c r="M34" s="558">
        <f>IF(B34&gt;0,'2011 comm sample'!B33/'2011 Comm catch'!B34,"na")</f>
        <v>0.25</v>
      </c>
      <c r="N34" s="559">
        <f>IF(C34&gt;0,'2011 comm sample'!C33/'2011 Comm catch'!C34,"na")</f>
        <v>0.39295392953929537</v>
      </c>
      <c r="O34" s="559">
        <f>IF(D34&gt;0,'2011 comm sample'!D33/'2011 Comm catch'!D34,"na")</f>
        <v>0.79166666666666663</v>
      </c>
      <c r="P34" s="559">
        <f>IF(E34&gt;0,'2011 comm sample'!E33/'2011 Comm catch'!E34,"na")</f>
        <v>1.0852272727272727</v>
      </c>
      <c r="Q34" s="559">
        <f>IF(F34&gt;0,'2011 comm sample'!F33/'2011 Comm catch'!F34,"na")</f>
        <v>0</v>
      </c>
      <c r="R34" s="560">
        <f t="shared" si="5"/>
        <v>0</v>
      </c>
      <c r="S34" s="514">
        <f t="shared" si="6"/>
        <v>89.068965517241381</v>
      </c>
      <c r="T34" s="514">
        <f t="shared" si="7"/>
        <v>45.473684210526315</v>
      </c>
      <c r="U34" s="514">
        <f t="shared" si="8"/>
        <v>29.486910994764401</v>
      </c>
      <c r="V34" s="514">
        <f t="shared" si="9"/>
        <v>40.258064516129032</v>
      </c>
      <c r="W34" s="580">
        <f t="shared" si="10"/>
        <v>204.28762523866112</v>
      </c>
      <c r="X34" s="647">
        <f t="shared" si="11"/>
        <v>0.23480392622647067</v>
      </c>
      <c r="Y34" s="691">
        <f t="shared" si="12"/>
        <v>0.27458651775942294</v>
      </c>
      <c r="Z34" s="657"/>
      <c r="AA34" s="657"/>
      <c r="AB34" s="657"/>
      <c r="AC34" s="657"/>
    </row>
    <row r="35" spans="1:30" x14ac:dyDescent="0.3">
      <c r="A35" s="34">
        <v>42</v>
      </c>
      <c r="B35" s="485">
        <v>316</v>
      </c>
      <c r="C35" s="457">
        <v>1044</v>
      </c>
      <c r="D35" s="457">
        <v>643</v>
      </c>
      <c r="E35" s="457">
        <v>51</v>
      </c>
      <c r="F35" s="457">
        <v>24</v>
      </c>
      <c r="G35" s="515">
        <f t="shared" si="4"/>
        <v>2078</v>
      </c>
      <c r="H35" s="532">
        <f>'2011 comm sample'!L34</f>
        <v>0.30337078651685395</v>
      </c>
      <c r="I35" s="532">
        <f>'2011 comm sample'!M34</f>
        <v>0.25896414342629481</v>
      </c>
      <c r="J35" s="532">
        <f>'2011 comm sample'!N34</f>
        <v>0.30590339892665475</v>
      </c>
      <c r="K35" s="532">
        <f>'2011 comm sample'!O34</f>
        <v>0.34782608695652173</v>
      </c>
      <c r="L35" s="533">
        <f>'2011 comm sample'!P34</f>
        <v>0.19047619047619047</v>
      </c>
      <c r="M35" s="558">
        <f>IF(B35&gt;0,'2011 comm sample'!B34/'2011 Comm catch'!B35,"na")</f>
        <v>0.28164556962025317</v>
      </c>
      <c r="N35" s="559">
        <f>IF(C35&gt;0,'2011 comm sample'!C34/'2011 Comm catch'!C35,"na")</f>
        <v>0.24042145593869732</v>
      </c>
      <c r="O35" s="559">
        <f>IF(D35&gt;0,'2011 comm sample'!D34/'2011 Comm catch'!D35,"na")</f>
        <v>0.86936236391912913</v>
      </c>
      <c r="P35" s="559">
        <f>IF(E35&gt;0,'2011 comm sample'!E34/'2011 Comm catch'!E35,"na")</f>
        <v>0.45098039215686275</v>
      </c>
      <c r="Q35" s="559">
        <f>IF(F35&gt;0,'2011 comm sample'!F34/'2011 Comm catch'!F35,"na")</f>
        <v>0.875</v>
      </c>
      <c r="R35" s="560">
        <f t="shared" si="5"/>
        <v>95.86516853932585</v>
      </c>
      <c r="S35" s="514">
        <f t="shared" si="6"/>
        <v>270.35856573705178</v>
      </c>
      <c r="T35" s="514">
        <f t="shared" si="7"/>
        <v>196.695885509839</v>
      </c>
      <c r="U35" s="514">
        <f t="shared" si="8"/>
        <v>17.739130434782609</v>
      </c>
      <c r="V35" s="514">
        <f t="shared" si="9"/>
        <v>4.5714285714285712</v>
      </c>
      <c r="W35" s="580">
        <f t="shared" si="10"/>
        <v>585.23017879242775</v>
      </c>
      <c r="X35" s="647">
        <f t="shared" si="11"/>
        <v>0.28103825251433678</v>
      </c>
      <c r="Y35" s="691">
        <f t="shared" si="12"/>
        <v>0.29747412008281571</v>
      </c>
    </row>
    <row r="36" spans="1:30" x14ac:dyDescent="0.3">
      <c r="A36" s="34">
        <v>43</v>
      </c>
      <c r="B36" s="485">
        <v>52</v>
      </c>
      <c r="C36" s="457">
        <v>382</v>
      </c>
      <c r="D36" s="457">
        <v>187</v>
      </c>
      <c r="E36" s="457">
        <v>10</v>
      </c>
      <c r="F36" s="457">
        <v>13</v>
      </c>
      <c r="G36" s="515">
        <f t="shared" si="4"/>
        <v>644</v>
      </c>
      <c r="H36" s="532">
        <f>'2011 comm sample'!L35</f>
        <v>0</v>
      </c>
      <c r="I36" s="532">
        <f>'2011 comm sample'!M35</f>
        <v>0.3392857142857143</v>
      </c>
      <c r="J36" s="532">
        <f>'2011 comm sample'!N35</f>
        <v>0.41059602649006621</v>
      </c>
      <c r="K36" s="532">
        <f>'2011 comm sample'!O35</f>
        <v>0.375</v>
      </c>
      <c r="L36" s="532">
        <f>'2011 comm sample'!P35</f>
        <v>0.23076923076923078</v>
      </c>
      <c r="M36" s="558">
        <f>IF(B36&gt;0,'2011 comm sample'!B35/'2011 Comm catch'!B36,"na")</f>
        <v>1.9230769230769232E-2</v>
      </c>
      <c r="N36" s="559">
        <f>IF(C36&gt;0,'2011 comm sample'!C35/'2011 Comm catch'!C36,"na")</f>
        <v>0.14659685863874344</v>
      </c>
      <c r="O36" s="559">
        <f>IF(D36&gt;0,'2011 comm sample'!D35/'2011 Comm catch'!D36,"na")</f>
        <v>0.80748663101604279</v>
      </c>
      <c r="P36" s="559">
        <f>IF(E36&gt;0,'2011 comm sample'!E35/'2011 Comm catch'!E36,"na")</f>
        <v>0.8</v>
      </c>
      <c r="Q36" s="559">
        <f>IF(F36&gt;0,'2011 comm sample'!F35/'2011 Comm catch'!F36,"na")</f>
        <v>1</v>
      </c>
      <c r="R36" s="560">
        <f t="shared" si="5"/>
        <v>0</v>
      </c>
      <c r="S36" s="514">
        <f t="shared" si="6"/>
        <v>129.60714285714286</v>
      </c>
      <c r="T36" s="514">
        <f t="shared" si="7"/>
        <v>76.781456953642376</v>
      </c>
      <c r="U36" s="514">
        <f t="shared" si="8"/>
        <v>3.75</v>
      </c>
      <c r="V36" s="514">
        <f t="shared" si="9"/>
        <v>3</v>
      </c>
      <c r="W36" s="580">
        <f t="shared" si="10"/>
        <v>213.13859981078525</v>
      </c>
      <c r="X36" s="647">
        <f t="shared" si="11"/>
        <v>0.33234879196583778</v>
      </c>
      <c r="Y36" s="691">
        <f t="shared" si="12"/>
        <v>0.29347826086956524</v>
      </c>
    </row>
    <row r="37" spans="1:30" x14ac:dyDescent="0.3">
      <c r="A37" s="34">
        <v>44</v>
      </c>
      <c r="B37" s="485"/>
      <c r="C37" s="457"/>
      <c r="D37" s="457"/>
      <c r="E37" s="457"/>
      <c r="F37" s="457"/>
      <c r="G37" s="515">
        <f t="shared" si="4"/>
        <v>0</v>
      </c>
      <c r="H37" s="532" t="str">
        <f>'2011 comm sample'!L36</f>
        <v>na</v>
      </c>
      <c r="I37" s="532" t="str">
        <f>'2011 comm sample'!M36</f>
        <v>na</v>
      </c>
      <c r="J37" s="532" t="str">
        <f>'2011 comm sample'!N36</f>
        <v>na</v>
      </c>
      <c r="K37" s="532" t="str">
        <f>'2011 comm sample'!O36</f>
        <v>na</v>
      </c>
      <c r="L37" s="533" t="str">
        <f>'2011 comm sample'!P36</f>
        <v>na</v>
      </c>
      <c r="M37" s="558" t="str">
        <f>IF(B37&gt;0,'2011 comm sample'!B36/'2011 Comm catch'!B37,"na")</f>
        <v>na</v>
      </c>
      <c r="N37" s="559" t="str">
        <f>IF(C37&gt;0,'2011 comm sample'!C36/'2011 Comm catch'!C37,"na")</f>
        <v>na</v>
      </c>
      <c r="O37" s="559" t="str">
        <f>IF(D37&gt;0,'2011 comm sample'!D36/'2011 Comm catch'!D37,"na")</f>
        <v>na</v>
      </c>
      <c r="P37" s="559" t="str">
        <f>IF(E37&gt;0,'2011 comm sample'!E36/'2011 Comm catch'!E37,"na")</f>
        <v>na</v>
      </c>
      <c r="Q37" s="559" t="str">
        <f>IF(F37&gt;0,'2011 comm sample'!F36/'2011 Comm catch'!F37,"na")</f>
        <v>na</v>
      </c>
      <c r="R37" s="560">
        <f t="shared" si="5"/>
        <v>0</v>
      </c>
      <c r="S37" s="514">
        <f t="shared" si="6"/>
        <v>0</v>
      </c>
      <c r="T37" s="514">
        <f t="shared" si="7"/>
        <v>0</v>
      </c>
      <c r="U37" s="514">
        <f t="shared" si="8"/>
        <v>0</v>
      </c>
      <c r="V37" s="514">
        <f t="shared" si="9"/>
        <v>0</v>
      </c>
      <c r="W37" s="580">
        <f t="shared" si="10"/>
        <v>0</v>
      </c>
      <c r="X37" s="647" t="e">
        <f t="shared" si="11"/>
        <v>#DIV/0!</v>
      </c>
      <c r="Y37" s="691" t="e">
        <f t="shared" si="12"/>
        <v>#DIV/0!</v>
      </c>
    </row>
    <row r="38" spans="1:30" x14ac:dyDescent="0.3">
      <c r="A38" s="34">
        <v>45</v>
      </c>
      <c r="B38" s="586"/>
      <c r="C38" s="587"/>
      <c r="D38" s="587"/>
      <c r="E38" s="587"/>
      <c r="F38" s="587"/>
      <c r="G38" s="566">
        <f t="shared" si="4"/>
        <v>0</v>
      </c>
      <c r="H38" s="534" t="str">
        <f>'2011 comm sample'!L37</f>
        <v>na</v>
      </c>
      <c r="I38" s="534" t="str">
        <f>'2011 comm sample'!M37</f>
        <v>na</v>
      </c>
      <c r="J38" s="534" t="str">
        <f>'2011 comm sample'!N37</f>
        <v>na</v>
      </c>
      <c r="K38" s="534" t="str">
        <f>'2011 comm sample'!O37</f>
        <v>na</v>
      </c>
      <c r="L38" s="535" t="str">
        <f>'2011 comm sample'!P37</f>
        <v>na</v>
      </c>
      <c r="M38" s="569" t="str">
        <f>IF(B38&gt;0,'2011 comm sample'!B37/'2011 Comm catch'!B38,"na")</f>
        <v>na</v>
      </c>
      <c r="N38" s="570" t="str">
        <f>IF(C38&gt;0,'2011 comm sample'!C37/'2011 Comm catch'!C38,"na")</f>
        <v>na</v>
      </c>
      <c r="O38" s="570" t="str">
        <f>IF(D38&gt;0,'2011 comm sample'!D37/'2011 Comm catch'!D38,"na")</f>
        <v>na</v>
      </c>
      <c r="P38" s="570" t="str">
        <f>IF(E38&gt;0,'2011 comm sample'!E37/'2011 Comm catch'!E38,"na")</f>
        <v>na</v>
      </c>
      <c r="Q38" s="570" t="str">
        <f>IF(F38&gt;0,'2011 comm sample'!F37/'2011 Comm catch'!F38,"na")</f>
        <v>na</v>
      </c>
      <c r="R38" s="588">
        <f t="shared" si="5"/>
        <v>0</v>
      </c>
      <c r="S38" s="589">
        <f t="shared" si="6"/>
        <v>0</v>
      </c>
      <c r="T38" s="589">
        <f t="shared" si="7"/>
        <v>0</v>
      </c>
      <c r="U38" s="589">
        <f t="shared" si="8"/>
        <v>0</v>
      </c>
      <c r="V38" s="589">
        <f t="shared" si="9"/>
        <v>0</v>
      </c>
      <c r="W38" s="590">
        <f t="shared" si="10"/>
        <v>0</v>
      </c>
      <c r="X38" s="647" t="e">
        <f t="shared" si="11"/>
        <v>#DIV/0!</v>
      </c>
      <c r="Y38" s="691" t="e">
        <f t="shared" si="12"/>
        <v>#DIV/0!</v>
      </c>
    </row>
    <row r="39" spans="1:30" x14ac:dyDescent="0.3">
      <c r="A39" s="591" t="s">
        <v>184</v>
      </c>
      <c r="B39" s="592">
        <f>SUM(B25:B38)</f>
        <v>928</v>
      </c>
      <c r="C39" s="593">
        <f>SUM(C25:C38)</f>
        <v>3231</v>
      </c>
      <c r="D39" s="593">
        <f>SUM(D25:D38)</f>
        <v>1636</v>
      </c>
      <c r="E39" s="593">
        <f>SUM(E25:E38)</f>
        <v>5355</v>
      </c>
      <c r="F39" s="593">
        <f>SUM(F25:F38)</f>
        <v>2435</v>
      </c>
      <c r="G39" s="594">
        <f t="shared" si="4"/>
        <v>13585</v>
      </c>
      <c r="H39" s="595">
        <f>'2011 comm sample'!L38</f>
        <v>0.23645320197044334</v>
      </c>
      <c r="I39" s="595">
        <f>'2011 comm sample'!M38</f>
        <v>0.30168776371308015</v>
      </c>
      <c r="J39" s="595">
        <f>'2011 comm sample'!N38</f>
        <v>0.34208432776451869</v>
      </c>
      <c r="K39" s="595">
        <f>'2011 comm sample'!O38</f>
        <v>0.50298210735586479</v>
      </c>
      <c r="L39" s="595">
        <f>'2011 comm sample'!P38</f>
        <v>0.50091074681238612</v>
      </c>
      <c r="M39" s="596">
        <f>IF(B39&gt;0,'2011 comm sample'!B38/'2011 Comm catch'!B39,"na")</f>
        <v>0.21875</v>
      </c>
      <c r="N39" s="596">
        <f>IF(C39&gt;0,'2011 comm sample'!C38/'2011 Comm catch'!C39,"na")</f>
        <v>0.29340761374187557</v>
      </c>
      <c r="O39" s="596">
        <f>IF(D39&gt;0,'2011 comm sample'!D38/'2011 Comm catch'!D39,"na")</f>
        <v>0.76833740831295838</v>
      </c>
      <c r="P39" s="596">
        <f>IF(E39&gt;0,'2011 comm sample'!E38/'2011 Comm catch'!E39,"na")</f>
        <v>0.18786181139122315</v>
      </c>
      <c r="Q39" s="596">
        <f>IF(F39&gt;0,'2011 comm sample'!F38/'2011 Comm catch'!F39,"na")</f>
        <v>0.22546201232032853</v>
      </c>
      <c r="R39" s="588">
        <f>SUM(R25:R38)</f>
        <v>209.80023347439078</v>
      </c>
      <c r="S39" s="589">
        <f>SUM(S25:S38)</f>
        <v>984.97211812457431</v>
      </c>
      <c r="T39" s="589">
        <f>SUM(T25:T38)</f>
        <v>573.44225474418317</v>
      </c>
      <c r="U39" s="589">
        <f>SUM(U25:U38)</f>
        <v>2888.8371586256039</v>
      </c>
      <c r="V39" s="589">
        <f>SUM(V25:V38)</f>
        <v>1186.3021086447111</v>
      </c>
      <c r="W39" s="590">
        <f t="shared" si="10"/>
        <v>5843.3538736134633</v>
      </c>
      <c r="X39" s="647">
        <f t="shared" si="11"/>
        <v>0.30512762835947338</v>
      </c>
      <c r="Y39" s="691">
        <f t="shared" si="12"/>
        <v>0.52312442455331387</v>
      </c>
    </row>
    <row r="40" spans="1:30" x14ac:dyDescent="0.3">
      <c r="A40" s="591"/>
      <c r="B40" s="597"/>
      <c r="C40" s="597"/>
      <c r="D40" s="597"/>
      <c r="E40" s="597"/>
      <c r="G40" s="597"/>
      <c r="H40" s="597"/>
      <c r="I40" s="597"/>
      <c r="J40" s="597"/>
      <c r="K40" s="597"/>
      <c r="L40" s="598"/>
      <c r="M40" s="597"/>
      <c r="N40" s="597"/>
      <c r="O40" s="597"/>
      <c r="P40" s="597"/>
      <c r="Q40" s="599"/>
      <c r="R40" s="597"/>
      <c r="S40" s="597"/>
      <c r="T40" s="597"/>
      <c r="U40" s="597"/>
      <c r="W40" s="597"/>
    </row>
    <row r="43" spans="1:30" ht="15" x14ac:dyDescent="0.3">
      <c r="A43" s="33"/>
      <c r="B43" s="597"/>
      <c r="C43" s="597"/>
      <c r="D43" s="597"/>
      <c r="F43" s="903" t="s">
        <v>209</v>
      </c>
      <c r="G43" s="904"/>
      <c r="H43" s="904"/>
      <c r="I43" s="905"/>
      <c r="J43" s="597"/>
      <c r="K43" s="597"/>
      <c r="V43" s="597"/>
    </row>
    <row r="44" spans="1:30" x14ac:dyDescent="0.3">
      <c r="A44" s="484" t="s">
        <v>258</v>
      </c>
      <c r="B44" s="600" t="s">
        <v>44</v>
      </c>
      <c r="C44" s="600" t="s">
        <v>55</v>
      </c>
      <c r="D44" s="601" t="s">
        <v>56</v>
      </c>
      <c r="F44" s="367"/>
      <c r="G44" s="175" t="s">
        <v>160</v>
      </c>
      <c r="H44" s="368" t="s">
        <v>161</v>
      </c>
      <c r="I44" s="366" t="s">
        <v>44</v>
      </c>
      <c r="J44" s="913" t="s">
        <v>207</v>
      </c>
      <c r="K44" s="914"/>
    </row>
    <row r="45" spans="1:30" x14ac:dyDescent="0.3">
      <c r="A45" s="485" t="s">
        <v>31</v>
      </c>
      <c r="B45" s="582">
        <f>B19</f>
        <v>25004</v>
      </c>
      <c r="C45" s="582">
        <f>N19</f>
        <v>1334.934004057759</v>
      </c>
      <c r="D45" s="533">
        <f>C45/B45</f>
        <v>5.3388817951438128E-2</v>
      </c>
      <c r="F45" s="603" t="s">
        <v>31</v>
      </c>
      <c r="G45" s="604">
        <f>C45*J45</f>
        <v>160.19208048693108</v>
      </c>
      <c r="H45" s="605">
        <v>0</v>
      </c>
      <c r="I45" s="606">
        <f>H45+G45</f>
        <v>160.19208048693108</v>
      </c>
      <c r="J45" s="468">
        <v>0.12</v>
      </c>
      <c r="K45" s="515" t="s">
        <v>31</v>
      </c>
    </row>
    <row r="46" spans="1:30" x14ac:dyDescent="0.3">
      <c r="A46" s="485" t="s">
        <v>62</v>
      </c>
      <c r="B46" s="582">
        <f>C19</f>
        <v>5147</v>
      </c>
      <c r="C46" s="582">
        <f>O19</f>
        <v>806.1126021723037</v>
      </c>
      <c r="D46" s="533">
        <f>C46/B46</f>
        <v>0.15661795262722045</v>
      </c>
      <c r="F46" s="367" t="s">
        <v>62</v>
      </c>
      <c r="G46" s="607">
        <f>C46*J46</f>
        <v>161.22252043446076</v>
      </c>
      <c r="H46" s="608">
        <v>0</v>
      </c>
      <c r="I46" s="609">
        <f>H46+G46</f>
        <v>161.22252043446076</v>
      </c>
      <c r="J46" s="468">
        <v>0.2</v>
      </c>
      <c r="K46" s="515" t="s">
        <v>62</v>
      </c>
    </row>
    <row r="47" spans="1:30" x14ac:dyDescent="0.3">
      <c r="A47" s="485" t="s">
        <v>32</v>
      </c>
      <c r="B47" s="582">
        <f>D19</f>
        <v>1297</v>
      </c>
      <c r="C47" s="582">
        <f>P19</f>
        <v>359.35974959558803</v>
      </c>
      <c r="D47" s="533">
        <f>C47/B47</f>
        <v>0.27706996884779339</v>
      </c>
      <c r="F47" s="603" t="s">
        <v>32</v>
      </c>
      <c r="G47" s="604">
        <f>C47*J47</f>
        <v>46.716767447426449</v>
      </c>
      <c r="H47" s="605">
        <v>0</v>
      </c>
      <c r="I47" s="606">
        <f>H47+G47</f>
        <v>46.716767447426449</v>
      </c>
      <c r="J47" s="468">
        <v>0.13</v>
      </c>
      <c r="K47" s="515" t="s">
        <v>32</v>
      </c>
    </row>
    <row r="48" spans="1:30" x14ac:dyDescent="0.3">
      <c r="A48" s="485" t="s">
        <v>203</v>
      </c>
      <c r="B48" s="582">
        <f>E19</f>
        <v>14623</v>
      </c>
      <c r="C48" s="582">
        <f>Q19</f>
        <v>362.91626913095627</v>
      </c>
      <c r="D48" s="533">
        <f>C48/B48</f>
        <v>2.4818181572246207E-2</v>
      </c>
      <c r="F48" s="603" t="s">
        <v>203</v>
      </c>
      <c r="G48" s="604">
        <f>C48*J48</f>
        <v>39.920789604405186</v>
      </c>
      <c r="H48" s="561">
        <v>0</v>
      </c>
      <c r="I48" s="606">
        <f>H48+G48</f>
        <v>39.920789604405186</v>
      </c>
      <c r="J48" s="468">
        <v>0.11</v>
      </c>
      <c r="K48" s="515" t="s">
        <v>203</v>
      </c>
    </row>
    <row r="49" spans="1:11" x14ac:dyDescent="0.3">
      <c r="A49" s="610" t="s">
        <v>61</v>
      </c>
      <c r="B49" s="611">
        <f>SUM(B45:B48)</f>
        <v>46071</v>
      </c>
      <c r="C49" s="611">
        <f>SUM(C45:C48)</f>
        <v>2863.3226249566073</v>
      </c>
      <c r="D49" s="612">
        <f>C49/B49</f>
        <v>6.215021651270012E-2</v>
      </c>
      <c r="E49" s="34"/>
      <c r="F49" s="613" t="s">
        <v>61</v>
      </c>
      <c r="G49" s="614">
        <f>SUM(G45:G48)</f>
        <v>408.05215797322347</v>
      </c>
      <c r="H49" s="615"/>
      <c r="I49" s="616">
        <f>H49+G49</f>
        <v>408.05215797322347</v>
      </c>
    </row>
    <row r="50" spans="1:11" x14ac:dyDescent="0.3">
      <c r="B50" s="591"/>
      <c r="C50" s="591"/>
      <c r="D50" s="617"/>
      <c r="E50" s="34"/>
      <c r="F50" s="603"/>
      <c r="G50" s="618"/>
      <c r="H50" s="618"/>
      <c r="I50" s="619"/>
      <c r="J50" s="468"/>
      <c r="K50" s="515"/>
    </row>
    <row r="51" spans="1:11" x14ac:dyDescent="0.3">
      <c r="A51" s="484" t="s">
        <v>123</v>
      </c>
      <c r="B51" s="600" t="s">
        <v>44</v>
      </c>
      <c r="C51" s="600" t="s">
        <v>55</v>
      </c>
      <c r="D51" s="601" t="s">
        <v>56</v>
      </c>
      <c r="E51" s="34"/>
      <c r="F51" s="363" t="s">
        <v>123</v>
      </c>
      <c r="G51" s="620" t="s">
        <v>160</v>
      </c>
      <c r="H51" s="562" t="s">
        <v>161</v>
      </c>
      <c r="I51" s="621" t="s">
        <v>44</v>
      </c>
      <c r="J51" s="911" t="s">
        <v>270</v>
      </c>
      <c r="K51" s="912"/>
    </row>
    <row r="52" spans="1:11" x14ac:dyDescent="0.3">
      <c r="A52" s="485">
        <v>1</v>
      </c>
      <c r="B52" s="582">
        <f>B39</f>
        <v>928</v>
      </c>
      <c r="C52" s="582">
        <f>R39</f>
        <v>209.80023347439078</v>
      </c>
      <c r="D52" s="533">
        <f t="shared" ref="D52:D57" si="13">C52/B52</f>
        <v>0.22607783779567972</v>
      </c>
      <c r="F52" s="603">
        <v>1</v>
      </c>
      <c r="G52" s="622">
        <f>SUM(R25:R30)*$J$52+R31*$J$53+R32*$J$54+R33*$J$55+R34*$J$56+SUM(R35:R38)*$J$57</f>
        <v>56.967532467532465</v>
      </c>
      <c r="H52" s="622">
        <f>R31*$J$53+R32*$J$54+R33*$J$55+R34*$J$56+SUM(R35:R38)</f>
        <v>152.83270100685831</v>
      </c>
      <c r="I52" s="623">
        <f>H52+G52</f>
        <v>209.80023347439078</v>
      </c>
      <c r="J52" s="468">
        <v>1</v>
      </c>
      <c r="K52" s="515" t="s">
        <v>206</v>
      </c>
    </row>
    <row r="53" spans="1:11" x14ac:dyDescent="0.3">
      <c r="A53" s="485">
        <v>2</v>
      </c>
      <c r="B53" s="582">
        <f>C39</f>
        <v>3231</v>
      </c>
      <c r="C53" s="582">
        <f>S39</f>
        <v>984.97211812457431</v>
      </c>
      <c r="D53" s="533">
        <f t="shared" si="13"/>
        <v>0.30485054723756555</v>
      </c>
      <c r="F53" s="603">
        <v>2</v>
      </c>
      <c r="G53" s="622">
        <f>SUM(S25:S30)*$J$52+S31*$J$53+S32*$J$54+S33*$J$55+S34*$J$56+SUM(S35:S38)*$J$57</f>
        <v>292.50320476518982</v>
      </c>
      <c r="H53" s="622">
        <f>S31*$J$53+S32*$J$54+S33*$J$55+S34*$J$56+SUM(S35:S38)</f>
        <v>692.46891335938449</v>
      </c>
      <c r="I53" s="623">
        <f>H53+G53</f>
        <v>984.97211812457431</v>
      </c>
      <c r="J53" s="468">
        <v>1</v>
      </c>
      <c r="K53" s="515" t="s">
        <v>204</v>
      </c>
    </row>
    <row r="54" spans="1:11" x14ac:dyDescent="0.3">
      <c r="A54" s="485">
        <v>3</v>
      </c>
      <c r="B54" s="582">
        <f>D39</f>
        <v>1636</v>
      </c>
      <c r="C54" s="582">
        <f>T39</f>
        <v>573.44225474418317</v>
      </c>
      <c r="D54" s="533">
        <f t="shared" si="13"/>
        <v>0.35051482563825376</v>
      </c>
      <c r="F54" s="603">
        <v>3</v>
      </c>
      <c r="G54" s="622">
        <f>SUM(T25:T30)*$J$52+T31*$J$53+T32*$J$54+T33*$J$55+T34*$J$56+SUM(T35:T38)*$J$57</f>
        <v>149.98245614035088</v>
      </c>
      <c r="H54" s="622">
        <f>T31*$J$53+T32*$J$54+T33*$J$55+T34*$J$56+SUM(T35:T38)</f>
        <v>423.45979860383227</v>
      </c>
      <c r="I54" s="623">
        <f>H54+G54</f>
        <v>573.44225474418317</v>
      </c>
      <c r="J54" s="468">
        <v>0.5</v>
      </c>
      <c r="K54" s="515" t="s">
        <v>175</v>
      </c>
    </row>
    <row r="55" spans="1:11" x14ac:dyDescent="0.3">
      <c r="A55" s="485">
        <v>4</v>
      </c>
      <c r="B55" s="582">
        <f>E39</f>
        <v>5355</v>
      </c>
      <c r="C55" s="582">
        <f>U39</f>
        <v>2888.8371586256039</v>
      </c>
      <c r="D55" s="533">
        <f t="shared" si="13"/>
        <v>0.5394653890990857</v>
      </c>
      <c r="F55" s="603">
        <v>4</v>
      </c>
      <c r="G55" s="622">
        <f>SUM(U25:U30)*$J$52+U31*$J$53+U32*$J$54+U33*$J$55+U34*$J$56+SUM(U35:U38)*$J$57</f>
        <v>2006.3318454207119</v>
      </c>
      <c r="H55" s="622">
        <f>U31*$J$53+U32*$J$54+U33*$J$55+U34*$J$56+SUM(U35:U38)</f>
        <v>882.5053132048921</v>
      </c>
      <c r="I55" s="623">
        <f>H55+G55</f>
        <v>2888.8371586256039</v>
      </c>
      <c r="J55" s="468">
        <v>0.5</v>
      </c>
      <c r="K55" s="515" t="s">
        <v>172</v>
      </c>
    </row>
    <row r="56" spans="1:11" x14ac:dyDescent="0.3">
      <c r="A56" s="564">
        <v>5</v>
      </c>
      <c r="B56" s="587">
        <f>F39</f>
        <v>2435</v>
      </c>
      <c r="C56" s="587">
        <f>V39</f>
        <v>1186.3021086447111</v>
      </c>
      <c r="D56" s="535">
        <f t="shared" si="13"/>
        <v>0.4871877242894091</v>
      </c>
      <c r="F56" s="367">
        <v>5</v>
      </c>
      <c r="G56" s="622">
        <f>SUM(V25:V30)*$J$52+V31*$J$53+V32*$J$54+V33*$J$55+V34*$J$56+SUM(V35:V38)*$J$57</f>
        <v>701.41890885871101</v>
      </c>
      <c r="H56" s="622">
        <f>V31*$J$53+V32*$J$54+V33*$J$55+V34*$J$56+SUM(V35:V38)</f>
        <v>484.88319978599998</v>
      </c>
      <c r="I56" s="623">
        <f>H56+G56</f>
        <v>1186.3021086447111</v>
      </c>
      <c r="J56" s="468">
        <v>0.5</v>
      </c>
      <c r="K56" s="515" t="s">
        <v>176</v>
      </c>
    </row>
    <row r="57" spans="1:11" x14ac:dyDescent="0.3">
      <c r="A57" s="547" t="s">
        <v>60</v>
      </c>
      <c r="B57" s="624">
        <f>SUM(B52:B56)</f>
        <v>13585</v>
      </c>
      <c r="C57" s="624">
        <f>SUM(C52:C56)</f>
        <v>5843.3538736134633</v>
      </c>
      <c r="D57" s="625">
        <f t="shared" si="13"/>
        <v>0.43013278421887841</v>
      </c>
      <c r="F57" s="361" t="s">
        <v>60</v>
      </c>
      <c r="G57" s="615">
        <f>SUM(G52:G56)</f>
        <v>3207.203947652496</v>
      </c>
      <c r="H57" s="615">
        <f>SUM(H52:H56)</f>
        <v>2636.1499259609673</v>
      </c>
      <c r="I57" s="615">
        <f>SUM(I52:I56)</f>
        <v>5843.3538736134633</v>
      </c>
      <c r="J57" s="468">
        <v>0</v>
      </c>
      <c r="K57" s="515" t="s">
        <v>205</v>
      </c>
    </row>
    <row r="58" spans="1:11" x14ac:dyDescent="0.3">
      <c r="A58" s="33"/>
      <c r="B58" s="626"/>
      <c r="C58" s="626"/>
      <c r="D58" s="598"/>
      <c r="F58" s="627"/>
      <c r="G58" s="607"/>
      <c r="H58" s="628"/>
      <c r="I58" s="628"/>
    </row>
    <row r="59" spans="1:11" ht="15.5" x14ac:dyDescent="0.35">
      <c r="A59" s="33"/>
      <c r="F59" s="629" t="s">
        <v>44</v>
      </c>
      <c r="G59" s="630">
        <f>G57+G49</f>
        <v>3615.2561056257196</v>
      </c>
      <c r="H59" s="630">
        <f>H57+H49</f>
        <v>2636.1499259609673</v>
      </c>
      <c r="I59" s="631">
        <f>H59+G59</f>
        <v>6251.4060315866864</v>
      </c>
    </row>
    <row r="60" spans="1:11" x14ac:dyDescent="0.3">
      <c r="A60" s="610" t="s">
        <v>69</v>
      </c>
      <c r="B60" s="632">
        <f>B49+B57</f>
        <v>59656</v>
      </c>
      <c r="C60" s="632">
        <f>C49+C57</f>
        <v>8706.6764985700702</v>
      </c>
      <c r="D60" s="612">
        <f>C60/B60</f>
        <v>0.14594804376039411</v>
      </c>
      <c r="F60" s="908" t="s">
        <v>210</v>
      </c>
      <c r="G60" s="908"/>
      <c r="H60" s="908"/>
      <c r="I60" s="908"/>
    </row>
    <row r="61" spans="1:11" ht="12.5" x14ac:dyDescent="0.25">
      <c r="A61" s="33"/>
      <c r="C61" s="633"/>
      <c r="D61" s="622"/>
      <c r="G61" s="597"/>
      <c r="K61" s="633"/>
    </row>
    <row r="62" spans="1:11" x14ac:dyDescent="0.3">
      <c r="A62" s="903" t="s">
        <v>208</v>
      </c>
      <c r="B62" s="904"/>
      <c r="C62" s="904"/>
      <c r="D62" s="905"/>
      <c r="K62" s="633"/>
    </row>
    <row r="63" spans="1:11" x14ac:dyDescent="0.3">
      <c r="A63" s="603" t="s">
        <v>258</v>
      </c>
      <c r="B63" s="165" t="s">
        <v>160</v>
      </c>
      <c r="C63" s="634" t="s">
        <v>161</v>
      </c>
      <c r="D63" s="369" t="s">
        <v>44</v>
      </c>
      <c r="K63" s="633"/>
    </row>
    <row r="64" spans="1:11" ht="12.5" x14ac:dyDescent="0.25">
      <c r="A64" s="485" t="s">
        <v>31</v>
      </c>
      <c r="B64" s="582">
        <f>B19</f>
        <v>25004</v>
      </c>
      <c r="C64" s="561">
        <v>0</v>
      </c>
      <c r="D64" s="496">
        <f>C64+B64</f>
        <v>25004</v>
      </c>
    </row>
    <row r="65" spans="1:11" ht="12.5" x14ac:dyDescent="0.25">
      <c r="A65" s="485" t="s">
        <v>62</v>
      </c>
      <c r="B65" s="582">
        <f>C19</f>
        <v>5147</v>
      </c>
      <c r="C65" s="605">
        <v>0</v>
      </c>
      <c r="D65" s="496">
        <f>C65+B65</f>
        <v>5147</v>
      </c>
      <c r="J65" s="633"/>
      <c r="K65" s="622"/>
    </row>
    <row r="66" spans="1:11" ht="12.5" x14ac:dyDescent="0.25">
      <c r="A66" s="485" t="s">
        <v>32</v>
      </c>
      <c r="B66" s="582">
        <f>D19</f>
        <v>1297</v>
      </c>
      <c r="C66" s="605">
        <v>0</v>
      </c>
      <c r="D66" s="496">
        <f>C66+B66</f>
        <v>1297</v>
      </c>
      <c r="K66" s="622"/>
    </row>
    <row r="67" spans="1:11" ht="12.5" x14ac:dyDescent="0.25">
      <c r="A67" s="485" t="s">
        <v>203</v>
      </c>
      <c r="B67" s="582">
        <f>E19</f>
        <v>14623</v>
      </c>
      <c r="C67" s="608">
        <v>0</v>
      </c>
      <c r="D67" s="496">
        <f>C67+B67</f>
        <v>14623</v>
      </c>
    </row>
    <row r="68" spans="1:11" x14ac:dyDescent="0.3">
      <c r="A68" s="635" t="s">
        <v>61</v>
      </c>
      <c r="B68" s="636">
        <f>SUM(B64:B67)</f>
        <v>46071</v>
      </c>
      <c r="C68" s="636">
        <f>SUM(C64:C67)</f>
        <v>0</v>
      </c>
      <c r="D68" s="637">
        <f>SUM(D64:D67)</f>
        <v>46071</v>
      </c>
    </row>
    <row r="69" spans="1:11" x14ac:dyDescent="0.3">
      <c r="A69" s="603" t="s">
        <v>123</v>
      </c>
      <c r="B69" s="165" t="s">
        <v>160</v>
      </c>
      <c r="C69" s="634" t="s">
        <v>161</v>
      </c>
      <c r="D69" s="369" t="s">
        <v>44</v>
      </c>
    </row>
    <row r="70" spans="1:11" ht="12.5" x14ac:dyDescent="0.25">
      <c r="A70" s="602">
        <v>1</v>
      </c>
      <c r="B70" s="638">
        <f>SUM(B25:B30)*$J$52+B31*$J$53+B32*$J$54+B33*$J$55+B34*$J$56</f>
        <v>280</v>
      </c>
      <c r="C70" s="639">
        <f>B31*$J$53+B32*$J$54+B33*$J$55+B34*$J$56+SUM(B35:B38)</f>
        <v>648</v>
      </c>
      <c r="D70" s="648">
        <f>C70+B70</f>
        <v>928</v>
      </c>
    </row>
    <row r="71" spans="1:11" ht="12.5" x14ac:dyDescent="0.25">
      <c r="A71" s="602">
        <v>2</v>
      </c>
      <c r="B71" s="597">
        <f>SUM(C25:C30)*$J$52+C31*$J$53+C32*$J$54+C33*$J$55+C34*$J$56</f>
        <v>902.5</v>
      </c>
      <c r="C71" s="597">
        <f>C31*$J$53+C32*$J$54+C33*$J$55+C34*$J$56+SUM(C35:C38)</f>
        <v>2328.5</v>
      </c>
      <c r="D71" s="648">
        <f>C71+B71</f>
        <v>3231</v>
      </c>
    </row>
    <row r="72" spans="1:11" ht="12.5" x14ac:dyDescent="0.25">
      <c r="A72" s="602">
        <v>3</v>
      </c>
      <c r="B72" s="597">
        <f>SUM(D25:D30)*$J$52+D31*$J$53+D32*$J$54+D33*$J$55+D34*$J$56</f>
        <v>403</v>
      </c>
      <c r="C72" s="597">
        <f>D31*$J$53+D32*$J$54+D33*$J$55+D34*$J$56+SUM(D35:D38)</f>
        <v>1233</v>
      </c>
      <c r="D72" s="648">
        <f>C72+B72</f>
        <v>1636</v>
      </c>
    </row>
    <row r="73" spans="1:11" ht="12.5" x14ac:dyDescent="0.25">
      <c r="A73" s="602">
        <v>4</v>
      </c>
      <c r="B73" s="597">
        <f>SUM(E25:E30)*$J$52+E31*$J$53+E32*$J$54+E33*$J$55+E34*$J$56</f>
        <v>3383</v>
      </c>
      <c r="C73" s="597">
        <f>E31*$J$53+E32*$J$54+E33*$J$55+E34*$J$56+SUM(E35:E38)</f>
        <v>1972</v>
      </c>
      <c r="D73" s="648">
        <f>C73+B73</f>
        <v>5355</v>
      </c>
    </row>
    <row r="74" spans="1:11" ht="12.5" x14ac:dyDescent="0.25">
      <c r="A74" s="627">
        <v>5</v>
      </c>
      <c r="B74" s="597">
        <f>SUM(F25:F30)*$J$52+F31*$J$53+F32*$J$54+F33*$J$55+F34*$J$56</f>
        <v>1336</v>
      </c>
      <c r="C74" s="597">
        <f>F31*$J$53+F32*$J$54+F33*$J$55+F34*$J$56+SUM(F35:F38)</f>
        <v>1099</v>
      </c>
      <c r="D74" s="648">
        <f>C74+B74</f>
        <v>2435</v>
      </c>
    </row>
    <row r="75" spans="1:11" x14ac:dyDescent="0.3">
      <c r="A75" s="635" t="s">
        <v>60</v>
      </c>
      <c r="B75" s="649">
        <f>SUM(B70:B74)</f>
        <v>6304.5</v>
      </c>
      <c r="C75" s="649">
        <f>SUM(C70:C74)</f>
        <v>7280.5</v>
      </c>
      <c r="D75" s="650">
        <f>SUM(D70:D74)</f>
        <v>13585</v>
      </c>
    </row>
    <row r="76" spans="1:11" x14ac:dyDescent="0.3">
      <c r="A76" s="367" t="s">
        <v>44</v>
      </c>
      <c r="B76" s="651">
        <f>B75+B68</f>
        <v>52375.5</v>
      </c>
      <c r="C76" s="652">
        <f>C75+C68</f>
        <v>7280.5</v>
      </c>
      <c r="D76" s="653">
        <f>C76+B76</f>
        <v>59656</v>
      </c>
    </row>
  </sheetData>
  <mergeCells count="13">
    <mergeCell ref="R23:W23"/>
    <mergeCell ref="B3:E3"/>
    <mergeCell ref="F3:I3"/>
    <mergeCell ref="J3:M3"/>
    <mergeCell ref="N3:Q3"/>
    <mergeCell ref="M23:Q23"/>
    <mergeCell ref="H23:L23"/>
    <mergeCell ref="B23:G23"/>
    <mergeCell ref="F43:I43"/>
    <mergeCell ref="A62:D62"/>
    <mergeCell ref="F60:I60"/>
    <mergeCell ref="J44:K44"/>
    <mergeCell ref="J51:K51"/>
  </mergeCells>
  <phoneticPr fontId="4" type="noConversion"/>
  <pageMargins left="0.75" right="0.75" top="1" bottom="1" header="0.5" footer="0.5"/>
  <pageSetup scale="49" orientation="landscape" r:id="rId1"/>
  <headerFooter alignWithMargins="0"/>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R39"/>
  <sheetViews>
    <sheetView workbookViewId="0">
      <pane xSplit="1" topLeftCell="B1" activePane="topRight" state="frozen"/>
      <selection activeCell="I30" sqref="I30"/>
      <selection pane="topRight" activeCell="I30" sqref="I30"/>
    </sheetView>
  </sheetViews>
  <sheetFormatPr defaultRowHeight="12.5" x14ac:dyDescent="0.25"/>
  <cols>
    <col min="1" max="1" width="5.81640625" bestFit="1" customWidth="1"/>
    <col min="2" max="2" width="11.1796875" bestFit="1" customWidth="1"/>
    <col min="3" max="3" width="9.453125" bestFit="1" customWidth="1"/>
    <col min="4" max="4" width="7.453125" bestFit="1" customWidth="1"/>
    <col min="5" max="5" width="7.1796875" bestFit="1" customWidth="1"/>
    <col min="6" max="6" width="11.1796875" bestFit="1" customWidth="1"/>
    <col min="7" max="7" width="9.453125" bestFit="1" customWidth="1"/>
    <col min="8" max="8" width="7.453125" bestFit="1" customWidth="1"/>
    <col min="9" max="9" width="7.1796875" bestFit="1" customWidth="1"/>
    <col min="10" max="10" width="11.1796875" bestFit="1" customWidth="1"/>
    <col min="11" max="11" width="9.453125" bestFit="1" customWidth="1"/>
    <col min="12" max="12" width="7.453125" bestFit="1" customWidth="1"/>
    <col min="13" max="13" width="7.1796875" bestFit="1" customWidth="1"/>
    <col min="14" max="14" width="7" bestFit="1" customWidth="1"/>
    <col min="15" max="15" width="8.26953125" bestFit="1" customWidth="1"/>
    <col min="16" max="16" width="7.26953125" bestFit="1" customWidth="1"/>
  </cols>
  <sheetData>
    <row r="1" spans="1:13" ht="13" x14ac:dyDescent="0.3">
      <c r="B1" s="2" t="s">
        <v>258</v>
      </c>
    </row>
    <row r="2" spans="1:13" x14ac:dyDescent="0.25">
      <c r="B2" s="900" t="s">
        <v>265</v>
      </c>
      <c r="C2" s="901"/>
      <c r="D2" s="901"/>
      <c r="E2" s="902"/>
      <c r="F2" s="900" t="s">
        <v>266</v>
      </c>
      <c r="G2" s="901"/>
      <c r="H2" s="901"/>
      <c r="I2" s="902"/>
      <c r="J2" s="900" t="s">
        <v>267</v>
      </c>
      <c r="K2" s="901"/>
      <c r="L2" s="901"/>
      <c r="M2" s="902"/>
    </row>
    <row r="3" spans="1:13" x14ac:dyDescent="0.25">
      <c r="A3" t="s">
        <v>134</v>
      </c>
      <c r="B3" s="274" t="s">
        <v>31</v>
      </c>
      <c r="C3" s="42" t="s">
        <v>62</v>
      </c>
      <c r="D3" s="42" t="s">
        <v>260</v>
      </c>
      <c r="E3" s="134" t="s">
        <v>203</v>
      </c>
      <c r="F3" s="274" t="s">
        <v>31</v>
      </c>
      <c r="G3" s="42" t="s">
        <v>62</v>
      </c>
      <c r="H3" s="42" t="s">
        <v>260</v>
      </c>
      <c r="I3" s="134" t="s">
        <v>203</v>
      </c>
      <c r="J3" s="274" t="s">
        <v>31</v>
      </c>
      <c r="K3" s="42" t="s">
        <v>62</v>
      </c>
      <c r="L3" s="42" t="s">
        <v>260</v>
      </c>
      <c r="M3" s="134" t="s">
        <v>203</v>
      </c>
    </row>
    <row r="4" spans="1:13" x14ac:dyDescent="0.25">
      <c r="A4">
        <v>32</v>
      </c>
      <c r="B4" s="276">
        <v>0</v>
      </c>
      <c r="C4" s="401"/>
      <c r="D4" s="401"/>
      <c r="E4" s="277"/>
      <c r="F4" s="44"/>
      <c r="G4" s="44"/>
      <c r="H4" s="44"/>
      <c r="I4" s="44"/>
      <c r="J4" s="521" t="str">
        <f t="shared" ref="J4:J17" si="0">IF(B4&gt;0,F4/B4,"na")</f>
        <v>na</v>
      </c>
      <c r="K4" s="522" t="str">
        <f t="shared" ref="K4:K17" si="1">IF(C4&gt;0,G4/C4,"na")</f>
        <v>na</v>
      </c>
      <c r="L4" s="522" t="str">
        <f t="shared" ref="L4:L17" si="2">IF(D4&gt;0,H4/D4,"na")</f>
        <v>na</v>
      </c>
      <c r="M4" s="523" t="str">
        <f t="shared" ref="M4:M17" si="3">IF(E4&gt;0,I4/E4,"na")</f>
        <v>na</v>
      </c>
    </row>
    <row r="5" spans="1:13" x14ac:dyDescent="0.25">
      <c r="A5">
        <v>33</v>
      </c>
      <c r="B5" s="128">
        <v>1</v>
      </c>
      <c r="C5" s="44"/>
      <c r="D5" s="44"/>
      <c r="E5" s="130"/>
      <c r="F5" s="44">
        <v>0</v>
      </c>
      <c r="G5" s="44"/>
      <c r="H5" s="44"/>
      <c r="I5" s="44"/>
      <c r="J5" s="524">
        <f t="shared" si="0"/>
        <v>0</v>
      </c>
      <c r="K5" s="525" t="str">
        <f t="shared" si="1"/>
        <v>na</v>
      </c>
      <c r="L5" s="525" t="str">
        <f t="shared" si="2"/>
        <v>na</v>
      </c>
      <c r="M5" s="526" t="str">
        <f t="shared" si="3"/>
        <v>na</v>
      </c>
    </row>
    <row r="6" spans="1:13" x14ac:dyDescent="0.25">
      <c r="A6">
        <v>34</v>
      </c>
      <c r="B6" s="128">
        <v>21</v>
      </c>
      <c r="C6" s="44"/>
      <c r="D6" s="44"/>
      <c r="E6" s="130">
        <v>2</v>
      </c>
      <c r="F6" s="73">
        <v>1</v>
      </c>
      <c r="G6" s="44"/>
      <c r="H6" s="44"/>
      <c r="I6" s="44">
        <v>0</v>
      </c>
      <c r="J6" s="524">
        <f t="shared" si="0"/>
        <v>4.7619047619047616E-2</v>
      </c>
      <c r="K6" s="525" t="str">
        <f t="shared" si="1"/>
        <v>na</v>
      </c>
      <c r="L6" s="525" t="str">
        <f t="shared" si="2"/>
        <v>na</v>
      </c>
      <c r="M6" s="526">
        <f t="shared" si="3"/>
        <v>0</v>
      </c>
    </row>
    <row r="7" spans="1:13" x14ac:dyDescent="0.25">
      <c r="A7">
        <v>35</v>
      </c>
      <c r="B7" s="128">
        <v>45</v>
      </c>
      <c r="C7" s="73"/>
      <c r="D7" s="44"/>
      <c r="E7" s="130">
        <v>2</v>
      </c>
      <c r="F7" s="73">
        <v>4</v>
      </c>
      <c r="G7" s="44"/>
      <c r="H7" s="44"/>
      <c r="I7" s="44">
        <v>0</v>
      </c>
      <c r="J7" s="524">
        <f t="shared" si="0"/>
        <v>8.8888888888888892E-2</v>
      </c>
      <c r="K7" s="525" t="str">
        <f t="shared" si="1"/>
        <v>na</v>
      </c>
      <c r="L7" s="525" t="str">
        <f t="shared" si="2"/>
        <v>na</v>
      </c>
      <c r="M7" s="526">
        <f t="shared" si="3"/>
        <v>0</v>
      </c>
    </row>
    <row r="8" spans="1:13" x14ac:dyDescent="0.25">
      <c r="A8">
        <v>36</v>
      </c>
      <c r="B8" s="128">
        <v>726</v>
      </c>
      <c r="C8" s="73">
        <v>20</v>
      </c>
      <c r="D8" s="73">
        <v>2</v>
      </c>
      <c r="E8" s="130">
        <v>115</v>
      </c>
      <c r="F8" s="73">
        <v>53</v>
      </c>
      <c r="G8" s="73">
        <v>5</v>
      </c>
      <c r="H8" s="73">
        <v>1</v>
      </c>
      <c r="I8" s="73">
        <v>7</v>
      </c>
      <c r="J8" s="524">
        <f t="shared" si="0"/>
        <v>7.3002754820936641E-2</v>
      </c>
      <c r="K8" s="525">
        <f t="shared" si="1"/>
        <v>0.25</v>
      </c>
      <c r="L8" s="525">
        <f t="shared" si="2"/>
        <v>0.5</v>
      </c>
      <c r="M8" s="526">
        <f t="shared" si="3"/>
        <v>6.0869565217391307E-2</v>
      </c>
    </row>
    <row r="9" spans="1:13" x14ac:dyDescent="0.25">
      <c r="A9">
        <v>37</v>
      </c>
      <c r="B9" s="128">
        <v>779</v>
      </c>
      <c r="C9" s="73">
        <v>347</v>
      </c>
      <c r="D9" s="73">
        <v>30</v>
      </c>
      <c r="E9" s="130">
        <v>472</v>
      </c>
      <c r="F9" s="73">
        <v>41</v>
      </c>
      <c r="G9" s="73">
        <v>60</v>
      </c>
      <c r="H9" s="73">
        <v>5</v>
      </c>
      <c r="I9" s="73">
        <v>17</v>
      </c>
      <c r="J9" s="524">
        <f t="shared" si="0"/>
        <v>5.2631578947368418E-2</v>
      </c>
      <c r="K9" s="525">
        <f t="shared" si="1"/>
        <v>0.1729106628242075</v>
      </c>
      <c r="L9" s="525">
        <f t="shared" si="2"/>
        <v>0.16666666666666666</v>
      </c>
      <c r="M9" s="526">
        <f t="shared" si="3"/>
        <v>3.6016949152542374E-2</v>
      </c>
    </row>
    <row r="10" spans="1:13" x14ac:dyDescent="0.25">
      <c r="A10">
        <v>38</v>
      </c>
      <c r="B10" s="128">
        <v>1724</v>
      </c>
      <c r="C10" s="73">
        <v>476</v>
      </c>
      <c r="D10" s="73">
        <v>136</v>
      </c>
      <c r="E10" s="130">
        <v>985</v>
      </c>
      <c r="F10" s="73">
        <v>119</v>
      </c>
      <c r="G10" s="73">
        <v>57</v>
      </c>
      <c r="H10" s="73">
        <v>19</v>
      </c>
      <c r="I10" s="73">
        <v>23</v>
      </c>
      <c r="J10" s="524">
        <f t="shared" si="0"/>
        <v>6.9025522041763335E-2</v>
      </c>
      <c r="K10" s="525">
        <f t="shared" si="1"/>
        <v>0.11974789915966387</v>
      </c>
      <c r="L10" s="525">
        <f t="shared" si="2"/>
        <v>0.13970588235294118</v>
      </c>
      <c r="M10" s="526">
        <f t="shared" si="3"/>
        <v>2.3350253807106598E-2</v>
      </c>
    </row>
    <row r="11" spans="1:13" x14ac:dyDescent="0.25">
      <c r="A11">
        <v>39</v>
      </c>
      <c r="B11" s="128">
        <v>1280</v>
      </c>
      <c r="C11" s="73">
        <v>166</v>
      </c>
      <c r="D11" s="73">
        <v>143</v>
      </c>
      <c r="E11" s="130">
        <v>1323</v>
      </c>
      <c r="F11" s="73">
        <v>33</v>
      </c>
      <c r="G11" s="73">
        <v>34</v>
      </c>
      <c r="H11" s="73">
        <v>38</v>
      </c>
      <c r="I11" s="73">
        <v>17</v>
      </c>
      <c r="J11" s="524">
        <f t="shared" si="0"/>
        <v>2.5781249999999999E-2</v>
      </c>
      <c r="K11" s="525">
        <f t="shared" si="1"/>
        <v>0.20481927710843373</v>
      </c>
      <c r="L11" s="525">
        <f t="shared" si="2"/>
        <v>0.26573426573426573</v>
      </c>
      <c r="M11" s="526">
        <f t="shared" si="3"/>
        <v>1.2849584278155708E-2</v>
      </c>
    </row>
    <row r="12" spans="1:13" x14ac:dyDescent="0.25">
      <c r="A12">
        <v>40</v>
      </c>
      <c r="B12" s="128">
        <v>1203</v>
      </c>
      <c r="C12" s="73">
        <v>124</v>
      </c>
      <c r="D12" s="73">
        <v>71</v>
      </c>
      <c r="E12" s="130">
        <v>661</v>
      </c>
      <c r="F12" s="73">
        <v>45</v>
      </c>
      <c r="G12" s="73">
        <v>13</v>
      </c>
      <c r="H12" s="73">
        <v>19</v>
      </c>
      <c r="I12" s="73">
        <v>22</v>
      </c>
      <c r="J12" s="524">
        <f t="shared" si="0"/>
        <v>3.7406483790523692E-2</v>
      </c>
      <c r="K12" s="525">
        <f t="shared" si="1"/>
        <v>0.10483870967741936</v>
      </c>
      <c r="L12" s="525">
        <f t="shared" si="2"/>
        <v>0.26760563380281688</v>
      </c>
      <c r="M12" s="526">
        <f t="shared" si="3"/>
        <v>3.3282904689863842E-2</v>
      </c>
    </row>
    <row r="13" spans="1:13" x14ac:dyDescent="0.25">
      <c r="A13">
        <v>41</v>
      </c>
      <c r="B13" s="128">
        <v>7</v>
      </c>
      <c r="C13" s="73">
        <v>33</v>
      </c>
      <c r="D13" s="73">
        <v>49</v>
      </c>
      <c r="E13" s="130">
        <v>171</v>
      </c>
      <c r="F13" s="73">
        <v>0</v>
      </c>
      <c r="G13" s="73">
        <v>1</v>
      </c>
      <c r="H13" s="73">
        <v>16</v>
      </c>
      <c r="I13" s="73">
        <v>4</v>
      </c>
      <c r="J13" s="524">
        <f t="shared" si="0"/>
        <v>0</v>
      </c>
      <c r="K13" s="525">
        <f t="shared" si="1"/>
        <v>3.0303030303030304E-2</v>
      </c>
      <c r="L13" s="525">
        <f t="shared" si="2"/>
        <v>0.32653061224489793</v>
      </c>
      <c r="M13" s="526">
        <f t="shared" si="3"/>
        <v>2.3391812865497075E-2</v>
      </c>
    </row>
    <row r="14" spans="1:13" x14ac:dyDescent="0.25">
      <c r="A14">
        <v>42</v>
      </c>
      <c r="B14" s="128">
        <v>0</v>
      </c>
      <c r="C14" s="73">
        <v>230</v>
      </c>
      <c r="D14" s="73">
        <v>57</v>
      </c>
      <c r="E14" s="130">
        <v>153</v>
      </c>
      <c r="F14" s="73">
        <v>0</v>
      </c>
      <c r="G14" s="73">
        <v>12</v>
      </c>
      <c r="H14" s="73">
        <v>21</v>
      </c>
      <c r="I14" s="73">
        <v>3</v>
      </c>
      <c r="J14" s="660">
        <f>J15</f>
        <v>3.9473684210526314E-2</v>
      </c>
      <c r="K14" s="402">
        <f t="shared" si="1"/>
        <v>5.2173913043478258E-2</v>
      </c>
      <c r="L14" s="402">
        <f t="shared" si="2"/>
        <v>0.36842105263157893</v>
      </c>
      <c r="M14" s="411">
        <f t="shared" si="3"/>
        <v>1.9607843137254902E-2</v>
      </c>
    </row>
    <row r="15" spans="1:13" x14ac:dyDescent="0.25">
      <c r="A15">
        <v>43</v>
      </c>
      <c r="B15" s="128">
        <v>76</v>
      </c>
      <c r="C15" s="73"/>
      <c r="D15" s="73"/>
      <c r="E15" s="130">
        <v>0</v>
      </c>
      <c r="F15" s="73">
        <v>3</v>
      </c>
      <c r="G15" s="73"/>
      <c r="H15" s="73"/>
      <c r="I15" s="73">
        <v>0</v>
      </c>
      <c r="J15" s="410">
        <f t="shared" si="0"/>
        <v>3.9473684210526314E-2</v>
      </c>
      <c r="K15" s="402" t="str">
        <f t="shared" si="1"/>
        <v>na</v>
      </c>
      <c r="L15" s="402" t="str">
        <f t="shared" si="2"/>
        <v>na</v>
      </c>
      <c r="M15" s="659">
        <f>M14</f>
        <v>1.9607843137254902E-2</v>
      </c>
    </row>
    <row r="16" spans="1:13" x14ac:dyDescent="0.25">
      <c r="A16">
        <v>44</v>
      </c>
      <c r="B16" s="128">
        <v>0</v>
      </c>
      <c r="C16" s="44"/>
      <c r="D16" s="73"/>
      <c r="E16" s="130">
        <v>0</v>
      </c>
      <c r="F16" s="73">
        <v>0</v>
      </c>
      <c r="G16" s="73"/>
      <c r="H16" s="73"/>
      <c r="I16" s="73">
        <v>0</v>
      </c>
      <c r="J16" s="660">
        <f>J15</f>
        <v>3.9473684210526314E-2</v>
      </c>
      <c r="K16" s="402" t="str">
        <f t="shared" si="1"/>
        <v>na</v>
      </c>
      <c r="L16" s="402" t="str">
        <f t="shared" si="2"/>
        <v>na</v>
      </c>
      <c r="M16" s="659">
        <f>M15</f>
        <v>1.9607843137254902E-2</v>
      </c>
    </row>
    <row r="17" spans="1:18" x14ac:dyDescent="0.25">
      <c r="A17">
        <v>45</v>
      </c>
      <c r="B17" s="274"/>
      <c r="C17" s="42"/>
      <c r="D17" s="42"/>
      <c r="E17" s="134"/>
      <c r="F17" s="73"/>
      <c r="G17" s="73"/>
      <c r="H17" s="73"/>
      <c r="I17" s="73"/>
      <c r="J17" s="412" t="str">
        <f t="shared" si="0"/>
        <v>na</v>
      </c>
      <c r="K17" s="229" t="str">
        <f t="shared" si="1"/>
        <v>na</v>
      </c>
      <c r="L17" s="229" t="str">
        <f t="shared" si="2"/>
        <v>na</v>
      </c>
      <c r="M17" s="413" t="str">
        <f t="shared" si="3"/>
        <v>na</v>
      </c>
    </row>
    <row r="18" spans="1:18" x14ac:dyDescent="0.25">
      <c r="A18" t="s">
        <v>184</v>
      </c>
      <c r="B18" s="274">
        <f t="shared" ref="B18:I18" si="4">SUM(B4:B17)</f>
        <v>5862</v>
      </c>
      <c r="C18" s="42">
        <f t="shared" si="4"/>
        <v>1396</v>
      </c>
      <c r="D18" s="42">
        <f t="shared" si="4"/>
        <v>488</v>
      </c>
      <c r="E18" s="42">
        <f t="shared" si="4"/>
        <v>3884</v>
      </c>
      <c r="F18" s="329">
        <f t="shared" si="4"/>
        <v>299</v>
      </c>
      <c r="G18" s="195">
        <f t="shared" si="4"/>
        <v>182</v>
      </c>
      <c r="H18" s="195">
        <f t="shared" si="4"/>
        <v>119</v>
      </c>
      <c r="I18" s="403">
        <f t="shared" si="4"/>
        <v>93</v>
      </c>
      <c r="J18" s="527">
        <f>IF(B18&gt;0,F18/B18,"na")</f>
        <v>5.1006482429205052E-2</v>
      </c>
      <c r="K18" s="528">
        <f>IF(C18&gt;0,G18/C18,"na")</f>
        <v>0.13037249283667621</v>
      </c>
      <c r="L18" s="528">
        <f>IF(D18&gt;0,H18/D18,"na")</f>
        <v>0.24385245901639344</v>
      </c>
      <c r="M18" s="529">
        <f>IF(E18&gt;0,I18/E18,"na")</f>
        <v>2.3944387229660143E-2</v>
      </c>
    </row>
    <row r="19" spans="1:18" x14ac:dyDescent="0.25">
      <c r="E19">
        <f>SUM(B18:E18)</f>
        <v>11630</v>
      </c>
      <c r="I19">
        <f>SUM(F18:I18)</f>
        <v>693</v>
      </c>
      <c r="M19" s="530">
        <f>I19/E19</f>
        <v>5.9587274290627684E-2</v>
      </c>
    </row>
    <row r="21" spans="1:18" ht="13" x14ac:dyDescent="0.3">
      <c r="B21" s="2" t="s">
        <v>123</v>
      </c>
    </row>
    <row r="22" spans="1:18" x14ac:dyDescent="0.25">
      <c r="B22" s="900" t="s">
        <v>268</v>
      </c>
      <c r="C22" s="901"/>
      <c r="D22" s="901"/>
      <c r="E22" s="901"/>
      <c r="F22" s="902"/>
      <c r="G22" s="900" t="s">
        <v>269</v>
      </c>
      <c r="H22" s="901"/>
      <c r="I22" s="901"/>
      <c r="J22" s="901"/>
      <c r="K22" s="902"/>
      <c r="L22" s="900" t="s">
        <v>56</v>
      </c>
      <c r="M22" s="901"/>
      <c r="N22" s="901"/>
      <c r="O22" s="901"/>
      <c r="P22" s="902"/>
      <c r="Q22" s="417"/>
    </row>
    <row r="23" spans="1:18" x14ac:dyDescent="0.25">
      <c r="A23" t="s">
        <v>134</v>
      </c>
      <c r="B23" s="274">
        <v>1</v>
      </c>
      <c r="C23" s="42">
        <v>2</v>
      </c>
      <c r="D23" s="42">
        <v>3</v>
      </c>
      <c r="E23" s="42">
        <v>4</v>
      </c>
      <c r="F23" s="134">
        <v>5</v>
      </c>
      <c r="G23" s="274">
        <v>1</v>
      </c>
      <c r="H23" s="42">
        <v>2</v>
      </c>
      <c r="I23" s="42">
        <v>3</v>
      </c>
      <c r="J23" s="42">
        <v>4</v>
      </c>
      <c r="K23" s="134">
        <v>5</v>
      </c>
      <c r="L23" s="274">
        <v>1</v>
      </c>
      <c r="M23" s="42">
        <v>2</v>
      </c>
      <c r="N23" s="42">
        <v>3</v>
      </c>
      <c r="O23" s="42">
        <v>4</v>
      </c>
      <c r="P23" s="134">
        <v>5</v>
      </c>
      <c r="Q23" s="44" t="s">
        <v>282</v>
      </c>
      <c r="R23" t="s">
        <v>283</v>
      </c>
    </row>
    <row r="24" spans="1:18" x14ac:dyDescent="0.25">
      <c r="A24">
        <v>32</v>
      </c>
      <c r="B24" s="128"/>
      <c r="C24" s="44"/>
      <c r="D24" s="73"/>
      <c r="E24" s="73"/>
      <c r="F24" s="130"/>
      <c r="G24" s="276"/>
      <c r="H24" s="401"/>
      <c r="I24" s="401"/>
      <c r="J24" s="401"/>
      <c r="K24" s="277"/>
      <c r="L24" s="521" t="str">
        <f t="shared" ref="L24:L37" si="5">IF(B24&gt;0,G24/B24,"na")</f>
        <v>na</v>
      </c>
      <c r="M24" s="522" t="str">
        <f t="shared" ref="M24:M37" si="6">IF(C24&gt;0,H24/C24,"na")</f>
        <v>na</v>
      </c>
      <c r="N24" s="522" t="str">
        <f t="shared" ref="N24:N37" si="7">IF(D24&gt;0,I24/D24,"na")</f>
        <v>na</v>
      </c>
      <c r="O24" s="522" t="str">
        <f t="shared" ref="O24:O37" si="8">IF(E24&gt;0,J24/E24,"na")</f>
        <v>na</v>
      </c>
      <c r="P24" s="523" t="str">
        <f t="shared" ref="P24:P37" si="9">IF(F24&gt;0,K24/F24,"na")</f>
        <v>na</v>
      </c>
      <c r="Q24" s="525"/>
    </row>
    <row r="25" spans="1:18" x14ac:dyDescent="0.25">
      <c r="A25">
        <v>33</v>
      </c>
      <c r="B25" s="128"/>
      <c r="C25" s="44"/>
      <c r="D25" s="73"/>
      <c r="E25" s="73"/>
      <c r="F25" s="130"/>
      <c r="G25" s="128"/>
      <c r="H25" s="73"/>
      <c r="I25" s="73"/>
      <c r="J25" s="73"/>
      <c r="K25" s="130"/>
      <c r="L25" s="524" t="str">
        <f t="shared" si="5"/>
        <v>na</v>
      </c>
      <c r="M25" s="525" t="str">
        <f t="shared" si="6"/>
        <v>na</v>
      </c>
      <c r="N25" s="525" t="str">
        <f t="shared" si="7"/>
        <v>na</v>
      </c>
      <c r="O25" s="525" t="str">
        <f t="shared" si="8"/>
        <v>na</v>
      </c>
      <c r="P25" s="526" t="str">
        <f t="shared" si="9"/>
        <v>na</v>
      </c>
      <c r="Q25" s="525"/>
    </row>
    <row r="26" spans="1:18" x14ac:dyDescent="0.25">
      <c r="A26">
        <v>34</v>
      </c>
      <c r="B26" s="128"/>
      <c r="C26" s="73"/>
      <c r="D26" s="73"/>
      <c r="E26" s="73">
        <v>25</v>
      </c>
      <c r="F26" s="73">
        <v>17</v>
      </c>
      <c r="G26" s="128"/>
      <c r="H26" s="73"/>
      <c r="I26" s="73"/>
      <c r="J26" s="73">
        <v>16</v>
      </c>
      <c r="K26" s="130">
        <v>12</v>
      </c>
      <c r="L26" s="524" t="str">
        <f t="shared" si="5"/>
        <v>na</v>
      </c>
      <c r="M26" s="525" t="str">
        <f t="shared" si="6"/>
        <v>na</v>
      </c>
      <c r="N26" s="525" t="str">
        <f t="shared" si="7"/>
        <v>na</v>
      </c>
      <c r="O26" s="525">
        <f t="shared" si="8"/>
        <v>0.64</v>
      </c>
      <c r="P26" s="526">
        <f t="shared" si="9"/>
        <v>0.70588235294117652</v>
      </c>
      <c r="Q26" s="525"/>
    </row>
    <row r="27" spans="1:18" x14ac:dyDescent="0.25">
      <c r="A27">
        <v>35</v>
      </c>
      <c r="B27" s="128"/>
      <c r="C27" s="73"/>
      <c r="D27" s="73"/>
      <c r="E27" s="73">
        <v>100</v>
      </c>
      <c r="F27" s="73">
        <v>26</v>
      </c>
      <c r="G27" s="128"/>
      <c r="H27" s="73"/>
      <c r="I27" s="73"/>
      <c r="J27" s="73">
        <v>84</v>
      </c>
      <c r="K27" s="73">
        <v>20</v>
      </c>
      <c r="L27" s="524" t="str">
        <f t="shared" si="5"/>
        <v>na</v>
      </c>
      <c r="M27" s="525" t="str">
        <f t="shared" si="6"/>
        <v>na</v>
      </c>
      <c r="N27" s="525" t="str">
        <f t="shared" si="7"/>
        <v>na</v>
      </c>
      <c r="O27" s="525">
        <f t="shared" si="8"/>
        <v>0.84</v>
      </c>
      <c r="P27" s="526">
        <f t="shared" si="9"/>
        <v>0.76923076923076927</v>
      </c>
      <c r="Q27" s="525"/>
    </row>
    <row r="28" spans="1:18" x14ac:dyDescent="0.25">
      <c r="A28">
        <v>36</v>
      </c>
      <c r="B28" s="128"/>
      <c r="C28" s="44"/>
      <c r="D28" s="73"/>
      <c r="E28" s="73">
        <v>249</v>
      </c>
      <c r="F28" s="73">
        <v>62</v>
      </c>
      <c r="G28" s="128"/>
      <c r="H28" s="44"/>
      <c r="I28" s="44"/>
      <c r="J28" s="44">
        <v>193</v>
      </c>
      <c r="K28" s="130">
        <v>52</v>
      </c>
      <c r="L28" s="524" t="str">
        <f t="shared" si="5"/>
        <v>na</v>
      </c>
      <c r="M28" s="525" t="str">
        <f t="shared" si="6"/>
        <v>na</v>
      </c>
      <c r="N28" s="525" t="str">
        <f t="shared" si="7"/>
        <v>na</v>
      </c>
      <c r="O28" s="525">
        <f t="shared" si="8"/>
        <v>0.77510040160642568</v>
      </c>
      <c r="P28" s="526">
        <f t="shared" si="9"/>
        <v>0.83870967741935487</v>
      </c>
      <c r="Q28" s="525"/>
    </row>
    <row r="29" spans="1:18" x14ac:dyDescent="0.25">
      <c r="A29">
        <v>37</v>
      </c>
      <c r="B29" s="128"/>
      <c r="C29" s="44"/>
      <c r="D29" s="73"/>
      <c r="E29" s="73"/>
      <c r="F29" s="130"/>
      <c r="G29" s="128"/>
      <c r="H29" s="44"/>
      <c r="I29" s="44"/>
      <c r="J29" s="44"/>
      <c r="K29" s="130"/>
      <c r="L29" s="524" t="str">
        <f t="shared" si="5"/>
        <v>na</v>
      </c>
      <c r="M29" s="525" t="str">
        <f t="shared" si="6"/>
        <v>na</v>
      </c>
      <c r="N29" s="525" t="str">
        <f t="shared" si="7"/>
        <v>na</v>
      </c>
      <c r="O29" s="525" t="str">
        <f t="shared" si="8"/>
        <v>na</v>
      </c>
      <c r="P29" s="526" t="str">
        <f t="shared" si="9"/>
        <v>na</v>
      </c>
      <c r="Q29" s="525"/>
    </row>
    <row r="30" spans="1:18" x14ac:dyDescent="0.25">
      <c r="A30">
        <v>38</v>
      </c>
      <c r="B30" s="128"/>
      <c r="C30" s="44"/>
      <c r="D30" s="73"/>
      <c r="E30" s="73"/>
      <c r="F30" s="130"/>
      <c r="G30" s="128"/>
      <c r="H30" s="44"/>
      <c r="I30" s="44"/>
      <c r="J30" s="44"/>
      <c r="K30" s="130"/>
      <c r="L30" s="524" t="str">
        <f t="shared" si="5"/>
        <v>na</v>
      </c>
      <c r="M30" s="525" t="str">
        <f t="shared" si="6"/>
        <v>na</v>
      </c>
      <c r="N30" s="525" t="str">
        <f t="shared" si="7"/>
        <v>na</v>
      </c>
      <c r="O30" s="525" t="str">
        <f t="shared" si="8"/>
        <v>na</v>
      </c>
      <c r="P30" s="526" t="str">
        <f t="shared" si="9"/>
        <v>na</v>
      </c>
      <c r="Q30" s="525"/>
    </row>
    <row r="31" spans="1:18" x14ac:dyDescent="0.25">
      <c r="A31">
        <v>39</v>
      </c>
      <c r="B31" s="128">
        <v>33</v>
      </c>
      <c r="C31" s="44">
        <v>394</v>
      </c>
      <c r="D31" s="73">
        <v>342</v>
      </c>
      <c r="E31" s="73">
        <v>289</v>
      </c>
      <c r="F31" s="73">
        <v>379</v>
      </c>
      <c r="G31" s="128">
        <v>8</v>
      </c>
      <c r="H31" s="73">
        <v>147</v>
      </c>
      <c r="I31" s="73">
        <v>146</v>
      </c>
      <c r="J31" s="73">
        <v>137</v>
      </c>
      <c r="K31" s="130">
        <v>168</v>
      </c>
      <c r="L31" s="524">
        <f t="shared" si="5"/>
        <v>0.24242424242424243</v>
      </c>
      <c r="M31" s="525">
        <f t="shared" si="6"/>
        <v>0.37309644670050762</v>
      </c>
      <c r="N31" s="525">
        <f t="shared" si="7"/>
        <v>0.42690058479532161</v>
      </c>
      <c r="O31" s="525">
        <f t="shared" si="8"/>
        <v>0.47404844290657439</v>
      </c>
      <c r="P31" s="526">
        <f t="shared" si="9"/>
        <v>0.44327176781002636</v>
      </c>
      <c r="Q31" s="525">
        <f>SUM(G31:I31)/SUM(B31:D31)</f>
        <v>0.39141742522756828</v>
      </c>
      <c r="R31" s="656">
        <f>SUM(J31:K31)/SUM(E31:F31)</f>
        <v>0.45658682634730541</v>
      </c>
    </row>
    <row r="32" spans="1:18" x14ac:dyDescent="0.25">
      <c r="A32">
        <v>40</v>
      </c>
      <c r="B32" s="128">
        <v>77</v>
      </c>
      <c r="C32" s="44">
        <v>102</v>
      </c>
      <c r="D32" s="73">
        <v>53</v>
      </c>
      <c r="E32" s="73">
        <v>121</v>
      </c>
      <c r="F32" s="130">
        <v>31</v>
      </c>
      <c r="G32" s="44">
        <v>13</v>
      </c>
      <c r="H32" s="44">
        <v>20</v>
      </c>
      <c r="I32" s="44">
        <v>15</v>
      </c>
      <c r="J32" s="44">
        <v>33</v>
      </c>
      <c r="K32" s="44">
        <v>16</v>
      </c>
      <c r="L32" s="524">
        <f t="shared" si="5"/>
        <v>0.16883116883116883</v>
      </c>
      <c r="M32" s="525">
        <f t="shared" si="6"/>
        <v>0.19607843137254902</v>
      </c>
      <c r="N32" s="525">
        <f t="shared" si="7"/>
        <v>0.28301886792452829</v>
      </c>
      <c r="O32" s="525">
        <f t="shared" si="8"/>
        <v>0.27272727272727271</v>
      </c>
      <c r="P32" s="526">
        <f t="shared" si="9"/>
        <v>0.5161290322580645</v>
      </c>
      <c r="Q32" s="525">
        <f>SUM(G32:I32)/SUM(B32:D32)</f>
        <v>0.20689655172413793</v>
      </c>
      <c r="R32" s="656">
        <f>SUM(J32:K32)/SUM(E32:F32)</f>
        <v>0.32236842105263158</v>
      </c>
    </row>
    <row r="33" spans="1:17" x14ac:dyDescent="0.25">
      <c r="A33">
        <v>41</v>
      </c>
      <c r="B33" s="128">
        <v>3</v>
      </c>
      <c r="C33" s="44">
        <v>145</v>
      </c>
      <c r="D33" s="73">
        <v>152</v>
      </c>
      <c r="E33" s="73">
        <v>191</v>
      </c>
      <c r="F33" s="130">
        <v>0</v>
      </c>
      <c r="G33" s="73">
        <v>0</v>
      </c>
      <c r="H33" s="73">
        <v>35</v>
      </c>
      <c r="I33" s="73">
        <v>36</v>
      </c>
      <c r="J33" s="73">
        <v>32</v>
      </c>
      <c r="K33" s="44">
        <v>0</v>
      </c>
      <c r="L33" s="524">
        <f t="shared" si="5"/>
        <v>0</v>
      </c>
      <c r="M33" s="525">
        <f t="shared" si="6"/>
        <v>0.2413793103448276</v>
      </c>
      <c r="N33" s="525">
        <f t="shared" si="7"/>
        <v>0.23684210526315788</v>
      </c>
      <c r="O33" s="525">
        <f t="shared" si="8"/>
        <v>0.16753926701570682</v>
      </c>
      <c r="P33" s="658">
        <f>P32</f>
        <v>0.5161290322580645</v>
      </c>
      <c r="Q33" s="525"/>
    </row>
    <row r="34" spans="1:17" x14ac:dyDescent="0.25">
      <c r="A34">
        <v>42</v>
      </c>
      <c r="B34" s="128">
        <v>89</v>
      </c>
      <c r="C34" s="44">
        <v>251</v>
      </c>
      <c r="D34" s="73">
        <v>559</v>
      </c>
      <c r="E34" s="73">
        <v>23</v>
      </c>
      <c r="F34" s="130">
        <v>21</v>
      </c>
      <c r="G34" s="44">
        <v>27</v>
      </c>
      <c r="H34" s="44">
        <v>65</v>
      </c>
      <c r="I34" s="44">
        <v>171</v>
      </c>
      <c r="J34" s="44">
        <v>8</v>
      </c>
      <c r="K34" s="73">
        <v>4</v>
      </c>
      <c r="L34" s="410">
        <f t="shared" si="5"/>
        <v>0.30337078651685395</v>
      </c>
      <c r="M34" s="402">
        <f t="shared" si="6"/>
        <v>0.25896414342629481</v>
      </c>
      <c r="N34" s="402">
        <f t="shared" si="7"/>
        <v>0.30590339892665475</v>
      </c>
      <c r="O34" s="402">
        <f t="shared" si="8"/>
        <v>0.34782608695652173</v>
      </c>
      <c r="P34" s="411">
        <f t="shared" si="9"/>
        <v>0.19047619047619047</v>
      </c>
      <c r="Q34" s="525"/>
    </row>
    <row r="35" spans="1:17" x14ac:dyDescent="0.25">
      <c r="A35">
        <v>43</v>
      </c>
      <c r="B35" s="128">
        <v>1</v>
      </c>
      <c r="C35" s="44">
        <v>56</v>
      </c>
      <c r="D35" s="73">
        <v>151</v>
      </c>
      <c r="E35" s="73">
        <v>8</v>
      </c>
      <c r="F35" s="130">
        <v>13</v>
      </c>
      <c r="G35" s="44">
        <v>0</v>
      </c>
      <c r="H35" s="73">
        <v>19</v>
      </c>
      <c r="I35" s="73">
        <v>62</v>
      </c>
      <c r="J35" s="73">
        <v>3</v>
      </c>
      <c r="K35" s="73">
        <v>3</v>
      </c>
      <c r="L35" s="410">
        <f t="shared" si="5"/>
        <v>0</v>
      </c>
      <c r="M35" s="402">
        <f t="shared" si="6"/>
        <v>0.3392857142857143</v>
      </c>
      <c r="N35" s="402">
        <f t="shared" si="7"/>
        <v>0.41059602649006621</v>
      </c>
      <c r="O35" s="402">
        <f t="shared" si="8"/>
        <v>0.375</v>
      </c>
      <c r="P35" s="411">
        <f t="shared" si="9"/>
        <v>0.23076923076923078</v>
      </c>
      <c r="Q35" s="402"/>
    </row>
    <row r="36" spans="1:17" x14ac:dyDescent="0.25">
      <c r="A36">
        <v>44</v>
      </c>
      <c r="B36" s="128"/>
      <c r="C36" s="73"/>
      <c r="D36" s="44"/>
      <c r="E36" s="44"/>
      <c r="F36" s="130"/>
      <c r="G36" s="44"/>
      <c r="H36" s="73"/>
      <c r="I36" s="44"/>
      <c r="J36" s="44"/>
      <c r="K36" s="44"/>
      <c r="L36" s="410" t="str">
        <f t="shared" si="5"/>
        <v>na</v>
      </c>
      <c r="M36" s="402" t="str">
        <f t="shared" si="6"/>
        <v>na</v>
      </c>
      <c r="N36" s="402" t="str">
        <f t="shared" si="7"/>
        <v>na</v>
      </c>
      <c r="O36" s="402" t="str">
        <f t="shared" si="8"/>
        <v>na</v>
      </c>
      <c r="P36" s="411" t="str">
        <f t="shared" si="9"/>
        <v>na</v>
      </c>
      <c r="Q36" s="402"/>
    </row>
    <row r="37" spans="1:17" x14ac:dyDescent="0.25">
      <c r="A37">
        <v>45</v>
      </c>
      <c r="B37" s="128"/>
      <c r="C37" s="44"/>
      <c r="D37" s="44"/>
      <c r="E37" s="44"/>
      <c r="F37" s="130"/>
      <c r="G37" s="44"/>
      <c r="H37" s="44"/>
      <c r="I37" s="44"/>
      <c r="J37" s="44"/>
      <c r="K37" s="44"/>
      <c r="L37" s="410" t="str">
        <f t="shared" si="5"/>
        <v>na</v>
      </c>
      <c r="M37" s="402" t="str">
        <f t="shared" si="6"/>
        <v>na</v>
      </c>
      <c r="N37" s="402" t="str">
        <f t="shared" si="7"/>
        <v>na</v>
      </c>
      <c r="O37" s="402" t="str">
        <f t="shared" si="8"/>
        <v>na</v>
      </c>
      <c r="P37" s="411" t="str">
        <f t="shared" si="9"/>
        <v>na</v>
      </c>
      <c r="Q37" s="402"/>
    </row>
    <row r="38" spans="1:17" x14ac:dyDescent="0.25">
      <c r="A38" t="s">
        <v>184</v>
      </c>
      <c r="B38" s="329">
        <f t="shared" ref="B38:K38" si="10">SUM(B24:B37)</f>
        <v>203</v>
      </c>
      <c r="C38" s="195">
        <f t="shared" si="10"/>
        <v>948</v>
      </c>
      <c r="D38" s="195">
        <f t="shared" si="10"/>
        <v>1257</v>
      </c>
      <c r="E38" s="195">
        <f t="shared" si="10"/>
        <v>1006</v>
      </c>
      <c r="F38" s="330">
        <f t="shared" si="10"/>
        <v>549</v>
      </c>
      <c r="G38" s="329">
        <f t="shared" si="10"/>
        <v>48</v>
      </c>
      <c r="H38" s="195">
        <f t="shared" si="10"/>
        <v>286</v>
      </c>
      <c r="I38" s="195">
        <f t="shared" si="10"/>
        <v>430</v>
      </c>
      <c r="J38" s="195">
        <f t="shared" si="10"/>
        <v>506</v>
      </c>
      <c r="K38" s="404">
        <f t="shared" si="10"/>
        <v>275</v>
      </c>
      <c r="L38" s="446">
        <f>IF(B38&gt;0,G38/B38,"na")</f>
        <v>0.23645320197044334</v>
      </c>
      <c r="M38" s="528">
        <f>IF(C38&gt;0,H38/C38,"na")</f>
        <v>0.30168776371308015</v>
      </c>
      <c r="N38" s="528">
        <f>IF(D38&gt;0,I38/D38,"na")</f>
        <v>0.34208432776451869</v>
      </c>
      <c r="O38" s="528">
        <f>IF(E38&gt;0,J38/E38,"na")</f>
        <v>0.50298210735586479</v>
      </c>
      <c r="P38" s="529">
        <f>IF(F38&gt;0,K38/F38,"na")</f>
        <v>0.50091074681238612</v>
      </c>
      <c r="Q38" s="525"/>
    </row>
    <row r="39" spans="1:17" x14ac:dyDescent="0.25">
      <c r="B39" s="44"/>
      <c r="C39" s="44"/>
      <c r="D39" s="44"/>
      <c r="E39" s="44"/>
      <c r="F39" s="44">
        <f>SUM(B38:F38)</f>
        <v>3963</v>
      </c>
      <c r="G39" s="44"/>
      <c r="H39" s="44"/>
      <c r="I39" s="44"/>
      <c r="J39" s="44"/>
      <c r="K39" s="44">
        <f>SUM(G38:K38)</f>
        <v>1545</v>
      </c>
      <c r="L39" s="44"/>
      <c r="M39" s="44"/>
      <c r="N39" s="44"/>
      <c r="O39" s="44"/>
      <c r="P39" s="531">
        <f>K39/F39</f>
        <v>0.38985616956850871</v>
      </c>
      <c r="Q39" s="531"/>
    </row>
  </sheetData>
  <mergeCells count="6">
    <mergeCell ref="B2:E2"/>
    <mergeCell ref="F2:I2"/>
    <mergeCell ref="J2:M2"/>
    <mergeCell ref="B22:F22"/>
    <mergeCell ref="G22:K22"/>
    <mergeCell ref="L22:P22"/>
  </mergeCells>
  <phoneticPr fontId="4" type="noConversion"/>
  <pageMargins left="0.75" right="0.75" top="1" bottom="1" header="0.5" footer="0.5"/>
  <pageSetup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30"/>
  <sheetViews>
    <sheetView zoomScale="75" workbookViewId="0">
      <selection activeCell="I30" sqref="I30"/>
    </sheetView>
  </sheetViews>
  <sheetFormatPr defaultRowHeight="12.5" x14ac:dyDescent="0.25"/>
  <cols>
    <col min="1" max="1" width="3" style="44" customWidth="1"/>
    <col min="2" max="2" width="14.26953125" customWidth="1"/>
    <col min="3" max="3" width="17.7265625" style="31" bestFit="1" customWidth="1"/>
    <col min="4" max="4" width="13" customWidth="1"/>
    <col min="5" max="5" width="14.54296875" customWidth="1"/>
    <col min="6" max="6" width="10.453125" customWidth="1"/>
    <col min="7" max="7" width="14.81640625" bestFit="1" customWidth="1"/>
    <col min="8" max="8" width="14.453125" bestFit="1" customWidth="1"/>
    <col min="9" max="9" width="11.54296875" customWidth="1"/>
    <col min="10" max="10" width="10" customWidth="1"/>
  </cols>
  <sheetData>
    <row r="1" spans="1:11" ht="13.5" thickBot="1" x14ac:dyDescent="0.35">
      <c r="D1" s="151"/>
      <c r="E1" s="151"/>
      <c r="F1" s="151"/>
      <c r="G1" s="151"/>
      <c r="H1" s="151"/>
      <c r="I1" s="151"/>
      <c r="J1" s="151"/>
    </row>
    <row r="2" spans="1:11" ht="13.5" thickBot="1" x14ac:dyDescent="0.35">
      <c r="B2" s="921" t="s">
        <v>279</v>
      </c>
      <c r="C2" s="922"/>
      <c r="D2" s="922"/>
      <c r="E2" s="923"/>
      <c r="J2" s="2"/>
    </row>
    <row r="3" spans="1:11" ht="13" x14ac:dyDescent="0.3">
      <c r="A3" s="516"/>
      <c r="B3" s="248" t="s">
        <v>200</v>
      </c>
      <c r="C3" s="249" t="s">
        <v>177</v>
      </c>
      <c r="D3" s="249" t="s">
        <v>94</v>
      </c>
      <c r="E3" s="250" t="s">
        <v>184</v>
      </c>
      <c r="J3" s="517"/>
    </row>
    <row r="4" spans="1:11" ht="13" x14ac:dyDescent="0.3">
      <c r="A4" s="516"/>
      <c r="B4" s="251" t="s">
        <v>160</v>
      </c>
      <c r="C4" s="249"/>
      <c r="D4" s="249"/>
      <c r="E4" s="252">
        <f>D4+C4</f>
        <v>0</v>
      </c>
      <c r="J4" s="517"/>
    </row>
    <row r="5" spans="1:11" ht="13" x14ac:dyDescent="0.3">
      <c r="A5" s="516"/>
      <c r="B5" s="251" t="s">
        <v>161</v>
      </c>
      <c r="C5" s="249"/>
      <c r="D5" s="249"/>
      <c r="E5" s="252">
        <f>D5+C5</f>
        <v>0</v>
      </c>
      <c r="J5" s="517"/>
    </row>
    <row r="6" spans="1:11" ht="13.5" thickBot="1" x14ac:dyDescent="0.35">
      <c r="A6" s="516"/>
      <c r="B6" s="253" t="s">
        <v>44</v>
      </c>
      <c r="C6" s="254">
        <f>C5+C4</f>
        <v>0</v>
      </c>
      <c r="D6" s="254">
        <f>D5+D4</f>
        <v>0</v>
      </c>
      <c r="E6" s="255">
        <f>D6+C6</f>
        <v>0</v>
      </c>
      <c r="J6" s="224"/>
    </row>
    <row r="7" spans="1:11" ht="13" x14ac:dyDescent="0.3">
      <c r="A7" s="516"/>
      <c r="B7" s="251" t="s">
        <v>241</v>
      </c>
      <c r="C7" s="389" t="s">
        <v>252</v>
      </c>
      <c r="D7" s="249">
        <v>9993</v>
      </c>
      <c r="E7" s="252"/>
      <c r="J7" s="224"/>
    </row>
    <row r="8" spans="1:11" ht="13" x14ac:dyDescent="0.3">
      <c r="A8" s="516"/>
      <c r="B8" s="251" t="s">
        <v>242</v>
      </c>
      <c r="C8" s="249" t="s">
        <v>253</v>
      </c>
      <c r="D8" s="249">
        <v>5128</v>
      </c>
      <c r="E8" s="252"/>
      <c r="J8" s="224"/>
    </row>
    <row r="9" spans="1:11" ht="13.5" thickBot="1" x14ac:dyDescent="0.35">
      <c r="A9" s="516"/>
      <c r="B9" s="253" t="s">
        <v>44</v>
      </c>
      <c r="C9" s="254"/>
      <c r="D9" s="254">
        <f>D8+D7</f>
        <v>15121</v>
      </c>
      <c r="E9" s="255"/>
      <c r="J9" s="224"/>
    </row>
    <row r="10" spans="1:11" ht="13" x14ac:dyDescent="0.3">
      <c r="A10" s="516"/>
      <c r="B10" s="209"/>
      <c r="C10" s="210" t="s">
        <v>167</v>
      </c>
      <c r="D10" s="924" t="s">
        <v>250</v>
      </c>
      <c r="E10" s="925"/>
      <c r="F10" s="926"/>
      <c r="G10" s="924" t="s">
        <v>251</v>
      </c>
      <c r="H10" s="925"/>
      <c r="I10" s="926"/>
      <c r="J10" s="517"/>
    </row>
    <row r="11" spans="1:11" ht="13" x14ac:dyDescent="0.3">
      <c r="B11" s="211" t="s">
        <v>162</v>
      </c>
      <c r="C11" s="212" t="s">
        <v>163</v>
      </c>
      <c r="D11" s="211" t="s">
        <v>44</v>
      </c>
      <c r="E11" s="208" t="s">
        <v>165</v>
      </c>
      <c r="F11" s="263" t="s">
        <v>166</v>
      </c>
      <c r="G11" s="211" t="s">
        <v>213</v>
      </c>
      <c r="H11" s="208" t="s">
        <v>165</v>
      </c>
      <c r="I11" s="263" t="s">
        <v>166</v>
      </c>
    </row>
    <row r="12" spans="1:11" ht="15" x14ac:dyDescent="0.3">
      <c r="B12" s="211" t="s">
        <v>211</v>
      </c>
      <c r="C12" s="305"/>
      <c r="D12" s="390">
        <f>E12+F12</f>
        <v>0</v>
      </c>
      <c r="E12" s="70"/>
      <c r="F12" s="264"/>
      <c r="G12" s="310">
        <f>H12+I12</f>
        <v>0</v>
      </c>
      <c r="H12" s="311"/>
      <c r="I12" s="360"/>
      <c r="J12" s="518" t="e">
        <f>G12/$D$6</f>
        <v>#DIV/0!</v>
      </c>
      <c r="K12" s="519"/>
    </row>
    <row r="13" spans="1:11" ht="13" x14ac:dyDescent="0.3">
      <c r="A13" s="516"/>
      <c r="B13" s="211" t="s">
        <v>123</v>
      </c>
      <c r="C13" s="305"/>
      <c r="D13" s="390">
        <f>E13+F13</f>
        <v>0</v>
      </c>
      <c r="E13" s="70"/>
      <c r="F13" s="264"/>
      <c r="G13" s="310">
        <f>H13+I13</f>
        <v>0</v>
      </c>
      <c r="H13" s="311"/>
      <c r="I13" s="215"/>
      <c r="J13" s="518" t="e">
        <f>G13/$D$6</f>
        <v>#DIV/0!</v>
      </c>
      <c r="K13" s="18"/>
    </row>
    <row r="14" spans="1:11" ht="13" x14ac:dyDescent="0.3">
      <c r="A14" s="520"/>
      <c r="B14" s="394" t="s">
        <v>168</v>
      </c>
      <c r="C14" s="395"/>
      <c r="D14" s="391">
        <f>E14+F14</f>
        <v>0</v>
      </c>
      <c r="E14" s="392"/>
      <c r="F14" s="393"/>
      <c r="G14" s="396">
        <f>H14+I14</f>
        <v>0</v>
      </c>
      <c r="H14" s="397"/>
      <c r="I14" s="398"/>
      <c r="J14" s="518">
        <f>G14/$D$9</f>
        <v>0</v>
      </c>
      <c r="K14" s="519"/>
    </row>
    <row r="15" spans="1:11" ht="13" x14ac:dyDescent="0.3">
      <c r="A15" s="516"/>
      <c r="B15" s="211" t="s">
        <v>169</v>
      </c>
      <c r="C15" s="305"/>
      <c r="D15" s="390"/>
      <c r="E15" s="70"/>
      <c r="F15" s="264"/>
      <c r="G15" s="310"/>
      <c r="H15" s="311"/>
      <c r="I15" s="347"/>
      <c r="J15" s="518" t="e">
        <f>G15/$D$6</f>
        <v>#DIV/0!</v>
      </c>
      <c r="K15" s="519"/>
    </row>
    <row r="16" spans="1:11" ht="13" x14ac:dyDescent="0.3">
      <c r="A16" s="516"/>
      <c r="B16" s="211"/>
      <c r="C16" s="212"/>
      <c r="D16" s="390"/>
      <c r="E16" s="70"/>
      <c r="F16" s="264"/>
      <c r="G16" s="211"/>
      <c r="H16" s="46"/>
      <c r="I16" s="212"/>
      <c r="J16" s="46"/>
    </row>
    <row r="17" spans="1:15" ht="13" x14ac:dyDescent="0.3">
      <c r="A17" s="516"/>
      <c r="B17" s="266" t="s">
        <v>173</v>
      </c>
      <c r="C17" s="212" t="s">
        <v>131</v>
      </c>
      <c r="D17" s="390">
        <f>SUM(D12:D16)</f>
        <v>0</v>
      </c>
      <c r="E17" s="70">
        <f>SUM(E12:E16)</f>
        <v>0</v>
      </c>
      <c r="F17" s="264">
        <f>SUM(F12:F16)</f>
        <v>0</v>
      </c>
      <c r="G17" s="265"/>
      <c r="H17" s="213"/>
      <c r="I17" s="215"/>
      <c r="J17" s="46"/>
    </row>
    <row r="18" spans="1:15" ht="13.5" thickBot="1" x14ac:dyDescent="0.35">
      <c r="A18" s="516"/>
      <c r="B18" s="266"/>
      <c r="C18" s="212"/>
      <c r="D18" s="915" t="s">
        <v>276</v>
      </c>
      <c r="E18" s="916"/>
      <c r="F18" s="917"/>
      <c r="G18" s="265">
        <f>G12+G13+G15</f>
        <v>0</v>
      </c>
      <c r="H18" s="213">
        <f>H12+H13+H15</f>
        <v>0</v>
      </c>
      <c r="I18" s="215">
        <f>I12+I13+I15</f>
        <v>0</v>
      </c>
      <c r="J18" s="46"/>
    </row>
    <row r="19" spans="1:15" ht="13.5" thickBot="1" x14ac:dyDescent="0.35">
      <c r="A19" s="516"/>
      <c r="B19" s="266"/>
      <c r="C19" s="212"/>
      <c r="D19" s="927" t="s">
        <v>277</v>
      </c>
      <c r="E19" s="928"/>
      <c r="F19" s="929"/>
      <c r="G19" s="319" t="e">
        <f>G18/D6</f>
        <v>#DIV/0!</v>
      </c>
      <c r="H19" s="312" t="e">
        <f>H18/D4</f>
        <v>#DIV/0!</v>
      </c>
      <c r="I19" s="313" t="e">
        <f>I18/D5</f>
        <v>#DIV/0!</v>
      </c>
      <c r="J19" s="46"/>
    </row>
    <row r="20" spans="1:15" ht="13.5" thickBot="1" x14ac:dyDescent="0.35">
      <c r="A20" s="516"/>
      <c r="B20" s="266"/>
      <c r="C20" s="212"/>
      <c r="D20" s="915" t="s">
        <v>274</v>
      </c>
      <c r="E20" s="916"/>
      <c r="F20" s="917"/>
      <c r="G20" s="265">
        <f>G14</f>
        <v>0</v>
      </c>
      <c r="H20" s="213">
        <f>H14</f>
        <v>0</v>
      </c>
      <c r="I20" s="215">
        <f>I14</f>
        <v>0</v>
      </c>
      <c r="J20" s="46"/>
    </row>
    <row r="21" spans="1:15" ht="13.5" thickBot="1" x14ac:dyDescent="0.35">
      <c r="A21" s="516"/>
      <c r="B21" s="267" t="s">
        <v>173</v>
      </c>
      <c r="C21" s="322" t="s">
        <v>202</v>
      </c>
      <c r="D21" s="918" t="s">
        <v>275</v>
      </c>
      <c r="E21" s="919"/>
      <c r="F21" s="920"/>
      <c r="G21" s="319">
        <f>G20/D9</f>
        <v>0</v>
      </c>
      <c r="H21" s="312">
        <f>H20/D7</f>
        <v>0</v>
      </c>
      <c r="I21" s="313">
        <f>I20/D8</f>
        <v>0</v>
      </c>
      <c r="J21" s="178"/>
    </row>
    <row r="22" spans="1:15" ht="13" x14ac:dyDescent="0.3">
      <c r="A22" s="516"/>
      <c r="B22" s="268"/>
      <c r="C22" s="316"/>
      <c r="D22" s="211"/>
      <c r="E22" s="269"/>
      <c r="F22" s="212"/>
      <c r="G22" s="269"/>
      <c r="H22" s="269"/>
      <c r="I22" s="270"/>
      <c r="J22" s="46"/>
    </row>
    <row r="23" spans="1:15" ht="13.5" thickBot="1" x14ac:dyDescent="0.35">
      <c r="B23" s="266" t="s">
        <v>201</v>
      </c>
      <c r="C23" s="46" t="s">
        <v>131</v>
      </c>
      <c r="D23" s="915" t="s">
        <v>244</v>
      </c>
      <c r="E23" s="916"/>
      <c r="F23" s="917"/>
      <c r="G23" s="392">
        <f>H23+I23</f>
        <v>0</v>
      </c>
      <c r="H23" s="392"/>
      <c r="I23" s="393"/>
      <c r="J23" s="46"/>
    </row>
    <row r="24" spans="1:15" s="11" customFormat="1" ht="13.5" thickBot="1" x14ac:dyDescent="0.35">
      <c r="A24" s="44"/>
      <c r="B24" s="267" t="s">
        <v>243</v>
      </c>
      <c r="C24" s="323" t="s">
        <v>202</v>
      </c>
      <c r="D24" s="918" t="s">
        <v>245</v>
      </c>
      <c r="E24" s="919"/>
      <c r="F24" s="920"/>
      <c r="G24" s="319">
        <f>G23/D9</f>
        <v>0</v>
      </c>
      <c r="H24" s="320">
        <f>H23/D7</f>
        <v>0</v>
      </c>
      <c r="I24" s="321">
        <f>I23/D8</f>
        <v>0</v>
      </c>
      <c r="J24" s="213"/>
      <c r="K24"/>
      <c r="L24"/>
      <c r="M24"/>
      <c r="N24"/>
      <c r="O24"/>
    </row>
    <row r="25" spans="1:15" s="11" customFormat="1" ht="13" x14ac:dyDescent="0.3">
      <c r="A25" s="44"/>
      <c r="B25" s="268"/>
      <c r="C25" s="316"/>
      <c r="D25" s="211"/>
      <c r="E25" s="269"/>
      <c r="F25" s="212"/>
      <c r="G25" s="269"/>
      <c r="H25" s="269"/>
      <c r="I25" s="270"/>
      <c r="J25" s="46"/>
      <c r="K25"/>
      <c r="L25"/>
      <c r="M25"/>
      <c r="N25"/>
      <c r="O25"/>
    </row>
    <row r="26" spans="1:15" s="11" customFormat="1" ht="13.5" thickBot="1" x14ac:dyDescent="0.35">
      <c r="A26" s="44"/>
      <c r="B26" s="315" t="s">
        <v>164</v>
      </c>
      <c r="C26" s="316"/>
      <c r="D26" s="915" t="s">
        <v>244</v>
      </c>
      <c r="E26" s="916"/>
      <c r="F26" s="917"/>
      <c r="G26" s="70" t="e">
        <f>G23+G20+(G19*D9)</f>
        <v>#DIV/0!</v>
      </c>
      <c r="H26" s="70" t="e">
        <f>H23+H20+(H19*D7)</f>
        <v>#DIV/0!</v>
      </c>
      <c r="I26" s="264" t="e">
        <f>I23+I20+(I19*D8)</f>
        <v>#DIV/0!</v>
      </c>
      <c r="J26" s="46"/>
      <c r="K26"/>
      <c r="L26"/>
      <c r="M26"/>
      <c r="N26"/>
      <c r="O26"/>
    </row>
    <row r="27" spans="1:15" s="11" customFormat="1" ht="13.5" thickBot="1" x14ac:dyDescent="0.35">
      <c r="A27" s="44"/>
      <c r="B27" s="317" t="s">
        <v>164</v>
      </c>
      <c r="C27" s="323" t="s">
        <v>202</v>
      </c>
      <c r="D27" s="918" t="s">
        <v>245</v>
      </c>
      <c r="E27" s="919"/>
      <c r="F27" s="920"/>
      <c r="G27" s="319" t="e">
        <f>G24+G21+G19</f>
        <v>#DIV/0!</v>
      </c>
      <c r="H27" s="320" t="e">
        <f>H24+H21+H19</f>
        <v>#DIV/0!</v>
      </c>
      <c r="I27" s="321" t="e">
        <f>I24+I21+I19</f>
        <v>#DIV/0!</v>
      </c>
      <c r="J27" s="46"/>
      <c r="K27"/>
      <c r="L27"/>
      <c r="M27"/>
      <c r="N27"/>
      <c r="O27"/>
    </row>
    <row r="28" spans="1:15" s="11" customFormat="1" ht="13" x14ac:dyDescent="0.3">
      <c r="A28" s="44"/>
      <c r="B28" s="318" t="s">
        <v>212</v>
      </c>
      <c r="C28" s="31"/>
      <c r="D28"/>
      <c r="E28"/>
      <c r="F28"/>
      <c r="G28"/>
      <c r="H28"/>
      <c r="I28"/>
      <c r="J28" s="46"/>
      <c r="K28"/>
      <c r="L28"/>
      <c r="M28"/>
      <c r="N28"/>
      <c r="O28"/>
    </row>
    <row r="29" spans="1:15" s="11" customFormat="1" ht="13" x14ac:dyDescent="0.3">
      <c r="A29" s="44"/>
      <c r="B29"/>
      <c r="C29" s="31"/>
      <c r="D29"/>
      <c r="E29"/>
      <c r="F29" t="s">
        <v>225</v>
      </c>
      <c r="G29" s="26" t="e">
        <f>20%-G27</f>
        <v>#DIV/0!</v>
      </c>
      <c r="H29"/>
      <c r="I29"/>
      <c r="J29" s="46"/>
      <c r="K29"/>
      <c r="L29"/>
      <c r="M29"/>
      <c r="N29"/>
      <c r="O29"/>
    </row>
    <row r="30" spans="1:15" s="11" customFormat="1" x14ac:dyDescent="0.25">
      <c r="A30" s="44"/>
      <c r="B30"/>
      <c r="C30" s="31"/>
      <c r="D30"/>
      <c r="E30"/>
      <c r="F30"/>
      <c r="G30"/>
      <c r="H30"/>
      <c r="I30"/>
      <c r="J30" s="44"/>
      <c r="K30"/>
      <c r="L30"/>
      <c r="M30"/>
      <c r="N30"/>
      <c r="O30"/>
    </row>
  </sheetData>
  <mergeCells count="11">
    <mergeCell ref="B2:E2"/>
    <mergeCell ref="D10:F10"/>
    <mergeCell ref="G10:I10"/>
    <mergeCell ref="D19:F19"/>
    <mergeCell ref="D18:F18"/>
    <mergeCell ref="D26:F26"/>
    <mergeCell ref="D27:F27"/>
    <mergeCell ref="D20:F20"/>
    <mergeCell ref="D21:F21"/>
    <mergeCell ref="D23:F23"/>
    <mergeCell ref="D24:F24"/>
  </mergeCells>
  <phoneticPr fontId="4" type="noConversion"/>
  <pageMargins left="0.75" right="0.75" top="1" bottom="1" header="0.5" footer="0.5"/>
  <pageSetup orientation="portrait" r:id="rId1"/>
  <headerFooter alignWithMargins="0"/>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2:Y76"/>
  <sheetViews>
    <sheetView topLeftCell="A34" workbookViewId="0">
      <pane xSplit="1" topLeftCell="B1" activePane="topRight" state="frozen"/>
      <selection activeCell="I30" sqref="I30"/>
      <selection pane="topRight" activeCell="I30" sqref="I30"/>
    </sheetView>
  </sheetViews>
  <sheetFormatPr defaultColWidth="9.1796875" defaultRowHeight="13" x14ac:dyDescent="0.3"/>
  <cols>
    <col min="1" max="1" width="11.7265625" style="34" bestFit="1" customWidth="1"/>
    <col min="2" max="2" width="11.54296875" style="33" bestFit="1" customWidth="1"/>
    <col min="3" max="3" width="11.81640625" style="33" bestFit="1" customWidth="1"/>
    <col min="4" max="4" width="12.26953125" style="33" bestFit="1" customWidth="1"/>
    <col min="5" max="5" width="7.54296875" style="33" bestFit="1" customWidth="1"/>
    <col min="6" max="6" width="12.7265625" style="33" bestFit="1" customWidth="1"/>
    <col min="7" max="7" width="10.26953125" style="33" bestFit="1" customWidth="1"/>
    <col min="8" max="8" width="8.1796875" style="33" bestFit="1" customWidth="1"/>
    <col min="9" max="9" width="7.54296875" style="33" bestFit="1" customWidth="1"/>
    <col min="10" max="10" width="11.54296875" style="33" bestFit="1" customWidth="1"/>
    <col min="11" max="11" width="11.453125" style="33" bestFit="1" customWidth="1"/>
    <col min="12" max="12" width="8.1796875" style="33" bestFit="1" customWidth="1"/>
    <col min="13" max="13" width="7.54296875" style="33" bestFit="1" customWidth="1"/>
    <col min="14" max="14" width="11.54296875" style="33" bestFit="1" customWidth="1"/>
    <col min="15" max="15" width="10.26953125" style="33" bestFit="1" customWidth="1"/>
    <col min="16" max="16" width="8.1796875" style="33" bestFit="1" customWidth="1"/>
    <col min="17" max="17" width="7.54296875" style="33" bestFit="1" customWidth="1"/>
    <col min="18" max="19" width="5" style="33" bestFit="1" customWidth="1"/>
    <col min="20" max="21" width="4" style="33" bestFit="1" customWidth="1"/>
    <col min="22" max="22" width="6.7265625" style="33" bestFit="1" customWidth="1"/>
    <col min="23" max="23" width="5" style="32" bestFit="1" customWidth="1"/>
    <col min="24" max="25" width="8.1796875" style="32" customWidth="1"/>
    <col min="26" max="26" width="12" style="32" bestFit="1" customWidth="1"/>
    <col min="27" max="16384" width="9.1796875" style="32"/>
  </cols>
  <sheetData>
    <row r="2" spans="1:22" x14ac:dyDescent="0.3">
      <c r="B2" s="34" t="s">
        <v>258</v>
      </c>
    </row>
    <row r="3" spans="1:22" x14ac:dyDescent="0.3">
      <c r="B3" s="903" t="s">
        <v>208</v>
      </c>
      <c r="C3" s="904"/>
      <c r="D3" s="904"/>
      <c r="E3" s="905"/>
      <c r="F3" s="903" t="s">
        <v>264</v>
      </c>
      <c r="G3" s="904"/>
      <c r="H3" s="904"/>
      <c r="I3" s="905"/>
      <c r="J3" s="903" t="s">
        <v>261</v>
      </c>
      <c r="K3" s="904"/>
      <c r="L3" s="904"/>
      <c r="M3" s="905"/>
      <c r="N3" s="903" t="s">
        <v>262</v>
      </c>
      <c r="O3" s="904"/>
      <c r="P3" s="904"/>
      <c r="Q3" s="905"/>
      <c r="R3" s="165"/>
      <c r="S3" s="165"/>
      <c r="T3" s="165"/>
      <c r="U3" s="165"/>
      <c r="V3" s="165"/>
    </row>
    <row r="4" spans="1:22" x14ac:dyDescent="0.3">
      <c r="A4" s="34" t="s">
        <v>134</v>
      </c>
      <c r="B4" s="547" t="s">
        <v>31</v>
      </c>
      <c r="C4" s="202" t="s">
        <v>62</v>
      </c>
      <c r="D4" s="202" t="s">
        <v>260</v>
      </c>
      <c r="E4" s="548" t="s">
        <v>203</v>
      </c>
      <c r="F4" s="547" t="s">
        <v>31</v>
      </c>
      <c r="G4" s="202" t="s">
        <v>62</v>
      </c>
      <c r="H4" s="202" t="s">
        <v>260</v>
      </c>
      <c r="I4" s="548" t="s">
        <v>203</v>
      </c>
      <c r="J4" s="549" t="s">
        <v>31</v>
      </c>
      <c r="K4" s="208" t="s">
        <v>62</v>
      </c>
      <c r="L4" s="208" t="s">
        <v>260</v>
      </c>
      <c r="M4" s="550" t="s">
        <v>203</v>
      </c>
      <c r="N4" s="549" t="s">
        <v>31</v>
      </c>
      <c r="O4" s="208" t="s">
        <v>62</v>
      </c>
      <c r="P4" s="208" t="s">
        <v>260</v>
      </c>
      <c r="Q4" s="550" t="s">
        <v>203</v>
      </c>
      <c r="R4" s="208"/>
      <c r="S4" s="208"/>
      <c r="T4" s="208"/>
      <c r="U4" s="208"/>
      <c r="V4" s="208"/>
    </row>
    <row r="5" spans="1:22" x14ac:dyDescent="0.3">
      <c r="A5" s="34">
        <v>32</v>
      </c>
      <c r="B5" s="485">
        <v>2</v>
      </c>
      <c r="C5" s="457"/>
      <c r="D5" s="457"/>
      <c r="E5" s="515"/>
      <c r="F5" s="551">
        <f>'2010 comm sample'!J4</f>
        <v>0</v>
      </c>
      <c r="G5" s="552" t="str">
        <f>'2010 comm sample'!K4</f>
        <v>na</v>
      </c>
      <c r="H5" s="552" t="str">
        <f>'2010 comm sample'!L4</f>
        <v>na</v>
      </c>
      <c r="I5" s="552" t="str">
        <f>'2010 comm sample'!M4</f>
        <v>na</v>
      </c>
      <c r="J5" s="553">
        <f>IF(B5&gt;0,'2010 comm sample'!B4/'2010 Comm catch'!B5,"na")</f>
        <v>0.5</v>
      </c>
      <c r="K5" s="554" t="str">
        <f>IF(C5&gt;0,'2010 comm sample'!C4/'2010 Comm catch'!C5,"na")</f>
        <v>na</v>
      </c>
      <c r="L5" s="554" t="str">
        <f>IF(D5&gt;0,'2010 comm sample'!D4/'2010 Comm catch'!D5,"na")</f>
        <v>na</v>
      </c>
      <c r="M5" s="554" t="str">
        <f>IF(E5&gt;0,'2010 comm sample'!E4/'2010 Comm catch'!E5,"na")</f>
        <v>na</v>
      </c>
      <c r="N5" s="555">
        <f t="shared" ref="N5:N18" si="0">IF(F5&lt;&gt;"na",B5*F5,"na")</f>
        <v>0</v>
      </c>
      <c r="O5" s="556" t="str">
        <f t="shared" ref="O5:O18" si="1">IF(G5&lt;&gt;"na",C5*G5,"na")</f>
        <v>na</v>
      </c>
      <c r="P5" s="556" t="str">
        <f t="shared" ref="P5:P18" si="2">IF(H5&lt;&gt;"na",D5*H5,"na")</f>
        <v>na</v>
      </c>
      <c r="Q5" s="557" t="str">
        <f t="shared" ref="Q5:Q18" si="3">IF(I5&lt;&gt;"na",E5*I5,"na")</f>
        <v>na</v>
      </c>
      <c r="R5" s="514"/>
      <c r="S5" s="514"/>
      <c r="T5" s="514"/>
      <c r="U5" s="514"/>
      <c r="V5" s="514"/>
    </row>
    <row r="6" spans="1:22" x14ac:dyDescent="0.3">
      <c r="A6" s="34">
        <v>33</v>
      </c>
      <c r="B6" s="485">
        <v>42</v>
      </c>
      <c r="C6" s="457"/>
      <c r="D6" s="457"/>
      <c r="E6" s="515"/>
      <c r="F6" s="551">
        <f>'2010 comm sample'!J5</f>
        <v>0</v>
      </c>
      <c r="G6" s="552" t="str">
        <f>'2010 comm sample'!K5</f>
        <v>na</v>
      </c>
      <c r="H6" s="552" t="str">
        <f>'2010 comm sample'!L5</f>
        <v>na</v>
      </c>
      <c r="I6" s="552" t="str">
        <f>'2010 comm sample'!M5</f>
        <v>na</v>
      </c>
      <c r="J6" s="558">
        <f>IF(B6&gt;0,'2010 comm sample'!B5/'2010 Comm catch'!B6,"na")</f>
        <v>4.7619047619047616E-2</v>
      </c>
      <c r="K6" s="559" t="str">
        <f>IF(C6&gt;0,'2010 comm sample'!C5/'2010 Comm catch'!C6,"na")</f>
        <v>na</v>
      </c>
      <c r="L6" s="559" t="str">
        <f>IF(D6&gt;0,'2010 comm sample'!D5/'2010 Comm catch'!D6,"na")</f>
        <v>na</v>
      </c>
      <c r="M6" s="559" t="str">
        <f>IF(E6&gt;0,'2010 comm sample'!E5/'2010 Comm catch'!E6,"na")</f>
        <v>na</v>
      </c>
      <c r="N6" s="560">
        <f t="shared" si="0"/>
        <v>0</v>
      </c>
      <c r="O6" s="514" t="str">
        <f t="shared" si="1"/>
        <v>na</v>
      </c>
      <c r="P6" s="514" t="str">
        <f t="shared" si="2"/>
        <v>na</v>
      </c>
      <c r="Q6" s="563" t="str">
        <f t="shared" si="3"/>
        <v>na</v>
      </c>
      <c r="R6" s="514"/>
      <c r="S6" s="514"/>
      <c r="T6" s="514"/>
      <c r="U6" s="514"/>
      <c r="V6" s="514"/>
    </row>
    <row r="7" spans="1:22" x14ac:dyDescent="0.3">
      <c r="A7" s="34">
        <v>34</v>
      </c>
      <c r="B7" s="485">
        <v>4</v>
      </c>
      <c r="C7" s="457"/>
      <c r="D7" s="457"/>
      <c r="E7" s="515">
        <v>2</v>
      </c>
      <c r="F7" s="551">
        <f>'2010 comm sample'!J6</f>
        <v>0</v>
      </c>
      <c r="G7" s="552" t="str">
        <f>'2010 comm sample'!K6</f>
        <v>na</v>
      </c>
      <c r="H7" s="552" t="str">
        <f>'2010 comm sample'!L6</f>
        <v>na</v>
      </c>
      <c r="I7" s="552">
        <f>'2010 comm sample'!M6</f>
        <v>0</v>
      </c>
      <c r="J7" s="558">
        <f>IF(B7&gt;0,'2010 comm sample'!B6/'2010 Comm catch'!B7,"na")</f>
        <v>0.25</v>
      </c>
      <c r="K7" s="559" t="str">
        <f>IF(C7&gt;0,'2010 comm sample'!C6/'2010 Comm catch'!C7,"na")</f>
        <v>na</v>
      </c>
      <c r="L7" s="559" t="str">
        <f>IF(D7&gt;0,'2010 comm sample'!D6/'2010 Comm catch'!D7,"na")</f>
        <v>na</v>
      </c>
      <c r="M7" s="559">
        <f>IF(E7&gt;0,'2010 comm sample'!E6/'2010 Comm catch'!E7,"na")</f>
        <v>1</v>
      </c>
      <c r="N7" s="560">
        <f t="shared" si="0"/>
        <v>0</v>
      </c>
      <c r="O7" s="514" t="str">
        <f t="shared" si="1"/>
        <v>na</v>
      </c>
      <c r="P7" s="514" t="str">
        <f t="shared" si="2"/>
        <v>na</v>
      </c>
      <c r="Q7" s="563">
        <f t="shared" si="3"/>
        <v>0</v>
      </c>
      <c r="R7" s="514"/>
      <c r="S7" s="514"/>
      <c r="T7" s="514"/>
      <c r="U7" s="514"/>
      <c r="V7" s="514"/>
    </row>
    <row r="8" spans="1:22" x14ac:dyDescent="0.3">
      <c r="A8" s="34">
        <v>35</v>
      </c>
      <c r="B8" s="485">
        <v>640</v>
      </c>
      <c r="C8" s="457"/>
      <c r="D8" s="457"/>
      <c r="E8" s="515">
        <v>106</v>
      </c>
      <c r="F8" s="551">
        <f>'2010 comm sample'!J7</f>
        <v>3.783783783783784E-2</v>
      </c>
      <c r="G8" s="552" t="str">
        <f>'2010 comm sample'!K7</f>
        <v>na</v>
      </c>
      <c r="H8" s="552" t="str">
        <f>'2010 comm sample'!L7</f>
        <v>na</v>
      </c>
      <c r="I8" s="552">
        <f>'2010 comm sample'!M7</f>
        <v>1.1235955056179775E-2</v>
      </c>
      <c r="J8" s="558">
        <f>IF(B8&gt;0,'2010 comm sample'!B7/'2010 Comm catch'!B8,"na")</f>
        <v>0.578125</v>
      </c>
      <c r="K8" s="559" t="str">
        <f>IF(C8&gt;0,'2010 comm sample'!C7/'2010 Comm catch'!C8,"na")</f>
        <v>na</v>
      </c>
      <c r="L8" s="559" t="str">
        <f>IF(D8&gt;0,'2010 comm sample'!D7/'2010 Comm catch'!D8,"na")</f>
        <v>na</v>
      </c>
      <c r="M8" s="559">
        <f>IF(E8&gt;0,'2010 comm sample'!E7/'2010 Comm catch'!E8,"na")</f>
        <v>0.839622641509434</v>
      </c>
      <c r="N8" s="560">
        <f t="shared" si="0"/>
        <v>24.216216216216218</v>
      </c>
      <c r="O8" s="514" t="str">
        <f t="shared" si="1"/>
        <v>na</v>
      </c>
      <c r="P8" s="514" t="str">
        <f t="shared" si="2"/>
        <v>na</v>
      </c>
      <c r="Q8" s="563">
        <f t="shared" si="3"/>
        <v>1.1910112359550562</v>
      </c>
      <c r="R8" s="514"/>
      <c r="S8" s="514"/>
      <c r="T8" s="514"/>
      <c r="U8" s="514"/>
      <c r="V8" s="514"/>
    </row>
    <row r="9" spans="1:22" x14ac:dyDescent="0.3">
      <c r="A9" s="34">
        <v>36</v>
      </c>
      <c r="B9" s="485">
        <v>8817</v>
      </c>
      <c r="C9" s="457">
        <v>2749</v>
      </c>
      <c r="D9" s="457">
        <v>959</v>
      </c>
      <c r="E9" s="515">
        <v>1642</v>
      </c>
      <c r="F9" s="551">
        <f>'2010 comm sample'!J8</f>
        <v>3.3045437476530229E-2</v>
      </c>
      <c r="G9" s="552">
        <f>'2010 comm sample'!K8</f>
        <v>1.8957345971563982E-2</v>
      </c>
      <c r="H9" s="552">
        <f>'2010 comm sample'!L8</f>
        <v>3.1914893617021274E-2</v>
      </c>
      <c r="I9" s="552">
        <f>'2010 comm sample'!M8</f>
        <v>1.9746121297602257E-2</v>
      </c>
      <c r="J9" s="558">
        <f>IF(B9&gt;0,'2010 comm sample'!B8/'2010 Comm catch'!B9,"na")</f>
        <v>0.30203016899172053</v>
      </c>
      <c r="K9" s="559">
        <f>IF(C9&gt;0,'2010 comm sample'!C8/'2010 Comm catch'!C9,"na")</f>
        <v>7.6755183703164781E-2</v>
      </c>
      <c r="L9" s="559">
        <f>IF(D9&gt;0,'2010 comm sample'!D8/'2010 Comm catch'!D9,"na")</f>
        <v>9.8018769551616272E-2</v>
      </c>
      <c r="M9" s="559">
        <f>IF(E9&gt;0,'2010 comm sample'!E8/'2010 Comm catch'!E9,"na")</f>
        <v>0.43179049939098663</v>
      </c>
      <c r="N9" s="560">
        <f t="shared" si="0"/>
        <v>291.36162223056704</v>
      </c>
      <c r="O9" s="514">
        <f t="shared" si="1"/>
        <v>52.113744075829388</v>
      </c>
      <c r="P9" s="514">
        <f t="shared" si="2"/>
        <v>30.606382978723403</v>
      </c>
      <c r="Q9" s="563">
        <f t="shared" si="3"/>
        <v>32.423131170662906</v>
      </c>
      <c r="R9" s="514"/>
      <c r="S9" s="514"/>
      <c r="T9" s="514"/>
      <c r="U9" s="514"/>
      <c r="V9" s="514"/>
    </row>
    <row r="10" spans="1:22" x14ac:dyDescent="0.3">
      <c r="A10" s="34">
        <v>37</v>
      </c>
      <c r="B10" s="485">
        <v>12224</v>
      </c>
      <c r="C10" s="457">
        <v>1844</v>
      </c>
      <c r="D10" s="457">
        <v>1047</v>
      </c>
      <c r="E10" s="515">
        <v>4643</v>
      </c>
      <c r="F10" s="551">
        <f>'2010 comm sample'!J9</f>
        <v>4.0377358490566034E-2</v>
      </c>
      <c r="G10" s="552">
        <f>'2010 comm sample'!K9</f>
        <v>2.2727272727272728E-2</v>
      </c>
      <c r="H10" s="552">
        <f>'2010 comm sample'!L9</f>
        <v>4.048582995951417E-2</v>
      </c>
      <c r="I10" s="552">
        <f>'2010 comm sample'!M9</f>
        <v>1.029678982434888E-2</v>
      </c>
      <c r="J10" s="558">
        <f>IF(B10&gt;0,'2010 comm sample'!B9/'2010 Comm catch'!B10,"na")</f>
        <v>0.21678664921465968</v>
      </c>
      <c r="K10" s="559">
        <f>IF(C10&gt;0,'2010 comm sample'!C9/'2010 Comm catch'!C10,"na")</f>
        <v>7.1583514099783085E-2</v>
      </c>
      <c r="L10" s="559">
        <f>IF(D10&gt;0,'2010 comm sample'!D9/'2010 Comm catch'!D10,"na")</f>
        <v>0.23591212989493793</v>
      </c>
      <c r="M10" s="559">
        <f>IF(E10&gt;0,'2010 comm sample'!E9/'2010 Comm catch'!E10,"na")</f>
        <v>0.3555890587981908</v>
      </c>
      <c r="N10" s="560">
        <f t="shared" si="0"/>
        <v>493.57283018867918</v>
      </c>
      <c r="O10" s="514">
        <f t="shared" si="1"/>
        <v>41.909090909090914</v>
      </c>
      <c r="P10" s="514">
        <f t="shared" si="2"/>
        <v>42.388663967611336</v>
      </c>
      <c r="Q10" s="563">
        <f t="shared" si="3"/>
        <v>47.807995154451845</v>
      </c>
      <c r="R10" s="514"/>
      <c r="S10" s="514"/>
      <c r="T10" s="514"/>
      <c r="U10" s="514"/>
      <c r="V10" s="514"/>
    </row>
    <row r="11" spans="1:22" x14ac:dyDescent="0.3">
      <c r="A11" s="34">
        <v>38</v>
      </c>
      <c r="B11" s="485">
        <v>2622</v>
      </c>
      <c r="C11" s="457">
        <v>1031</v>
      </c>
      <c r="D11" s="457">
        <v>1301</v>
      </c>
      <c r="E11" s="515">
        <v>4284</v>
      </c>
      <c r="F11" s="551">
        <f>'2010 comm sample'!J10</f>
        <v>2.8753993610223641E-2</v>
      </c>
      <c r="G11" s="552">
        <f>'2010 comm sample'!K10</f>
        <v>5.0131926121372031E-2</v>
      </c>
      <c r="H11" s="552">
        <f>'2010 comm sample'!L10</f>
        <v>9.1603053435114504E-2</v>
      </c>
      <c r="I11" s="552">
        <f>'2010 comm sample'!M10</f>
        <v>5.408653846153846E-3</v>
      </c>
      <c r="J11" s="558">
        <f>IF(B11&gt;0,'2010 comm sample'!B10/'2010 Comm catch'!B11,"na")</f>
        <v>0.35812356979405036</v>
      </c>
      <c r="K11" s="559">
        <f>IF(C11&gt;0,'2010 comm sample'!C10/'2010 Comm catch'!C11,"na")</f>
        <v>0.36760426770126092</v>
      </c>
      <c r="L11" s="559">
        <f>IF(D11&gt;0,'2010 comm sample'!D10/'2010 Comm catch'!D11,"na")</f>
        <v>0.4027671022290546</v>
      </c>
      <c r="M11" s="559">
        <f>IF(E11&gt;0,'2010 comm sample'!E10/'2010 Comm catch'!E11,"na")</f>
        <v>0.38842203548085902</v>
      </c>
      <c r="N11" s="560">
        <f t="shared" si="0"/>
        <v>75.392971246006383</v>
      </c>
      <c r="O11" s="514">
        <f t="shared" si="1"/>
        <v>51.686015831134561</v>
      </c>
      <c r="P11" s="514">
        <f t="shared" si="2"/>
        <v>119.17557251908397</v>
      </c>
      <c r="Q11" s="563">
        <f t="shared" si="3"/>
        <v>23.170673076923077</v>
      </c>
      <c r="R11" s="514"/>
      <c r="S11" s="514"/>
      <c r="T11" s="514"/>
      <c r="U11" s="514"/>
      <c r="V11" s="514"/>
    </row>
    <row r="12" spans="1:22" x14ac:dyDescent="0.3">
      <c r="A12" s="34">
        <v>39</v>
      </c>
      <c r="B12" s="485">
        <v>1620</v>
      </c>
      <c r="C12" s="457">
        <v>481</v>
      </c>
      <c r="D12" s="457">
        <v>923</v>
      </c>
      <c r="E12" s="515">
        <v>5987</v>
      </c>
      <c r="F12" s="551">
        <f>'2010 comm sample'!J11</f>
        <v>4.4372294372294376E-2</v>
      </c>
      <c r="G12" s="643">
        <f>G11</f>
        <v>5.0131926121372031E-2</v>
      </c>
      <c r="H12" s="552">
        <f>'2010 comm sample'!L11</f>
        <v>8.0188679245283015E-2</v>
      </c>
      <c r="I12" s="552">
        <f>'2010 comm sample'!M11</f>
        <v>9.6038415366146452E-3</v>
      </c>
      <c r="J12" s="558">
        <f>IF(B12&gt;0,'2010 comm sample'!B11/'2010 Comm catch'!B12,"na")</f>
        <v>0.57037037037037042</v>
      </c>
      <c r="K12" s="559">
        <f>IF(C12&gt;0,'2010 comm sample'!C11/'2010 Comm catch'!C12,"na")</f>
        <v>0</v>
      </c>
      <c r="L12" s="559">
        <f>IF(D12&gt;0,'2010 comm sample'!D11/'2010 Comm catch'!D12,"na")</f>
        <v>0.22968580715059589</v>
      </c>
      <c r="M12" s="559">
        <f>IF(E12&gt;0,'2010 comm sample'!E11/'2010 Comm catch'!E12,"na")</f>
        <v>0.55653916819776184</v>
      </c>
      <c r="N12" s="560">
        <f t="shared" si="0"/>
        <v>71.883116883116884</v>
      </c>
      <c r="O12" s="644">
        <f t="shared" si="1"/>
        <v>24.113456464379947</v>
      </c>
      <c r="P12" s="514">
        <f t="shared" si="2"/>
        <v>74.014150943396217</v>
      </c>
      <c r="Q12" s="563">
        <f t="shared" si="3"/>
        <v>57.498199279711883</v>
      </c>
      <c r="R12" s="514"/>
      <c r="S12" s="514"/>
      <c r="T12" s="514"/>
      <c r="U12" s="514"/>
      <c r="V12" s="514"/>
    </row>
    <row r="13" spans="1:22" x14ac:dyDescent="0.3">
      <c r="A13" s="34">
        <v>40</v>
      </c>
      <c r="B13" s="485">
        <v>562</v>
      </c>
      <c r="C13" s="457">
        <v>205</v>
      </c>
      <c r="D13" s="457">
        <v>802</v>
      </c>
      <c r="E13" s="515">
        <v>1481</v>
      </c>
      <c r="F13" s="551">
        <f>'2010 comm sample'!J12</f>
        <v>4.8387096774193547E-2</v>
      </c>
      <c r="G13" s="552">
        <f>'2010 comm sample'!K12</f>
        <v>5.2083333333333336E-2</v>
      </c>
      <c r="H13" s="552">
        <f>'2010 comm sample'!L12</f>
        <v>0.11067193675889328</v>
      </c>
      <c r="I13" s="552">
        <f>'2010 comm sample'!M12</f>
        <v>6.5237651444547996E-3</v>
      </c>
      <c r="J13" s="558">
        <f>IF(B13&gt;0,'2010 comm sample'!B12/'2010 Comm catch'!B13,"na")</f>
        <v>0.2206405693950178</v>
      </c>
      <c r="K13" s="559">
        <f>IF(C13&gt;0,'2010 comm sample'!C12/'2010 Comm catch'!C13,"na")</f>
        <v>0.4682926829268293</v>
      </c>
      <c r="L13" s="559">
        <f>IF(D13&gt;0,'2010 comm sample'!D12/'2010 Comm catch'!D13,"na")</f>
        <v>0.31546134663341646</v>
      </c>
      <c r="M13" s="559">
        <f>IF(E13&gt;0,'2010 comm sample'!E12/'2010 Comm catch'!E13,"na")</f>
        <v>0.72451046590141799</v>
      </c>
      <c r="N13" s="560">
        <f t="shared" si="0"/>
        <v>27.193548387096772</v>
      </c>
      <c r="O13" s="514">
        <f t="shared" si="1"/>
        <v>10.677083333333334</v>
      </c>
      <c r="P13" s="514">
        <f t="shared" si="2"/>
        <v>88.758893280632407</v>
      </c>
      <c r="Q13" s="563">
        <f t="shared" si="3"/>
        <v>9.6616961789375591</v>
      </c>
      <c r="R13" s="514"/>
      <c r="S13" s="514"/>
      <c r="T13" s="514"/>
      <c r="U13" s="514"/>
      <c r="V13" s="514"/>
    </row>
    <row r="14" spans="1:22" x14ac:dyDescent="0.3">
      <c r="A14" s="34">
        <v>41</v>
      </c>
      <c r="B14" s="485">
        <v>908</v>
      </c>
      <c r="C14" s="457">
        <v>9</v>
      </c>
      <c r="D14" s="457">
        <v>89</v>
      </c>
      <c r="E14" s="515">
        <v>328</v>
      </c>
      <c r="F14" s="551">
        <f>'2010 comm sample'!J13</f>
        <v>0</v>
      </c>
      <c r="G14" s="552" t="str">
        <f>'2010 comm sample'!K13</f>
        <v>na</v>
      </c>
      <c r="H14" s="552">
        <f>'2010 comm sample'!L13</f>
        <v>6.4516129032258063E-2</v>
      </c>
      <c r="I14" s="552">
        <f>'2010 comm sample'!M13</f>
        <v>2.3529411764705882E-2</v>
      </c>
      <c r="J14" s="558">
        <f>IF(B14&gt;0,'2010 comm sample'!B13/'2010 Comm catch'!B14,"na")</f>
        <v>1.2114537444933921E-2</v>
      </c>
      <c r="K14" s="559">
        <f>IF(C14&gt;0,'2010 comm sample'!C13/'2010 Comm catch'!C14,"na")</f>
        <v>0</v>
      </c>
      <c r="L14" s="559">
        <f>IF(D14&gt;0,'2010 comm sample'!D13/'2010 Comm catch'!D14,"na")</f>
        <v>0.34831460674157305</v>
      </c>
      <c r="M14" s="559">
        <f>IF(E14&gt;0,'2010 comm sample'!E13/'2010 Comm catch'!E14,"na")</f>
        <v>0.25914634146341464</v>
      </c>
      <c r="N14" s="560">
        <f t="shared" si="0"/>
        <v>0</v>
      </c>
      <c r="O14" s="514" t="str">
        <f t="shared" si="1"/>
        <v>na</v>
      </c>
      <c r="P14" s="514">
        <f t="shared" si="2"/>
        <v>5.741935483870968</v>
      </c>
      <c r="Q14" s="563">
        <f t="shared" si="3"/>
        <v>7.7176470588235295</v>
      </c>
      <c r="R14" s="514"/>
      <c r="S14" s="514"/>
      <c r="T14" s="514"/>
      <c r="U14" s="514"/>
      <c r="V14" s="514"/>
    </row>
    <row r="15" spans="1:22" x14ac:dyDescent="0.3">
      <c r="A15" s="34">
        <v>42</v>
      </c>
      <c r="B15" s="485">
        <v>894</v>
      </c>
      <c r="C15" s="457">
        <v>42</v>
      </c>
      <c r="D15" s="457">
        <v>121</v>
      </c>
      <c r="E15" s="515">
        <v>698</v>
      </c>
      <c r="F15" s="551">
        <f>'2010 comm sample'!J14</f>
        <v>0</v>
      </c>
      <c r="G15" s="552" t="str">
        <f>'2010 comm sample'!K14</f>
        <v>na</v>
      </c>
      <c r="H15" s="552">
        <f>'2010 comm sample'!L14</f>
        <v>4.5454545454545456E-2</v>
      </c>
      <c r="I15" s="552">
        <f>'2010 comm sample'!M14</f>
        <v>1.4409221902017291E-2</v>
      </c>
      <c r="J15" s="558">
        <f>IF(B15&gt;0,'2010 comm sample'!B14/'2010 Comm catch'!B15,"na")</f>
        <v>1.7897091722595078E-2</v>
      </c>
      <c r="K15" s="559">
        <f>IF(C15&gt;0,'2010 comm sample'!C14/'2010 Comm catch'!C15,"na")</f>
        <v>0</v>
      </c>
      <c r="L15" s="559">
        <f>IF(D15&gt;0,'2010 comm sample'!D14/'2010 Comm catch'!D15,"na")</f>
        <v>0.54545454545454541</v>
      </c>
      <c r="M15" s="559">
        <f>IF(E15&gt;0,'2010 comm sample'!E14/'2010 Comm catch'!E15,"na")</f>
        <v>0.49713467048710602</v>
      </c>
      <c r="N15" s="560">
        <f t="shared" si="0"/>
        <v>0</v>
      </c>
      <c r="O15" s="514" t="str">
        <f t="shared" si="1"/>
        <v>na</v>
      </c>
      <c r="P15" s="514">
        <f t="shared" si="2"/>
        <v>5.5</v>
      </c>
      <c r="Q15" s="563">
        <f t="shared" si="3"/>
        <v>10.057636887608069</v>
      </c>
      <c r="R15" s="514"/>
      <c r="S15" s="514"/>
      <c r="T15" s="514"/>
      <c r="U15" s="514"/>
      <c r="V15" s="514"/>
    </row>
    <row r="16" spans="1:22" x14ac:dyDescent="0.3">
      <c r="A16" s="34">
        <v>43</v>
      </c>
      <c r="B16" s="485">
        <v>52</v>
      </c>
      <c r="C16" s="457">
        <v>0</v>
      </c>
      <c r="D16" s="457">
        <v>343</v>
      </c>
      <c r="E16" s="515">
        <v>17</v>
      </c>
      <c r="F16" s="551">
        <f>'2010 comm sample'!J15</f>
        <v>0.5</v>
      </c>
      <c r="G16" s="552" t="str">
        <f>'2010 comm sample'!K15</f>
        <v>na</v>
      </c>
      <c r="H16" s="552">
        <f>'2010 comm sample'!L15</f>
        <v>7.792207792207792E-2</v>
      </c>
      <c r="I16" s="643">
        <f>'Mean Unmarked Rates'!X42</f>
        <v>0</v>
      </c>
      <c r="J16" s="558">
        <f>IF(B16&gt;0,'2010 comm sample'!B15/'2010 Comm catch'!B16,"na")</f>
        <v>7.6923076923076927E-2</v>
      </c>
      <c r="K16" s="559" t="str">
        <f>IF(C16&gt;0,'2010 comm sample'!C15/'2010 Comm catch'!C16,"na")</f>
        <v>na</v>
      </c>
      <c r="L16" s="559">
        <f>IF(D16&gt;0,'2010 comm sample'!D15/'2010 Comm catch'!D16,"na")</f>
        <v>0.44897959183673469</v>
      </c>
      <c r="M16" s="654" t="s">
        <v>280</v>
      </c>
      <c r="N16" s="560">
        <f t="shared" si="0"/>
        <v>26</v>
      </c>
      <c r="O16" s="514" t="str">
        <f t="shared" si="1"/>
        <v>na</v>
      </c>
      <c r="P16" s="514">
        <f t="shared" si="2"/>
        <v>26.727272727272727</v>
      </c>
      <c r="Q16" s="563">
        <f t="shared" si="3"/>
        <v>0</v>
      </c>
      <c r="R16" s="514"/>
      <c r="S16" s="514"/>
      <c r="T16" s="514"/>
      <c r="U16" s="514"/>
      <c r="V16" s="514"/>
    </row>
    <row r="17" spans="1:25" x14ac:dyDescent="0.3">
      <c r="A17" s="34">
        <v>44</v>
      </c>
      <c r="B17" s="485">
        <v>32</v>
      </c>
      <c r="C17" s="457">
        <v>0</v>
      </c>
      <c r="D17" s="457">
        <v>74</v>
      </c>
      <c r="E17" s="515">
        <v>0</v>
      </c>
      <c r="F17" s="655">
        <f>'Mean Unmarked Rates'!AB43</f>
        <v>0</v>
      </c>
      <c r="G17" s="552" t="str">
        <f>'2010 comm sample'!K16</f>
        <v>na</v>
      </c>
      <c r="H17" s="643">
        <f>'Mean Unmarked Rates'!AB44</f>
        <v>0</v>
      </c>
      <c r="I17" s="552" t="str">
        <f>'2010 comm sample'!M16</f>
        <v>na</v>
      </c>
      <c r="J17" s="558">
        <f>IF(B17&gt;0,'2010 comm sample'!B16/'2010 Comm catch'!B17,"na")</f>
        <v>0</v>
      </c>
      <c r="K17" s="559" t="str">
        <f>IF(C17&gt;0,'2010 comm sample'!C16/'2010 Comm catch'!C17,"na")</f>
        <v>na</v>
      </c>
      <c r="L17" s="559">
        <f>IF(D17&gt;0,'2010 comm sample'!D16/'2010 Comm catch'!D17,"na")</f>
        <v>0</v>
      </c>
      <c r="M17" s="559" t="str">
        <f>IF(E17&gt;0,'2010 comm sample'!E16/'2010 Comm catch'!E17,"na")</f>
        <v>na</v>
      </c>
      <c r="N17" s="560">
        <f t="shared" si="0"/>
        <v>0</v>
      </c>
      <c r="O17" s="514" t="str">
        <f t="shared" si="1"/>
        <v>na</v>
      </c>
      <c r="P17" s="514">
        <f t="shared" si="2"/>
        <v>0</v>
      </c>
      <c r="Q17" s="563" t="str">
        <f t="shared" si="3"/>
        <v>na</v>
      </c>
      <c r="R17" s="514"/>
      <c r="S17" s="514"/>
      <c r="T17" s="514"/>
      <c r="U17" s="514"/>
      <c r="V17" s="514"/>
    </row>
    <row r="18" spans="1:25" x14ac:dyDescent="0.3">
      <c r="A18" s="34">
        <v>45</v>
      </c>
      <c r="B18" s="564"/>
      <c r="C18" s="565"/>
      <c r="D18" s="565"/>
      <c r="E18" s="566"/>
      <c r="F18" s="567" t="str">
        <f>'2010 comm sample'!J17</f>
        <v>na</v>
      </c>
      <c r="G18" s="568" t="str">
        <f>'2010 comm sample'!K17</f>
        <v>na</v>
      </c>
      <c r="H18" s="568" t="str">
        <f>'2010 comm sample'!L17</f>
        <v>na</v>
      </c>
      <c r="I18" s="568" t="str">
        <f>'2010 comm sample'!M17</f>
        <v>na</v>
      </c>
      <c r="J18" s="569" t="str">
        <f>IF(B18&gt;0,'2010 comm sample'!B17/'2010 Comm catch'!B18,"na")</f>
        <v>na</v>
      </c>
      <c r="K18" s="570" t="str">
        <f>IF(C18&gt;0,'2010 comm sample'!C17/'2010 Comm catch'!C18,"na")</f>
        <v>na</v>
      </c>
      <c r="L18" s="570" t="str">
        <f>IF(D18&gt;0,'2010 comm sample'!D17/'2010 Comm catch'!D18,"na")</f>
        <v>na</v>
      </c>
      <c r="M18" s="570" t="str">
        <f>IF(E18&gt;0,'2010 comm sample'!E17/'2010 Comm catch'!E18,"na")</f>
        <v>na</v>
      </c>
      <c r="N18" s="560" t="str">
        <f t="shared" si="0"/>
        <v>na</v>
      </c>
      <c r="O18" s="514" t="str">
        <f t="shared" si="1"/>
        <v>na</v>
      </c>
      <c r="P18" s="514" t="str">
        <f t="shared" si="2"/>
        <v>na</v>
      </c>
      <c r="Q18" s="563" t="str">
        <f t="shared" si="3"/>
        <v>na</v>
      </c>
      <c r="R18" s="514"/>
      <c r="S18" s="514"/>
      <c r="T18" s="514"/>
      <c r="U18" s="514"/>
      <c r="V18" s="514"/>
    </row>
    <row r="19" spans="1:25" x14ac:dyDescent="0.3">
      <c r="A19" s="34" t="s">
        <v>184</v>
      </c>
      <c r="B19" s="547">
        <f>SUM(B5:B18)</f>
        <v>28419</v>
      </c>
      <c r="C19" s="202">
        <f>SUM(C5:C18)</f>
        <v>6361</v>
      </c>
      <c r="D19" s="202">
        <f>SUM(D5:D18)</f>
        <v>5659</v>
      </c>
      <c r="E19" s="548">
        <f>SUM(E5:E18)</f>
        <v>19188</v>
      </c>
      <c r="F19" s="571">
        <f>'2010 comm sample'!J18</f>
        <v>3.698896820246593E-2</v>
      </c>
      <c r="G19" s="571">
        <f>'2010 comm sample'!K18</f>
        <v>3.7897310513447434E-2</v>
      </c>
      <c r="H19" s="571">
        <f>'2010 comm sample'!L18</f>
        <v>7.7798861480075907E-2</v>
      </c>
      <c r="I19" s="571">
        <f>'2010 comm sample'!M18</f>
        <v>9.7184986595174258E-3</v>
      </c>
      <c r="J19" s="572">
        <f>IF(B19&gt;0,'2010 comm sample'!B18/'2010 Comm catch'!B19,"na")</f>
        <v>0.27112143284422391</v>
      </c>
      <c r="K19" s="573">
        <f>IF(C19&gt;0,'2010 comm sample'!C18/'2010 Comm catch'!C19,"na")</f>
        <v>0.12859613268354034</v>
      </c>
      <c r="L19" s="573">
        <f>IF(D19&gt;0,'2010 comm sample'!D18/'2010 Comm catch'!D19,"na")</f>
        <v>0.27937798197561409</v>
      </c>
      <c r="M19" s="574">
        <f>IF(E19&gt;0,'2010 comm sample'!E18/'2010 Comm catch'!E19,"na")</f>
        <v>0.46654158849280802</v>
      </c>
      <c r="N19" s="572">
        <f>SUM(N5:N18)</f>
        <v>1009.6203051516825</v>
      </c>
      <c r="O19" s="573">
        <f>SUM(O5:O18)</f>
        <v>180.49939061376816</v>
      </c>
      <c r="P19" s="573">
        <f>SUM(P5:P18)</f>
        <v>392.91287190059109</v>
      </c>
      <c r="Q19" s="574">
        <f>SUM(Q5:Q18)</f>
        <v>189.52799004307388</v>
      </c>
      <c r="R19" s="575"/>
      <c r="S19" s="575"/>
      <c r="T19" s="575"/>
      <c r="U19" s="575"/>
      <c r="V19" s="575"/>
    </row>
    <row r="20" spans="1:25" x14ac:dyDescent="0.3">
      <c r="A20" s="208"/>
      <c r="B20" s="208"/>
      <c r="C20" s="208"/>
      <c r="D20" s="208"/>
      <c r="E20" s="575">
        <f>SUM(B19:E19)</f>
        <v>59627</v>
      </c>
      <c r="F20" s="34"/>
      <c r="G20" s="34"/>
      <c r="H20" s="208"/>
      <c r="I20" s="576">
        <f>Q20/E20</f>
        <v>2.9727481807052439E-2</v>
      </c>
      <c r="J20" s="208"/>
      <c r="K20" s="208"/>
      <c r="L20" s="208"/>
      <c r="M20" s="577">
        <f>'2008 new sample form'!E19/'2010 Comm catch'!E20</f>
        <v>0.32656346956915494</v>
      </c>
      <c r="N20" s="208"/>
      <c r="O20" s="208"/>
      <c r="P20" s="208"/>
      <c r="Q20" s="575">
        <f>SUM(N19:Q19)</f>
        <v>1772.5605577091158</v>
      </c>
      <c r="R20" s="575"/>
      <c r="S20" s="575"/>
      <c r="T20" s="575"/>
      <c r="U20" s="575"/>
      <c r="V20" s="575"/>
    </row>
    <row r="21" spans="1:25" x14ac:dyDescent="0.3">
      <c r="A21" s="208"/>
      <c r="B21" s="457"/>
      <c r="C21" s="457"/>
      <c r="D21" s="457"/>
      <c r="E21" s="514"/>
      <c r="H21" s="457"/>
      <c r="I21" s="457"/>
      <c r="J21" s="457"/>
      <c r="K21" s="457"/>
      <c r="L21" s="457"/>
      <c r="M21" s="457"/>
      <c r="N21" s="457"/>
      <c r="O21" s="457"/>
      <c r="P21" s="457"/>
      <c r="Q21" s="514"/>
      <c r="R21" s="514"/>
      <c r="S21" s="514"/>
      <c r="T21" s="514"/>
      <c r="U21" s="514"/>
      <c r="V21" s="514"/>
    </row>
    <row r="22" spans="1:25" x14ac:dyDescent="0.3">
      <c r="B22" s="34" t="s">
        <v>123</v>
      </c>
      <c r="F22" s="457"/>
      <c r="G22" s="457"/>
    </row>
    <row r="23" spans="1:25" x14ac:dyDescent="0.3">
      <c r="B23" s="903" t="s">
        <v>263</v>
      </c>
      <c r="C23" s="904"/>
      <c r="D23" s="904"/>
      <c r="E23" s="904"/>
      <c r="F23" s="904"/>
      <c r="G23" s="905"/>
      <c r="H23" s="903" t="s">
        <v>264</v>
      </c>
      <c r="I23" s="904"/>
      <c r="J23" s="904"/>
      <c r="K23" s="904"/>
      <c r="L23" s="905"/>
      <c r="M23" s="903" t="s">
        <v>261</v>
      </c>
      <c r="N23" s="904"/>
      <c r="O23" s="904"/>
      <c r="P23" s="904"/>
      <c r="Q23" s="904"/>
      <c r="R23" s="903" t="s">
        <v>262</v>
      </c>
      <c r="S23" s="904"/>
      <c r="T23" s="904"/>
      <c r="U23" s="904"/>
      <c r="V23" s="904"/>
      <c r="W23" s="905"/>
      <c r="X23" s="33" t="s">
        <v>318</v>
      </c>
    </row>
    <row r="24" spans="1:25" x14ac:dyDescent="0.3">
      <c r="A24" s="34" t="s">
        <v>134</v>
      </c>
      <c r="B24" s="547">
        <v>1</v>
      </c>
      <c r="C24" s="202">
        <v>2</v>
      </c>
      <c r="D24" s="202">
        <v>3</v>
      </c>
      <c r="E24" s="202">
        <v>4</v>
      </c>
      <c r="F24" s="202">
        <v>5</v>
      </c>
      <c r="G24" s="548" t="s">
        <v>272</v>
      </c>
      <c r="H24" s="367">
        <v>1</v>
      </c>
      <c r="I24" s="175">
        <v>2</v>
      </c>
      <c r="J24" s="175">
        <v>3</v>
      </c>
      <c r="K24" s="175">
        <v>4</v>
      </c>
      <c r="L24" s="368">
        <v>5</v>
      </c>
      <c r="M24" s="367">
        <v>1</v>
      </c>
      <c r="N24" s="175">
        <v>2</v>
      </c>
      <c r="O24" s="175">
        <v>3</v>
      </c>
      <c r="P24" s="175">
        <v>4</v>
      </c>
      <c r="Q24" s="175">
        <v>5</v>
      </c>
      <c r="R24" s="367">
        <v>1</v>
      </c>
      <c r="S24" s="175">
        <v>2</v>
      </c>
      <c r="T24" s="175">
        <v>3</v>
      </c>
      <c r="U24" s="175">
        <v>4</v>
      </c>
      <c r="V24" s="175">
        <v>5</v>
      </c>
      <c r="W24" s="368" t="s">
        <v>272</v>
      </c>
      <c r="X24" s="690" t="s">
        <v>316</v>
      </c>
      <c r="Y24" s="690" t="s">
        <v>317</v>
      </c>
    </row>
    <row r="25" spans="1:25" x14ac:dyDescent="0.3">
      <c r="A25" s="34">
        <v>32</v>
      </c>
      <c r="B25" s="578">
        <v>12</v>
      </c>
      <c r="C25" s="640">
        <v>1</v>
      </c>
      <c r="D25" s="640">
        <v>2</v>
      </c>
      <c r="E25" s="646"/>
      <c r="F25" s="646"/>
      <c r="G25" s="579">
        <f t="shared" ref="G25:G39" si="4">SUM(B25:F25)</f>
        <v>15</v>
      </c>
      <c r="H25" s="532">
        <f>'2010 comm sample'!L24</f>
        <v>0.33333333333333331</v>
      </c>
      <c r="I25" s="645">
        <f>'Mean Unmarked Rates'!D32</f>
        <v>0</v>
      </c>
      <c r="J25" s="645">
        <f>'Mean Unmarked Rates'!D33</f>
        <v>0</v>
      </c>
      <c r="K25" s="532" t="str">
        <f>'2010 comm sample'!O24</f>
        <v>na</v>
      </c>
      <c r="L25" s="533" t="str">
        <f>'2010 comm sample'!P24</f>
        <v>na</v>
      </c>
      <c r="M25" s="559">
        <f>IF(B25&gt;0,'2010 comm sample'!B24/'2010 Comm catch'!B25,"na")</f>
        <v>0.5</v>
      </c>
      <c r="N25" s="559">
        <f>IF(C25&gt;0,'2010 comm sample'!C24/'2010 Comm catch'!C25,"na")</f>
        <v>0</v>
      </c>
      <c r="O25" s="33">
        <f>IF(D25&gt;0,'2010 comm sample'!D24/'2010 Comm catch'!D25,"na")</f>
        <v>0</v>
      </c>
      <c r="P25" s="554" t="str">
        <f>IF(E25&gt;0,'2010 comm sample'!E24/'2010 Comm catch'!E25,"na")</f>
        <v>na</v>
      </c>
      <c r="Q25" s="554" t="str">
        <f>IF(F25&gt;0,'2010 comm sample'!F24/'2010 Comm catch'!F25,"na")</f>
        <v>na</v>
      </c>
      <c r="R25" s="560">
        <f t="shared" ref="R25:R38" si="5">IF(H25&lt;&gt;"na",B25*H25,0)</f>
        <v>4</v>
      </c>
      <c r="S25" s="514">
        <f t="shared" ref="S25:S38" si="6">IF(I25&lt;&gt;"na",C25*I25,0)</f>
        <v>0</v>
      </c>
      <c r="T25" s="514">
        <f t="shared" ref="T25:T38" si="7">IF(J25&lt;&gt;"na",D25*J25,0)</f>
        <v>0</v>
      </c>
      <c r="U25" s="514">
        <f t="shared" ref="U25:U38" si="8">IF(K25&lt;&gt;"na",E25*K25,0)</f>
        <v>0</v>
      </c>
      <c r="V25" s="514">
        <f t="shared" ref="V25:V38" si="9">IF(L25&lt;&gt;"na",F25*L25,0)</f>
        <v>0</v>
      </c>
      <c r="W25" s="580">
        <f t="shared" ref="W25:W39" si="10">SUM(R25:V25)</f>
        <v>4</v>
      </c>
      <c r="X25" s="647">
        <f>SUM(R25:T25)/SUM(B25:D25)</f>
        <v>0.26666666666666666</v>
      </c>
      <c r="Y25" s="691" t="e">
        <f>SUM(U25:V25)/SUM(E25:F25)</f>
        <v>#DIV/0!</v>
      </c>
    </row>
    <row r="26" spans="1:25" x14ac:dyDescent="0.3">
      <c r="A26" s="34">
        <v>33</v>
      </c>
      <c r="B26" s="485">
        <v>56</v>
      </c>
      <c r="C26" s="457">
        <v>21</v>
      </c>
      <c r="D26" s="641">
        <v>8</v>
      </c>
      <c r="E26" s="457">
        <v>2</v>
      </c>
      <c r="F26" s="457"/>
      <c r="G26" s="515">
        <f t="shared" si="4"/>
        <v>87</v>
      </c>
      <c r="H26" s="532">
        <f>'2010 comm sample'!L25</f>
        <v>0.26666666666666666</v>
      </c>
      <c r="I26" s="532">
        <f>'2010 comm sample'!M25</f>
        <v>0.5</v>
      </c>
      <c r="J26" s="645">
        <f>'Mean Unmarked Rates'!H33</f>
        <v>0</v>
      </c>
      <c r="K26" s="532">
        <f>'2010 comm sample'!O25</f>
        <v>1</v>
      </c>
      <c r="L26" s="533" t="str">
        <f>'2010 comm sample'!P25</f>
        <v>na</v>
      </c>
      <c r="M26" s="559">
        <f>IF(B26&gt;0,'2010 comm sample'!B25/'2010 Comm catch'!B26,"na")</f>
        <v>0.5357142857142857</v>
      </c>
      <c r="N26" s="559">
        <f>IF(C26&gt;0,'2010 comm sample'!C25/'2010 Comm catch'!C26,"na")</f>
        <v>0.19047619047619047</v>
      </c>
      <c r="O26" s="559">
        <f>IF(D26&gt;0,'2010 comm sample'!D25/'2010 Comm catch'!D26,"na")</f>
        <v>0</v>
      </c>
      <c r="P26" s="559">
        <f>IF(E26&gt;0,'2010 comm sample'!E25/'2010 Comm catch'!E26,"na")</f>
        <v>0.5</v>
      </c>
      <c r="Q26" s="559" t="str">
        <f>IF(F26&gt;0,'2010 comm sample'!F25/'2010 Comm catch'!F26,"na")</f>
        <v>na</v>
      </c>
      <c r="R26" s="560">
        <f t="shared" si="5"/>
        <v>14.933333333333334</v>
      </c>
      <c r="S26" s="514">
        <f t="shared" si="6"/>
        <v>10.5</v>
      </c>
      <c r="T26" s="514">
        <f t="shared" si="7"/>
        <v>0</v>
      </c>
      <c r="U26" s="514">
        <f t="shared" si="8"/>
        <v>2</v>
      </c>
      <c r="V26" s="514">
        <f t="shared" si="9"/>
        <v>0</v>
      </c>
      <c r="W26" s="580">
        <f t="shared" si="10"/>
        <v>27.433333333333334</v>
      </c>
      <c r="X26" s="647">
        <f t="shared" ref="X26:X39" si="11">SUM(R26:T26)/SUM(B26:D26)</f>
        <v>0.29921568627450978</v>
      </c>
      <c r="Y26" s="691">
        <f t="shared" ref="Y26:Y39" si="12">SUM(U26:V26)/SUM(E26:F26)</f>
        <v>1</v>
      </c>
    </row>
    <row r="27" spans="1:25" x14ac:dyDescent="0.3">
      <c r="A27" s="34">
        <v>34</v>
      </c>
      <c r="B27" s="485"/>
      <c r="C27" s="457"/>
      <c r="D27" s="457"/>
      <c r="E27" s="457">
        <v>8</v>
      </c>
      <c r="F27" s="641">
        <v>4</v>
      </c>
      <c r="G27" s="515">
        <f t="shared" si="4"/>
        <v>12</v>
      </c>
      <c r="H27" s="532" t="str">
        <f>'2010 comm sample'!L26</f>
        <v>na</v>
      </c>
      <c r="I27" s="532" t="str">
        <f>'2010 comm sample'!M26</f>
        <v>na</v>
      </c>
      <c r="J27" s="532" t="str">
        <f>'2010 comm sample'!N26</f>
        <v>na</v>
      </c>
      <c r="K27" s="645">
        <f>'Mean Unmarked Rates'!L34</f>
        <v>0</v>
      </c>
      <c r="L27" s="533">
        <f>'2010 comm sample'!P26</f>
        <v>0</v>
      </c>
      <c r="M27" s="559" t="str">
        <f>IF(B27&gt;0,'2010 comm sample'!B26/'2010 Comm catch'!B27,"na")</f>
        <v>na</v>
      </c>
      <c r="N27" s="559" t="str">
        <f>IF(C27&gt;0,'2010 comm sample'!C26/'2010 Comm catch'!C27,"na")</f>
        <v>na</v>
      </c>
      <c r="O27" s="559" t="str">
        <f>IF(D27&gt;0,'2010 comm sample'!D26/'2010 Comm catch'!D27,"na")</f>
        <v>na</v>
      </c>
      <c r="P27" s="559">
        <f>IF(E27&gt;0,'2010 comm sample'!E26/'2010 Comm catch'!E27,"na")</f>
        <v>0</v>
      </c>
      <c r="Q27" s="559">
        <f>IF(F27&gt;0,'2010 comm sample'!F26/'2010 Comm catch'!F27,"na")</f>
        <v>0.5</v>
      </c>
      <c r="R27" s="560">
        <f t="shared" si="5"/>
        <v>0</v>
      </c>
      <c r="S27" s="514">
        <f t="shared" si="6"/>
        <v>0</v>
      </c>
      <c r="T27" s="514">
        <f t="shared" si="7"/>
        <v>0</v>
      </c>
      <c r="U27" s="514">
        <f t="shared" si="8"/>
        <v>0</v>
      </c>
      <c r="V27" s="514">
        <f t="shared" si="9"/>
        <v>0</v>
      </c>
      <c r="W27" s="580">
        <f t="shared" si="10"/>
        <v>0</v>
      </c>
      <c r="X27" s="647" t="e">
        <f t="shared" si="11"/>
        <v>#DIV/0!</v>
      </c>
      <c r="Y27" s="691">
        <f t="shared" si="12"/>
        <v>0</v>
      </c>
    </row>
    <row r="28" spans="1:25" x14ac:dyDescent="0.3">
      <c r="A28" s="34">
        <v>35</v>
      </c>
      <c r="B28" s="485"/>
      <c r="C28" s="457"/>
      <c r="D28" s="457"/>
      <c r="E28" s="457">
        <v>270</v>
      </c>
      <c r="F28" s="457">
        <v>56</v>
      </c>
      <c r="G28" s="515">
        <f t="shared" si="4"/>
        <v>326</v>
      </c>
      <c r="H28" s="532" t="str">
        <f>'2010 comm sample'!L27</f>
        <v>na</v>
      </c>
      <c r="I28" s="532" t="str">
        <f>'2010 comm sample'!M27</f>
        <v>na</v>
      </c>
      <c r="J28" s="532" t="str">
        <f>'2010 comm sample'!N27</f>
        <v>na</v>
      </c>
      <c r="K28" s="532">
        <f>'2010 comm sample'!O27</f>
        <v>0.72222222222222221</v>
      </c>
      <c r="L28" s="533">
        <f>'2010 comm sample'!P27</f>
        <v>0.53061224489795922</v>
      </c>
      <c r="M28" s="559" t="str">
        <f>IF(B28&gt;0,'2010 comm sample'!B27/'2010 Comm catch'!B28,"na")</f>
        <v>na</v>
      </c>
      <c r="N28" s="559" t="str">
        <f>IF(C28&gt;0,'2010 comm sample'!C27/'2010 Comm catch'!C28,"na")</f>
        <v>na</v>
      </c>
      <c r="O28" s="559" t="str">
        <f>IF(D28&gt;0,'2010 comm sample'!D27/'2010 Comm catch'!D28,"na")</f>
        <v>na</v>
      </c>
      <c r="P28" s="559">
        <f>IF(E28&gt;0,'2010 comm sample'!E27/'2010 Comm catch'!E28,"na")</f>
        <v>6.6666666666666666E-2</v>
      </c>
      <c r="Q28" s="559">
        <f>IF(F28&gt;0,'2010 comm sample'!F27/'2010 Comm catch'!F28,"na")</f>
        <v>1.75</v>
      </c>
      <c r="R28" s="560">
        <f t="shared" si="5"/>
        <v>0</v>
      </c>
      <c r="S28" s="514">
        <f t="shared" si="6"/>
        <v>0</v>
      </c>
      <c r="T28" s="514">
        <f t="shared" si="7"/>
        <v>0</v>
      </c>
      <c r="U28" s="514">
        <f t="shared" si="8"/>
        <v>195</v>
      </c>
      <c r="V28" s="514">
        <f t="shared" si="9"/>
        <v>29.714285714285715</v>
      </c>
      <c r="W28" s="580">
        <f t="shared" si="10"/>
        <v>224.71428571428572</v>
      </c>
      <c r="X28" s="647" t="e">
        <f t="shared" si="11"/>
        <v>#DIV/0!</v>
      </c>
      <c r="Y28" s="691">
        <f t="shared" si="12"/>
        <v>0.68930762489044695</v>
      </c>
    </row>
    <row r="29" spans="1:25" x14ac:dyDescent="0.3">
      <c r="A29" s="34">
        <v>36</v>
      </c>
      <c r="B29" s="485"/>
      <c r="C29" s="457"/>
      <c r="D29" s="457"/>
      <c r="E29" s="457"/>
      <c r="F29" s="457"/>
      <c r="G29" s="515">
        <f t="shared" si="4"/>
        <v>0</v>
      </c>
      <c r="H29" s="532" t="str">
        <f>'2010 comm sample'!L28</f>
        <v>na</v>
      </c>
      <c r="I29" s="532" t="str">
        <f>'2010 comm sample'!M28</f>
        <v>na</v>
      </c>
      <c r="J29" s="532" t="str">
        <f>'2010 comm sample'!N28</f>
        <v>na</v>
      </c>
      <c r="K29" s="532" t="str">
        <f>'2010 comm sample'!O28</f>
        <v>na</v>
      </c>
      <c r="L29" s="533" t="str">
        <f>'2010 comm sample'!P28</f>
        <v>na</v>
      </c>
      <c r="M29" s="559" t="str">
        <f>IF(B29&gt;0,'2010 comm sample'!B28/'2010 Comm catch'!B29,"na")</f>
        <v>na</v>
      </c>
      <c r="N29" s="559" t="str">
        <f>IF(C29&gt;0,'2010 comm sample'!C28/'2010 Comm catch'!C29,"na")</f>
        <v>na</v>
      </c>
      <c r="O29" s="559" t="str">
        <f>IF(D29&gt;0,'2010 comm sample'!D28/'2010 Comm catch'!D29,"na")</f>
        <v>na</v>
      </c>
      <c r="P29" s="559" t="str">
        <f>IF(E29&gt;0,'2010 comm sample'!E28/'2010 Comm catch'!E29,"na")</f>
        <v>na</v>
      </c>
      <c r="Q29" s="559" t="str">
        <f>IF(F29&gt;0,'2010 comm sample'!F28/'2010 Comm catch'!F29,"na")</f>
        <v>na</v>
      </c>
      <c r="R29" s="560">
        <f t="shared" si="5"/>
        <v>0</v>
      </c>
      <c r="S29" s="514">
        <f t="shared" si="6"/>
        <v>0</v>
      </c>
      <c r="T29" s="514">
        <f t="shared" si="7"/>
        <v>0</v>
      </c>
      <c r="U29" s="514">
        <f t="shared" si="8"/>
        <v>0</v>
      </c>
      <c r="V29" s="514">
        <f t="shared" si="9"/>
        <v>0</v>
      </c>
      <c r="W29" s="580">
        <f t="shared" si="10"/>
        <v>0</v>
      </c>
      <c r="X29" s="647" t="e">
        <f t="shared" si="11"/>
        <v>#DIV/0!</v>
      </c>
      <c r="Y29" s="691" t="e">
        <f t="shared" si="12"/>
        <v>#DIV/0!</v>
      </c>
    </row>
    <row r="30" spans="1:25" x14ac:dyDescent="0.3">
      <c r="A30" s="34">
        <v>37</v>
      </c>
      <c r="B30" s="485"/>
      <c r="C30" s="457"/>
      <c r="D30" s="457"/>
      <c r="E30" s="457"/>
      <c r="F30" s="457"/>
      <c r="G30" s="515">
        <f t="shared" si="4"/>
        <v>0</v>
      </c>
      <c r="H30" s="532" t="str">
        <f>'2010 comm sample'!L29</f>
        <v>na</v>
      </c>
      <c r="I30" s="532" t="str">
        <f>'2010 comm sample'!M29</f>
        <v>na</v>
      </c>
      <c r="J30" s="532" t="str">
        <f>'2010 comm sample'!N29</f>
        <v>na</v>
      </c>
      <c r="K30" s="532" t="str">
        <f>'2010 comm sample'!O29</f>
        <v>na</v>
      </c>
      <c r="L30" s="533" t="str">
        <f>'2010 comm sample'!P29</f>
        <v>na</v>
      </c>
      <c r="M30" s="558" t="str">
        <f>IF(B30&gt;0,'2010 comm sample'!B29/'2010 Comm catch'!B30,"na")</f>
        <v>na</v>
      </c>
      <c r="N30" s="559" t="str">
        <f>IF(C30&gt;0,'2010 comm sample'!C29/'2010 Comm catch'!C30,"na")</f>
        <v>na</v>
      </c>
      <c r="O30" s="559" t="str">
        <f>IF(D30&gt;0,'2010 comm sample'!D29/'2010 Comm catch'!D30,"na")</f>
        <v>na</v>
      </c>
      <c r="P30" s="559" t="str">
        <f>IF(E30&gt;0,'2010 comm sample'!E29/'2010 Comm catch'!E30,"na")</f>
        <v>na</v>
      </c>
      <c r="Q30" s="559" t="str">
        <f>IF(F30&gt;0,'2010 comm sample'!F29/'2010 Comm catch'!F30,"na")</f>
        <v>na</v>
      </c>
      <c r="R30" s="560">
        <f t="shared" si="5"/>
        <v>0</v>
      </c>
      <c r="S30" s="514">
        <f t="shared" si="6"/>
        <v>0</v>
      </c>
      <c r="T30" s="514">
        <f t="shared" si="7"/>
        <v>0</v>
      </c>
      <c r="U30" s="514">
        <f t="shared" si="8"/>
        <v>0</v>
      </c>
      <c r="V30" s="514">
        <f t="shared" si="9"/>
        <v>0</v>
      </c>
      <c r="W30" s="580">
        <f t="shared" si="10"/>
        <v>0</v>
      </c>
      <c r="X30" s="647" t="e">
        <f t="shared" si="11"/>
        <v>#DIV/0!</v>
      </c>
      <c r="Y30" s="691" t="e">
        <f t="shared" si="12"/>
        <v>#DIV/0!</v>
      </c>
    </row>
    <row r="31" spans="1:25" x14ac:dyDescent="0.3">
      <c r="A31" s="34">
        <v>38</v>
      </c>
      <c r="B31" s="485"/>
      <c r="C31" s="457"/>
      <c r="D31" s="457"/>
      <c r="E31" s="457"/>
      <c r="F31" s="457"/>
      <c r="G31" s="515">
        <f t="shared" si="4"/>
        <v>0</v>
      </c>
      <c r="H31" s="532" t="str">
        <f>'2010 comm sample'!L30</f>
        <v>na</v>
      </c>
      <c r="I31" s="532" t="str">
        <f>'2010 comm sample'!M30</f>
        <v>na</v>
      </c>
      <c r="J31" s="532" t="str">
        <f>'2010 comm sample'!N30</f>
        <v>na</v>
      </c>
      <c r="K31" s="532" t="str">
        <f>'2010 comm sample'!O30</f>
        <v>na</v>
      </c>
      <c r="L31" s="533" t="str">
        <f>'2010 comm sample'!P30</f>
        <v>na</v>
      </c>
      <c r="M31" s="558" t="str">
        <f>IF(B31&gt;0,'2010 comm sample'!B30/'2010 Comm catch'!B31,"na")</f>
        <v>na</v>
      </c>
      <c r="N31" s="559" t="str">
        <f>IF(C31&gt;0,'2010 comm sample'!C30/'2010 Comm catch'!C31,"na")</f>
        <v>na</v>
      </c>
      <c r="O31" s="559" t="str">
        <f>IF(D31&gt;0,'2010 comm sample'!D30/'2010 Comm catch'!D31,"na")</f>
        <v>na</v>
      </c>
      <c r="P31" s="559" t="str">
        <f>IF(E31&gt;0,'2010 comm sample'!E30/'2010 Comm catch'!E31,"na")</f>
        <v>na</v>
      </c>
      <c r="Q31" s="559" t="str">
        <f>IF(F31&gt;0,'2010 comm sample'!F30/'2010 Comm catch'!F31,"na")</f>
        <v>na</v>
      </c>
      <c r="R31" s="560">
        <f t="shared" si="5"/>
        <v>0</v>
      </c>
      <c r="S31" s="514">
        <f t="shared" si="6"/>
        <v>0</v>
      </c>
      <c r="T31" s="514">
        <f t="shared" si="7"/>
        <v>0</v>
      </c>
      <c r="U31" s="514">
        <f t="shared" si="8"/>
        <v>0</v>
      </c>
      <c r="V31" s="514">
        <f t="shared" si="9"/>
        <v>0</v>
      </c>
      <c r="W31" s="580">
        <f t="shared" si="10"/>
        <v>0</v>
      </c>
      <c r="X31" s="647" t="e">
        <f t="shared" si="11"/>
        <v>#DIV/0!</v>
      </c>
      <c r="Y31" s="691" t="e">
        <f t="shared" si="12"/>
        <v>#DIV/0!</v>
      </c>
    </row>
    <row r="32" spans="1:25" x14ac:dyDescent="0.3">
      <c r="A32" s="34">
        <v>39</v>
      </c>
      <c r="B32" s="581"/>
      <c r="C32" s="582"/>
      <c r="D32" s="582"/>
      <c r="E32" s="582">
        <v>515</v>
      </c>
      <c r="F32" s="582">
        <v>163</v>
      </c>
      <c r="G32" s="515">
        <f t="shared" si="4"/>
        <v>678</v>
      </c>
      <c r="H32" s="532" t="str">
        <f>'2010 comm sample'!L31</f>
        <v>na</v>
      </c>
      <c r="I32" s="532" t="str">
        <f>'2010 comm sample'!M31</f>
        <v>na</v>
      </c>
      <c r="J32" s="532" t="str">
        <f>'2010 comm sample'!N31</f>
        <v>na</v>
      </c>
      <c r="K32" s="532">
        <f>'2010 comm sample'!O31</f>
        <v>0.5670103092783505</v>
      </c>
      <c r="L32" s="533">
        <f>'2010 comm sample'!P31</f>
        <v>0.5670103092783505</v>
      </c>
      <c r="M32" s="558" t="str">
        <f>IF(B32&gt;0,'2010 comm sample'!B31/'2010 Comm catch'!B32,"na")</f>
        <v>na</v>
      </c>
      <c r="N32" s="559" t="str">
        <f>IF(C32&gt;0,'2010 comm sample'!C31/'2010 Comm catch'!C32,"na")</f>
        <v>na</v>
      </c>
      <c r="O32" s="559" t="str">
        <f>IF(D32&gt;0,'2010 comm sample'!D31/'2010 Comm catch'!D32,"na")</f>
        <v>na</v>
      </c>
      <c r="P32" s="559">
        <f>IF(E32&gt;0,'2010 comm sample'!E31/'2010 Comm catch'!E32,"na")</f>
        <v>0.37669902912621361</v>
      </c>
      <c r="Q32" s="559">
        <f>IF(F32&gt;0,'2010 comm sample'!F31/'2010 Comm catch'!F32,"na")</f>
        <v>1.1901840490797546</v>
      </c>
      <c r="R32" s="583">
        <f t="shared" si="5"/>
        <v>0</v>
      </c>
      <c r="S32" s="584">
        <f t="shared" si="6"/>
        <v>0</v>
      </c>
      <c r="T32" s="584">
        <f t="shared" si="7"/>
        <v>0</v>
      </c>
      <c r="U32" s="584">
        <f t="shared" si="8"/>
        <v>292.01030927835052</v>
      </c>
      <c r="V32" s="584">
        <f t="shared" si="9"/>
        <v>92.422680412371136</v>
      </c>
      <c r="W32" s="580">
        <f t="shared" si="10"/>
        <v>384.43298969072168</v>
      </c>
      <c r="X32" s="647" t="e">
        <f t="shared" si="11"/>
        <v>#DIV/0!</v>
      </c>
      <c r="Y32" s="691">
        <f t="shared" si="12"/>
        <v>0.56701030927835061</v>
      </c>
    </row>
    <row r="33" spans="1:25" x14ac:dyDescent="0.3">
      <c r="A33" s="34">
        <v>40</v>
      </c>
      <c r="B33" s="485"/>
      <c r="C33" s="457"/>
      <c r="D33" s="457"/>
      <c r="E33" s="457"/>
      <c r="F33" s="457"/>
      <c r="G33" s="515">
        <f t="shared" si="4"/>
        <v>0</v>
      </c>
      <c r="H33" s="532" t="str">
        <f>'2010 comm sample'!L32</f>
        <v>na</v>
      </c>
      <c r="I33" s="532" t="str">
        <f>'2010 comm sample'!M32</f>
        <v>na</v>
      </c>
      <c r="J33" s="532" t="str">
        <f>'2010 comm sample'!N32</f>
        <v>na</v>
      </c>
      <c r="K33" s="532" t="str">
        <f>'2010 comm sample'!O32</f>
        <v>na</v>
      </c>
      <c r="L33" s="533" t="str">
        <f>'2010 comm sample'!P32</f>
        <v>na</v>
      </c>
      <c r="M33" s="558" t="str">
        <f>IF(B33&gt;0,'2010 comm sample'!B32/'2010 Comm catch'!B33,"na")</f>
        <v>na</v>
      </c>
      <c r="N33" s="559" t="str">
        <f>IF(C33&gt;0,'2010 comm sample'!C32/'2010 Comm catch'!C33,"na")</f>
        <v>na</v>
      </c>
      <c r="O33" s="559" t="str">
        <f>IF(D33&gt;0,'2010 comm sample'!D32/'2010 Comm catch'!D33,"na")</f>
        <v>na</v>
      </c>
      <c r="P33" s="559" t="str">
        <f>IF(E33&gt;0,'2010 comm sample'!E32/'2010 Comm catch'!E33,"na")</f>
        <v>na</v>
      </c>
      <c r="Q33" s="559" t="str">
        <f>IF(F33&gt;0,'2010 comm sample'!F32/'2010 Comm catch'!F33,"na")</f>
        <v>na</v>
      </c>
      <c r="R33" s="560">
        <f t="shared" si="5"/>
        <v>0</v>
      </c>
      <c r="S33" s="514">
        <f t="shared" si="6"/>
        <v>0</v>
      </c>
      <c r="T33" s="514">
        <f t="shared" si="7"/>
        <v>0</v>
      </c>
      <c r="U33" s="514">
        <f t="shared" si="8"/>
        <v>0</v>
      </c>
      <c r="V33" s="514">
        <f t="shared" si="9"/>
        <v>0</v>
      </c>
      <c r="W33" s="580">
        <f t="shared" si="10"/>
        <v>0</v>
      </c>
      <c r="X33" s="647" t="e">
        <f t="shared" si="11"/>
        <v>#DIV/0!</v>
      </c>
      <c r="Y33" s="691" t="e">
        <f t="shared" si="12"/>
        <v>#DIV/0!</v>
      </c>
    </row>
    <row r="34" spans="1:25" x14ac:dyDescent="0.3">
      <c r="A34" s="34">
        <v>41</v>
      </c>
      <c r="B34" s="485">
        <v>2288</v>
      </c>
      <c r="C34" s="457">
        <v>1171</v>
      </c>
      <c r="D34" s="457">
        <v>413</v>
      </c>
      <c r="E34" s="514">
        <v>348</v>
      </c>
      <c r="F34" s="514">
        <v>252</v>
      </c>
      <c r="G34" s="515">
        <f t="shared" si="4"/>
        <v>4472</v>
      </c>
      <c r="H34" s="532">
        <f>'2010 comm sample'!L33</f>
        <v>0.28538283062645009</v>
      </c>
      <c r="I34" s="532">
        <f>'2010 comm sample'!M33</f>
        <v>0.29032258064516131</v>
      </c>
      <c r="J34" s="532">
        <f>'2010 comm sample'!N33</f>
        <v>0.33636363636363636</v>
      </c>
      <c r="K34" s="532">
        <f>'2010 comm sample'!O33</f>
        <v>0.67934782608695654</v>
      </c>
      <c r="L34" s="533">
        <f>'2010 comm sample'!P33</f>
        <v>0.75141242937853103</v>
      </c>
      <c r="M34" s="558">
        <f>IF(B34&gt;0,'2010 comm sample'!B33/'2010 Comm catch'!B34,"na")</f>
        <v>0.18837412587412589</v>
      </c>
      <c r="N34" s="559">
        <f>IF(C34&gt;0,'2010 comm sample'!C33/'2010 Comm catch'!C34,"na")</f>
        <v>0.97950469684030739</v>
      </c>
      <c r="O34" s="559">
        <f>IF(D34&gt;0,'2010 comm sample'!D33/'2010 Comm catch'!D34,"na")</f>
        <v>0.7990314769975787</v>
      </c>
      <c r="P34" s="559">
        <f>IF(E34&gt;0,'2010 comm sample'!E33/'2010 Comm catch'!E34,"na")</f>
        <v>0.52873563218390807</v>
      </c>
      <c r="Q34" s="559">
        <f>IF(F34&gt;0,'2010 comm sample'!F33/'2010 Comm catch'!F34,"na")</f>
        <v>0.70238095238095233</v>
      </c>
      <c r="R34" s="560">
        <f t="shared" si="5"/>
        <v>652.95591647331776</v>
      </c>
      <c r="S34" s="514">
        <f t="shared" si="6"/>
        <v>339.9677419354839</v>
      </c>
      <c r="T34" s="514">
        <f t="shared" si="7"/>
        <v>138.91818181818181</v>
      </c>
      <c r="U34" s="514">
        <f t="shared" si="8"/>
        <v>236.41304347826087</v>
      </c>
      <c r="V34" s="514">
        <f t="shared" si="9"/>
        <v>189.35593220338981</v>
      </c>
      <c r="W34" s="580">
        <f t="shared" si="10"/>
        <v>1557.6108159086343</v>
      </c>
      <c r="X34" s="647">
        <f t="shared" si="11"/>
        <v>0.2923145248520102</v>
      </c>
      <c r="Y34" s="691">
        <f t="shared" si="12"/>
        <v>0.70961495946941777</v>
      </c>
    </row>
    <row r="35" spans="1:25" x14ac:dyDescent="0.3">
      <c r="A35" s="34">
        <v>42</v>
      </c>
      <c r="B35" s="485">
        <v>2145</v>
      </c>
      <c r="C35" s="457">
        <v>6165</v>
      </c>
      <c r="D35" s="457">
        <v>2744</v>
      </c>
      <c r="E35" s="457">
        <v>267</v>
      </c>
      <c r="F35" s="457">
        <v>301</v>
      </c>
      <c r="G35" s="515">
        <f t="shared" si="4"/>
        <v>11622</v>
      </c>
      <c r="H35" s="532">
        <f>'2010 comm sample'!L34</f>
        <v>0.26976463488231744</v>
      </c>
      <c r="I35" s="532">
        <f>'2010 comm sample'!M34</f>
        <v>0.27037712895377131</v>
      </c>
      <c r="J35" s="532">
        <f>'2010 comm sample'!N34</f>
        <v>0.19748953974895397</v>
      </c>
      <c r="K35" s="532">
        <f>'2010 comm sample'!O34</f>
        <v>0.62949640287769781</v>
      </c>
      <c r="L35" s="533">
        <f>'2010 comm sample'!P34</f>
        <v>0.79569892473118276</v>
      </c>
      <c r="M35" s="558">
        <f>IF(B35&gt;0,'2010 comm sample'!B34/'2010 Comm catch'!B35,"na")</f>
        <v>0.77249417249417252</v>
      </c>
      <c r="N35" s="559">
        <f>IF(C35&gt;0,'2010 comm sample'!C34/'2010 Comm catch'!C35,"na")</f>
        <v>0.53333333333333333</v>
      </c>
      <c r="O35" s="559">
        <f>IF(D35&gt;0,'2010 comm sample'!D34/'2010 Comm catch'!D35,"na")</f>
        <v>0.87099125364431484</v>
      </c>
      <c r="P35" s="559">
        <f>IF(E35&gt;0,'2010 comm sample'!E34/'2010 Comm catch'!E35,"na")</f>
        <v>1.0411985018726593</v>
      </c>
      <c r="Q35" s="559">
        <f>IF(F35&gt;0,'2010 comm sample'!F34/'2010 Comm catch'!F35,"na")</f>
        <v>0.30897009966777411</v>
      </c>
      <c r="R35" s="560">
        <f t="shared" si="5"/>
        <v>578.64514182257096</v>
      </c>
      <c r="S35" s="514">
        <f t="shared" si="6"/>
        <v>1666.875</v>
      </c>
      <c r="T35" s="514">
        <f t="shared" si="7"/>
        <v>541.91129707112975</v>
      </c>
      <c r="U35" s="514">
        <f t="shared" si="8"/>
        <v>168.07553956834531</v>
      </c>
      <c r="V35" s="514">
        <f t="shared" si="9"/>
        <v>239.50537634408602</v>
      </c>
      <c r="W35" s="580">
        <f t="shared" si="10"/>
        <v>3195.0123548061324</v>
      </c>
      <c r="X35" s="647">
        <f t="shared" si="11"/>
        <v>0.25216495738137334</v>
      </c>
      <c r="Y35" s="691">
        <f t="shared" si="12"/>
        <v>0.71757203505709743</v>
      </c>
    </row>
    <row r="36" spans="1:25" x14ac:dyDescent="0.3">
      <c r="A36" s="34">
        <v>43</v>
      </c>
      <c r="B36" s="485">
        <v>251</v>
      </c>
      <c r="C36" s="457">
        <v>882</v>
      </c>
      <c r="D36" s="457">
        <v>394</v>
      </c>
      <c r="E36" s="457">
        <v>89</v>
      </c>
      <c r="F36" s="457">
        <v>92</v>
      </c>
      <c r="G36" s="515">
        <f t="shared" si="4"/>
        <v>1708</v>
      </c>
      <c r="H36" s="532">
        <f>'2010 comm sample'!L35</f>
        <v>0.21276595744680851</v>
      </c>
      <c r="I36" s="532">
        <f>'2010 comm sample'!M35</f>
        <v>0.21951219512195122</v>
      </c>
      <c r="J36" s="532">
        <f>'2010 comm sample'!N35</f>
        <v>0.35348837209302325</v>
      </c>
      <c r="K36" s="532">
        <f>'2010 comm sample'!O35</f>
        <v>0.42682926829268292</v>
      </c>
      <c r="L36" s="532">
        <f>'2010 comm sample'!P35</f>
        <v>0.52777777777777779</v>
      </c>
      <c r="M36" s="558">
        <f>IF(B36&gt;0,'2010 comm sample'!B35/'2010 Comm catch'!B36,"na")</f>
        <v>0.18725099601593626</v>
      </c>
      <c r="N36" s="559">
        <f>IF(C36&gt;0,'2010 comm sample'!C35/'2010 Comm catch'!C36,"na")</f>
        <v>0.32539682539682541</v>
      </c>
      <c r="O36" s="559">
        <f>IF(D36&gt;0,'2010 comm sample'!D35/'2010 Comm catch'!D36,"na")</f>
        <v>0.54568527918781728</v>
      </c>
      <c r="P36" s="559">
        <f>IF(E36&gt;0,'2010 comm sample'!E35/'2010 Comm catch'!E36,"na")</f>
        <v>0.9213483146067416</v>
      </c>
      <c r="Q36" s="559">
        <f>IF(F36&gt;0,'2010 comm sample'!F35/'2010 Comm catch'!F36,"na")</f>
        <v>0.78260869565217395</v>
      </c>
      <c r="R36" s="560">
        <f t="shared" si="5"/>
        <v>53.404255319148938</v>
      </c>
      <c r="S36" s="514">
        <f t="shared" si="6"/>
        <v>193.60975609756099</v>
      </c>
      <c r="T36" s="514">
        <f t="shared" si="7"/>
        <v>139.27441860465117</v>
      </c>
      <c r="U36" s="514">
        <f t="shared" si="8"/>
        <v>37.987804878048777</v>
      </c>
      <c r="V36" s="514">
        <f t="shared" si="9"/>
        <v>48.555555555555557</v>
      </c>
      <c r="W36" s="580">
        <f t="shared" si="10"/>
        <v>472.83179045496547</v>
      </c>
      <c r="X36" s="647">
        <f t="shared" si="11"/>
        <v>0.25297212182145457</v>
      </c>
      <c r="Y36" s="691">
        <f t="shared" si="12"/>
        <v>0.47814011289284164</v>
      </c>
    </row>
    <row r="37" spans="1:25" x14ac:dyDescent="0.3">
      <c r="A37" s="34">
        <v>44</v>
      </c>
      <c r="B37" s="485"/>
      <c r="C37" s="457"/>
      <c r="D37" s="457"/>
      <c r="E37" s="457"/>
      <c r="F37" s="457"/>
      <c r="G37" s="515">
        <f t="shared" si="4"/>
        <v>0</v>
      </c>
      <c r="H37" s="532" t="str">
        <f>'2010 comm sample'!L36</f>
        <v>na</v>
      </c>
      <c r="I37" s="532" t="str">
        <f>'2010 comm sample'!M36</f>
        <v>na</v>
      </c>
      <c r="J37" s="532" t="str">
        <f>'2010 comm sample'!N36</f>
        <v>na</v>
      </c>
      <c r="K37" s="532" t="str">
        <f>'2010 comm sample'!O36</f>
        <v>na</v>
      </c>
      <c r="L37" s="533" t="str">
        <f>'2010 comm sample'!P36</f>
        <v>na</v>
      </c>
      <c r="M37" s="558" t="str">
        <f>IF(B37&gt;0,'2010 comm sample'!B36/'2010 Comm catch'!B37,"na")</f>
        <v>na</v>
      </c>
      <c r="N37" s="559" t="str">
        <f>IF(C37&gt;0,'2010 comm sample'!C36/'2010 Comm catch'!C37,"na")</f>
        <v>na</v>
      </c>
      <c r="O37" s="559" t="str">
        <f>IF(D37&gt;0,'2010 comm sample'!D36/'2010 Comm catch'!D37,"na")</f>
        <v>na</v>
      </c>
      <c r="P37" s="559" t="str">
        <f>IF(E37&gt;0,'2010 comm sample'!E36/'2010 Comm catch'!E37,"na")</f>
        <v>na</v>
      </c>
      <c r="Q37" s="559" t="str">
        <f>IF(F37&gt;0,'2010 comm sample'!F36/'2010 Comm catch'!F37,"na")</f>
        <v>na</v>
      </c>
      <c r="R37" s="560">
        <f t="shared" si="5"/>
        <v>0</v>
      </c>
      <c r="S37" s="514">
        <f t="shared" si="6"/>
        <v>0</v>
      </c>
      <c r="T37" s="514">
        <f t="shared" si="7"/>
        <v>0</v>
      </c>
      <c r="U37" s="514">
        <f t="shared" si="8"/>
        <v>0</v>
      </c>
      <c r="V37" s="514">
        <f t="shared" si="9"/>
        <v>0</v>
      </c>
      <c r="W37" s="580">
        <f t="shared" si="10"/>
        <v>0</v>
      </c>
      <c r="X37" s="647" t="e">
        <f t="shared" si="11"/>
        <v>#DIV/0!</v>
      </c>
      <c r="Y37" s="691" t="e">
        <f t="shared" si="12"/>
        <v>#DIV/0!</v>
      </c>
    </row>
    <row r="38" spans="1:25" x14ac:dyDescent="0.3">
      <c r="A38" s="34">
        <v>45</v>
      </c>
      <c r="B38" s="586"/>
      <c r="C38" s="587"/>
      <c r="D38" s="587"/>
      <c r="E38" s="587"/>
      <c r="F38" s="587"/>
      <c r="G38" s="566">
        <f t="shared" si="4"/>
        <v>0</v>
      </c>
      <c r="H38" s="534" t="str">
        <f>'2010 comm sample'!L37</f>
        <v>na</v>
      </c>
      <c r="I38" s="534" t="str">
        <f>'2010 comm sample'!M37</f>
        <v>na</v>
      </c>
      <c r="J38" s="534" t="str">
        <f>'2010 comm sample'!N37</f>
        <v>na</v>
      </c>
      <c r="K38" s="534" t="str">
        <f>'2010 comm sample'!O37</f>
        <v>na</v>
      </c>
      <c r="L38" s="535" t="str">
        <f>'2010 comm sample'!P37</f>
        <v>na</v>
      </c>
      <c r="M38" s="569" t="str">
        <f>IF(B38&gt;0,'2010 comm sample'!B37/'2010 Comm catch'!B38,"na")</f>
        <v>na</v>
      </c>
      <c r="N38" s="570" t="str">
        <f>IF(C38&gt;0,'2010 comm sample'!C37/'2010 Comm catch'!C38,"na")</f>
        <v>na</v>
      </c>
      <c r="O38" s="570" t="str">
        <f>IF(D38&gt;0,'2010 comm sample'!D37/'2010 Comm catch'!D38,"na")</f>
        <v>na</v>
      </c>
      <c r="P38" s="570" t="str">
        <f>IF(E38&gt;0,'2010 comm sample'!E37/'2010 Comm catch'!E38,"na")</f>
        <v>na</v>
      </c>
      <c r="Q38" s="570" t="str">
        <f>IF(F38&gt;0,'2010 comm sample'!F37/'2010 Comm catch'!F38,"na")</f>
        <v>na</v>
      </c>
      <c r="R38" s="588">
        <f t="shared" si="5"/>
        <v>0</v>
      </c>
      <c r="S38" s="589">
        <f t="shared" si="6"/>
        <v>0</v>
      </c>
      <c r="T38" s="589">
        <f t="shared" si="7"/>
        <v>0</v>
      </c>
      <c r="U38" s="589">
        <f t="shared" si="8"/>
        <v>0</v>
      </c>
      <c r="V38" s="589">
        <f t="shared" si="9"/>
        <v>0</v>
      </c>
      <c r="W38" s="590">
        <f t="shared" si="10"/>
        <v>0</v>
      </c>
      <c r="X38" s="647" t="e">
        <f t="shared" si="11"/>
        <v>#DIV/0!</v>
      </c>
      <c r="Y38" s="691" t="e">
        <f t="shared" si="12"/>
        <v>#DIV/0!</v>
      </c>
    </row>
    <row r="39" spans="1:25" x14ac:dyDescent="0.3">
      <c r="A39" s="591" t="s">
        <v>184</v>
      </c>
      <c r="B39" s="592">
        <f>SUM(B25:B38)</f>
        <v>4752</v>
      </c>
      <c r="C39" s="593">
        <f>SUM(C25:C38)</f>
        <v>8240</v>
      </c>
      <c r="D39" s="593">
        <f>SUM(D25:D38)</f>
        <v>3561</v>
      </c>
      <c r="E39" s="593">
        <f>SUM(E25:E38)</f>
        <v>1499</v>
      </c>
      <c r="F39" s="593">
        <f>SUM(F25:F38)</f>
        <v>868</v>
      </c>
      <c r="G39" s="594">
        <f t="shared" si="4"/>
        <v>18920</v>
      </c>
      <c r="H39" s="595">
        <f>'2010 comm sample'!L38</f>
        <v>0.27176416397973285</v>
      </c>
      <c r="I39" s="595">
        <f>'2010 comm sample'!M38</f>
        <v>0.27232331781633518</v>
      </c>
      <c r="J39" s="595">
        <f>'2010 comm sample'!N38</f>
        <v>0.22453151618398637</v>
      </c>
      <c r="K39" s="595">
        <f>'2010 comm sample'!O38</f>
        <v>0.60634081902245707</v>
      </c>
      <c r="L39" s="595">
        <f>'2010 comm sample'!P38</f>
        <v>0.63993710691823902</v>
      </c>
      <c r="M39" s="596">
        <f>IF(B39&gt;0,'2010 comm sample'!B38/'2010 Comm catch'!B39,"na")</f>
        <v>0.45686026936026936</v>
      </c>
      <c r="N39" s="596">
        <f>IF(C39&gt;0,'2010 comm sample'!C38/'2010 Comm catch'!C39,"na")</f>
        <v>0.57354368932038835</v>
      </c>
      <c r="O39" s="596">
        <f>IF(D39&gt;0,'2010 comm sample'!D38/'2010 Comm catch'!D39,"na")</f>
        <v>0.82420668351586635</v>
      </c>
      <c r="P39" s="596">
        <f>IF(E39&gt;0,'2010 comm sample'!E38/'2010 Comm catch'!E39,"na")</f>
        <v>0.50500333555703802</v>
      </c>
      <c r="Q39" s="596">
        <f>IF(F39&gt;0,'2010 comm sample'!F38/'2010 Comm catch'!F39,"na")</f>
        <v>0.73271889400921664</v>
      </c>
      <c r="R39" s="588">
        <f>SUM(R25:R38)</f>
        <v>1303.9386469483709</v>
      </c>
      <c r="S39" s="589">
        <f>SUM(S25:S38)</f>
        <v>2210.9524980330448</v>
      </c>
      <c r="T39" s="589">
        <f>SUM(T25:T38)</f>
        <v>820.10389749396268</v>
      </c>
      <c r="U39" s="589">
        <f>SUM(U25:U38)</f>
        <v>931.48669720300552</v>
      </c>
      <c r="V39" s="589">
        <f>SUM(V25:V38)</f>
        <v>599.55383022968829</v>
      </c>
      <c r="W39" s="590">
        <f t="shared" si="10"/>
        <v>5866.0355699080728</v>
      </c>
      <c r="X39" s="647">
        <f t="shared" si="11"/>
        <v>0.2618857634552878</v>
      </c>
      <c r="Y39" s="691">
        <f t="shared" si="12"/>
        <v>0.64682743026307299</v>
      </c>
    </row>
    <row r="40" spans="1:25" x14ac:dyDescent="0.3">
      <c r="A40" s="591"/>
      <c r="B40" s="597"/>
      <c r="C40" s="597"/>
      <c r="D40" s="597"/>
      <c r="E40" s="597"/>
      <c r="F40" s="597">
        <f>SUM(B39:F39)</f>
        <v>18920</v>
      </c>
      <c r="G40" s="597"/>
      <c r="H40" s="597"/>
      <c r="I40" s="597"/>
      <c r="J40" s="597"/>
      <c r="K40" s="597"/>
      <c r="L40" s="598">
        <f>V40/F40</f>
        <v>0.31004416331438017</v>
      </c>
      <c r="M40" s="597"/>
      <c r="N40" s="597"/>
      <c r="O40" s="597"/>
      <c r="P40" s="597"/>
      <c r="Q40" s="599">
        <f>'2010 comm sample'!F39/'2010 Comm catch'!F40</f>
        <v>0.59328752642706128</v>
      </c>
      <c r="R40" s="597"/>
      <c r="S40" s="597"/>
      <c r="T40" s="597"/>
      <c r="U40" s="597"/>
      <c r="V40" s="597">
        <f>SUM(R39:V39)</f>
        <v>5866.0355699080728</v>
      </c>
    </row>
    <row r="43" spans="1:25" ht="15" x14ac:dyDescent="0.3">
      <c r="A43" s="33"/>
      <c r="B43" s="597"/>
      <c r="C43" s="597"/>
      <c r="D43" s="597"/>
      <c r="F43" s="903" t="s">
        <v>209</v>
      </c>
      <c r="G43" s="904"/>
      <c r="H43" s="904"/>
      <c r="I43" s="905"/>
      <c r="J43" s="597"/>
      <c r="K43" s="597"/>
      <c r="V43" s="597"/>
    </row>
    <row r="44" spans="1:25" x14ac:dyDescent="0.3">
      <c r="A44" s="484" t="s">
        <v>258</v>
      </c>
      <c r="B44" s="600" t="s">
        <v>44</v>
      </c>
      <c r="C44" s="600" t="s">
        <v>55</v>
      </c>
      <c r="D44" s="601" t="s">
        <v>56</v>
      </c>
      <c r="F44" s="367"/>
      <c r="G44" s="175" t="s">
        <v>160</v>
      </c>
      <c r="H44" s="368" t="s">
        <v>161</v>
      </c>
      <c r="I44" s="366" t="s">
        <v>44</v>
      </c>
      <c r="J44" s="913" t="s">
        <v>207</v>
      </c>
      <c r="K44" s="914"/>
    </row>
    <row r="45" spans="1:25" x14ac:dyDescent="0.3">
      <c r="A45" s="485" t="s">
        <v>31</v>
      </c>
      <c r="B45" s="582">
        <f>B19</f>
        <v>28419</v>
      </c>
      <c r="C45" s="582">
        <f>N19</f>
        <v>1009.6203051516825</v>
      </c>
      <c r="D45" s="533">
        <f>C45/B45</f>
        <v>3.5526243187715349E-2</v>
      </c>
      <c r="F45" s="603" t="s">
        <v>31</v>
      </c>
      <c r="G45" s="604">
        <f>C45*J45</f>
        <v>121.1544366182019</v>
      </c>
      <c r="H45" s="605">
        <v>0</v>
      </c>
      <c r="I45" s="606">
        <f>H45+G45</f>
        <v>121.1544366182019</v>
      </c>
      <c r="J45" s="468">
        <v>0.12</v>
      </c>
      <c r="K45" s="515" t="s">
        <v>31</v>
      </c>
    </row>
    <row r="46" spans="1:25" x14ac:dyDescent="0.3">
      <c r="A46" s="485" t="s">
        <v>62</v>
      </c>
      <c r="B46" s="582">
        <f>C19</f>
        <v>6361</v>
      </c>
      <c r="C46" s="582">
        <f>O19</f>
        <v>180.49939061376816</v>
      </c>
      <c r="D46" s="533">
        <f>C46/B46</f>
        <v>2.8375945702526044E-2</v>
      </c>
      <c r="F46" s="367" t="s">
        <v>62</v>
      </c>
      <c r="G46" s="607">
        <f>C46*J46</f>
        <v>36.09987812275363</v>
      </c>
      <c r="H46" s="608">
        <v>0</v>
      </c>
      <c r="I46" s="609">
        <f>H46+G46</f>
        <v>36.09987812275363</v>
      </c>
      <c r="J46" s="468">
        <v>0.2</v>
      </c>
      <c r="K46" s="515" t="s">
        <v>62</v>
      </c>
    </row>
    <row r="47" spans="1:25" x14ac:dyDescent="0.3">
      <c r="A47" s="485" t="s">
        <v>32</v>
      </c>
      <c r="B47" s="582">
        <f>D19</f>
        <v>5659</v>
      </c>
      <c r="C47" s="582">
        <f>P19</f>
        <v>392.91287190059109</v>
      </c>
      <c r="D47" s="533">
        <f>C47/B47</f>
        <v>6.9431502368013973E-2</v>
      </c>
      <c r="F47" s="603" t="s">
        <v>32</v>
      </c>
      <c r="G47" s="604">
        <f>C47*J47</f>
        <v>51.078673347076844</v>
      </c>
      <c r="H47" s="605">
        <v>0</v>
      </c>
      <c r="I47" s="606">
        <f>H47+G47</f>
        <v>51.078673347076844</v>
      </c>
      <c r="J47" s="468">
        <v>0.13</v>
      </c>
      <c r="K47" s="515" t="s">
        <v>32</v>
      </c>
    </row>
    <row r="48" spans="1:25" x14ac:dyDescent="0.3">
      <c r="A48" s="485" t="s">
        <v>203</v>
      </c>
      <c r="B48" s="582">
        <f>E19</f>
        <v>19188</v>
      </c>
      <c r="C48" s="582">
        <f>Q19</f>
        <v>189.52799004307388</v>
      </c>
      <c r="D48" s="533">
        <f>C48/B48</f>
        <v>9.8774228707042885E-3</v>
      </c>
      <c r="F48" s="603" t="s">
        <v>203</v>
      </c>
      <c r="G48" s="604">
        <f>C48*J48</f>
        <v>20.848078904738127</v>
      </c>
      <c r="H48" s="561">
        <v>0</v>
      </c>
      <c r="I48" s="606">
        <f>H48+G48</f>
        <v>20.848078904738127</v>
      </c>
      <c r="J48" s="468">
        <v>0.11</v>
      </c>
      <c r="K48" s="515" t="s">
        <v>203</v>
      </c>
    </row>
    <row r="49" spans="1:11" x14ac:dyDescent="0.3">
      <c r="A49" s="610" t="s">
        <v>61</v>
      </c>
      <c r="B49" s="611">
        <f>SUM(B45:B48)</f>
        <v>59627</v>
      </c>
      <c r="C49" s="611">
        <f>SUM(C45:C48)</f>
        <v>1772.5605577091158</v>
      </c>
      <c r="D49" s="612">
        <f>C49/B49</f>
        <v>2.9727481807052439E-2</v>
      </c>
      <c r="E49" s="34"/>
      <c r="F49" s="613" t="s">
        <v>61</v>
      </c>
      <c r="G49" s="614">
        <f>SUM(G45:G48)</f>
        <v>229.1810669927705</v>
      </c>
      <c r="H49" s="615"/>
      <c r="I49" s="616">
        <f>H49+G49</f>
        <v>229.1810669927705</v>
      </c>
    </row>
    <row r="50" spans="1:11" x14ac:dyDescent="0.3">
      <c r="B50" s="591"/>
      <c r="C50" s="591"/>
      <c r="D50" s="617"/>
      <c r="E50" s="34"/>
      <c r="F50" s="603"/>
      <c r="G50" s="618"/>
      <c r="H50" s="618"/>
      <c r="I50" s="619"/>
      <c r="J50" s="468"/>
      <c r="K50" s="515"/>
    </row>
    <row r="51" spans="1:11" x14ac:dyDescent="0.3">
      <c r="A51" s="484" t="s">
        <v>123</v>
      </c>
      <c r="B51" s="600" t="s">
        <v>44</v>
      </c>
      <c r="C51" s="600" t="s">
        <v>55</v>
      </c>
      <c r="D51" s="601" t="s">
        <v>56</v>
      </c>
      <c r="E51" s="34"/>
      <c r="F51" s="363" t="s">
        <v>123</v>
      </c>
      <c r="G51" s="620" t="s">
        <v>160</v>
      </c>
      <c r="H51" s="562" t="s">
        <v>161</v>
      </c>
      <c r="I51" s="621" t="s">
        <v>44</v>
      </c>
      <c r="J51" s="911" t="s">
        <v>270</v>
      </c>
      <c r="K51" s="912"/>
    </row>
    <row r="52" spans="1:11" x14ac:dyDescent="0.3">
      <c r="A52" s="485">
        <v>1</v>
      </c>
      <c r="B52" s="582">
        <f>B39</f>
        <v>4752</v>
      </c>
      <c r="C52" s="582">
        <f>R39</f>
        <v>1303.9386469483709</v>
      </c>
      <c r="D52" s="533">
        <f t="shared" ref="D52:D57" si="13">C52/B52</f>
        <v>0.27439786341506123</v>
      </c>
      <c r="F52" s="603">
        <v>1</v>
      </c>
      <c r="G52" s="622">
        <f>SUM(R25:R30)*$J$52+R31*$J$53+R32*$J$54+R33*$J$55+R34*$J$56+SUM(R35:R38)*$J$57</f>
        <v>345.41129156999222</v>
      </c>
      <c r="H52" s="622">
        <f>R31*$J$53+R32*$J$54+R33*$J$55+R34*$J$56+SUM(R35:R38)</f>
        <v>958.52735537837873</v>
      </c>
      <c r="I52" s="623">
        <f>H52+G52</f>
        <v>1303.9386469483709</v>
      </c>
      <c r="J52" s="468">
        <v>1</v>
      </c>
      <c r="K52" s="515" t="s">
        <v>206</v>
      </c>
    </row>
    <row r="53" spans="1:11" x14ac:dyDescent="0.3">
      <c r="A53" s="485">
        <v>2</v>
      </c>
      <c r="B53" s="582">
        <f>C39</f>
        <v>8240</v>
      </c>
      <c r="C53" s="582">
        <f>S39</f>
        <v>2210.9524980330448</v>
      </c>
      <c r="D53" s="533">
        <f t="shared" si="13"/>
        <v>0.26831947791663163</v>
      </c>
      <c r="F53" s="603">
        <v>2</v>
      </c>
      <c r="G53" s="622">
        <f>SUM(S25:S30)*$J$52+S31*$J$53+S32*$J$54+S33*$J$55+S34*$J$56+SUM(S35:S38)*$J$57</f>
        <v>180.48387096774195</v>
      </c>
      <c r="H53" s="622">
        <f>S31*$J$53+S32*$J$54+S33*$J$55+S34*$J$56+SUM(S35:S38)</f>
        <v>2030.4686270653028</v>
      </c>
      <c r="I53" s="623">
        <f>H53+G53</f>
        <v>2210.9524980330448</v>
      </c>
      <c r="J53" s="468">
        <v>1</v>
      </c>
      <c r="K53" s="515" t="s">
        <v>204</v>
      </c>
    </row>
    <row r="54" spans="1:11" x14ac:dyDescent="0.3">
      <c r="A54" s="485">
        <v>3</v>
      </c>
      <c r="B54" s="582">
        <f>D39</f>
        <v>3561</v>
      </c>
      <c r="C54" s="582">
        <f>T39</f>
        <v>820.10389749396268</v>
      </c>
      <c r="D54" s="533">
        <f t="shared" si="13"/>
        <v>0.23030157188822317</v>
      </c>
      <c r="F54" s="603">
        <v>3</v>
      </c>
      <c r="G54" s="622">
        <f>SUM(T25:T30)*$J$52+T31*$J$53+T32*$J$54+T33*$J$55+T34*$J$56+SUM(T35:T38)*$J$57</f>
        <v>69.459090909090904</v>
      </c>
      <c r="H54" s="622">
        <f>T31*$J$53+T32*$J$54+T33*$J$55+T34*$J$56+SUM(T35:T38)</f>
        <v>750.64480658487184</v>
      </c>
      <c r="I54" s="623">
        <f>H54+G54</f>
        <v>820.10389749396279</v>
      </c>
      <c r="J54" s="468">
        <v>0.5</v>
      </c>
      <c r="K54" s="515" t="s">
        <v>175</v>
      </c>
    </row>
    <row r="55" spans="1:11" x14ac:dyDescent="0.3">
      <c r="A55" s="485">
        <v>4</v>
      </c>
      <c r="B55" s="582">
        <f>E39</f>
        <v>1499</v>
      </c>
      <c r="C55" s="582">
        <f>U39</f>
        <v>931.48669720300552</v>
      </c>
      <c r="D55" s="533">
        <f t="shared" si="13"/>
        <v>0.62140540173649472</v>
      </c>
      <c r="F55" s="603">
        <v>4</v>
      </c>
      <c r="G55" s="622">
        <f>SUM(U25:U30)*$J$52+U31*$J$53+U32*$J$54+U33*$J$55+U34*$J$56+SUM(U35:U38)*$J$57</f>
        <v>461.2116763783057</v>
      </c>
      <c r="H55" s="622">
        <f>U31*$J$53+U32*$J$54+U33*$J$55+U34*$J$56+SUM(U35:U38)</f>
        <v>470.27502082469977</v>
      </c>
      <c r="I55" s="623">
        <f>H55+G55</f>
        <v>931.48669720300541</v>
      </c>
      <c r="J55" s="468">
        <v>0.5</v>
      </c>
      <c r="K55" s="515" t="s">
        <v>172</v>
      </c>
    </row>
    <row r="56" spans="1:11" x14ac:dyDescent="0.3">
      <c r="A56" s="564">
        <v>5</v>
      </c>
      <c r="B56" s="587">
        <f>F39</f>
        <v>868</v>
      </c>
      <c r="C56" s="587">
        <f>V39</f>
        <v>599.55383022968829</v>
      </c>
      <c r="D56" s="535">
        <f t="shared" si="13"/>
        <v>0.69073021915862709</v>
      </c>
      <c r="F56" s="367">
        <v>5</v>
      </c>
      <c r="G56" s="622">
        <f>SUM(V25:V30)*$J$52+V31*$J$53+V32*$J$54+V33*$J$55+V34*$J$56+SUM(V35:V38)*$J$57</f>
        <v>170.6035920221662</v>
      </c>
      <c r="H56" s="622">
        <f>V31*$J$53+V32*$J$54+V33*$J$55+V34*$J$56+SUM(V35:V38)</f>
        <v>428.95023820752203</v>
      </c>
      <c r="I56" s="623">
        <f>H56+G56</f>
        <v>599.55383022968817</v>
      </c>
      <c r="J56" s="468">
        <v>0.5</v>
      </c>
      <c r="K56" s="515" t="s">
        <v>176</v>
      </c>
    </row>
    <row r="57" spans="1:11" x14ac:dyDescent="0.3">
      <c r="A57" s="547" t="s">
        <v>60</v>
      </c>
      <c r="B57" s="624">
        <f>SUM(B52:B56)</f>
        <v>18920</v>
      </c>
      <c r="C57" s="624">
        <f>SUM(C52:C56)</f>
        <v>5866.0355699080728</v>
      </c>
      <c r="D57" s="625">
        <f t="shared" si="13"/>
        <v>0.31004416331438017</v>
      </c>
      <c r="F57" s="361" t="s">
        <v>60</v>
      </c>
      <c r="G57" s="615">
        <f>SUM(G52:G56)</f>
        <v>1227.1695218472969</v>
      </c>
      <c r="H57" s="615">
        <f>SUM(H52:H56)</f>
        <v>4638.8660480607741</v>
      </c>
      <c r="I57" s="615">
        <f>SUM(I52:I56)</f>
        <v>5866.0355699080719</v>
      </c>
      <c r="J57" s="468">
        <v>0</v>
      </c>
      <c r="K57" s="515" t="s">
        <v>205</v>
      </c>
    </row>
    <row r="58" spans="1:11" x14ac:dyDescent="0.3">
      <c r="A58" s="33"/>
      <c r="B58" s="626"/>
      <c r="C58" s="626"/>
      <c r="D58" s="598"/>
      <c r="F58" s="627"/>
      <c r="G58" s="607"/>
      <c r="H58" s="628"/>
      <c r="I58" s="628"/>
    </row>
    <row r="59" spans="1:11" ht="15.5" x14ac:dyDescent="0.35">
      <c r="A59" s="33"/>
      <c r="F59" s="629" t="s">
        <v>44</v>
      </c>
      <c r="G59" s="630">
        <f>G57+G49</f>
        <v>1456.3505888400673</v>
      </c>
      <c r="H59" s="630">
        <f>H57+H49</f>
        <v>4638.8660480607741</v>
      </c>
      <c r="I59" s="631">
        <f>H59+G59</f>
        <v>6095.216636900841</v>
      </c>
    </row>
    <row r="60" spans="1:11" x14ac:dyDescent="0.3">
      <c r="A60" s="610" t="s">
        <v>69</v>
      </c>
      <c r="B60" s="632">
        <f>B49+B57</f>
        <v>78547</v>
      </c>
      <c r="C60" s="632">
        <f>C49+C57</f>
        <v>7638.5961276171884</v>
      </c>
      <c r="D60" s="612">
        <f>C60/B60</f>
        <v>9.7248731684433376E-2</v>
      </c>
      <c r="F60" s="908" t="s">
        <v>210</v>
      </c>
      <c r="G60" s="908"/>
      <c r="H60" s="908"/>
      <c r="I60" s="908"/>
    </row>
    <row r="61" spans="1:11" ht="12.5" x14ac:dyDescent="0.25">
      <c r="A61" s="33"/>
      <c r="C61" s="633"/>
      <c r="D61" s="622"/>
      <c r="G61" s="597"/>
      <c r="K61" s="633"/>
    </row>
    <row r="62" spans="1:11" x14ac:dyDescent="0.3">
      <c r="A62" s="903" t="s">
        <v>208</v>
      </c>
      <c r="B62" s="904"/>
      <c r="C62" s="904"/>
      <c r="D62" s="905"/>
      <c r="K62" s="633"/>
    </row>
    <row r="63" spans="1:11" x14ac:dyDescent="0.3">
      <c r="A63" s="603" t="s">
        <v>258</v>
      </c>
      <c r="B63" s="165" t="s">
        <v>160</v>
      </c>
      <c r="C63" s="634" t="s">
        <v>161</v>
      </c>
      <c r="D63" s="369" t="s">
        <v>44</v>
      </c>
      <c r="K63" s="633"/>
    </row>
    <row r="64" spans="1:11" ht="12.5" x14ac:dyDescent="0.25">
      <c r="A64" s="485" t="s">
        <v>31</v>
      </c>
      <c r="B64" s="582">
        <f>B19</f>
        <v>28419</v>
      </c>
      <c r="C64" s="561">
        <v>0</v>
      </c>
      <c r="D64" s="496">
        <f>C64+B64</f>
        <v>28419</v>
      </c>
    </row>
    <row r="65" spans="1:11" ht="12.5" x14ac:dyDescent="0.25">
      <c r="A65" s="485" t="s">
        <v>62</v>
      </c>
      <c r="B65" s="582">
        <f>C19</f>
        <v>6361</v>
      </c>
      <c r="C65" s="605">
        <v>0</v>
      </c>
      <c r="D65" s="496">
        <f>C65+B65</f>
        <v>6361</v>
      </c>
      <c r="J65" s="633"/>
      <c r="K65" s="622"/>
    </row>
    <row r="66" spans="1:11" ht="12.5" x14ac:dyDescent="0.25">
      <c r="A66" s="485" t="s">
        <v>32</v>
      </c>
      <c r="B66" s="582">
        <f>D19</f>
        <v>5659</v>
      </c>
      <c r="C66" s="605">
        <v>0</v>
      </c>
      <c r="D66" s="496">
        <f>C66+B66</f>
        <v>5659</v>
      </c>
      <c r="K66" s="622"/>
    </row>
    <row r="67" spans="1:11" ht="12.5" x14ac:dyDescent="0.25">
      <c r="A67" s="485" t="s">
        <v>203</v>
      </c>
      <c r="B67" s="582">
        <f>E19</f>
        <v>19188</v>
      </c>
      <c r="C67" s="608">
        <v>0</v>
      </c>
      <c r="D67" s="496">
        <f>C67+B67</f>
        <v>19188</v>
      </c>
    </row>
    <row r="68" spans="1:11" x14ac:dyDescent="0.3">
      <c r="A68" s="635" t="s">
        <v>61</v>
      </c>
      <c r="B68" s="636">
        <f>SUM(B64:B67)</f>
        <v>59627</v>
      </c>
      <c r="C68" s="636">
        <f>SUM(C64:C67)</f>
        <v>0</v>
      </c>
      <c r="D68" s="637">
        <f>SUM(D64:D67)</f>
        <v>59627</v>
      </c>
    </row>
    <row r="69" spans="1:11" x14ac:dyDescent="0.3">
      <c r="A69" s="603" t="s">
        <v>123</v>
      </c>
      <c r="B69" s="165" t="s">
        <v>160</v>
      </c>
      <c r="C69" s="634" t="s">
        <v>161</v>
      </c>
      <c r="D69" s="369" t="s">
        <v>44</v>
      </c>
    </row>
    <row r="70" spans="1:11" ht="12.5" x14ac:dyDescent="0.25">
      <c r="A70" s="602">
        <v>1</v>
      </c>
      <c r="B70" s="638">
        <f>SUM(B25:B30)*$J$52+B31*$J$53+B32*$J$54+B33*$J$55+B34*$J$56</f>
        <v>1212</v>
      </c>
      <c r="C70" s="639">
        <f>B31*$J$53+B32*$J$54+B33*$J$55+B34*$J$56+SUM(B35:B38)</f>
        <v>3540</v>
      </c>
      <c r="D70" s="648">
        <f>C70+B70</f>
        <v>4752</v>
      </c>
    </row>
    <row r="71" spans="1:11" ht="12.5" x14ac:dyDescent="0.25">
      <c r="A71" s="602">
        <v>2</v>
      </c>
      <c r="B71" s="597">
        <f>SUM(C25:C30)*$J$52+C31*$J$53+C32*$J$54+C33*$J$55+C34*$J$56</f>
        <v>607.5</v>
      </c>
      <c r="C71" s="597">
        <f>C31*$J$53+C32*$J$54+C33*$J$55+C34*$J$56+SUM(C35:C38)</f>
        <v>7632.5</v>
      </c>
      <c r="D71" s="648">
        <f>C71+B71</f>
        <v>8240</v>
      </c>
    </row>
    <row r="72" spans="1:11" ht="12.5" x14ac:dyDescent="0.25">
      <c r="A72" s="602">
        <v>3</v>
      </c>
      <c r="B72" s="597">
        <f>SUM(D25:D30)*$J$52+D31*$J$53+D32*$J$54+D33*$J$55+D34*$J$56</f>
        <v>216.5</v>
      </c>
      <c r="C72" s="597">
        <f>D31*$J$53+D32*$J$54+D33*$J$55+D34*$J$56+SUM(D35:D38)</f>
        <v>3344.5</v>
      </c>
      <c r="D72" s="648">
        <f>C72+B72</f>
        <v>3561</v>
      </c>
    </row>
    <row r="73" spans="1:11" ht="12.5" x14ac:dyDescent="0.25">
      <c r="A73" s="602">
        <v>4</v>
      </c>
      <c r="B73" s="597">
        <f>SUM(E25:E30)*$J$52+E31*$J$53+E32*$J$54+E33*$J$55+E34*$J$56</f>
        <v>711.5</v>
      </c>
      <c r="C73" s="597">
        <f>E31*$J$53+E32*$J$54+E33*$J$55+E34*$J$56+SUM(E35:E38)</f>
        <v>787.5</v>
      </c>
      <c r="D73" s="648">
        <f>C73+B73</f>
        <v>1499</v>
      </c>
    </row>
    <row r="74" spans="1:11" ht="12.5" x14ac:dyDescent="0.25">
      <c r="A74" s="627">
        <v>5</v>
      </c>
      <c r="B74" s="597">
        <f>SUM(F25:F30)*$J$52+F31*$J$53+F32*$J$54+F33*$J$55+F34*$J$56</f>
        <v>267.5</v>
      </c>
      <c r="C74" s="597">
        <f>F31*$J$53+F32*$J$54+F33*$J$55+F34*$J$56+SUM(F35:F38)</f>
        <v>600.5</v>
      </c>
      <c r="D74" s="648">
        <f>C74+B74</f>
        <v>868</v>
      </c>
    </row>
    <row r="75" spans="1:11" x14ac:dyDescent="0.3">
      <c r="A75" s="635" t="s">
        <v>60</v>
      </c>
      <c r="B75" s="649">
        <f>SUM(B70:B74)</f>
        <v>3015</v>
      </c>
      <c r="C75" s="649">
        <f>SUM(C70:C74)</f>
        <v>15905</v>
      </c>
      <c r="D75" s="650">
        <f>SUM(D70:D74)</f>
        <v>18920</v>
      </c>
    </row>
    <row r="76" spans="1:11" x14ac:dyDescent="0.3">
      <c r="A76" s="367" t="s">
        <v>44</v>
      </c>
      <c r="B76" s="651">
        <f>B75+B68</f>
        <v>62642</v>
      </c>
      <c r="C76" s="652">
        <f>C75+C68</f>
        <v>15905</v>
      </c>
      <c r="D76" s="653">
        <f>C76+B76</f>
        <v>78547</v>
      </c>
    </row>
  </sheetData>
  <mergeCells count="13">
    <mergeCell ref="F43:I43"/>
    <mergeCell ref="A62:D62"/>
    <mergeCell ref="F60:I60"/>
    <mergeCell ref="J44:K44"/>
    <mergeCell ref="J51:K51"/>
    <mergeCell ref="B23:G23"/>
    <mergeCell ref="R23:W23"/>
    <mergeCell ref="B3:E3"/>
    <mergeCell ref="F3:I3"/>
    <mergeCell ref="J3:M3"/>
    <mergeCell ref="N3:Q3"/>
    <mergeCell ref="M23:Q23"/>
    <mergeCell ref="H23:L23"/>
  </mergeCells>
  <phoneticPr fontId="4" type="noConversion"/>
  <pageMargins left="0.75" right="0.75" top="1" bottom="1" header="0.5" footer="0.5"/>
  <pageSetup scale="49" orientation="landscape"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39"/>
  <sheetViews>
    <sheetView workbookViewId="0">
      <pane xSplit="1" topLeftCell="B1" activePane="topRight" state="frozen"/>
      <selection activeCell="I30" sqref="I30"/>
      <selection pane="topRight" activeCell="I30" sqref="I30"/>
    </sheetView>
  </sheetViews>
  <sheetFormatPr defaultRowHeight="12.5" x14ac:dyDescent="0.25"/>
  <cols>
    <col min="1" max="1" width="5.81640625" bestFit="1" customWidth="1"/>
    <col min="2" max="2" width="11.1796875" bestFit="1" customWidth="1"/>
    <col min="3" max="3" width="9.453125" bestFit="1" customWidth="1"/>
    <col min="4" max="4" width="7.453125" bestFit="1" customWidth="1"/>
    <col min="5" max="5" width="7.1796875" bestFit="1" customWidth="1"/>
    <col min="6" max="6" width="11.1796875" bestFit="1" customWidth="1"/>
    <col min="7" max="7" width="9.453125" bestFit="1" customWidth="1"/>
    <col min="8" max="8" width="7.453125" bestFit="1" customWidth="1"/>
    <col min="9" max="9" width="7.1796875" bestFit="1" customWidth="1"/>
    <col min="10" max="10" width="11.1796875" bestFit="1" customWidth="1"/>
    <col min="11" max="11" width="9.453125" bestFit="1" customWidth="1"/>
    <col min="12" max="12" width="7.453125" bestFit="1" customWidth="1"/>
    <col min="13" max="13" width="7.1796875" bestFit="1" customWidth="1"/>
    <col min="14" max="14" width="7" bestFit="1" customWidth="1"/>
    <col min="15" max="15" width="8.26953125" bestFit="1" customWidth="1"/>
    <col min="16" max="16" width="7" bestFit="1" customWidth="1"/>
  </cols>
  <sheetData>
    <row r="1" spans="1:13" ht="13" x14ac:dyDescent="0.3">
      <c r="B1" s="2" t="s">
        <v>258</v>
      </c>
    </row>
    <row r="2" spans="1:13" x14ac:dyDescent="0.25">
      <c r="B2" s="900" t="s">
        <v>265</v>
      </c>
      <c r="C2" s="901"/>
      <c r="D2" s="901"/>
      <c r="E2" s="902"/>
      <c r="F2" s="900" t="s">
        <v>266</v>
      </c>
      <c r="G2" s="901"/>
      <c r="H2" s="901"/>
      <c r="I2" s="902"/>
      <c r="J2" s="900" t="s">
        <v>267</v>
      </c>
      <c r="K2" s="901"/>
      <c r="L2" s="901"/>
      <c r="M2" s="902"/>
    </row>
    <row r="3" spans="1:13" x14ac:dyDescent="0.25">
      <c r="A3" t="s">
        <v>134</v>
      </c>
      <c r="B3" s="274" t="s">
        <v>31</v>
      </c>
      <c r="C3" s="42" t="s">
        <v>62</v>
      </c>
      <c r="D3" s="42" t="s">
        <v>260</v>
      </c>
      <c r="E3" s="134" t="s">
        <v>203</v>
      </c>
      <c r="F3" s="274" t="s">
        <v>31</v>
      </c>
      <c r="G3" s="42" t="s">
        <v>62</v>
      </c>
      <c r="H3" s="42" t="s">
        <v>260</v>
      </c>
      <c r="I3" s="134" t="s">
        <v>203</v>
      </c>
      <c r="J3" s="274" t="s">
        <v>31</v>
      </c>
      <c r="K3" s="42" t="s">
        <v>62</v>
      </c>
      <c r="L3" s="42" t="s">
        <v>260</v>
      </c>
      <c r="M3" s="134" t="s">
        <v>203</v>
      </c>
    </row>
    <row r="4" spans="1:13" x14ac:dyDescent="0.25">
      <c r="A4">
        <v>32</v>
      </c>
      <c r="B4" s="276">
        <v>1</v>
      </c>
      <c r="C4" s="401"/>
      <c r="D4" s="401"/>
      <c r="E4" s="277"/>
      <c r="F4" s="44">
        <v>0</v>
      </c>
      <c r="G4" s="44"/>
      <c r="H4" s="44"/>
      <c r="I4" s="44"/>
      <c r="J4" s="521">
        <f t="shared" ref="J4:J17" si="0">IF(B4&gt;0,F4/B4,"na")</f>
        <v>0</v>
      </c>
      <c r="K4" s="522" t="str">
        <f t="shared" ref="K4:K17" si="1">IF(C4&gt;0,G4/C4,"na")</f>
        <v>na</v>
      </c>
      <c r="L4" s="522" t="str">
        <f t="shared" ref="L4:L17" si="2">IF(D4&gt;0,H4/D4,"na")</f>
        <v>na</v>
      </c>
      <c r="M4" s="523" t="str">
        <f t="shared" ref="M4:M17" si="3">IF(E4&gt;0,I4/E4,"na")</f>
        <v>na</v>
      </c>
    </row>
    <row r="5" spans="1:13" x14ac:dyDescent="0.25">
      <c r="A5">
        <v>33</v>
      </c>
      <c r="B5" s="128">
        <v>2</v>
      </c>
      <c r="C5" s="44"/>
      <c r="D5" s="44"/>
      <c r="E5" s="130"/>
      <c r="F5" s="44">
        <v>0</v>
      </c>
      <c r="G5" s="44"/>
      <c r="H5" s="44"/>
      <c r="I5" s="44"/>
      <c r="J5" s="524">
        <f t="shared" si="0"/>
        <v>0</v>
      </c>
      <c r="K5" s="525" t="str">
        <f t="shared" si="1"/>
        <v>na</v>
      </c>
      <c r="L5" s="525" t="str">
        <f t="shared" si="2"/>
        <v>na</v>
      </c>
      <c r="M5" s="526" t="str">
        <f t="shared" si="3"/>
        <v>na</v>
      </c>
    </row>
    <row r="6" spans="1:13" x14ac:dyDescent="0.25">
      <c r="A6">
        <v>34</v>
      </c>
      <c r="B6" s="128">
        <v>1</v>
      </c>
      <c r="C6" s="44"/>
      <c r="D6" s="44"/>
      <c r="E6" s="130">
        <v>2</v>
      </c>
      <c r="F6" s="73">
        <v>0</v>
      </c>
      <c r="G6" s="44"/>
      <c r="H6" s="44"/>
      <c r="I6" s="44">
        <v>0</v>
      </c>
      <c r="J6" s="524">
        <f t="shared" si="0"/>
        <v>0</v>
      </c>
      <c r="K6" s="525" t="str">
        <f t="shared" si="1"/>
        <v>na</v>
      </c>
      <c r="L6" s="525" t="str">
        <f t="shared" si="2"/>
        <v>na</v>
      </c>
      <c r="M6" s="526">
        <f t="shared" si="3"/>
        <v>0</v>
      </c>
    </row>
    <row r="7" spans="1:13" x14ac:dyDescent="0.25">
      <c r="A7">
        <v>35</v>
      </c>
      <c r="B7" s="128">
        <v>370</v>
      </c>
      <c r="C7" s="73"/>
      <c r="D7" s="44"/>
      <c r="E7" s="130">
        <v>89</v>
      </c>
      <c r="F7" s="73">
        <v>14</v>
      </c>
      <c r="G7" s="44"/>
      <c r="H7" s="44"/>
      <c r="I7" s="44">
        <v>1</v>
      </c>
      <c r="J7" s="524">
        <f t="shared" si="0"/>
        <v>3.783783783783784E-2</v>
      </c>
      <c r="K7" s="525" t="str">
        <f t="shared" si="1"/>
        <v>na</v>
      </c>
      <c r="L7" s="525" t="str">
        <f t="shared" si="2"/>
        <v>na</v>
      </c>
      <c r="M7" s="526">
        <f t="shared" si="3"/>
        <v>1.1235955056179775E-2</v>
      </c>
    </row>
    <row r="8" spans="1:13" x14ac:dyDescent="0.25">
      <c r="A8">
        <v>36</v>
      </c>
      <c r="B8" s="128">
        <v>2663</v>
      </c>
      <c r="C8" s="73">
        <v>211</v>
      </c>
      <c r="D8" s="73">
        <v>94</v>
      </c>
      <c r="E8" s="130">
        <v>709</v>
      </c>
      <c r="F8" s="73">
        <v>88</v>
      </c>
      <c r="G8" s="73">
        <v>4</v>
      </c>
      <c r="H8" s="73">
        <v>3</v>
      </c>
      <c r="I8" s="73">
        <v>14</v>
      </c>
      <c r="J8" s="524">
        <f t="shared" si="0"/>
        <v>3.3045437476530229E-2</v>
      </c>
      <c r="K8" s="525">
        <f t="shared" si="1"/>
        <v>1.8957345971563982E-2</v>
      </c>
      <c r="L8" s="525">
        <f t="shared" si="2"/>
        <v>3.1914893617021274E-2</v>
      </c>
      <c r="M8" s="526">
        <f t="shared" si="3"/>
        <v>1.9746121297602257E-2</v>
      </c>
    </row>
    <row r="9" spans="1:13" x14ac:dyDescent="0.25">
      <c r="A9">
        <v>37</v>
      </c>
      <c r="B9" s="128">
        <v>2650</v>
      </c>
      <c r="C9" s="73">
        <v>132</v>
      </c>
      <c r="D9" s="73">
        <v>247</v>
      </c>
      <c r="E9" s="130">
        <v>1651</v>
      </c>
      <c r="F9" s="73">
        <v>107</v>
      </c>
      <c r="G9" s="73">
        <v>3</v>
      </c>
      <c r="H9" s="73">
        <v>10</v>
      </c>
      <c r="I9" s="73">
        <v>17</v>
      </c>
      <c r="J9" s="524">
        <f t="shared" si="0"/>
        <v>4.0377358490566034E-2</v>
      </c>
      <c r="K9" s="525">
        <f t="shared" si="1"/>
        <v>2.2727272727272728E-2</v>
      </c>
      <c r="L9" s="525">
        <f t="shared" si="2"/>
        <v>4.048582995951417E-2</v>
      </c>
      <c r="M9" s="526">
        <f t="shared" si="3"/>
        <v>1.029678982434888E-2</v>
      </c>
    </row>
    <row r="10" spans="1:13" x14ac:dyDescent="0.25">
      <c r="A10">
        <v>38</v>
      </c>
      <c r="B10" s="128">
        <v>939</v>
      </c>
      <c r="C10" s="73">
        <v>379</v>
      </c>
      <c r="D10" s="73">
        <v>524</v>
      </c>
      <c r="E10" s="130">
        <v>1664</v>
      </c>
      <c r="F10" s="73">
        <v>27</v>
      </c>
      <c r="G10" s="73">
        <v>19</v>
      </c>
      <c r="H10" s="73">
        <v>48</v>
      </c>
      <c r="I10" s="73">
        <v>9</v>
      </c>
      <c r="J10" s="524">
        <f t="shared" si="0"/>
        <v>2.8753993610223641E-2</v>
      </c>
      <c r="K10" s="525">
        <f t="shared" si="1"/>
        <v>5.0131926121372031E-2</v>
      </c>
      <c r="L10" s="525">
        <f t="shared" si="2"/>
        <v>9.1603053435114504E-2</v>
      </c>
      <c r="M10" s="526">
        <f t="shared" si="3"/>
        <v>5.408653846153846E-3</v>
      </c>
    </row>
    <row r="11" spans="1:13" x14ac:dyDescent="0.25">
      <c r="A11">
        <v>39</v>
      </c>
      <c r="B11" s="128">
        <v>924</v>
      </c>
      <c r="C11" s="73">
        <v>0</v>
      </c>
      <c r="D11" s="73">
        <v>212</v>
      </c>
      <c r="E11" s="130">
        <v>3332</v>
      </c>
      <c r="F11" s="73">
        <v>41</v>
      </c>
      <c r="G11" s="73">
        <v>0</v>
      </c>
      <c r="H11" s="73">
        <v>17</v>
      </c>
      <c r="I11" s="73">
        <v>32</v>
      </c>
      <c r="J11" s="524">
        <f t="shared" si="0"/>
        <v>4.4372294372294376E-2</v>
      </c>
      <c r="K11" s="642" t="str">
        <f t="shared" si="1"/>
        <v>na</v>
      </c>
      <c r="L11" s="525">
        <f t="shared" si="2"/>
        <v>8.0188679245283015E-2</v>
      </c>
      <c r="M11" s="526">
        <f t="shared" si="3"/>
        <v>9.6038415366146452E-3</v>
      </c>
    </row>
    <row r="12" spans="1:13" x14ac:dyDescent="0.25">
      <c r="A12">
        <v>40</v>
      </c>
      <c r="B12" s="128">
        <v>124</v>
      </c>
      <c r="C12" s="73">
        <v>96</v>
      </c>
      <c r="D12" s="73">
        <v>253</v>
      </c>
      <c r="E12" s="130">
        <v>1073</v>
      </c>
      <c r="F12" s="73">
        <v>6</v>
      </c>
      <c r="G12" s="73">
        <v>5</v>
      </c>
      <c r="H12" s="73">
        <v>28</v>
      </c>
      <c r="I12" s="73">
        <v>7</v>
      </c>
      <c r="J12" s="524">
        <f t="shared" si="0"/>
        <v>4.8387096774193547E-2</v>
      </c>
      <c r="K12" s="525">
        <f t="shared" si="1"/>
        <v>5.2083333333333336E-2</v>
      </c>
      <c r="L12" s="525">
        <f t="shared" si="2"/>
        <v>0.11067193675889328</v>
      </c>
      <c r="M12" s="526">
        <f t="shared" si="3"/>
        <v>6.5237651444547996E-3</v>
      </c>
    </row>
    <row r="13" spans="1:13" x14ac:dyDescent="0.25">
      <c r="A13">
        <v>41</v>
      </c>
      <c r="B13" s="128">
        <v>11</v>
      </c>
      <c r="C13" s="73">
        <v>0</v>
      </c>
      <c r="D13" s="73">
        <v>31</v>
      </c>
      <c r="E13" s="130">
        <v>85</v>
      </c>
      <c r="F13" s="73">
        <v>0</v>
      </c>
      <c r="G13" s="73">
        <v>0</v>
      </c>
      <c r="H13" s="73">
        <v>2</v>
      </c>
      <c r="I13" s="73">
        <v>2</v>
      </c>
      <c r="J13" s="524">
        <f t="shared" si="0"/>
        <v>0</v>
      </c>
      <c r="K13" s="525" t="str">
        <f t="shared" si="1"/>
        <v>na</v>
      </c>
      <c r="L13" s="525">
        <f t="shared" si="2"/>
        <v>6.4516129032258063E-2</v>
      </c>
      <c r="M13" s="526">
        <f t="shared" si="3"/>
        <v>2.3529411764705882E-2</v>
      </c>
    </row>
    <row r="14" spans="1:13" x14ac:dyDescent="0.25">
      <c r="A14">
        <v>42</v>
      </c>
      <c r="B14" s="128">
        <v>16</v>
      </c>
      <c r="C14" s="73"/>
      <c r="D14" s="73">
        <v>66</v>
      </c>
      <c r="E14" s="130">
        <v>347</v>
      </c>
      <c r="F14" s="73">
        <v>0</v>
      </c>
      <c r="G14" s="73"/>
      <c r="H14" s="73">
        <v>3</v>
      </c>
      <c r="I14" s="73">
        <v>5</v>
      </c>
      <c r="J14" s="410">
        <f t="shared" si="0"/>
        <v>0</v>
      </c>
      <c r="K14" s="402" t="str">
        <f t="shared" si="1"/>
        <v>na</v>
      </c>
      <c r="L14" s="402">
        <f t="shared" si="2"/>
        <v>4.5454545454545456E-2</v>
      </c>
      <c r="M14" s="411">
        <f t="shared" si="3"/>
        <v>1.4409221902017291E-2</v>
      </c>
    </row>
    <row r="15" spans="1:13" x14ac:dyDescent="0.25">
      <c r="A15">
        <v>43</v>
      </c>
      <c r="B15" s="128">
        <v>4</v>
      </c>
      <c r="C15" s="73"/>
      <c r="D15" s="73">
        <v>154</v>
      </c>
      <c r="E15" s="130">
        <v>0</v>
      </c>
      <c r="F15" s="73">
        <v>2</v>
      </c>
      <c r="G15" s="73"/>
      <c r="H15" s="73">
        <v>12</v>
      </c>
      <c r="I15" s="73">
        <v>0</v>
      </c>
      <c r="J15" s="410">
        <f t="shared" si="0"/>
        <v>0.5</v>
      </c>
      <c r="K15" s="402" t="str">
        <f t="shared" si="1"/>
        <v>na</v>
      </c>
      <c r="L15" s="402">
        <f t="shared" si="2"/>
        <v>7.792207792207792E-2</v>
      </c>
      <c r="M15" s="411" t="str">
        <f t="shared" si="3"/>
        <v>na</v>
      </c>
    </row>
    <row r="16" spans="1:13" x14ac:dyDescent="0.25">
      <c r="A16">
        <v>44</v>
      </c>
      <c r="B16" s="128">
        <v>0</v>
      </c>
      <c r="C16" s="44"/>
      <c r="D16" s="73">
        <v>0</v>
      </c>
      <c r="E16" s="130"/>
      <c r="F16" s="73">
        <v>0</v>
      </c>
      <c r="G16" s="73"/>
      <c r="H16" s="73">
        <v>0</v>
      </c>
      <c r="I16" s="73"/>
      <c r="J16" s="410" t="str">
        <f t="shared" si="0"/>
        <v>na</v>
      </c>
      <c r="K16" s="402" t="str">
        <f t="shared" si="1"/>
        <v>na</v>
      </c>
      <c r="L16" s="402" t="str">
        <f t="shared" si="2"/>
        <v>na</v>
      </c>
      <c r="M16" s="411" t="str">
        <f t="shared" si="3"/>
        <v>na</v>
      </c>
    </row>
    <row r="17" spans="1:17" x14ac:dyDescent="0.25">
      <c r="A17">
        <v>45</v>
      </c>
      <c r="B17" s="274"/>
      <c r="C17" s="42"/>
      <c r="D17" s="42"/>
      <c r="E17" s="134"/>
      <c r="F17" s="73"/>
      <c r="G17" s="73"/>
      <c r="H17" s="73"/>
      <c r="I17" s="73"/>
      <c r="J17" s="412" t="str">
        <f t="shared" si="0"/>
        <v>na</v>
      </c>
      <c r="K17" s="229" t="str">
        <f t="shared" si="1"/>
        <v>na</v>
      </c>
      <c r="L17" s="229" t="str">
        <f t="shared" si="2"/>
        <v>na</v>
      </c>
      <c r="M17" s="413" t="str">
        <f t="shared" si="3"/>
        <v>na</v>
      </c>
    </row>
    <row r="18" spans="1:17" x14ac:dyDescent="0.25">
      <c r="A18" t="s">
        <v>184</v>
      </c>
      <c r="B18" s="274">
        <f t="shared" ref="B18:I18" si="4">SUM(B4:B17)</f>
        <v>7705</v>
      </c>
      <c r="C18" s="42">
        <f t="shared" si="4"/>
        <v>818</v>
      </c>
      <c r="D18" s="42">
        <f t="shared" si="4"/>
        <v>1581</v>
      </c>
      <c r="E18" s="42">
        <f t="shared" si="4"/>
        <v>8952</v>
      </c>
      <c r="F18" s="329">
        <f t="shared" si="4"/>
        <v>285</v>
      </c>
      <c r="G18" s="195">
        <f t="shared" si="4"/>
        <v>31</v>
      </c>
      <c r="H18" s="195">
        <f t="shared" si="4"/>
        <v>123</v>
      </c>
      <c r="I18" s="403">
        <f t="shared" si="4"/>
        <v>87</v>
      </c>
      <c r="J18" s="527">
        <f>F18/B18</f>
        <v>3.698896820246593E-2</v>
      </c>
      <c r="K18" s="528">
        <f>G18/C18</f>
        <v>3.7897310513447434E-2</v>
      </c>
      <c r="L18" s="528">
        <f>H18/D18</f>
        <v>7.7798861480075907E-2</v>
      </c>
      <c r="M18" s="529">
        <f>I18/E18</f>
        <v>9.7184986595174258E-3</v>
      </c>
    </row>
    <row r="19" spans="1:17" x14ac:dyDescent="0.25">
      <c r="E19">
        <f>SUM(B18:E18)</f>
        <v>19056</v>
      </c>
      <c r="I19">
        <f>SUM(F18:I18)</f>
        <v>526</v>
      </c>
      <c r="M19" s="530">
        <f>I19/E19</f>
        <v>2.7602854743912678E-2</v>
      </c>
    </row>
    <row r="21" spans="1:17" ht="13" x14ac:dyDescent="0.3">
      <c r="B21" s="2" t="s">
        <v>123</v>
      </c>
    </row>
    <row r="22" spans="1:17" x14ac:dyDescent="0.25">
      <c r="B22" s="900" t="s">
        <v>268</v>
      </c>
      <c r="C22" s="901"/>
      <c r="D22" s="901"/>
      <c r="E22" s="901"/>
      <c r="F22" s="902"/>
      <c r="G22" s="900" t="s">
        <v>269</v>
      </c>
      <c r="H22" s="901"/>
      <c r="I22" s="901"/>
      <c r="J22" s="901"/>
      <c r="K22" s="902"/>
      <c r="L22" s="900" t="s">
        <v>56</v>
      </c>
      <c r="M22" s="901"/>
      <c r="N22" s="901"/>
      <c r="O22" s="901"/>
      <c r="P22" s="902"/>
      <c r="Q22" s="417"/>
    </row>
    <row r="23" spans="1:17" x14ac:dyDescent="0.25">
      <c r="A23" t="s">
        <v>134</v>
      </c>
      <c r="B23" s="274">
        <v>1</v>
      </c>
      <c r="C23" s="42">
        <v>2</v>
      </c>
      <c r="D23" s="42">
        <v>3</v>
      </c>
      <c r="E23" s="42">
        <v>4</v>
      </c>
      <c r="F23" s="134">
        <v>5</v>
      </c>
      <c r="G23" s="274">
        <v>1</v>
      </c>
      <c r="H23" s="42">
        <v>2</v>
      </c>
      <c r="I23" s="42">
        <v>3</v>
      </c>
      <c r="J23" s="42">
        <v>4</v>
      </c>
      <c r="K23" s="134">
        <v>5</v>
      </c>
      <c r="L23" s="274">
        <v>1</v>
      </c>
      <c r="M23" s="42">
        <v>2</v>
      </c>
      <c r="N23" s="42">
        <v>3</v>
      </c>
      <c r="O23" s="42">
        <v>4</v>
      </c>
      <c r="P23" s="134">
        <v>5</v>
      </c>
      <c r="Q23" s="44"/>
    </row>
    <row r="24" spans="1:17" x14ac:dyDescent="0.25">
      <c r="A24">
        <v>32</v>
      </c>
      <c r="B24" s="128">
        <v>6</v>
      </c>
      <c r="C24" s="44"/>
      <c r="D24" s="73"/>
      <c r="E24" s="73"/>
      <c r="F24" s="130"/>
      <c r="G24" s="276">
        <v>2</v>
      </c>
      <c r="H24" s="401"/>
      <c r="I24" s="401"/>
      <c r="J24" s="401"/>
      <c r="K24" s="277"/>
      <c r="L24" s="521">
        <f t="shared" ref="L24:L37" si="5">IF(B24&gt;0,G24/B24,"na")</f>
        <v>0.33333333333333331</v>
      </c>
      <c r="M24" s="522" t="str">
        <f t="shared" ref="M24:M37" si="6">IF(C24&gt;0,H24/C24,"na")</f>
        <v>na</v>
      </c>
      <c r="N24" s="522" t="str">
        <f t="shared" ref="N24:N37" si="7">IF(D24&gt;0,I24/D24,"na")</f>
        <v>na</v>
      </c>
      <c r="O24" s="522" t="str">
        <f t="shared" ref="O24:O37" si="8">IF(E24&gt;0,J24/E24,"na")</f>
        <v>na</v>
      </c>
      <c r="P24" s="523" t="str">
        <f t="shared" ref="P24:P37" si="9">IF(F24&gt;0,K24/F24,"na")</f>
        <v>na</v>
      </c>
      <c r="Q24" s="525"/>
    </row>
    <row r="25" spans="1:17" x14ac:dyDescent="0.25">
      <c r="A25">
        <v>33</v>
      </c>
      <c r="B25" s="128">
        <v>30</v>
      </c>
      <c r="C25" s="44">
        <v>4</v>
      </c>
      <c r="D25" s="73">
        <v>0</v>
      </c>
      <c r="E25" s="73">
        <v>1</v>
      </c>
      <c r="F25" s="130">
        <v>0</v>
      </c>
      <c r="G25" s="128">
        <v>8</v>
      </c>
      <c r="H25" s="73">
        <v>2</v>
      </c>
      <c r="I25" s="73">
        <v>0</v>
      </c>
      <c r="J25" s="73">
        <v>1</v>
      </c>
      <c r="K25" s="130">
        <v>0</v>
      </c>
      <c r="L25" s="524">
        <f t="shared" si="5"/>
        <v>0.26666666666666666</v>
      </c>
      <c r="M25" s="525">
        <f t="shared" si="6"/>
        <v>0.5</v>
      </c>
      <c r="N25" s="525" t="str">
        <f t="shared" si="7"/>
        <v>na</v>
      </c>
      <c r="O25" s="525">
        <f t="shared" si="8"/>
        <v>1</v>
      </c>
      <c r="P25" s="526" t="str">
        <f t="shared" si="9"/>
        <v>na</v>
      </c>
      <c r="Q25" s="525"/>
    </row>
    <row r="26" spans="1:17" x14ac:dyDescent="0.25">
      <c r="A26">
        <v>34</v>
      </c>
      <c r="B26" s="128"/>
      <c r="C26" s="73"/>
      <c r="D26" s="73"/>
      <c r="E26" s="73"/>
      <c r="F26" s="73">
        <v>2</v>
      </c>
      <c r="G26" s="128"/>
      <c r="H26" s="73"/>
      <c r="I26" s="73"/>
      <c r="J26" s="73"/>
      <c r="K26" s="130">
        <v>0</v>
      </c>
      <c r="L26" s="524" t="str">
        <f t="shared" si="5"/>
        <v>na</v>
      </c>
      <c r="M26" s="525" t="str">
        <f t="shared" si="6"/>
        <v>na</v>
      </c>
      <c r="N26" s="525" t="str">
        <f t="shared" si="7"/>
        <v>na</v>
      </c>
      <c r="O26" s="525" t="str">
        <f t="shared" si="8"/>
        <v>na</v>
      </c>
      <c r="P26" s="526">
        <f t="shared" si="9"/>
        <v>0</v>
      </c>
      <c r="Q26" s="525"/>
    </row>
    <row r="27" spans="1:17" x14ac:dyDescent="0.25">
      <c r="A27">
        <v>35</v>
      </c>
      <c r="B27" s="128"/>
      <c r="C27" s="73"/>
      <c r="D27" s="73"/>
      <c r="E27" s="73">
        <v>18</v>
      </c>
      <c r="F27" s="130">
        <v>98</v>
      </c>
      <c r="G27" s="128"/>
      <c r="H27" s="73"/>
      <c r="I27" s="73"/>
      <c r="J27" s="73">
        <v>13</v>
      </c>
      <c r="K27" s="130">
        <v>52</v>
      </c>
      <c r="L27" s="524" t="str">
        <f t="shared" si="5"/>
        <v>na</v>
      </c>
      <c r="M27" s="525" t="str">
        <f t="shared" si="6"/>
        <v>na</v>
      </c>
      <c r="N27" s="525" t="str">
        <f t="shared" si="7"/>
        <v>na</v>
      </c>
      <c r="O27" s="525">
        <f t="shared" si="8"/>
        <v>0.72222222222222221</v>
      </c>
      <c r="P27" s="526">
        <f t="shared" si="9"/>
        <v>0.53061224489795922</v>
      </c>
      <c r="Q27" s="525"/>
    </row>
    <row r="28" spans="1:17" x14ac:dyDescent="0.25">
      <c r="A28">
        <v>36</v>
      </c>
      <c r="B28" s="128"/>
      <c r="C28" s="44"/>
      <c r="D28" s="73"/>
      <c r="E28" s="73"/>
      <c r="F28" s="130"/>
      <c r="G28" s="128"/>
      <c r="H28" s="44"/>
      <c r="I28" s="44"/>
      <c r="J28" s="44"/>
      <c r="K28" s="130"/>
      <c r="L28" s="524" t="str">
        <f t="shared" si="5"/>
        <v>na</v>
      </c>
      <c r="M28" s="525" t="str">
        <f t="shared" si="6"/>
        <v>na</v>
      </c>
      <c r="N28" s="525" t="str">
        <f t="shared" si="7"/>
        <v>na</v>
      </c>
      <c r="O28" s="525" t="str">
        <f t="shared" si="8"/>
        <v>na</v>
      </c>
      <c r="P28" s="526" t="str">
        <f t="shared" si="9"/>
        <v>na</v>
      </c>
      <c r="Q28" s="525"/>
    </row>
    <row r="29" spans="1:17" x14ac:dyDescent="0.25">
      <c r="A29">
        <v>37</v>
      </c>
      <c r="B29" s="128"/>
      <c r="C29" s="44"/>
      <c r="D29" s="73"/>
      <c r="E29" s="73"/>
      <c r="F29" s="130"/>
      <c r="G29" s="128"/>
      <c r="H29" s="44"/>
      <c r="I29" s="44"/>
      <c r="J29" s="44"/>
      <c r="K29" s="130"/>
      <c r="L29" s="524" t="str">
        <f t="shared" si="5"/>
        <v>na</v>
      </c>
      <c r="M29" s="525" t="str">
        <f t="shared" si="6"/>
        <v>na</v>
      </c>
      <c r="N29" s="525" t="str">
        <f t="shared" si="7"/>
        <v>na</v>
      </c>
      <c r="O29" s="525" t="str">
        <f t="shared" si="8"/>
        <v>na</v>
      </c>
      <c r="P29" s="526" t="str">
        <f t="shared" si="9"/>
        <v>na</v>
      </c>
      <c r="Q29" s="525"/>
    </row>
    <row r="30" spans="1:17" x14ac:dyDescent="0.25">
      <c r="A30">
        <v>38</v>
      </c>
      <c r="B30" s="128"/>
      <c r="C30" s="44"/>
      <c r="D30" s="73"/>
      <c r="E30" s="73"/>
      <c r="F30" s="130"/>
      <c r="G30" s="128"/>
      <c r="H30" s="44"/>
      <c r="I30" s="44"/>
      <c r="J30" s="44"/>
      <c r="K30" s="130"/>
      <c r="L30" s="524" t="str">
        <f t="shared" si="5"/>
        <v>na</v>
      </c>
      <c r="M30" s="525" t="str">
        <f t="shared" si="6"/>
        <v>na</v>
      </c>
      <c r="N30" s="525" t="str">
        <f t="shared" si="7"/>
        <v>na</v>
      </c>
      <c r="O30" s="525" t="str">
        <f t="shared" si="8"/>
        <v>na</v>
      </c>
      <c r="P30" s="526" t="str">
        <f t="shared" si="9"/>
        <v>na</v>
      </c>
      <c r="Q30" s="525"/>
    </row>
    <row r="31" spans="1:17" x14ac:dyDescent="0.25">
      <c r="A31">
        <v>39</v>
      </c>
      <c r="B31" s="128"/>
      <c r="C31" s="44"/>
      <c r="D31" s="73"/>
      <c r="E31" s="73">
        <f>388/2</f>
        <v>194</v>
      </c>
      <c r="F31" s="73">
        <f>388/2</f>
        <v>194</v>
      </c>
      <c r="G31" s="128"/>
      <c r="H31" s="73"/>
      <c r="I31" s="73"/>
      <c r="J31" s="73">
        <f>220/2</f>
        <v>110</v>
      </c>
      <c r="K31" s="130">
        <f>220/2</f>
        <v>110</v>
      </c>
      <c r="L31" s="524" t="str">
        <f t="shared" si="5"/>
        <v>na</v>
      </c>
      <c r="M31" s="525" t="str">
        <f t="shared" si="6"/>
        <v>na</v>
      </c>
      <c r="N31" s="525" t="str">
        <f t="shared" si="7"/>
        <v>na</v>
      </c>
      <c r="O31" s="525">
        <f t="shared" si="8"/>
        <v>0.5670103092783505</v>
      </c>
      <c r="P31" s="526">
        <f t="shared" si="9"/>
        <v>0.5670103092783505</v>
      </c>
      <c r="Q31" s="525"/>
    </row>
    <row r="32" spans="1:17" x14ac:dyDescent="0.25">
      <c r="A32">
        <v>40</v>
      </c>
      <c r="B32" s="128"/>
      <c r="C32" s="44"/>
      <c r="D32" s="73"/>
      <c r="E32" s="73"/>
      <c r="F32" s="130"/>
      <c r="G32" s="44"/>
      <c r="H32" s="44"/>
      <c r="I32" s="44"/>
      <c r="J32" s="44"/>
      <c r="K32" s="44"/>
      <c r="L32" s="524" t="str">
        <f t="shared" si="5"/>
        <v>na</v>
      </c>
      <c r="M32" s="525" t="str">
        <f t="shared" si="6"/>
        <v>na</v>
      </c>
      <c r="N32" s="525" t="str">
        <f t="shared" si="7"/>
        <v>na</v>
      </c>
      <c r="O32" s="525" t="str">
        <f t="shared" si="8"/>
        <v>na</v>
      </c>
      <c r="P32" s="526" t="str">
        <f t="shared" si="9"/>
        <v>na</v>
      </c>
      <c r="Q32" s="525"/>
    </row>
    <row r="33" spans="1:17" x14ac:dyDescent="0.25">
      <c r="A33">
        <v>41</v>
      </c>
      <c r="B33" s="128">
        <v>431</v>
      </c>
      <c r="C33" s="44">
        <v>1147</v>
      </c>
      <c r="D33" s="73">
        <v>330</v>
      </c>
      <c r="E33" s="73">
        <v>184</v>
      </c>
      <c r="F33" s="130">
        <v>177</v>
      </c>
      <c r="G33" s="73">
        <v>123</v>
      </c>
      <c r="H33" s="73">
        <v>333</v>
      </c>
      <c r="I33" s="73">
        <v>111</v>
      </c>
      <c r="J33" s="73">
        <v>125</v>
      </c>
      <c r="K33" s="44">
        <v>133</v>
      </c>
      <c r="L33" s="524">
        <f t="shared" si="5"/>
        <v>0.28538283062645009</v>
      </c>
      <c r="M33" s="525">
        <f t="shared" si="6"/>
        <v>0.29032258064516131</v>
      </c>
      <c r="N33" s="525">
        <f t="shared" si="7"/>
        <v>0.33636363636363636</v>
      </c>
      <c r="O33" s="525">
        <f t="shared" si="8"/>
        <v>0.67934782608695654</v>
      </c>
      <c r="P33" s="526">
        <f t="shared" si="9"/>
        <v>0.75141242937853103</v>
      </c>
      <c r="Q33" s="525">
        <f>SUM(G33:K33)/SUM(B33:F33)</f>
        <v>0.36359629792860293</v>
      </c>
    </row>
    <row r="34" spans="1:17" x14ac:dyDescent="0.25">
      <c r="A34">
        <v>42</v>
      </c>
      <c r="B34" s="128">
        <v>1657</v>
      </c>
      <c r="C34" s="44">
        <v>3288</v>
      </c>
      <c r="D34" s="73">
        <v>2390</v>
      </c>
      <c r="E34" s="73">
        <v>278</v>
      </c>
      <c r="F34" s="130">
        <v>93</v>
      </c>
      <c r="G34" s="44">
        <v>447</v>
      </c>
      <c r="H34" s="44">
        <v>889</v>
      </c>
      <c r="I34" s="44">
        <v>472</v>
      </c>
      <c r="J34" s="44">
        <v>175</v>
      </c>
      <c r="K34" s="73">
        <v>74</v>
      </c>
      <c r="L34" s="410">
        <f t="shared" si="5"/>
        <v>0.26976463488231744</v>
      </c>
      <c r="M34" s="402">
        <f t="shared" si="6"/>
        <v>0.27037712895377131</v>
      </c>
      <c r="N34" s="402">
        <f t="shared" si="7"/>
        <v>0.19748953974895397</v>
      </c>
      <c r="O34" s="402">
        <f t="shared" si="8"/>
        <v>0.62949640287769781</v>
      </c>
      <c r="P34" s="411">
        <f t="shared" si="9"/>
        <v>0.79569892473118276</v>
      </c>
      <c r="Q34" s="525">
        <f>SUM(G34:K34)/SUM(B34:F34)</f>
        <v>0.2669348559563976</v>
      </c>
    </row>
    <row r="35" spans="1:17" x14ac:dyDescent="0.25">
      <c r="A35">
        <v>43</v>
      </c>
      <c r="B35" s="128">
        <v>47</v>
      </c>
      <c r="C35" s="44">
        <v>287</v>
      </c>
      <c r="D35" s="73">
        <v>215</v>
      </c>
      <c r="E35" s="73">
        <v>82</v>
      </c>
      <c r="F35" s="130">
        <v>72</v>
      </c>
      <c r="G35" s="44">
        <v>10</v>
      </c>
      <c r="H35" s="73">
        <v>63</v>
      </c>
      <c r="I35" s="73">
        <v>76</v>
      </c>
      <c r="J35" s="73">
        <v>35</v>
      </c>
      <c r="K35" s="73">
        <v>38</v>
      </c>
      <c r="L35" s="410">
        <f t="shared" si="5"/>
        <v>0.21276595744680851</v>
      </c>
      <c r="M35" s="402">
        <f t="shared" si="6"/>
        <v>0.21951219512195122</v>
      </c>
      <c r="N35" s="402">
        <f t="shared" si="7"/>
        <v>0.35348837209302325</v>
      </c>
      <c r="O35" s="402">
        <f t="shared" si="8"/>
        <v>0.42682926829268292</v>
      </c>
      <c r="P35" s="411">
        <f t="shared" si="9"/>
        <v>0.52777777777777779</v>
      </c>
      <c r="Q35" s="402"/>
    </row>
    <row r="36" spans="1:17" x14ac:dyDescent="0.25">
      <c r="A36">
        <v>44</v>
      </c>
      <c r="B36" s="128"/>
      <c r="C36" s="73"/>
      <c r="D36" s="44"/>
      <c r="E36" s="44"/>
      <c r="F36" s="130"/>
      <c r="G36" s="44"/>
      <c r="H36" s="73"/>
      <c r="I36" s="44"/>
      <c r="J36" s="44"/>
      <c r="K36" s="44"/>
      <c r="L36" s="410" t="str">
        <f t="shared" si="5"/>
        <v>na</v>
      </c>
      <c r="M36" s="402" t="str">
        <f t="shared" si="6"/>
        <v>na</v>
      </c>
      <c r="N36" s="402" t="str">
        <f t="shared" si="7"/>
        <v>na</v>
      </c>
      <c r="O36" s="402" t="str">
        <f t="shared" si="8"/>
        <v>na</v>
      </c>
      <c r="P36" s="411" t="str">
        <f t="shared" si="9"/>
        <v>na</v>
      </c>
      <c r="Q36" s="402"/>
    </row>
    <row r="37" spans="1:17" x14ac:dyDescent="0.25">
      <c r="A37">
        <v>45</v>
      </c>
      <c r="B37" s="128"/>
      <c r="C37" s="44"/>
      <c r="D37" s="44"/>
      <c r="E37" s="44"/>
      <c r="F37" s="130"/>
      <c r="G37" s="44"/>
      <c r="H37" s="44"/>
      <c r="I37" s="44"/>
      <c r="J37" s="44"/>
      <c r="K37" s="44"/>
      <c r="L37" s="410" t="str">
        <f t="shared" si="5"/>
        <v>na</v>
      </c>
      <c r="M37" s="402" t="str">
        <f t="shared" si="6"/>
        <v>na</v>
      </c>
      <c r="N37" s="402" t="str">
        <f t="shared" si="7"/>
        <v>na</v>
      </c>
      <c r="O37" s="402" t="str">
        <f t="shared" si="8"/>
        <v>na</v>
      </c>
      <c r="P37" s="411" t="str">
        <f t="shared" si="9"/>
        <v>na</v>
      </c>
      <c r="Q37" s="402"/>
    </row>
    <row r="38" spans="1:17" x14ac:dyDescent="0.25">
      <c r="A38" t="s">
        <v>184</v>
      </c>
      <c r="B38" s="329">
        <f t="shared" ref="B38:K38" si="10">SUM(B24:B37)</f>
        <v>2171</v>
      </c>
      <c r="C38" s="195">
        <f t="shared" si="10"/>
        <v>4726</v>
      </c>
      <c r="D38" s="195">
        <f t="shared" si="10"/>
        <v>2935</v>
      </c>
      <c r="E38" s="195">
        <f t="shared" si="10"/>
        <v>757</v>
      </c>
      <c r="F38" s="330">
        <f t="shared" si="10"/>
        <v>636</v>
      </c>
      <c r="G38" s="329">
        <f t="shared" si="10"/>
        <v>590</v>
      </c>
      <c r="H38" s="195">
        <f t="shared" si="10"/>
        <v>1287</v>
      </c>
      <c r="I38" s="195">
        <f t="shared" si="10"/>
        <v>659</v>
      </c>
      <c r="J38" s="195">
        <f t="shared" si="10"/>
        <v>459</v>
      </c>
      <c r="K38" s="404">
        <f t="shared" si="10"/>
        <v>407</v>
      </c>
      <c r="L38" s="446">
        <f>G38/B38</f>
        <v>0.27176416397973285</v>
      </c>
      <c r="M38" s="528">
        <f>H38/C38</f>
        <v>0.27232331781633518</v>
      </c>
      <c r="N38" s="528">
        <f>I38/D38</f>
        <v>0.22453151618398637</v>
      </c>
      <c r="O38" s="528">
        <f>J38/E38</f>
        <v>0.60634081902245707</v>
      </c>
      <c r="P38" s="529">
        <f>K38/F38</f>
        <v>0.63993710691823902</v>
      </c>
      <c r="Q38" s="525"/>
    </row>
    <row r="39" spans="1:17" x14ac:dyDescent="0.25">
      <c r="B39" s="44"/>
      <c r="C39" s="44"/>
      <c r="D39" s="44"/>
      <c r="E39" s="44"/>
      <c r="F39" s="44">
        <f>SUM(B38:F38)</f>
        <v>11225</v>
      </c>
      <c r="G39" s="44"/>
      <c r="H39" s="44"/>
      <c r="I39" s="44"/>
      <c r="J39" s="44"/>
      <c r="K39" s="44">
        <f>SUM(G38:K38)</f>
        <v>3402</v>
      </c>
      <c r="L39" s="44"/>
      <c r="M39" s="44"/>
      <c r="N39" s="44"/>
      <c r="O39" s="44"/>
      <c r="P39" s="531">
        <f>K39/F39</f>
        <v>0.30307349665924277</v>
      </c>
      <c r="Q39" s="531"/>
    </row>
  </sheetData>
  <mergeCells count="6">
    <mergeCell ref="B2:E2"/>
    <mergeCell ref="F2:I2"/>
    <mergeCell ref="J2:M2"/>
    <mergeCell ref="B22:F22"/>
    <mergeCell ref="G22:K22"/>
    <mergeCell ref="L22:P22"/>
  </mergeCells>
  <phoneticPr fontId="4" type="noConversion"/>
  <pageMargins left="0.75" right="0.75" top="1" bottom="1" header="0.5" footer="0.5"/>
  <headerFooter alignWithMargin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7ECFD-AD89-4D3D-A975-71441549DBBC}">
  <sheetPr>
    <tabColor rgb="FFFFFFCC"/>
  </sheetPr>
  <dimension ref="A2:S43"/>
  <sheetViews>
    <sheetView zoomScaleNormal="100" workbookViewId="0">
      <pane xSplit="2" topLeftCell="C1" activePane="topRight" state="frozen"/>
      <selection activeCell="R23" sqref="R23"/>
      <selection pane="topRight" activeCell="U11" sqref="U11"/>
    </sheetView>
  </sheetViews>
  <sheetFormatPr defaultRowHeight="12.5" x14ac:dyDescent="0.25"/>
  <cols>
    <col min="1" max="1" width="20.7265625" bestFit="1" customWidth="1"/>
    <col min="2" max="2" width="5.81640625" bestFit="1" customWidth="1"/>
    <col min="3" max="3" width="11.1796875" bestFit="1" customWidth="1"/>
    <col min="4" max="4" width="11.26953125" customWidth="1"/>
    <col min="5" max="5" width="7.453125" bestFit="1" customWidth="1"/>
    <col min="6" max="6" width="7.1796875" bestFit="1" customWidth="1"/>
    <col min="7" max="7" width="11.1796875" bestFit="1" customWidth="1"/>
    <col min="8" max="8" width="9.453125" bestFit="1" customWidth="1"/>
    <col min="9" max="9" width="7.453125" bestFit="1" customWidth="1"/>
    <col min="10" max="10" width="7.1796875" bestFit="1" customWidth="1"/>
    <col min="11" max="11" width="11.1796875" bestFit="1" customWidth="1"/>
    <col min="12" max="12" width="9.453125" bestFit="1" customWidth="1"/>
    <col min="13" max="14" width="8.26953125" customWidth="1"/>
    <col min="15" max="15" width="7" bestFit="1" customWidth="1"/>
    <col min="16" max="17" width="8.26953125" bestFit="1" customWidth="1"/>
  </cols>
  <sheetData>
    <row r="2" spans="1:14" ht="13" x14ac:dyDescent="0.3">
      <c r="C2" s="34" t="s">
        <v>330</v>
      </c>
    </row>
    <row r="3" spans="1:14" x14ac:dyDescent="0.25">
      <c r="C3" s="900" t="s">
        <v>265</v>
      </c>
      <c r="D3" s="901"/>
      <c r="E3" s="901"/>
      <c r="F3" s="902"/>
      <c r="G3" s="900" t="s">
        <v>266</v>
      </c>
      <c r="H3" s="901"/>
      <c r="I3" s="901"/>
      <c r="J3" s="902"/>
      <c r="K3" s="900" t="s">
        <v>267</v>
      </c>
      <c r="L3" s="901"/>
      <c r="M3" s="901"/>
      <c r="N3" s="902"/>
    </row>
    <row r="4" spans="1:14" x14ac:dyDescent="0.25">
      <c r="B4" t="s">
        <v>134</v>
      </c>
      <c r="C4" s="286" t="s">
        <v>31</v>
      </c>
      <c r="D4" s="810" t="s">
        <v>62</v>
      </c>
      <c r="E4" s="810" t="s">
        <v>260</v>
      </c>
      <c r="F4" s="811" t="s">
        <v>203</v>
      </c>
      <c r="G4" s="286" t="s">
        <v>31</v>
      </c>
      <c r="H4" s="810" t="s">
        <v>62</v>
      </c>
      <c r="I4" s="810" t="s">
        <v>260</v>
      </c>
      <c r="J4" s="811" t="s">
        <v>203</v>
      </c>
      <c r="K4" s="274" t="s">
        <v>31</v>
      </c>
      <c r="L4" s="42" t="s">
        <v>62</v>
      </c>
      <c r="M4" s="42" t="s">
        <v>260</v>
      </c>
      <c r="N4" s="134" t="s">
        <v>203</v>
      </c>
    </row>
    <row r="5" spans="1:14" x14ac:dyDescent="0.25">
      <c r="B5">
        <v>31</v>
      </c>
      <c r="C5" s="813"/>
      <c r="D5" s="813"/>
      <c r="E5" s="813"/>
      <c r="F5" s="814"/>
      <c r="G5" s="813"/>
      <c r="H5" s="813"/>
      <c r="I5" s="813"/>
      <c r="J5" s="813"/>
      <c r="K5" s="521" t="str">
        <f t="shared" ref="K5:N21" si="0">IF(C5&gt;0,G5/C5,"na")</f>
        <v>na</v>
      </c>
      <c r="L5" s="522" t="str">
        <f t="shared" si="0"/>
        <v>na</v>
      </c>
      <c r="M5" s="522" t="str">
        <f t="shared" si="0"/>
        <v>na</v>
      </c>
      <c r="N5" s="523" t="str">
        <f t="shared" si="0"/>
        <v>na</v>
      </c>
    </row>
    <row r="6" spans="1:14" x14ac:dyDescent="0.25">
      <c r="B6">
        <v>32</v>
      </c>
      <c r="C6" s="813"/>
      <c r="D6" s="813"/>
      <c r="E6" s="813"/>
      <c r="F6" s="815"/>
      <c r="G6" s="813"/>
      <c r="H6" s="817"/>
      <c r="I6" s="817"/>
      <c r="J6" s="817"/>
      <c r="K6" s="524" t="str">
        <f t="shared" si="0"/>
        <v>na</v>
      </c>
      <c r="L6" s="525" t="str">
        <f t="shared" si="0"/>
        <v>na</v>
      </c>
      <c r="M6" s="525" t="str">
        <f t="shared" si="0"/>
        <v>na</v>
      </c>
      <c r="N6" s="526" t="str">
        <f t="shared" si="0"/>
        <v>na</v>
      </c>
    </row>
    <row r="7" spans="1:14" x14ac:dyDescent="0.25">
      <c r="B7">
        <v>33</v>
      </c>
      <c r="C7" s="813"/>
      <c r="D7" s="813"/>
      <c r="E7" s="813"/>
      <c r="F7" s="815"/>
      <c r="G7" s="813"/>
      <c r="H7" s="813"/>
      <c r="I7" s="813"/>
      <c r="J7" s="813"/>
      <c r="K7" s="524" t="str">
        <f t="shared" si="0"/>
        <v>na</v>
      </c>
      <c r="L7" s="525" t="str">
        <f t="shared" si="0"/>
        <v>na</v>
      </c>
      <c r="M7" s="525" t="str">
        <f t="shared" si="0"/>
        <v>na</v>
      </c>
      <c r="N7" s="526" t="str">
        <f t="shared" si="0"/>
        <v>na</v>
      </c>
    </row>
    <row r="8" spans="1:14" x14ac:dyDescent="0.25">
      <c r="B8">
        <v>34</v>
      </c>
      <c r="C8" s="813"/>
      <c r="D8" s="813"/>
      <c r="E8" s="813"/>
      <c r="F8" s="815"/>
      <c r="G8" s="813"/>
      <c r="H8" s="813"/>
      <c r="I8" s="813"/>
      <c r="J8" s="813"/>
      <c r="K8" s="524" t="str">
        <f t="shared" si="0"/>
        <v>na</v>
      </c>
      <c r="L8" s="525" t="str">
        <f t="shared" si="0"/>
        <v>na</v>
      </c>
      <c r="M8" s="525" t="str">
        <f t="shared" si="0"/>
        <v>na</v>
      </c>
      <c r="N8" s="526" t="str">
        <f t="shared" si="0"/>
        <v>na</v>
      </c>
    </row>
    <row r="9" spans="1:14" x14ac:dyDescent="0.25">
      <c r="B9">
        <v>35</v>
      </c>
      <c r="C9" s="812">
        <v>2</v>
      </c>
      <c r="D9" s="813"/>
      <c r="E9" s="813"/>
      <c r="F9" s="815"/>
      <c r="G9" s="812">
        <v>0</v>
      </c>
      <c r="H9" s="813"/>
      <c r="I9" s="813"/>
      <c r="J9" s="813"/>
      <c r="K9" s="524">
        <f t="shared" si="0"/>
        <v>0</v>
      </c>
      <c r="L9" s="525" t="str">
        <f t="shared" si="0"/>
        <v>na</v>
      </c>
      <c r="M9" s="525" t="str">
        <f t="shared" si="0"/>
        <v>na</v>
      </c>
      <c r="N9" s="526" t="str">
        <f t="shared" si="0"/>
        <v>na</v>
      </c>
    </row>
    <row r="10" spans="1:14" x14ac:dyDescent="0.25">
      <c r="B10">
        <v>36</v>
      </c>
      <c r="C10" s="812">
        <v>667</v>
      </c>
      <c r="D10" s="812">
        <v>876</v>
      </c>
      <c r="E10" s="812">
        <v>163</v>
      </c>
      <c r="F10" s="815"/>
      <c r="G10" s="812">
        <v>13</v>
      </c>
      <c r="H10" s="812">
        <v>24</v>
      </c>
      <c r="I10" s="812">
        <v>8</v>
      </c>
      <c r="J10" s="813"/>
      <c r="K10" s="524">
        <f t="shared" si="0"/>
        <v>1.9490254872563718E-2</v>
      </c>
      <c r="L10" s="525">
        <f t="shared" si="0"/>
        <v>2.7397260273972601E-2</v>
      </c>
      <c r="M10" s="525">
        <f t="shared" si="0"/>
        <v>4.9079754601226995E-2</v>
      </c>
      <c r="N10" s="526" t="str">
        <f t="shared" si="0"/>
        <v>na</v>
      </c>
    </row>
    <row r="11" spans="1:14" x14ac:dyDescent="0.25">
      <c r="B11">
        <v>37</v>
      </c>
      <c r="C11" s="812">
        <v>2426</v>
      </c>
      <c r="D11" s="812">
        <v>1972</v>
      </c>
      <c r="E11" s="812">
        <v>739</v>
      </c>
      <c r="F11" s="815"/>
      <c r="G11" s="812">
        <v>35</v>
      </c>
      <c r="H11" s="812">
        <v>104</v>
      </c>
      <c r="I11" s="812">
        <v>35</v>
      </c>
      <c r="J11" s="813"/>
      <c r="K11" s="524">
        <f t="shared" si="0"/>
        <v>1.4427040395713108E-2</v>
      </c>
      <c r="L11" s="525">
        <f t="shared" si="0"/>
        <v>5.2738336713995942E-2</v>
      </c>
      <c r="M11" s="525">
        <f t="shared" si="0"/>
        <v>4.7361299052774017E-2</v>
      </c>
      <c r="N11" s="526" t="str">
        <f t="shared" si="0"/>
        <v>na</v>
      </c>
    </row>
    <row r="12" spans="1:14" x14ac:dyDescent="0.25">
      <c r="B12">
        <v>38</v>
      </c>
      <c r="C12" s="812">
        <v>2921</v>
      </c>
      <c r="D12" s="812">
        <v>1700</v>
      </c>
      <c r="E12" s="812">
        <v>1172</v>
      </c>
      <c r="F12" s="818">
        <v>301</v>
      </c>
      <c r="G12" s="812">
        <v>80</v>
      </c>
      <c r="H12" s="812">
        <v>31</v>
      </c>
      <c r="I12" s="812">
        <v>25</v>
      </c>
      <c r="J12" s="812">
        <v>22</v>
      </c>
      <c r="K12" s="524">
        <f t="shared" si="0"/>
        <v>2.7387880862718247E-2</v>
      </c>
      <c r="L12" s="525">
        <f t="shared" si="0"/>
        <v>1.8235294117647058E-2</v>
      </c>
      <c r="M12" s="525">
        <f t="shared" si="0"/>
        <v>2.1331058020477817E-2</v>
      </c>
      <c r="N12" s="526">
        <f t="shared" si="0"/>
        <v>7.3089700996677748E-2</v>
      </c>
    </row>
    <row r="13" spans="1:14" x14ac:dyDescent="0.25">
      <c r="B13">
        <v>39</v>
      </c>
      <c r="C13" s="812">
        <v>662</v>
      </c>
      <c r="D13" s="812">
        <v>435</v>
      </c>
      <c r="E13" s="812">
        <v>465</v>
      </c>
      <c r="F13" s="818">
        <v>139</v>
      </c>
      <c r="G13" s="812">
        <v>14</v>
      </c>
      <c r="H13" s="812">
        <v>34</v>
      </c>
      <c r="I13" s="812">
        <v>31</v>
      </c>
      <c r="J13" s="812">
        <v>7</v>
      </c>
      <c r="K13" s="524">
        <f t="shared" si="0"/>
        <v>2.1148036253776436E-2</v>
      </c>
      <c r="L13" s="525">
        <f t="shared" si="0"/>
        <v>7.8160919540229884E-2</v>
      </c>
      <c r="M13" s="525">
        <f t="shared" si="0"/>
        <v>6.6666666666666666E-2</v>
      </c>
      <c r="N13" s="526">
        <f t="shared" si="0"/>
        <v>5.0359712230215826E-2</v>
      </c>
    </row>
    <row r="14" spans="1:14" x14ac:dyDescent="0.25">
      <c r="B14">
        <v>40</v>
      </c>
      <c r="C14" s="812">
        <v>807</v>
      </c>
      <c r="D14" s="812">
        <v>515</v>
      </c>
      <c r="E14" s="812">
        <v>529</v>
      </c>
      <c r="F14" s="818">
        <v>78</v>
      </c>
      <c r="G14" s="812">
        <v>14</v>
      </c>
      <c r="H14" s="812">
        <v>22</v>
      </c>
      <c r="I14" s="812">
        <v>24</v>
      </c>
      <c r="J14" s="812">
        <v>7</v>
      </c>
      <c r="K14" s="524">
        <f t="shared" si="0"/>
        <v>1.7348203221809171E-2</v>
      </c>
      <c r="L14" s="525">
        <f t="shared" si="0"/>
        <v>4.2718446601941747E-2</v>
      </c>
      <c r="M14" s="525">
        <f t="shared" si="0"/>
        <v>4.5368620037807186E-2</v>
      </c>
      <c r="N14" s="526">
        <f t="shared" si="0"/>
        <v>8.9743589743589744E-2</v>
      </c>
    </row>
    <row r="15" spans="1:14" x14ac:dyDescent="0.25">
      <c r="A15" s="11"/>
      <c r="B15">
        <v>41</v>
      </c>
      <c r="C15" s="812">
        <v>52</v>
      </c>
      <c r="D15" s="812">
        <v>163</v>
      </c>
      <c r="E15" s="812">
        <v>225</v>
      </c>
      <c r="F15" s="818">
        <v>114</v>
      </c>
      <c r="G15" s="812">
        <v>2</v>
      </c>
      <c r="H15" s="812">
        <v>19</v>
      </c>
      <c r="I15" s="812">
        <v>17</v>
      </c>
      <c r="J15" s="812">
        <v>9</v>
      </c>
      <c r="K15" s="524">
        <f t="shared" si="0"/>
        <v>3.8461538461538464E-2</v>
      </c>
      <c r="L15" s="525">
        <f t="shared" si="0"/>
        <v>0.1165644171779141</v>
      </c>
      <c r="M15" s="525">
        <f t="shared" si="0"/>
        <v>7.5555555555555556E-2</v>
      </c>
      <c r="N15" s="526">
        <f t="shared" si="0"/>
        <v>7.8947368421052627E-2</v>
      </c>
    </row>
    <row r="16" spans="1:14" x14ac:dyDescent="0.25">
      <c r="B16">
        <v>42</v>
      </c>
      <c r="C16" s="812">
        <v>565</v>
      </c>
      <c r="D16" s="812">
        <v>253</v>
      </c>
      <c r="E16" s="812">
        <v>572</v>
      </c>
      <c r="F16" s="818">
        <v>87</v>
      </c>
      <c r="G16" s="812">
        <v>18</v>
      </c>
      <c r="H16" s="812">
        <v>3</v>
      </c>
      <c r="I16" s="812">
        <v>24</v>
      </c>
      <c r="J16" s="812">
        <v>18</v>
      </c>
      <c r="K16" s="524">
        <f t="shared" si="0"/>
        <v>3.1858407079646017E-2</v>
      </c>
      <c r="L16" s="525">
        <f t="shared" si="0"/>
        <v>1.1857707509881422E-2</v>
      </c>
      <c r="M16" s="525">
        <f t="shared" si="0"/>
        <v>4.195804195804196E-2</v>
      </c>
      <c r="N16" s="526">
        <f t="shared" si="0"/>
        <v>0.20689655172413793</v>
      </c>
    </row>
    <row r="17" spans="1:19" x14ac:dyDescent="0.25">
      <c r="B17">
        <v>43</v>
      </c>
      <c r="C17" s="812">
        <v>34</v>
      </c>
      <c r="D17" s="812">
        <v>0</v>
      </c>
      <c r="E17" s="812">
        <v>97</v>
      </c>
      <c r="F17" s="818">
        <v>42</v>
      </c>
      <c r="G17" s="812">
        <v>4</v>
      </c>
      <c r="H17" s="812">
        <v>0</v>
      </c>
      <c r="I17" s="812">
        <v>12</v>
      </c>
      <c r="J17" s="812">
        <v>10</v>
      </c>
      <c r="K17" s="524">
        <f t="shared" si="0"/>
        <v>0.11764705882352941</v>
      </c>
      <c r="L17" s="525" t="str">
        <f t="shared" si="0"/>
        <v>na</v>
      </c>
      <c r="M17" s="525">
        <f t="shared" si="0"/>
        <v>0.12371134020618557</v>
      </c>
      <c r="N17" s="526">
        <f t="shared" si="0"/>
        <v>0.23809523809523808</v>
      </c>
    </row>
    <row r="18" spans="1:19" x14ac:dyDescent="0.25">
      <c r="B18">
        <v>44</v>
      </c>
      <c r="C18" s="821">
        <v>270</v>
      </c>
      <c r="D18" s="816">
        <v>32</v>
      </c>
      <c r="E18" s="816">
        <v>197</v>
      </c>
      <c r="F18" s="818">
        <v>108</v>
      </c>
      <c r="G18" s="816">
        <v>24</v>
      </c>
      <c r="H18" s="816">
        <v>0</v>
      </c>
      <c r="I18" s="816">
        <v>14</v>
      </c>
      <c r="J18" s="816">
        <v>32</v>
      </c>
      <c r="K18" s="524">
        <f>IF(C18&gt;0,G18/C18,"na")</f>
        <v>8.8888888888888892E-2</v>
      </c>
      <c r="L18" s="525">
        <f>IF(D18&gt;0,H18/D18,"na")</f>
        <v>0</v>
      </c>
      <c r="M18" s="525">
        <f>IF(E18&gt;0,I18/E18,"na")</f>
        <v>7.1065989847715741E-2</v>
      </c>
      <c r="N18" s="526">
        <f>IF(F18&gt;0,J18/F18,"na")</f>
        <v>0.29629629629629628</v>
      </c>
    </row>
    <row r="19" spans="1:19" x14ac:dyDescent="0.25">
      <c r="B19">
        <v>45</v>
      </c>
      <c r="C19" s="821">
        <v>0</v>
      </c>
      <c r="D19" s="817"/>
      <c r="E19" s="817"/>
      <c r="F19" s="818">
        <v>0</v>
      </c>
      <c r="G19" s="816"/>
      <c r="H19" s="817"/>
      <c r="I19" s="817"/>
      <c r="J19" s="816">
        <v>0</v>
      </c>
      <c r="K19" s="410" t="str">
        <f t="shared" si="0"/>
        <v>na</v>
      </c>
      <c r="L19" s="402" t="str">
        <f t="shared" si="0"/>
        <v>na</v>
      </c>
      <c r="M19" s="402" t="str">
        <f t="shared" si="0"/>
        <v>na</v>
      </c>
      <c r="N19" s="411" t="str">
        <f t="shared" si="0"/>
        <v>na</v>
      </c>
    </row>
    <row r="20" spans="1:19" x14ac:dyDescent="0.25">
      <c r="B20">
        <v>46</v>
      </c>
      <c r="C20" s="826"/>
      <c r="D20" s="817"/>
      <c r="E20" s="817"/>
      <c r="F20" s="816">
        <v>0</v>
      </c>
      <c r="G20" s="826"/>
      <c r="H20" s="817"/>
      <c r="I20" s="817"/>
      <c r="J20" s="816">
        <v>0</v>
      </c>
      <c r="K20" s="410" t="str">
        <f t="shared" si="0"/>
        <v>na</v>
      </c>
      <c r="L20" s="402" t="str">
        <f t="shared" si="0"/>
        <v>na</v>
      </c>
      <c r="M20" s="402" t="str">
        <f t="shared" si="0"/>
        <v>na</v>
      </c>
      <c r="N20" s="411" t="str">
        <f t="shared" si="0"/>
        <v>na</v>
      </c>
    </row>
    <row r="21" spans="1:19" x14ac:dyDescent="0.25">
      <c r="B21">
        <v>47</v>
      </c>
      <c r="C21" s="822"/>
      <c r="D21" s="823"/>
      <c r="E21" s="823"/>
      <c r="F21" s="890">
        <v>0</v>
      </c>
      <c r="G21" s="822"/>
      <c r="H21" s="817"/>
      <c r="I21" s="817"/>
      <c r="J21" s="816">
        <v>0</v>
      </c>
      <c r="K21" s="412" t="str">
        <f t="shared" si="0"/>
        <v>na</v>
      </c>
      <c r="L21" s="229" t="str">
        <f t="shared" si="0"/>
        <v>na</v>
      </c>
      <c r="M21" s="229" t="str">
        <f t="shared" si="0"/>
        <v>na</v>
      </c>
      <c r="N21" s="413" t="str">
        <f t="shared" si="0"/>
        <v>na</v>
      </c>
    </row>
    <row r="22" spans="1:19" x14ac:dyDescent="0.25">
      <c r="B22" t="s">
        <v>184</v>
      </c>
      <c r="C22" s="286">
        <f t="shared" ref="C22:H22" si="1">SUM(C6:C19)</f>
        <v>8406</v>
      </c>
      <c r="D22" s="810">
        <f t="shared" si="1"/>
        <v>5946</v>
      </c>
      <c r="E22" s="810">
        <f t="shared" si="1"/>
        <v>4159</v>
      </c>
      <c r="F22" s="810">
        <f>SUM(F6:F21)</f>
        <v>869</v>
      </c>
      <c r="G22" s="827">
        <f t="shared" si="1"/>
        <v>204</v>
      </c>
      <c r="H22" s="828">
        <f t="shared" si="1"/>
        <v>237</v>
      </c>
      <c r="I22" s="828">
        <f>SUM(I6:I19)</f>
        <v>190</v>
      </c>
      <c r="J22" s="831">
        <f>SUM(J6:J21)</f>
        <v>105</v>
      </c>
      <c r="K22" s="527">
        <f>IF(C22&gt;0,G22/C22,"na")</f>
        <v>2.4268379728765169E-2</v>
      </c>
      <c r="L22" s="528">
        <f>IF(D22&gt;0,H22/D22,"na")</f>
        <v>3.9858728557013119E-2</v>
      </c>
      <c r="M22" s="528">
        <f>IF(E22&gt;0,I22/E22,"na")</f>
        <v>4.5684058667949029E-2</v>
      </c>
      <c r="N22" s="529">
        <f>IF(F22&gt;0,J22/F22,"na")</f>
        <v>0.12082853855005754</v>
      </c>
    </row>
    <row r="23" spans="1:19" x14ac:dyDescent="0.25">
      <c r="C23" s="153"/>
      <c r="D23" s="153"/>
      <c r="E23" s="153"/>
      <c r="F23" s="893">
        <f>SUM(C22:F22)</f>
        <v>19380</v>
      </c>
      <c r="G23" s="153"/>
      <c r="H23" s="153"/>
      <c r="I23" s="153"/>
      <c r="J23" s="893">
        <f>SUM(G22:J22)</f>
        <v>736</v>
      </c>
      <c r="N23" s="894">
        <f>J23/F23</f>
        <v>3.7977296181630545E-2</v>
      </c>
    </row>
    <row r="25" spans="1:19" ht="13" x14ac:dyDescent="0.3">
      <c r="C25" s="34" t="s">
        <v>123</v>
      </c>
    </row>
    <row r="26" spans="1:19" x14ac:dyDescent="0.25">
      <c r="C26" s="900" t="s">
        <v>268</v>
      </c>
      <c r="D26" s="901"/>
      <c r="E26" s="901"/>
      <c r="F26" s="901"/>
      <c r="G26" s="902"/>
      <c r="H26" s="900" t="s">
        <v>269</v>
      </c>
      <c r="I26" s="901"/>
      <c r="J26" s="901"/>
      <c r="K26" s="901"/>
      <c r="L26" s="902"/>
      <c r="M26" s="900" t="s">
        <v>56</v>
      </c>
      <c r="N26" s="901"/>
      <c r="O26" s="901"/>
      <c r="P26" s="901"/>
      <c r="Q26" s="902"/>
      <c r="R26" s="417"/>
    </row>
    <row r="27" spans="1:19" x14ac:dyDescent="0.25">
      <c r="B27" t="s">
        <v>134</v>
      </c>
      <c r="C27" s="286">
        <v>1</v>
      </c>
      <c r="D27" s="810">
        <v>2</v>
      </c>
      <c r="E27" s="810">
        <v>3</v>
      </c>
      <c r="F27" s="810">
        <v>4</v>
      </c>
      <c r="G27" s="811">
        <v>5</v>
      </c>
      <c r="H27" s="286">
        <v>1</v>
      </c>
      <c r="I27" s="810">
        <v>2</v>
      </c>
      <c r="J27" s="810">
        <v>3</v>
      </c>
      <c r="K27" s="810">
        <v>4</v>
      </c>
      <c r="L27" s="811">
        <v>5</v>
      </c>
      <c r="M27" s="274">
        <v>1</v>
      </c>
      <c r="N27" s="42">
        <v>2</v>
      </c>
      <c r="O27" s="42">
        <v>3</v>
      </c>
      <c r="P27" s="42">
        <v>4</v>
      </c>
      <c r="Q27" s="134">
        <v>5</v>
      </c>
      <c r="R27" s="44" t="s">
        <v>282</v>
      </c>
      <c r="S27" t="s">
        <v>283</v>
      </c>
    </row>
    <row r="28" spans="1:19" ht="13" x14ac:dyDescent="0.3">
      <c r="A28" s="34">
        <f>'2022 Comm catch'!A28</f>
        <v>0</v>
      </c>
      <c r="B28">
        <v>32</v>
      </c>
      <c r="C28" s="835"/>
      <c r="D28" s="835"/>
      <c r="E28" s="835"/>
      <c r="F28" s="835"/>
      <c r="G28" s="883"/>
      <c r="H28" s="840"/>
      <c r="I28" s="840"/>
      <c r="J28" s="840"/>
      <c r="K28" s="840"/>
      <c r="L28" s="883"/>
      <c r="M28" s="3" t="str">
        <f t="shared" ref="M28:Q40" si="2">IF(C28&gt;0,H28/C28,"na")</f>
        <v>na</v>
      </c>
      <c r="N28" s="3" t="str">
        <f t="shared" si="2"/>
        <v>na</v>
      </c>
      <c r="O28" s="3" t="str">
        <f t="shared" si="2"/>
        <v>na</v>
      </c>
      <c r="P28" s="3" t="str">
        <f t="shared" si="2"/>
        <v>na</v>
      </c>
      <c r="Q28" s="407" t="str">
        <f t="shared" si="2"/>
        <v>na</v>
      </c>
      <c r="R28" s="525"/>
    </row>
    <row r="29" spans="1:19" ht="13" x14ac:dyDescent="0.3">
      <c r="A29" s="34" t="str">
        <f>'2022 Comm catch'!A29</f>
        <v>9-inch</v>
      </c>
      <c r="B29">
        <v>33</v>
      </c>
      <c r="C29" s="807"/>
      <c r="D29" s="807"/>
      <c r="E29" s="807"/>
      <c r="F29" s="865">
        <v>0</v>
      </c>
      <c r="G29" s="886">
        <v>0</v>
      </c>
      <c r="H29" s="840"/>
      <c r="I29" s="840"/>
      <c r="J29" s="840"/>
      <c r="K29" s="871">
        <v>0</v>
      </c>
      <c r="L29" s="886">
        <v>0</v>
      </c>
      <c r="M29" s="3" t="str">
        <f t="shared" si="2"/>
        <v>na</v>
      </c>
      <c r="N29" s="3" t="str">
        <f t="shared" si="2"/>
        <v>na</v>
      </c>
      <c r="O29" s="3" t="str">
        <f t="shared" si="2"/>
        <v>na</v>
      </c>
      <c r="P29" s="3" t="str">
        <f t="shared" si="2"/>
        <v>na</v>
      </c>
      <c r="Q29" s="409" t="str">
        <f t="shared" si="2"/>
        <v>na</v>
      </c>
      <c r="R29" s="525"/>
      <c r="S29" s="656"/>
    </row>
    <row r="30" spans="1:19" ht="13" x14ac:dyDescent="0.3">
      <c r="A30" s="34" t="str">
        <f>'2022 Comm catch'!A30</f>
        <v>9-inch</v>
      </c>
      <c r="B30">
        <v>34</v>
      </c>
      <c r="C30" s="807"/>
      <c r="D30" s="807"/>
      <c r="E30" s="807"/>
      <c r="F30" s="865">
        <v>12</v>
      </c>
      <c r="G30" s="886">
        <v>3</v>
      </c>
      <c r="H30" s="840"/>
      <c r="I30" s="840"/>
      <c r="J30" s="840"/>
      <c r="K30" s="871">
        <v>9</v>
      </c>
      <c r="L30" s="886">
        <v>3</v>
      </c>
      <c r="M30" s="3" t="str">
        <f t="shared" si="2"/>
        <v>na</v>
      </c>
      <c r="N30" s="3" t="str">
        <f t="shared" si="2"/>
        <v>na</v>
      </c>
      <c r="O30" s="3" t="str">
        <f t="shared" si="2"/>
        <v>na</v>
      </c>
      <c r="P30" s="3">
        <f t="shared" si="2"/>
        <v>0.75</v>
      </c>
      <c r="Q30" s="409">
        <f t="shared" si="2"/>
        <v>1</v>
      </c>
      <c r="R30" s="525"/>
      <c r="S30" s="656"/>
    </row>
    <row r="31" spans="1:19" ht="13" x14ac:dyDescent="0.3">
      <c r="A31" s="34" t="str">
        <f>'2022 Comm catch'!A31</f>
        <v>9-inch</v>
      </c>
      <c r="B31">
        <v>35</v>
      </c>
      <c r="C31" s="807"/>
      <c r="D31" s="807"/>
      <c r="E31" s="807"/>
      <c r="F31" s="865">
        <v>9</v>
      </c>
      <c r="G31" s="886">
        <v>9</v>
      </c>
      <c r="H31" s="840"/>
      <c r="I31" s="840"/>
      <c r="J31" s="840"/>
      <c r="K31" s="871">
        <v>5</v>
      </c>
      <c r="L31" s="886">
        <v>6</v>
      </c>
      <c r="M31" s="3" t="str">
        <f t="shared" si="2"/>
        <v>na</v>
      </c>
      <c r="N31" s="3" t="str">
        <f t="shared" si="2"/>
        <v>na</v>
      </c>
      <c r="O31" s="3" t="str">
        <f t="shared" si="2"/>
        <v>na</v>
      </c>
      <c r="P31" s="3">
        <f t="shared" si="2"/>
        <v>0.55555555555555558</v>
      </c>
      <c r="Q31" s="409">
        <f t="shared" si="2"/>
        <v>0.66666666666666663</v>
      </c>
      <c r="R31" s="525"/>
      <c r="S31" s="656"/>
    </row>
    <row r="32" spans="1:19" ht="13" x14ac:dyDescent="0.3">
      <c r="A32" s="34" t="str">
        <f>'2022 Comm catch'!A32</f>
        <v>9-inch</v>
      </c>
      <c r="B32">
        <v>36</v>
      </c>
      <c r="C32" s="807"/>
      <c r="D32" s="807"/>
      <c r="E32" s="807"/>
      <c r="F32" s="865">
        <v>118</v>
      </c>
      <c r="G32" s="886">
        <v>31</v>
      </c>
      <c r="H32" s="840"/>
      <c r="I32" s="840"/>
      <c r="J32" s="840"/>
      <c r="K32" s="871">
        <v>82</v>
      </c>
      <c r="L32" s="886">
        <v>23</v>
      </c>
      <c r="M32" s="3" t="str">
        <f t="shared" si="2"/>
        <v>na</v>
      </c>
      <c r="N32" s="3" t="str">
        <f t="shared" si="2"/>
        <v>na</v>
      </c>
      <c r="O32" s="3" t="str">
        <f t="shared" si="2"/>
        <v>na</v>
      </c>
      <c r="P32" s="3">
        <f t="shared" si="2"/>
        <v>0.69491525423728817</v>
      </c>
      <c r="Q32" s="409">
        <f t="shared" si="2"/>
        <v>0.74193548387096775</v>
      </c>
      <c r="R32" s="525"/>
      <c r="S32" s="656">
        <f t="shared" ref="S32" si="3">SUM(K32:L32)/SUM(F32:G32)</f>
        <v>0.70469798657718119</v>
      </c>
    </row>
    <row r="33" spans="1:19" ht="13" x14ac:dyDescent="0.3">
      <c r="A33" s="34">
        <f>'2022 Comm catch'!A33</f>
        <v>0</v>
      </c>
      <c r="B33">
        <v>37</v>
      </c>
      <c r="C33" s="807"/>
      <c r="D33" s="807"/>
      <c r="E33" s="807"/>
      <c r="F33" s="807"/>
      <c r="G33" s="863"/>
      <c r="H33" s="840"/>
      <c r="I33" s="840"/>
      <c r="J33" s="840"/>
      <c r="K33" s="840"/>
      <c r="L33" s="863"/>
      <c r="M33" s="3" t="str">
        <f t="shared" si="2"/>
        <v>na</v>
      </c>
      <c r="N33" s="3" t="str">
        <f t="shared" si="2"/>
        <v>na</v>
      </c>
      <c r="O33" s="3" t="str">
        <f t="shared" si="2"/>
        <v>na</v>
      </c>
      <c r="P33" s="3" t="str">
        <f t="shared" si="2"/>
        <v>na</v>
      </c>
      <c r="Q33" s="409" t="str">
        <f t="shared" si="2"/>
        <v>na</v>
      </c>
      <c r="R33" s="525"/>
    </row>
    <row r="34" spans="1:19" ht="13" x14ac:dyDescent="0.3">
      <c r="A34" s="34">
        <f>'2022 Comm catch'!A34</f>
        <v>0</v>
      </c>
      <c r="B34">
        <v>38</v>
      </c>
      <c r="C34" s="807"/>
      <c r="D34" s="807"/>
      <c r="E34" s="807"/>
      <c r="F34" s="807"/>
      <c r="G34" s="863"/>
      <c r="H34" s="840"/>
      <c r="I34" s="840"/>
      <c r="J34" s="840"/>
      <c r="K34" s="840"/>
      <c r="L34" s="863"/>
      <c r="M34" s="3" t="str">
        <f t="shared" si="2"/>
        <v>na</v>
      </c>
      <c r="N34" s="3" t="str">
        <f t="shared" si="2"/>
        <v>na</v>
      </c>
      <c r="O34" s="3" t="str">
        <f t="shared" si="2"/>
        <v>na</v>
      </c>
      <c r="P34" s="3" t="str">
        <f t="shared" si="2"/>
        <v>na</v>
      </c>
      <c r="Q34" s="409" t="str">
        <f t="shared" si="2"/>
        <v>na</v>
      </c>
      <c r="R34" s="525"/>
      <c r="S34" s="656"/>
    </row>
    <row r="35" spans="1:19" ht="13" x14ac:dyDescent="0.3">
      <c r="A35" s="34" t="str">
        <f>'2022 Comm catch'!A35</f>
        <v>8-inch</v>
      </c>
      <c r="B35">
        <v>39</v>
      </c>
      <c r="C35" s="807"/>
      <c r="D35" s="807"/>
      <c r="E35" s="807"/>
      <c r="F35" s="865">
        <v>350</v>
      </c>
      <c r="G35" s="865">
        <v>94</v>
      </c>
      <c r="H35" s="884"/>
      <c r="I35" s="840"/>
      <c r="J35" s="840"/>
      <c r="K35" s="871">
        <v>147</v>
      </c>
      <c r="L35" s="886">
        <v>53</v>
      </c>
      <c r="M35" s="3" t="str">
        <f t="shared" si="2"/>
        <v>na</v>
      </c>
      <c r="N35" s="3" t="str">
        <f t="shared" si="2"/>
        <v>na</v>
      </c>
      <c r="O35" s="3" t="str">
        <f t="shared" si="2"/>
        <v>na</v>
      </c>
      <c r="P35" s="3">
        <f t="shared" si="2"/>
        <v>0.42</v>
      </c>
      <c r="Q35" s="409">
        <f t="shared" si="2"/>
        <v>0.56382978723404253</v>
      </c>
      <c r="R35" s="525"/>
      <c r="S35" s="656"/>
    </row>
    <row r="36" spans="1:19" ht="13" x14ac:dyDescent="0.3">
      <c r="A36" s="34" t="str">
        <f>'2022 Comm catch'!A36</f>
        <v>1-3=tangle, 4-5=8-inch</v>
      </c>
      <c r="B36" s="32">
        <v>40</v>
      </c>
      <c r="C36" s="865">
        <v>0</v>
      </c>
      <c r="D36" s="865">
        <v>48</v>
      </c>
      <c r="E36" s="865">
        <v>0</v>
      </c>
      <c r="F36" s="865">
        <v>42</v>
      </c>
      <c r="G36" s="886">
        <v>29</v>
      </c>
      <c r="H36" s="871">
        <v>0</v>
      </c>
      <c r="I36" s="871">
        <v>0</v>
      </c>
      <c r="J36" s="871">
        <v>0</v>
      </c>
      <c r="K36" s="871">
        <v>10</v>
      </c>
      <c r="L36" s="886">
        <v>11</v>
      </c>
      <c r="M36" s="3" t="str">
        <f>IF(C36&gt;0,H36/C36,"na")</f>
        <v>na</v>
      </c>
      <c r="N36" s="3">
        <f>IF(D36&gt;0,I36/D36,"na")</f>
        <v>0</v>
      </c>
      <c r="O36" s="3" t="str">
        <f>IF(E36&gt;0,J36/E36,"na")</f>
        <v>na</v>
      </c>
      <c r="P36" s="3">
        <f>IF(F36&gt;0,K36/F36,"na")</f>
        <v>0.23809523809523808</v>
      </c>
      <c r="Q36" s="409">
        <f>IF(G36&gt;0,L36/G36,"na")</f>
        <v>0.37931034482758619</v>
      </c>
      <c r="R36" s="656"/>
      <c r="S36" s="656"/>
    </row>
    <row r="37" spans="1:19" ht="13" x14ac:dyDescent="0.3">
      <c r="A37" s="34" t="str">
        <f>'2022 Comm catch'!A37</f>
        <v>1-3=tangle, 4-5=8-inch</v>
      </c>
      <c r="B37" s="32">
        <v>41</v>
      </c>
      <c r="C37" s="865">
        <v>0</v>
      </c>
      <c r="D37" s="865">
        <v>237</v>
      </c>
      <c r="E37" s="865">
        <v>0</v>
      </c>
      <c r="F37" s="865">
        <v>0</v>
      </c>
      <c r="G37" s="886">
        <v>19</v>
      </c>
      <c r="H37" s="871">
        <v>0</v>
      </c>
      <c r="I37" s="871">
        <v>0</v>
      </c>
      <c r="J37" s="871">
        <v>0</v>
      </c>
      <c r="K37" s="871">
        <v>0</v>
      </c>
      <c r="L37" s="886">
        <v>4</v>
      </c>
      <c r="M37" s="3" t="str">
        <f t="shared" si="2"/>
        <v>na</v>
      </c>
      <c r="N37" s="3">
        <f t="shared" si="2"/>
        <v>0</v>
      </c>
      <c r="O37" s="3" t="str">
        <f t="shared" si="2"/>
        <v>na</v>
      </c>
      <c r="P37" s="3" t="str">
        <f t="shared" si="2"/>
        <v>na</v>
      </c>
      <c r="Q37" s="409">
        <f t="shared" si="2"/>
        <v>0.21052631578947367</v>
      </c>
      <c r="R37" s="525"/>
      <c r="S37" s="656">
        <f>SUM(K37:L37)/SUM(F37:G37)</f>
        <v>0.21052631578947367</v>
      </c>
    </row>
    <row r="38" spans="1:19" ht="13" x14ac:dyDescent="0.3">
      <c r="A38" s="34" t="str">
        <f>'2022 Comm catch'!A38</f>
        <v>1-3=tangle, 4-5=8-inch</v>
      </c>
      <c r="B38" s="32">
        <v>42</v>
      </c>
      <c r="C38" s="865">
        <v>0</v>
      </c>
      <c r="D38" s="865">
        <v>77</v>
      </c>
      <c r="E38" s="865">
        <v>0</v>
      </c>
      <c r="F38" s="865">
        <v>0</v>
      </c>
      <c r="G38" s="865">
        <v>0</v>
      </c>
      <c r="H38" s="873">
        <v>0</v>
      </c>
      <c r="I38" s="871">
        <v>0</v>
      </c>
      <c r="J38" s="871">
        <v>0</v>
      </c>
      <c r="K38" s="871">
        <v>0</v>
      </c>
      <c r="L38" s="886">
        <v>0</v>
      </c>
      <c r="M38" s="3">
        <f>N38</f>
        <v>0</v>
      </c>
      <c r="N38" s="3">
        <f t="shared" si="2"/>
        <v>0</v>
      </c>
      <c r="O38" s="3" t="str">
        <f t="shared" si="2"/>
        <v>na</v>
      </c>
      <c r="P38" s="3" t="str">
        <f t="shared" si="2"/>
        <v>na</v>
      </c>
      <c r="Q38" s="409" t="str">
        <f t="shared" si="2"/>
        <v>na</v>
      </c>
      <c r="R38" s="656"/>
      <c r="S38" s="656"/>
    </row>
    <row r="39" spans="1:19" ht="13" x14ac:dyDescent="0.3">
      <c r="A39" s="34" t="str">
        <f>'2022 Comm catch'!A39</f>
        <v>1-3=tangle</v>
      </c>
      <c r="B39">
        <v>43</v>
      </c>
      <c r="C39" s="865">
        <v>0</v>
      </c>
      <c r="D39" s="865">
        <v>12</v>
      </c>
      <c r="E39" s="865">
        <v>0</v>
      </c>
      <c r="F39" s="807"/>
      <c r="G39" s="863"/>
      <c r="H39" s="871">
        <v>0</v>
      </c>
      <c r="I39" s="871">
        <v>0</v>
      </c>
      <c r="J39" s="871">
        <v>0</v>
      </c>
      <c r="K39" s="840"/>
      <c r="L39" s="863"/>
      <c r="M39" s="3" t="str">
        <f>IF(C39&gt;0,H39/C39,"na")</f>
        <v>na</v>
      </c>
      <c r="N39" s="3">
        <f t="shared" si="2"/>
        <v>0</v>
      </c>
      <c r="O39" s="3" t="str">
        <f t="shared" si="2"/>
        <v>na</v>
      </c>
      <c r="P39" s="3" t="str">
        <f t="shared" si="2"/>
        <v>na</v>
      </c>
      <c r="Q39" s="409" t="str">
        <f t="shared" si="2"/>
        <v>na</v>
      </c>
      <c r="R39" s="525"/>
      <c r="S39" s="656"/>
    </row>
    <row r="40" spans="1:19" ht="13" x14ac:dyDescent="0.3">
      <c r="A40" s="34" t="str">
        <f>'2022 Comm catch'!A40</f>
        <v>1-3=tangle</v>
      </c>
      <c r="B40">
        <v>44</v>
      </c>
      <c r="C40" s="865">
        <v>0</v>
      </c>
      <c r="D40" s="865">
        <v>45</v>
      </c>
      <c r="E40" s="865">
        <v>0</v>
      </c>
      <c r="F40" s="807"/>
      <c r="G40" s="863"/>
      <c r="H40" s="871">
        <v>0</v>
      </c>
      <c r="I40" s="871">
        <v>0</v>
      </c>
      <c r="J40" s="871">
        <v>0</v>
      </c>
      <c r="K40" s="840"/>
      <c r="L40" s="863"/>
      <c r="M40" s="3" t="str">
        <f>IF(C40&gt;0,H40/C40,"na")</f>
        <v>na</v>
      </c>
      <c r="N40" s="3">
        <f>IF(D40&gt;0,I40/D40,"na")</f>
        <v>0</v>
      </c>
      <c r="O40" s="3" t="str">
        <f t="shared" si="2"/>
        <v>na</v>
      </c>
      <c r="P40" s="3" t="str">
        <f t="shared" si="2"/>
        <v>na</v>
      </c>
      <c r="Q40" s="409" t="str">
        <f t="shared" si="2"/>
        <v>na</v>
      </c>
      <c r="R40" s="656"/>
      <c r="S40" s="656"/>
    </row>
    <row r="41" spans="1:19" ht="13" x14ac:dyDescent="0.3">
      <c r="A41" s="2">
        <f>'2022 Comm catch'!A41</f>
        <v>0</v>
      </c>
      <c r="B41">
        <v>45</v>
      </c>
      <c r="C41" s="868"/>
      <c r="D41" s="868"/>
      <c r="E41" s="868"/>
      <c r="F41" s="868"/>
      <c r="G41" s="885"/>
      <c r="H41" s="840"/>
      <c r="I41" s="840"/>
      <c r="J41" s="840"/>
      <c r="K41" s="840"/>
      <c r="L41" s="863"/>
      <c r="M41" s="3" t="str">
        <f>IF(C41&gt;0,H41/C41,"na")</f>
        <v>na</v>
      </c>
      <c r="N41" s="3" t="str">
        <f t="shared" ref="N41:P42" si="4">IF(D41&gt;0,I41/D41,"na")</f>
        <v>na</v>
      </c>
      <c r="O41" s="3" t="str">
        <f t="shared" si="4"/>
        <v>na</v>
      </c>
      <c r="P41" s="3" t="str">
        <f t="shared" si="4"/>
        <v>na</v>
      </c>
      <c r="Q41" s="409" t="str">
        <f>IF(G41&gt;0,L41/G41,"na")</f>
        <v>na</v>
      </c>
      <c r="R41" s="402"/>
    </row>
    <row r="42" spans="1:19" x14ac:dyDescent="0.25">
      <c r="B42" t="s">
        <v>184</v>
      </c>
      <c r="C42" s="827">
        <f>SUM(C28:C41)</f>
        <v>0</v>
      </c>
      <c r="D42" s="828">
        <f t="shared" ref="D42:L42" si="5">SUM(D28:D41)</f>
        <v>419</v>
      </c>
      <c r="E42" s="828">
        <f t="shared" si="5"/>
        <v>0</v>
      </c>
      <c r="F42" s="828">
        <f t="shared" si="5"/>
        <v>531</v>
      </c>
      <c r="G42" s="829">
        <f t="shared" si="5"/>
        <v>185</v>
      </c>
      <c r="H42" s="827">
        <f t="shared" si="5"/>
        <v>0</v>
      </c>
      <c r="I42" s="828">
        <f t="shared" si="5"/>
        <v>0</v>
      </c>
      <c r="J42" s="828">
        <f t="shared" si="5"/>
        <v>0</v>
      </c>
      <c r="K42" s="828">
        <f t="shared" si="5"/>
        <v>253</v>
      </c>
      <c r="L42" s="830">
        <f t="shared" si="5"/>
        <v>100</v>
      </c>
      <c r="M42" s="223" t="str">
        <f>IF(C42&gt;0,H42/C42,"na")</f>
        <v>na</v>
      </c>
      <c r="N42" s="528">
        <f t="shared" si="4"/>
        <v>0</v>
      </c>
      <c r="O42" s="528" t="str">
        <f t="shared" si="4"/>
        <v>na</v>
      </c>
      <c r="P42" s="528">
        <f t="shared" si="4"/>
        <v>0.47645951035781542</v>
      </c>
      <c r="Q42" s="529">
        <f>IF(G42&gt;0,L42/G42,"na")</f>
        <v>0.54054054054054057</v>
      </c>
      <c r="R42" s="525"/>
    </row>
    <row r="43" spans="1:19" x14ac:dyDescent="0.25">
      <c r="C43" s="44"/>
      <c r="D43" s="44"/>
      <c r="E43" s="44"/>
      <c r="F43" s="44"/>
      <c r="G43" s="44"/>
      <c r="H43" s="44"/>
      <c r="I43" s="44"/>
      <c r="J43" s="44"/>
      <c r="K43" s="44"/>
      <c r="L43" s="44"/>
      <c r="M43" s="44"/>
      <c r="N43" s="44"/>
      <c r="O43" s="44"/>
      <c r="P43" s="44"/>
      <c r="Q43" s="531"/>
      <c r="R43" s="531"/>
    </row>
  </sheetData>
  <mergeCells count="6">
    <mergeCell ref="C3:F3"/>
    <mergeCell ref="G3:J3"/>
    <mergeCell ref="K3:N3"/>
    <mergeCell ref="C26:G26"/>
    <mergeCell ref="H26:L26"/>
    <mergeCell ref="M26:Q26"/>
  </mergeCells>
  <pageMargins left="0.75" right="0.75" top="1" bottom="1" header="0.5" footer="0.5"/>
  <pageSetup orientation="portrait" r:id="rId1"/>
  <headerFooter alignWithMargins="0"/>
  <drawing r:id="rId2"/>
  <legacyDrawing r:id="rId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30"/>
  <sheetViews>
    <sheetView zoomScale="75" workbookViewId="0">
      <selection activeCell="I30" sqref="I30"/>
    </sheetView>
  </sheetViews>
  <sheetFormatPr defaultRowHeight="12.5" x14ac:dyDescent="0.25"/>
  <cols>
    <col min="1" max="1" width="3" style="44" customWidth="1"/>
    <col min="2" max="2" width="14.26953125" customWidth="1"/>
    <col min="3" max="3" width="17.7265625" style="31" bestFit="1" customWidth="1"/>
    <col min="4" max="4" width="13" customWidth="1"/>
    <col min="5" max="5" width="14.54296875" customWidth="1"/>
    <col min="6" max="6" width="10.453125" customWidth="1"/>
    <col min="7" max="7" width="14.81640625" bestFit="1" customWidth="1"/>
    <col min="8" max="8" width="14.453125" bestFit="1" customWidth="1"/>
    <col min="9" max="9" width="11.54296875" customWidth="1"/>
    <col min="10" max="10" width="10" customWidth="1"/>
  </cols>
  <sheetData>
    <row r="1" spans="1:11" ht="13.5" thickBot="1" x14ac:dyDescent="0.35">
      <c r="D1" s="151"/>
      <c r="E1" s="151"/>
      <c r="F1" s="151"/>
      <c r="G1" s="151"/>
      <c r="H1" s="151"/>
      <c r="I1" s="151"/>
      <c r="J1" s="151"/>
    </row>
    <row r="2" spans="1:11" ht="13.5" thickBot="1" x14ac:dyDescent="0.35">
      <c r="B2" s="921" t="s">
        <v>279</v>
      </c>
      <c r="C2" s="922"/>
      <c r="D2" s="922"/>
      <c r="E2" s="923"/>
      <c r="J2" s="2"/>
    </row>
    <row r="3" spans="1:11" ht="13" x14ac:dyDescent="0.3">
      <c r="A3" s="516"/>
      <c r="B3" s="248" t="s">
        <v>200</v>
      </c>
      <c r="C3" s="249" t="s">
        <v>177</v>
      </c>
      <c r="D3" s="249" t="s">
        <v>94</v>
      </c>
      <c r="E3" s="250" t="s">
        <v>184</v>
      </c>
      <c r="J3" s="517"/>
    </row>
    <row r="4" spans="1:11" ht="13" x14ac:dyDescent="0.3">
      <c r="A4" s="516"/>
      <c r="B4" s="251" t="s">
        <v>160</v>
      </c>
      <c r="C4" s="249">
        <v>174880</v>
      </c>
      <c r="D4" s="249">
        <v>71593</v>
      </c>
      <c r="E4" s="252">
        <f>D4+C4</f>
        <v>246473</v>
      </c>
      <c r="J4" s="517"/>
    </row>
    <row r="5" spans="1:11" ht="13" x14ac:dyDescent="0.3">
      <c r="A5" s="516"/>
      <c r="B5" s="251" t="s">
        <v>161</v>
      </c>
      <c r="C5" s="249">
        <v>117360</v>
      </c>
      <c r="D5" s="249">
        <v>27874</v>
      </c>
      <c r="E5" s="252">
        <f>D5+C5</f>
        <v>145234</v>
      </c>
      <c r="J5" s="517"/>
    </row>
    <row r="6" spans="1:11" ht="13.5" thickBot="1" x14ac:dyDescent="0.35">
      <c r="A6" s="516"/>
      <c r="B6" s="253" t="s">
        <v>44</v>
      </c>
      <c r="C6" s="254">
        <f>C5+C4</f>
        <v>292240</v>
      </c>
      <c r="D6" s="254">
        <f>D5+D4</f>
        <v>99467</v>
      </c>
      <c r="E6" s="255">
        <f>D6+C6</f>
        <v>391707</v>
      </c>
      <c r="J6" s="224"/>
    </row>
    <row r="7" spans="1:11" ht="13" x14ac:dyDescent="0.3">
      <c r="A7" s="516"/>
      <c r="B7" s="251" t="s">
        <v>241</v>
      </c>
      <c r="C7" s="389" t="s">
        <v>252</v>
      </c>
      <c r="D7" s="249">
        <v>9993</v>
      </c>
      <c r="E7" s="252"/>
      <c r="J7" s="224"/>
    </row>
    <row r="8" spans="1:11" ht="13" x14ac:dyDescent="0.3">
      <c r="A8" s="516"/>
      <c r="B8" s="251" t="s">
        <v>242</v>
      </c>
      <c r="C8" s="249" t="s">
        <v>253</v>
      </c>
      <c r="D8" s="249">
        <v>5128</v>
      </c>
      <c r="E8" s="252"/>
      <c r="J8" s="224"/>
    </row>
    <row r="9" spans="1:11" ht="13.5" thickBot="1" x14ac:dyDescent="0.35">
      <c r="A9" s="516"/>
      <c r="B9" s="253" t="s">
        <v>44</v>
      </c>
      <c r="C9" s="254"/>
      <c r="D9" s="254">
        <f>D8+D7</f>
        <v>15121</v>
      </c>
      <c r="E9" s="255"/>
      <c r="J9" s="224"/>
    </row>
    <row r="10" spans="1:11" ht="13" x14ac:dyDescent="0.3">
      <c r="A10" s="516"/>
      <c r="B10" s="209"/>
      <c r="C10" s="210" t="s">
        <v>167</v>
      </c>
      <c r="D10" s="924" t="s">
        <v>250</v>
      </c>
      <c r="E10" s="925"/>
      <c r="F10" s="926"/>
      <c r="G10" s="924" t="s">
        <v>251</v>
      </c>
      <c r="H10" s="925"/>
      <c r="I10" s="926"/>
      <c r="J10" s="517"/>
    </row>
    <row r="11" spans="1:11" ht="13" x14ac:dyDescent="0.3">
      <c r="B11" s="211" t="s">
        <v>162</v>
      </c>
      <c r="C11" s="212" t="s">
        <v>163</v>
      </c>
      <c r="D11" s="211" t="s">
        <v>44</v>
      </c>
      <c r="E11" s="208" t="s">
        <v>165</v>
      </c>
      <c r="F11" s="263" t="s">
        <v>166</v>
      </c>
      <c r="G11" s="211" t="s">
        <v>213</v>
      </c>
      <c r="H11" s="208" t="s">
        <v>165</v>
      </c>
      <c r="I11" s="263" t="s">
        <v>166</v>
      </c>
    </row>
    <row r="12" spans="1:11" ht="15" x14ac:dyDescent="0.3">
      <c r="B12" s="211" t="s">
        <v>211</v>
      </c>
      <c r="C12" s="305"/>
      <c r="D12" s="390">
        <f>E12+F12</f>
        <v>59627</v>
      </c>
      <c r="E12" s="70">
        <f>'2010 Comm catch'!B68</f>
        <v>59627</v>
      </c>
      <c r="F12" s="264">
        <f>'2010 Comm catch'!C68</f>
        <v>0</v>
      </c>
      <c r="G12" s="310">
        <f>H12+I12</f>
        <v>229.1810669927705</v>
      </c>
      <c r="H12" s="311">
        <f>'2010 Comm catch'!G49</f>
        <v>229.1810669927705</v>
      </c>
      <c r="I12" s="360">
        <v>0</v>
      </c>
      <c r="J12" s="518">
        <f>G12/$D$6</f>
        <v>2.304091477502795E-3</v>
      </c>
      <c r="K12" s="519"/>
    </row>
    <row r="13" spans="1:11" ht="13" x14ac:dyDescent="0.3">
      <c r="A13" s="516"/>
      <c r="B13" s="211" t="s">
        <v>123</v>
      </c>
      <c r="C13" s="305"/>
      <c r="D13" s="390">
        <f>E13+F13</f>
        <v>18920</v>
      </c>
      <c r="E13" s="70">
        <f>'2010 Comm catch'!B75</f>
        <v>3015</v>
      </c>
      <c r="F13" s="264">
        <f>'2010 Comm catch'!C75</f>
        <v>15905</v>
      </c>
      <c r="G13" s="310">
        <f>H13+I13</f>
        <v>5866.035569908071</v>
      </c>
      <c r="H13" s="311">
        <f>'2010 Comm catch'!G57</f>
        <v>1227.1695218472969</v>
      </c>
      <c r="I13" s="215">
        <f>'2010 Comm catch'!H57</f>
        <v>4638.8660480607741</v>
      </c>
      <c r="J13" s="518">
        <f>G13/$D$6</f>
        <v>5.8974690801050306E-2</v>
      </c>
      <c r="K13" s="18"/>
    </row>
    <row r="14" spans="1:11" ht="13" x14ac:dyDescent="0.3">
      <c r="A14" s="520"/>
      <c r="B14" s="394" t="s">
        <v>168</v>
      </c>
      <c r="C14" s="395"/>
      <c r="D14" s="391">
        <f>E14+F14</f>
        <v>7200</v>
      </c>
      <c r="E14" s="392">
        <v>6133</v>
      </c>
      <c r="F14" s="393">
        <v>1067</v>
      </c>
      <c r="G14" s="396">
        <f>H14+I14</f>
        <v>98.854447439353123</v>
      </c>
      <c r="H14" s="397">
        <v>84.905660377358515</v>
      </c>
      <c r="I14" s="398">
        <v>13.948787061994611</v>
      </c>
      <c r="J14" s="518">
        <f>G14/$D$9</f>
        <v>6.5375601771941756E-3</v>
      </c>
      <c r="K14" s="519"/>
    </row>
    <row r="15" spans="1:11" ht="13" x14ac:dyDescent="0.3">
      <c r="A15" s="516"/>
      <c r="B15" s="211" t="s">
        <v>169</v>
      </c>
      <c r="C15" s="305"/>
      <c r="D15" s="390"/>
      <c r="E15" s="70"/>
      <c r="F15" s="264"/>
      <c r="G15" s="310"/>
      <c r="H15" s="311"/>
      <c r="I15" s="347"/>
      <c r="J15" s="518">
        <f>G15/$D$6</f>
        <v>0</v>
      </c>
      <c r="K15" s="519"/>
    </row>
    <row r="16" spans="1:11" ht="13" x14ac:dyDescent="0.3">
      <c r="A16" s="516"/>
      <c r="B16" s="211"/>
      <c r="C16" s="212"/>
      <c r="D16" s="390"/>
      <c r="E16" s="70"/>
      <c r="F16" s="264"/>
      <c r="G16" s="211"/>
      <c r="H16" s="46"/>
      <c r="I16" s="212"/>
      <c r="J16" s="46"/>
    </row>
    <row r="17" spans="1:15" ht="13" x14ac:dyDescent="0.3">
      <c r="A17" s="516"/>
      <c r="B17" s="266" t="s">
        <v>173</v>
      </c>
      <c r="C17" s="212" t="s">
        <v>131</v>
      </c>
      <c r="D17" s="390">
        <f>SUM(D12:D16)</f>
        <v>85747</v>
      </c>
      <c r="E17" s="70">
        <f>SUM(E12:E16)</f>
        <v>68775</v>
      </c>
      <c r="F17" s="264">
        <f>SUM(F12:F16)</f>
        <v>16972</v>
      </c>
      <c r="G17" s="265"/>
      <c r="H17" s="213"/>
      <c r="I17" s="215"/>
      <c r="J17" s="46"/>
    </row>
    <row r="18" spans="1:15" ht="13.5" thickBot="1" x14ac:dyDescent="0.35">
      <c r="A18" s="516"/>
      <c r="B18" s="266"/>
      <c r="C18" s="212"/>
      <c r="D18" s="915" t="s">
        <v>276</v>
      </c>
      <c r="E18" s="916"/>
      <c r="F18" s="917"/>
      <c r="G18" s="265">
        <f>G12+G13+G15</f>
        <v>6095.2166369008419</v>
      </c>
      <c r="H18" s="213">
        <f>H12+H13+H15</f>
        <v>1456.3505888400673</v>
      </c>
      <c r="I18" s="215">
        <f>I12+I13+I15</f>
        <v>4638.8660480607741</v>
      </c>
      <c r="J18" s="46"/>
    </row>
    <row r="19" spans="1:15" ht="13.5" thickBot="1" x14ac:dyDescent="0.35">
      <c r="A19" s="516"/>
      <c r="B19" s="266"/>
      <c r="C19" s="212"/>
      <c r="D19" s="927" t="s">
        <v>277</v>
      </c>
      <c r="E19" s="928"/>
      <c r="F19" s="929"/>
      <c r="G19" s="319">
        <f>G18/D6</f>
        <v>6.1278782278553108E-2</v>
      </c>
      <c r="H19" s="312">
        <f>H18/D4</f>
        <v>2.0342080773819611E-2</v>
      </c>
      <c r="I19" s="313">
        <f>I18/D5</f>
        <v>0.16642268953364334</v>
      </c>
      <c r="J19" s="46"/>
    </row>
    <row r="20" spans="1:15" ht="13.5" thickBot="1" x14ac:dyDescent="0.35">
      <c r="A20" s="516"/>
      <c r="B20" s="266"/>
      <c r="C20" s="212"/>
      <c r="D20" s="915" t="s">
        <v>274</v>
      </c>
      <c r="E20" s="916"/>
      <c r="F20" s="917"/>
      <c r="G20" s="265">
        <f>G14</f>
        <v>98.854447439353123</v>
      </c>
      <c r="H20" s="213">
        <f>H14</f>
        <v>84.905660377358515</v>
      </c>
      <c r="I20" s="215">
        <f>I14</f>
        <v>13.948787061994611</v>
      </c>
      <c r="J20" s="46"/>
    </row>
    <row r="21" spans="1:15" ht="13.5" thickBot="1" x14ac:dyDescent="0.35">
      <c r="A21" s="516"/>
      <c r="B21" s="267" t="s">
        <v>173</v>
      </c>
      <c r="C21" s="322" t="s">
        <v>202</v>
      </c>
      <c r="D21" s="918" t="s">
        <v>275</v>
      </c>
      <c r="E21" s="919"/>
      <c r="F21" s="920"/>
      <c r="G21" s="319">
        <f>G20/D9</f>
        <v>6.5375601771941756E-3</v>
      </c>
      <c r="H21" s="312">
        <f>H20/D7</f>
        <v>8.4965135972539293E-3</v>
      </c>
      <c r="I21" s="313">
        <f>I20/D8</f>
        <v>2.7201222819802284E-3</v>
      </c>
      <c r="J21" s="178"/>
    </row>
    <row r="22" spans="1:15" ht="13" x14ac:dyDescent="0.3">
      <c r="A22" s="516"/>
      <c r="B22" s="268"/>
      <c r="C22" s="316"/>
      <c r="D22" s="211"/>
      <c r="E22" s="269"/>
      <c r="F22" s="212"/>
      <c r="G22" s="269"/>
      <c r="H22" s="269"/>
      <c r="I22" s="270"/>
      <c r="J22" s="46"/>
    </row>
    <row r="23" spans="1:15" ht="13.5" thickBot="1" x14ac:dyDescent="0.35">
      <c r="B23" s="266" t="s">
        <v>201</v>
      </c>
      <c r="C23" s="46" t="s">
        <v>131</v>
      </c>
      <c r="D23" s="915" t="s">
        <v>244</v>
      </c>
      <c r="E23" s="916"/>
      <c r="F23" s="917"/>
      <c r="G23" s="392">
        <f>H23+I23</f>
        <v>0</v>
      </c>
      <c r="H23" s="392"/>
      <c r="I23" s="393"/>
      <c r="J23" s="46"/>
    </row>
    <row r="24" spans="1:15" s="11" customFormat="1" ht="13.5" thickBot="1" x14ac:dyDescent="0.35">
      <c r="A24" s="44"/>
      <c r="B24" s="267" t="s">
        <v>243</v>
      </c>
      <c r="C24" s="323" t="s">
        <v>202</v>
      </c>
      <c r="D24" s="918" t="s">
        <v>245</v>
      </c>
      <c r="E24" s="919"/>
      <c r="F24" s="920"/>
      <c r="G24" s="319">
        <f>G23/D9</f>
        <v>0</v>
      </c>
      <c r="H24" s="320">
        <f>H23/D7</f>
        <v>0</v>
      </c>
      <c r="I24" s="321">
        <f>I23/D8</f>
        <v>0</v>
      </c>
      <c r="J24" s="213"/>
      <c r="K24"/>
      <c r="L24"/>
      <c r="M24"/>
      <c r="N24"/>
      <c r="O24"/>
    </row>
    <row r="25" spans="1:15" s="11" customFormat="1" ht="13" x14ac:dyDescent="0.3">
      <c r="A25" s="44"/>
      <c r="B25" s="268"/>
      <c r="C25" s="316"/>
      <c r="D25" s="211"/>
      <c r="E25" s="269"/>
      <c r="F25" s="212"/>
      <c r="G25" s="269"/>
      <c r="H25" s="269"/>
      <c r="I25" s="270"/>
      <c r="J25" s="46"/>
      <c r="K25"/>
      <c r="L25"/>
      <c r="M25"/>
      <c r="N25"/>
      <c r="O25"/>
    </row>
    <row r="26" spans="1:15" s="11" customFormat="1" ht="13.5" thickBot="1" x14ac:dyDescent="0.35">
      <c r="A26" s="44"/>
      <c r="B26" s="315" t="s">
        <v>164</v>
      </c>
      <c r="C26" s="316"/>
      <c r="D26" s="915" t="s">
        <v>244</v>
      </c>
      <c r="E26" s="916"/>
      <c r="F26" s="917"/>
      <c r="G26" s="70">
        <f>G23+G20+(G19*D9)</f>
        <v>1025.4509142733548</v>
      </c>
      <c r="H26" s="70">
        <f>H23+H20+(H19*D7)</f>
        <v>288.1840735501379</v>
      </c>
      <c r="I26" s="264">
        <f>I23+I20+(I19*D8)</f>
        <v>867.36433899051758</v>
      </c>
      <c r="J26" s="46"/>
      <c r="K26"/>
      <c r="L26"/>
      <c r="M26"/>
      <c r="N26"/>
      <c r="O26"/>
    </row>
    <row r="27" spans="1:15" s="11" customFormat="1" ht="13.5" thickBot="1" x14ac:dyDescent="0.35">
      <c r="A27" s="44"/>
      <c r="B27" s="317" t="s">
        <v>164</v>
      </c>
      <c r="C27" s="323" t="s">
        <v>202</v>
      </c>
      <c r="D27" s="918" t="s">
        <v>245</v>
      </c>
      <c r="E27" s="919"/>
      <c r="F27" s="920"/>
      <c r="G27" s="319">
        <f>G24+G21+G19</f>
        <v>6.7816342455747289E-2</v>
      </c>
      <c r="H27" s="320">
        <f>H24+H21+H19</f>
        <v>2.8838594371073542E-2</v>
      </c>
      <c r="I27" s="321">
        <f>I24+I21+I19</f>
        <v>0.16914281181562357</v>
      </c>
      <c r="J27" s="46"/>
      <c r="K27"/>
      <c r="L27"/>
      <c r="M27"/>
      <c r="N27"/>
      <c r="O27"/>
    </row>
    <row r="28" spans="1:15" s="11" customFormat="1" ht="13" x14ac:dyDescent="0.3">
      <c r="A28" s="44"/>
      <c r="B28" s="318" t="s">
        <v>212</v>
      </c>
      <c r="C28" s="31"/>
      <c r="D28"/>
      <c r="E28"/>
      <c r="F28"/>
      <c r="G28"/>
      <c r="H28"/>
      <c r="I28"/>
      <c r="J28" s="46"/>
      <c r="K28"/>
      <c r="L28"/>
      <c r="M28"/>
      <c r="N28"/>
      <c r="O28"/>
    </row>
    <row r="29" spans="1:15" s="11" customFormat="1" ht="13" x14ac:dyDescent="0.3">
      <c r="A29" s="44"/>
      <c r="B29"/>
      <c r="C29" s="31"/>
      <c r="D29"/>
      <c r="E29"/>
      <c r="F29" t="s">
        <v>225</v>
      </c>
      <c r="G29" s="26">
        <f>20%-G27</f>
        <v>0.13218365754425271</v>
      </c>
      <c r="H29"/>
      <c r="I29"/>
      <c r="J29" s="46"/>
      <c r="K29"/>
      <c r="L29"/>
      <c r="M29"/>
      <c r="N29"/>
      <c r="O29"/>
    </row>
    <row r="30" spans="1:15" s="11" customFormat="1" x14ac:dyDescent="0.25">
      <c r="A30" s="44"/>
      <c r="B30"/>
      <c r="C30" s="31"/>
      <c r="D30"/>
      <c r="E30"/>
      <c r="F30"/>
      <c r="G30"/>
      <c r="H30"/>
      <c r="I30"/>
      <c r="J30" s="44"/>
      <c r="K30"/>
      <c r="L30"/>
      <c r="M30"/>
      <c r="N30"/>
      <c r="O30"/>
    </row>
  </sheetData>
  <mergeCells count="11">
    <mergeCell ref="D26:F26"/>
    <mergeCell ref="D27:F27"/>
    <mergeCell ref="D20:F20"/>
    <mergeCell ref="D21:F21"/>
    <mergeCell ref="D23:F23"/>
    <mergeCell ref="D24:F24"/>
    <mergeCell ref="B2:E2"/>
    <mergeCell ref="D10:F10"/>
    <mergeCell ref="G10:I10"/>
    <mergeCell ref="D19:F19"/>
    <mergeCell ref="D18:F18"/>
  </mergeCells>
  <phoneticPr fontId="4" type="noConversion"/>
  <pageMargins left="0.75" right="0.75" top="1" bottom="1" header="0.5" footer="0.5"/>
  <pageSetup orientation="portrait" r:id="rId1"/>
  <headerFooter alignWithMargins="0"/>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2:R40"/>
  <sheetViews>
    <sheetView zoomScale="75" workbookViewId="0">
      <selection activeCell="I30" sqref="I30"/>
    </sheetView>
  </sheetViews>
  <sheetFormatPr defaultRowHeight="13" x14ac:dyDescent="0.3"/>
  <cols>
    <col min="1" max="1" width="10.26953125" style="2" customWidth="1"/>
    <col min="2" max="9" width="10.26953125" customWidth="1"/>
    <col min="10" max="11" width="9.26953125" bestFit="1" customWidth="1"/>
    <col min="12" max="12" width="7.54296875" style="32" bestFit="1" customWidth="1"/>
    <col min="13" max="13" width="7.54296875" style="32" customWidth="1"/>
    <col min="14" max="15" width="7.54296875" bestFit="1" customWidth="1"/>
    <col min="16" max="16" width="7.54296875" customWidth="1"/>
    <col min="17" max="17" width="7.26953125" bestFit="1" customWidth="1"/>
  </cols>
  <sheetData>
    <row r="2" spans="1:17" s="2" customFormat="1" x14ac:dyDescent="0.3">
      <c r="A2" s="2" t="s">
        <v>133</v>
      </c>
      <c r="B2" s="930" t="s">
        <v>135</v>
      </c>
      <c r="C2" s="930"/>
      <c r="D2" s="930" t="s">
        <v>136</v>
      </c>
      <c r="E2" s="930"/>
      <c r="F2" s="930" t="s">
        <v>137</v>
      </c>
      <c r="G2" s="930"/>
      <c r="H2" s="930" t="s">
        <v>138</v>
      </c>
      <c r="I2" s="930"/>
      <c r="J2" s="930" t="s">
        <v>139</v>
      </c>
      <c r="K2" s="930"/>
      <c r="L2" s="2" t="s">
        <v>184</v>
      </c>
      <c r="M2" s="2" t="s">
        <v>184</v>
      </c>
      <c r="N2" s="2" t="s">
        <v>184</v>
      </c>
      <c r="O2" s="2" t="s">
        <v>185</v>
      </c>
      <c r="P2" s="2" t="s">
        <v>197</v>
      </c>
      <c r="Q2" s="2" t="s">
        <v>185</v>
      </c>
    </row>
    <row r="3" spans="1:17" s="2" customFormat="1" x14ac:dyDescent="0.3">
      <c r="A3" s="2" t="s">
        <v>134</v>
      </c>
      <c r="B3" s="2" t="s">
        <v>44</v>
      </c>
      <c r="C3" s="2" t="s">
        <v>94</v>
      </c>
      <c r="D3" s="2" t="s">
        <v>44</v>
      </c>
      <c r="E3" s="2" t="s">
        <v>94</v>
      </c>
      <c r="F3" s="2" t="s">
        <v>44</v>
      </c>
      <c r="G3" s="2" t="s">
        <v>94</v>
      </c>
      <c r="H3" s="2" t="s">
        <v>44</v>
      </c>
      <c r="I3" s="2" t="s">
        <v>94</v>
      </c>
      <c r="J3" s="2" t="s">
        <v>44</v>
      </c>
      <c r="K3" s="2" t="s">
        <v>94</v>
      </c>
      <c r="L3" s="2" t="s">
        <v>44</v>
      </c>
      <c r="M3" s="2" t="s">
        <v>196</v>
      </c>
      <c r="N3" s="2" t="s">
        <v>183</v>
      </c>
      <c r="O3" s="2" t="s">
        <v>44</v>
      </c>
      <c r="P3" s="2" t="s">
        <v>196</v>
      </c>
      <c r="Q3" s="2" t="s">
        <v>183</v>
      </c>
    </row>
    <row r="4" spans="1:17" x14ac:dyDescent="0.3">
      <c r="L4"/>
      <c r="M4"/>
    </row>
    <row r="5" spans="1:17" x14ac:dyDescent="0.3">
      <c r="A5" s="182">
        <v>32</v>
      </c>
      <c r="B5" s="183">
        <f>'2000 catch'!B17+'2001 catch'!B17+'2002 catch'!B17+'2003 catch'!B17+'2004 Catch'!B17+'2005 catch'!B17+'2006 Catch'!B17</f>
        <v>291</v>
      </c>
      <c r="C5" s="183">
        <f>'2000 catch'!D17+'2001 catch'!D17+'2002 catch'!D17+'2003 catch'!D17+'2004 Catch'!D17+'2005 catch'!D17+'2006 Catch'!D17</f>
        <v>22.012680367293395</v>
      </c>
      <c r="D5" s="183">
        <f>'2000 catch'!B18+'2001 catch'!B18+'2002 catch'!B18+'2003 catch'!B18+'2004 Catch'!B18+'2005 catch'!B18+'2006 Catch'!B18</f>
        <v>14</v>
      </c>
      <c r="E5" s="183">
        <f>'2000 catch'!D18+'2001 catch'!D18+'2002 catch'!D18+'2003 catch'!D18+'2004 Catch'!D18+'2005 catch'!D18+'2006 Catch'!D18</f>
        <v>1.2220902612826603</v>
      </c>
      <c r="F5" s="183">
        <f>'2000 catch'!B19+'2001 catch'!B19+'2002 catch'!B19+'2003 catch'!B19+'2004 Catch'!B19+'2005 catch'!B19+'2006 Catch'!B19</f>
        <v>1</v>
      </c>
      <c r="G5" s="183">
        <v>0</v>
      </c>
      <c r="H5" s="183">
        <v>0</v>
      </c>
      <c r="I5" s="183">
        <v>0</v>
      </c>
      <c r="J5" s="183">
        <v>0</v>
      </c>
      <c r="K5" s="183">
        <v>0</v>
      </c>
      <c r="L5" s="176">
        <f t="shared" ref="L5:L10" si="0">SUM(J5,H5,F5,D5,B5)</f>
        <v>306</v>
      </c>
      <c r="M5" s="176">
        <f>L5-N5</f>
        <v>282.76522937142397</v>
      </c>
      <c r="N5" s="176">
        <f t="shared" ref="N5:N18" si="1">SUM(K5,I5,G5,E5,C5)</f>
        <v>23.234770628576054</v>
      </c>
      <c r="O5" s="176">
        <f>AVERAGE(J5,H5,F5,D5,B5)</f>
        <v>61.2</v>
      </c>
      <c r="P5" s="176">
        <f>O5-Q5</f>
        <v>56.553045874284791</v>
      </c>
      <c r="Q5" s="176">
        <f t="shared" ref="Q5:Q18" si="2">AVERAGE(K5,I5,G5,E5,C5)</f>
        <v>4.6469541257152107</v>
      </c>
    </row>
    <row r="6" spans="1:17" x14ac:dyDescent="0.3">
      <c r="A6" s="182">
        <v>33</v>
      </c>
      <c r="B6" s="183">
        <f>'2000 catch'!F17+'2001 catch'!F17+'2002 catch'!F17+'2003 catch'!F17+'2004 Catch'!F17+'2005 catch'!F17+'2006 Catch'!F17</f>
        <v>204</v>
      </c>
      <c r="C6" s="183">
        <f>'2000 catch'!H17+'2001 catch'!H17+'2002 catch'!H17+'2003 catch'!H17+'2004 Catch'!H17+'2005 catch'!H17+'2006 Catch'!H17</f>
        <v>19.036229620838277</v>
      </c>
      <c r="D6" s="183">
        <f>'2000 catch'!F18+'2001 catch'!F18+'2002 catch'!F18+'2003 catch'!F18+'2004 Catch'!F18+'2005 catch'!F18+'2006 Catch'!F18</f>
        <v>25</v>
      </c>
      <c r="E6" s="183">
        <f>'2000 catch'!H18+'2001 catch'!H18+'2002 catch'!H18+'2003 catch'!H18+'2004 Catch'!H18+'2005 catch'!H18+'2006 Catch'!H18</f>
        <v>3.8331353919239906</v>
      </c>
      <c r="F6" s="183">
        <f>'2000 catch'!F19+'2001 catch'!F19+'2003 catch'!F19+'2004 Catch'!F19+'2005 catch'!F19+'2006 Catch'!F19</f>
        <v>12</v>
      </c>
      <c r="G6" s="183">
        <f>'2000 catch'!H19+'2001 catch'!H19+'2002 catch'!H19+'2003 catch'!H19+'2004 Catch'!H19+'2005 catch'!H19+'2006 Catch'!H19</f>
        <v>6.2368177613320999</v>
      </c>
      <c r="H6" s="183">
        <f>'2000 catch'!F20+'2001 catch'!F20+'2002 catch'!F20+'2003 catch'!F20+'2004 Catch'!F20+'2005 catch'!F20+'2006 Catch'!F20</f>
        <v>2</v>
      </c>
      <c r="I6" s="183">
        <v>0</v>
      </c>
      <c r="J6" s="183">
        <v>0</v>
      </c>
      <c r="K6" s="183">
        <v>0</v>
      </c>
      <c r="L6" s="176">
        <f t="shared" si="0"/>
        <v>243</v>
      </c>
      <c r="M6" s="176">
        <f t="shared" ref="M6:M18" si="3">L6-N6</f>
        <v>213.89381722590562</v>
      </c>
      <c r="N6" s="176">
        <f t="shared" si="1"/>
        <v>29.106182774094368</v>
      </c>
      <c r="O6" s="176">
        <f t="shared" ref="O6:O20" si="4">AVERAGE(J6,H6,F6,D6,B6)</f>
        <v>48.6</v>
      </c>
      <c r="P6" s="176">
        <f t="shared" ref="P6:P18" si="5">O6-Q6</f>
        <v>42.778763445181127</v>
      </c>
      <c r="Q6" s="176">
        <f t="shared" si="2"/>
        <v>5.8212365548188734</v>
      </c>
    </row>
    <row r="7" spans="1:17" x14ac:dyDescent="0.3">
      <c r="A7" s="182">
        <v>34</v>
      </c>
      <c r="B7" s="183">
        <v>0</v>
      </c>
      <c r="C7" s="183">
        <v>0</v>
      </c>
      <c r="D7" s="183">
        <f>'2000 catch'!J18+'2001 catch'!J18+'2002 catch'!J18+'2003 catch'!J18+'2004 Catch'!J18+'2005 catch'!J18+'2006 Catch'!J18</f>
        <v>161</v>
      </c>
      <c r="E7" s="183">
        <f>'2000 catch'!L18+'2001 catch'!L18+'2002 catch'!L18+'2003 catch'!L18+'2004 Catch'!L18+'2005 catch'!L18+'2006 Catch'!L18</f>
        <v>38.626682501979417</v>
      </c>
      <c r="F7" s="183">
        <f>'2000 catch'!J19+'2001 catch'!J19+'2002 catch'!J19+'2003 catch'!J19+'2004 Catch'!J19+'2005 catch'!J19+'2006 Catch'!J19</f>
        <v>46</v>
      </c>
      <c r="G7" s="183">
        <f>'2000 catch'!L19+'2001 catch'!L19+'2002 catch'!L19+'2003 catch'!L19+'2004 Catch'!L19+'2005 catch'!L19+'2006 Catch'!L19</f>
        <v>9.2302448999464435</v>
      </c>
      <c r="H7" s="183">
        <f>'2000 catch'!J20+'2001 catch'!J20+'2002 catch'!J20+'2003 catch'!J20+'2004 Catch'!J20+'2005 catch'!J20+'2006 Catch'!J20</f>
        <v>125</v>
      </c>
      <c r="I7" s="183">
        <f>'2000 catch'!L20+'2001 catch'!L20+'2002 catch'!L20+'2003 catch'!L20+'2004 Catch'!L20+'2005 catch'!L20+'2006 Catch'!L20</f>
        <v>14.942330637677316</v>
      </c>
      <c r="J7" s="183">
        <f>'2000 catch'!J21+'2001 catch'!J21+'2002 catch'!J21+'2003 catch'!J21+'2004 Catch'!J21+'2005 catch'!J21+'2006 Catch'!J21</f>
        <v>352</v>
      </c>
      <c r="K7" s="183">
        <f>'2000 catch'!L21+'2001 catch'!L21+'2002 catch'!L21+'2003 catch'!L21+'2004 Catch'!L21+'2005 catch'!L21+'2006 Catch'!L21</f>
        <v>28.704959514170039</v>
      </c>
      <c r="L7" s="176">
        <f t="shared" si="0"/>
        <v>684</v>
      </c>
      <c r="M7" s="176">
        <f t="shared" si="3"/>
        <v>592.49578244622683</v>
      </c>
      <c r="N7" s="176">
        <f t="shared" si="1"/>
        <v>91.504217553773216</v>
      </c>
      <c r="O7" s="176">
        <f t="shared" si="4"/>
        <v>136.80000000000001</v>
      </c>
      <c r="P7" s="176">
        <f t="shared" si="5"/>
        <v>118.49915648924537</v>
      </c>
      <c r="Q7" s="176">
        <f t="shared" si="2"/>
        <v>18.300843510754643</v>
      </c>
    </row>
    <row r="8" spans="1:17" x14ac:dyDescent="0.3">
      <c r="A8" s="182">
        <v>35</v>
      </c>
      <c r="B8" s="183">
        <v>0</v>
      </c>
      <c r="C8" s="183">
        <v>0</v>
      </c>
      <c r="D8" s="183">
        <v>0</v>
      </c>
      <c r="E8" s="183">
        <v>0</v>
      </c>
      <c r="F8" s="183">
        <v>0</v>
      </c>
      <c r="G8" s="183">
        <v>0</v>
      </c>
      <c r="H8" s="183">
        <f>'2000 catch'!N20+'2001 catch'!N20+'2002 catch'!N20+'2003 catch'!N20+'2004 Catch'!N20+'2005 catch'!N20+'2006 Catch'!N20</f>
        <v>249</v>
      </c>
      <c r="I8" s="183">
        <f>'2000 catch'!P20+'2001 catch'!P20+'2002 catch'!P20+'2003 catch'!P20+'2004 Catch'!P20+'2005 catch'!P20+'2006 Catch'!P20</f>
        <v>54.052315442743655</v>
      </c>
      <c r="J8" s="183">
        <f>'2000 catch'!N21+'2001 catch'!N21+'2002 catch'!N21+'2003 catch'!N21+'2004 Catch'!N21+'2005 catch'!N21+'2006 Catch'!N21</f>
        <v>307</v>
      </c>
      <c r="K8" s="183">
        <f>'2000 catch'!P21+'2001 catch'!P21+'2002 catch'!P21+'2003 catch'!P21+'2004 Catch'!P21+'2005 catch'!P21+'2006 Catch'!P21</f>
        <v>45.285714285714285</v>
      </c>
      <c r="L8" s="176">
        <f t="shared" si="0"/>
        <v>556</v>
      </c>
      <c r="M8" s="176">
        <f t="shared" si="3"/>
        <v>456.66197027154203</v>
      </c>
      <c r="N8" s="176">
        <f t="shared" si="1"/>
        <v>99.33802972845794</v>
      </c>
      <c r="O8" s="176">
        <f t="shared" si="4"/>
        <v>111.2</v>
      </c>
      <c r="P8" s="176">
        <f t="shared" si="5"/>
        <v>91.332394054308423</v>
      </c>
      <c r="Q8" s="176">
        <f t="shared" si="2"/>
        <v>19.867605945691587</v>
      </c>
    </row>
    <row r="9" spans="1:17" x14ac:dyDescent="0.3">
      <c r="A9" s="184">
        <v>36</v>
      </c>
      <c r="B9" s="185">
        <v>0</v>
      </c>
      <c r="C9" s="185">
        <v>0</v>
      </c>
      <c r="D9" s="185">
        <v>0</v>
      </c>
      <c r="E9" s="185">
        <v>0</v>
      </c>
      <c r="F9" s="185">
        <v>0</v>
      </c>
      <c r="G9" s="185">
        <v>0</v>
      </c>
      <c r="H9" s="185">
        <v>0</v>
      </c>
      <c r="I9" s="185">
        <v>0</v>
      </c>
      <c r="J9" s="185">
        <v>0</v>
      </c>
      <c r="K9" s="185">
        <v>0</v>
      </c>
      <c r="L9" s="176">
        <f t="shared" si="0"/>
        <v>0</v>
      </c>
      <c r="M9" s="176">
        <f t="shared" si="3"/>
        <v>0</v>
      </c>
      <c r="N9" s="176">
        <f t="shared" si="1"/>
        <v>0</v>
      </c>
      <c r="O9" s="176">
        <f t="shared" si="4"/>
        <v>0</v>
      </c>
      <c r="P9" s="176">
        <f t="shared" si="5"/>
        <v>0</v>
      </c>
      <c r="Q9" s="176">
        <f t="shared" si="2"/>
        <v>0</v>
      </c>
    </row>
    <row r="10" spans="1:17" x14ac:dyDescent="0.3">
      <c r="A10" s="184">
        <v>37</v>
      </c>
      <c r="B10" s="185">
        <v>0</v>
      </c>
      <c r="C10" s="185">
        <v>0</v>
      </c>
      <c r="D10" s="185">
        <v>0</v>
      </c>
      <c r="E10" s="185">
        <v>0</v>
      </c>
      <c r="F10" s="185">
        <v>0</v>
      </c>
      <c r="G10" s="185">
        <v>0</v>
      </c>
      <c r="H10" s="185">
        <v>0</v>
      </c>
      <c r="I10" s="185">
        <v>0</v>
      </c>
      <c r="J10" s="185">
        <v>0</v>
      </c>
      <c r="K10" s="185">
        <v>0</v>
      </c>
      <c r="L10" s="176">
        <f t="shared" si="0"/>
        <v>0</v>
      </c>
      <c r="M10" s="176">
        <f t="shared" si="3"/>
        <v>0</v>
      </c>
      <c r="N10" s="176">
        <f t="shared" si="1"/>
        <v>0</v>
      </c>
      <c r="O10" s="176">
        <f t="shared" si="4"/>
        <v>0</v>
      </c>
      <c r="P10" s="176">
        <f t="shared" si="5"/>
        <v>0</v>
      </c>
      <c r="Q10" s="176">
        <f t="shared" si="2"/>
        <v>0</v>
      </c>
    </row>
    <row r="11" spans="1:17" x14ac:dyDescent="0.3">
      <c r="A11" s="184">
        <v>38</v>
      </c>
      <c r="B11" s="185">
        <f>'2000 catch'!B36+'2001 catch'!B36+'2002 catch'!B36+'2003 catch'!B36+'2004 Catch'!B36+'2005 catch'!B36+'2006 Catch'!B38</f>
        <v>32051</v>
      </c>
      <c r="C11" s="185">
        <f>'2000 catch'!D36+'2001 catch'!D36+'2002 catch'!D36+'2003 catch'!D36+'2004 Catch'!D36+'2005 catch'!D36+'2006 Catch'!D38</f>
        <v>3687.9506448642196</v>
      </c>
      <c r="D11" s="185">
        <f>'2000 catch'!B37+'2001 catch'!B37+'2002 catch'!B37+'2003 catch'!B37+'2004 Catch'!B37+'2005 catch'!B37+'2006 Catch'!B39</f>
        <v>63173</v>
      </c>
      <c r="E11" s="185">
        <f>'2000 catch'!D37+'2001 catch'!D37+'2002 catch'!D37+'2003 catch'!D37+'2004 Catch'!D37+'2005 catch'!D37+'2006 Catch'!D39</f>
        <v>8116.176648402552</v>
      </c>
      <c r="F11" s="185">
        <f>'2000 catch'!B38+'2001 catch'!B38+'2002 catch'!B38+'2003 catch'!B38+'2004 Catch'!B38+'2005 catch'!B38+'2006 Catch'!B40</f>
        <v>8566</v>
      </c>
      <c r="G11" s="185">
        <f>'2000 catch'!D38+'2001 catch'!D38+'2002 catch'!D38+'2003 catch'!D38+'2004 Catch'!D38+'2005 catch'!D38+'2006 Catch'!D40</f>
        <v>1425.7440905239632</v>
      </c>
      <c r="H11" s="185">
        <f>'2000 catch'!B39+'2001 catch'!B39+'2002 catch'!B39+'2003 catch'!B39+'2004 Catch'!B39+'2005 catch'!B39+'2006 Catch'!B41</f>
        <v>211</v>
      </c>
      <c r="I11" s="185">
        <f>'2000 catch'!D39+'2001 catch'!D39+'2002 catch'!D39+'2003 catch'!D39+'2004 Catch'!D39+'2005 catch'!D39+'2006 Catch'!D41</f>
        <v>30.444444444444443</v>
      </c>
      <c r="J11" s="185">
        <f>'2000 catch'!B40+'2001 catch'!B40+'2002 catch'!B40+'2003 catch'!B40+'2004 Catch'!B40+'2005 catch'!B40+'2006 Catch'!B42</f>
        <v>1203</v>
      </c>
      <c r="K11" s="185">
        <f>'2000 catch'!D40+'2001 catch'!D40+'2002 catch'!D40+'2003 catch'!D40+'2004 Catch'!D40+'2005 catch'!D40+'2006 Catch'!D42</f>
        <v>94.566037735849051</v>
      </c>
      <c r="L11" s="176">
        <f t="shared" ref="L11:L20" si="6">SUM(J11,H11,F11,D11,B11)</f>
        <v>105204</v>
      </c>
      <c r="M11" s="176">
        <f t="shared" si="3"/>
        <v>91849.118134028977</v>
      </c>
      <c r="N11" s="176">
        <f t="shared" si="1"/>
        <v>13354.881865971027</v>
      </c>
      <c r="O11" s="176">
        <f t="shared" si="4"/>
        <v>21040.799999999999</v>
      </c>
      <c r="P11" s="176">
        <f t="shared" si="5"/>
        <v>18369.823626805795</v>
      </c>
      <c r="Q11" s="176">
        <f t="shared" si="2"/>
        <v>2670.9763731942053</v>
      </c>
    </row>
    <row r="12" spans="1:17" x14ac:dyDescent="0.3">
      <c r="A12" s="184">
        <v>39</v>
      </c>
      <c r="B12" s="185">
        <f>'2000 catch'!F36+'2001 catch'!F36+'2002 catch'!F36+'2003 catch'!F36+'2004 Catch'!F36+'2005 catch'!F36+'2006 Catch'!F38</f>
        <v>36280</v>
      </c>
      <c r="C12" s="185">
        <f>'2000 catch'!H36+'2001 catch'!H36+'2002 catch'!H36+'2003 catch'!H36+'2004 Catch'!H36+'2005 catch'!H36+'2006 Catch'!H38</f>
        <v>6314.2801453002903</v>
      </c>
      <c r="D12" s="185">
        <f>'2000 catch'!F37+'2001 catch'!F37+'2002 catch'!F37+'2003 catch'!F37+'2004 Catch'!F37+'2005 catch'!F37+'2006 Catch'!F39</f>
        <v>66309</v>
      </c>
      <c r="E12" s="185">
        <f>'2000 catch'!H37+'2001 catch'!H37+'2002 catch'!H37+'2003 catch'!H37+'2004 Catch'!H37+'2005 catch'!H37+'2006 Catch'!H39</f>
        <v>9541.465239244435</v>
      </c>
      <c r="F12" s="185">
        <f>'2000 catch'!F38+'2001 catch'!F38+'2002 catch'!F38+'2003 catch'!F38+'2004 Catch'!F38+'2005 catch'!F38+'2006 Catch'!F40</f>
        <v>8359</v>
      </c>
      <c r="G12" s="185">
        <f>'2000 catch'!H38+'2001 catch'!H38+'2002 catch'!H38+'2003 catch'!H38+'2004 Catch'!H38+'2005 catch'!H38+'2006 Catch'!H40</f>
        <v>2235.8911307241979</v>
      </c>
      <c r="H12" s="185">
        <f>'2000 catch'!F39+'2001 catch'!F39+'2002 catch'!F39+'2003 catch'!F39+'2004 Catch'!F39+'2005 catch'!F39+'2006 Catch'!F41</f>
        <v>1001</v>
      </c>
      <c r="I12" s="185">
        <f>'2000 catch'!H39+'2001 catch'!H39+'2002 catch'!H39+'2003 catch'!H39+'2004 Catch'!H39+'2005 catch'!H39+'2006 Catch'!H41</f>
        <v>242.37320574162678</v>
      </c>
      <c r="J12" s="185">
        <f>'2000 catch'!F40+'2001 catch'!F40+'2002 catch'!F40+'2003 catch'!F40+'2004 Catch'!F40+'2005 catch'!F40+'2006 Catch'!F42</f>
        <v>1154</v>
      </c>
      <c r="K12" s="185">
        <f>'2000 catch'!H40+'2001 catch'!H40+'2002 catch'!H40+'2003 catch'!H40+'2004 Catch'!H40+'2005 catch'!H40+'2006 Catch'!H42</f>
        <v>256.06519125868971</v>
      </c>
      <c r="L12" s="176">
        <f t="shared" si="6"/>
        <v>113103</v>
      </c>
      <c r="M12" s="176">
        <f t="shared" si="3"/>
        <v>94512.925087730764</v>
      </c>
      <c r="N12" s="176">
        <f t="shared" si="1"/>
        <v>18590.07491226924</v>
      </c>
      <c r="O12" s="176">
        <f t="shared" si="4"/>
        <v>22620.6</v>
      </c>
      <c r="P12" s="176">
        <f t="shared" si="5"/>
        <v>18902.585017546149</v>
      </c>
      <c r="Q12" s="176">
        <f t="shared" si="2"/>
        <v>3718.014982453848</v>
      </c>
    </row>
    <row r="13" spans="1:17" x14ac:dyDescent="0.3">
      <c r="A13" s="184">
        <v>40</v>
      </c>
      <c r="B13" s="185">
        <f>'2000 catch'!J36+'2001 catch'!J36+'2002 catch'!J36+'2003 catch'!J36+'2004 Catch'!J36+'2005 catch'!J36+'2006 Catch'!J38</f>
        <v>49885</v>
      </c>
      <c r="C13" s="185">
        <f>'2000 catch'!L36+'2001 catch'!L36+'2002 catch'!L36+'2003 catch'!L36+'2004 Catch'!L36+'2005 catch'!L36+'2006 Catch'!L38</f>
        <v>8684.5569376904859</v>
      </c>
      <c r="D13" s="185">
        <f>'2000 catch'!J37+'2001 catch'!J37+'2002 catch'!J37+'2003 catch'!J37+'2004 Catch'!J37+'2005 catch'!J37+'2006 Catch'!J39</f>
        <v>76954</v>
      </c>
      <c r="E13" s="185">
        <f>'2000 catch'!L37+'2001 catch'!L37+'2002 catch'!L37+'2003 catch'!L37+'2004 Catch'!L37+'2005 catch'!L37+'2006 Catch'!L39</f>
        <v>13411.429190583989</v>
      </c>
      <c r="F13" s="185">
        <f>'2000 catch'!J38+'2001 catch'!J38+'2002 catch'!J38+'2003 catch'!J38+'2004 Catch'!J38+'2005 catch'!J38+'2006 Catch'!J40</f>
        <v>16064</v>
      </c>
      <c r="G13" s="185">
        <f>'2000 catch'!L38+'2001 catch'!L38+'2002 catch'!L38+'2003 catch'!L38+'2004 Catch'!L38+'2005 catch'!L38+'2006 Catch'!L40</f>
        <v>3040.4533077431602</v>
      </c>
      <c r="H13" s="185">
        <f>'2000 catch'!J39+'2001 catch'!J39+'2002 catch'!J39+'2003 catch'!J39+'2004 Catch'!J39+'2005 catch'!J39+'2006 Catch'!J41</f>
        <v>291</v>
      </c>
      <c r="I13" s="185">
        <f>'2000 catch'!L39+'2001 catch'!L39+'2002 catch'!L39+'2003 catch'!L39+'2004 Catch'!L39+'2005 catch'!L39+'2006 Catch'!L41</f>
        <v>84.441722005953736</v>
      </c>
      <c r="J13" s="185">
        <f>'2000 catch'!J40+'2001 catch'!J40+'2002 catch'!J40+'2003 catch'!J40+'2004 Catch'!J40+'2005 catch'!J40+'2006 Catch'!J42</f>
        <v>854</v>
      </c>
      <c r="K13" s="185">
        <f>'2000 catch'!L40+'2001 catch'!L40+'2002 catch'!L40+'2003 catch'!L40+'2004 Catch'!L40+'2005 catch'!L40+'2006 Catch'!L42</f>
        <v>317.5799043062201</v>
      </c>
      <c r="L13" s="176">
        <f t="shared" si="6"/>
        <v>144048</v>
      </c>
      <c r="M13" s="176">
        <f t="shared" si="3"/>
        <v>118509.53893767019</v>
      </c>
      <c r="N13" s="176">
        <f t="shared" si="1"/>
        <v>25538.46106232981</v>
      </c>
      <c r="O13" s="176">
        <f t="shared" si="4"/>
        <v>28809.599999999999</v>
      </c>
      <c r="P13" s="176">
        <f t="shared" si="5"/>
        <v>23701.907787534037</v>
      </c>
      <c r="Q13" s="176">
        <f t="shared" si="2"/>
        <v>5107.6922124659623</v>
      </c>
    </row>
    <row r="14" spans="1:17" x14ac:dyDescent="0.3">
      <c r="A14" s="186">
        <v>41</v>
      </c>
      <c r="B14" s="187">
        <f>'2000 catch'!N36+'2001 catch'!N36+'2002 catch'!N36+'2003 catch'!N36+'2004 Catch'!N36+'2005 catch'!N36+'2006 Catch'!N38</f>
        <v>15373</v>
      </c>
      <c r="C14" s="187">
        <f>'2000 catch'!P36+'2001 catch'!P36+'2002 catch'!P36+'2003 catch'!P36+'2004 Catch'!P36+'2005 catch'!P36+'2006 Catch'!P38</f>
        <v>3521.5223226027424</v>
      </c>
      <c r="D14" s="187">
        <f>'2000 catch'!N37+'2001 catch'!N37+'2002 catch'!N37+'2003 catch'!N37+'2004 Catch'!N37+'2005 catch'!N37+'2006 Catch'!N39</f>
        <v>51460</v>
      </c>
      <c r="E14" s="187">
        <f>'2000 catch'!P37+'2001 catch'!P37+'2002 catch'!P37+'2003 catch'!P37+'2004 Catch'!P37+'2005 catch'!P37+'2006 Catch'!P39</f>
        <v>10435.371580103516</v>
      </c>
      <c r="F14" s="187">
        <f>'2000 catch'!N38+'2001 catch'!N38+'2002 catch'!N38+'2003 catch'!N38+'2004 Catch'!N38+'2005 catch'!N38+'2006 Catch'!N40</f>
        <v>12302</v>
      </c>
      <c r="G14" s="187">
        <f>'2000 catch'!P38+'2001 catch'!P38+'2002 catch'!P38+'2003 catch'!P38+'2004 Catch'!P38+'2005 catch'!P38+'2006 Catch'!P40</f>
        <v>3397.6996756753565</v>
      </c>
      <c r="H14" s="187">
        <f>'2000 catch'!N39+'2001 catch'!N39+'2002 catch'!N39+'2003 catch'!N39+'2004 Catch'!N39+'2005 catch'!N39+'2006 Catch'!N41</f>
        <v>396</v>
      </c>
      <c r="I14" s="187">
        <f>'2000 catch'!P39+'2001 catch'!P39+'2002 catch'!P39+'2003 catch'!P39+'2004 Catch'!P39+'2005 catch'!P39+'2006 Catch'!P41</f>
        <v>67.765023389708517</v>
      </c>
      <c r="J14" s="187">
        <f>'2000 catch'!N40+'2001 catch'!N40+'2002 catch'!N40+'2003 catch'!N40+'2004 Catch'!N40+'2005 catch'!N40+'2006 Catch'!N42</f>
        <v>510</v>
      </c>
      <c r="K14" s="187">
        <f>'2000 catch'!P40+'2001 catch'!P40+'2002 catch'!P40+'2003 catch'!P40+'2004 Catch'!P40+'2005 catch'!P40+'2006 Catch'!P42</f>
        <v>261.27736826312099</v>
      </c>
      <c r="L14" s="176">
        <f t="shared" si="6"/>
        <v>80041</v>
      </c>
      <c r="M14" s="176">
        <f t="shared" si="3"/>
        <v>62357.364029965553</v>
      </c>
      <c r="N14" s="176">
        <f t="shared" si="1"/>
        <v>17683.635970034444</v>
      </c>
      <c r="O14" s="176">
        <f t="shared" si="4"/>
        <v>16008.2</v>
      </c>
      <c r="P14" s="176">
        <f t="shared" si="5"/>
        <v>12471.472805993111</v>
      </c>
      <c r="Q14" s="176">
        <f t="shared" si="2"/>
        <v>3536.7271940068886</v>
      </c>
    </row>
    <row r="15" spans="1:17" x14ac:dyDescent="0.3">
      <c r="A15" s="186">
        <v>42</v>
      </c>
      <c r="B15" s="187">
        <f>'2000 catch'!R36+'2001 catch'!R36+'2002 catch'!R36+'2003 catch'!R36+'2004 Catch'!R36+'2005 catch'!R36+'2006 Catch'!R38</f>
        <v>30063</v>
      </c>
      <c r="C15" s="187">
        <f>'2000 catch'!T36+'2001 catch'!T36+'2002 catch'!T36+'2003 catch'!T36+'2004 Catch'!T36+'2005 catch'!T36+'2006 Catch'!T38</f>
        <v>3889.6746906785852</v>
      </c>
      <c r="D15" s="187">
        <f>'2000 catch'!R37+'2001 catch'!R37+'2002 catch'!R37+'2003 catch'!R37+'2004 Catch'!R37+'2005 catch'!R37+'2006 Catch'!R39</f>
        <v>107857</v>
      </c>
      <c r="E15" s="187">
        <f>'2000 catch'!T37+'2001 catch'!T37+'2002 catch'!T37+'2003 catch'!T37+'2004 Catch'!T37+'2005 catch'!T37+'2006 Catch'!T39</f>
        <v>11777.632961893531</v>
      </c>
      <c r="F15" s="187">
        <f>'2000 catch'!R38+'2001 catch'!R38+'2002 catch'!R38+'2003 catch'!R38+'2004 Catch'!R38+'2005 catch'!R38+'2006 Catch'!R40</f>
        <v>21247</v>
      </c>
      <c r="G15" s="187">
        <f>'2000 catch'!T38+'2001 catch'!T38+'2002 catch'!T38+'2003 catch'!T38+'2004 Catch'!T38+'2005 catch'!T38+'2006 Catch'!T40</f>
        <v>5084.2486348859111</v>
      </c>
      <c r="H15" s="187">
        <f>'2000 catch'!R39+'2001 catch'!R39+'2002 catch'!R39+'2003 catch'!R39+'2004 Catch'!R39+'2005 catch'!R39+'2006 Catch'!R41</f>
        <v>246</v>
      </c>
      <c r="I15" s="187">
        <f>'2000 catch'!T39+'2001 catch'!T39+'2002 catch'!T39+'2003 catch'!T39+'2004 Catch'!T39+'2005 catch'!T39+'2006 Catch'!T41</f>
        <v>49.29621889445567</v>
      </c>
      <c r="J15" s="187">
        <f>'2000 catch'!R40+'2001 catch'!R40+'2002 catch'!R40+'2003 catch'!R40+'2004 Catch'!R40+'2005 catch'!R40+'2006 Catch'!R42</f>
        <v>589</v>
      </c>
      <c r="K15" s="187">
        <f>'2000 catch'!T40+'2001 catch'!T40+'2002 catch'!T40+'2003 catch'!T40+'2004 Catch'!T40+'2005 catch'!T40+'2006 Catch'!T42</f>
        <v>152.74511505006859</v>
      </c>
      <c r="L15" s="176">
        <f t="shared" si="6"/>
        <v>160002</v>
      </c>
      <c r="M15" s="176">
        <f t="shared" si="3"/>
        <v>139048.40237859744</v>
      </c>
      <c r="N15" s="176">
        <f t="shared" si="1"/>
        <v>20953.59762140255</v>
      </c>
      <c r="O15" s="176">
        <f t="shared" si="4"/>
        <v>32000.400000000001</v>
      </c>
      <c r="P15" s="176">
        <f t="shared" si="5"/>
        <v>27809.680475719491</v>
      </c>
      <c r="Q15" s="176">
        <f t="shared" si="2"/>
        <v>4190.7195242805101</v>
      </c>
    </row>
    <row r="16" spans="1:17" x14ac:dyDescent="0.3">
      <c r="A16" s="186">
        <v>43</v>
      </c>
      <c r="B16" s="187">
        <f>'2000 catch'!V36+'2001 catch'!V36+'2002 catch'!V36+'2003 catch'!V36+'2004 Catch'!V36+'2005 catch'!V36+'2006 Catch'!V38</f>
        <v>3381</v>
      </c>
      <c r="C16" s="187">
        <f>'2000 catch'!X36+'2001 catch'!X36+'2002 catch'!X36+'2003 catch'!X36+'2004 Catch'!X36+'2005 catch'!X36+'2006 Catch'!X38</f>
        <v>189.52454901679437</v>
      </c>
      <c r="D16" s="187">
        <f>'2000 catch'!V37+'2001 catch'!V37+'2002 catch'!V37+'2004 Catch'!V37+'2003 catch'!V37+'2005 catch'!V37+'2006 Catch'!V39</f>
        <v>54162</v>
      </c>
      <c r="E16" s="187">
        <f>'2000 catch'!X37+'2001 catch'!X37+'2002 catch'!X37+'2004 Catch'!X37+'2003 catch'!X37+'2005 catch'!X37+'2006 Catch'!X39</f>
        <v>6894.9227504752826</v>
      </c>
      <c r="F16" s="187">
        <f>'2000 catch'!V38+'2001 catch'!V38+'2002 catch'!V38+'2003 catch'!V38+'2004 Catch'!V38+'2005 catch'!V38+'2006 Catch'!V40</f>
        <v>10972</v>
      </c>
      <c r="G16" s="187">
        <f>'2000 catch'!X38+'2001 catch'!X38+'2002 catch'!X38+'2003 catch'!X38+'2004 Catch'!X38+'2005 catch'!X38+'2006 Catch'!X40</f>
        <v>1781.2602300345063</v>
      </c>
      <c r="H16" s="187">
        <f>'2000 catch'!V39+'2001 catch'!V39+'2002 catch'!V39+'2003 catch'!V39+'2004 Catch'!V39+'2005 catch'!V39+'2006 Catch'!V41</f>
        <v>85</v>
      </c>
      <c r="I16" s="187">
        <f>'2000 catch'!X39+'2001 catch'!X39+'2002 catch'!X39+'2003 catch'!X39+'2004 Catch'!X39+'2005 catch'!X39+'2006 Catch'!X41</f>
        <v>27.562972292191436</v>
      </c>
      <c r="J16" s="187">
        <f>'2000 catch'!V40+'2001 catch'!V40+'2002 catch'!V40+'2003 catch'!V40+'2004 Catch'!V40+'2005 catch'!V40+'2006 Catch'!V42</f>
        <v>129</v>
      </c>
      <c r="K16" s="187">
        <f>'2000 catch'!X40+'2001 catch'!X40+'2002 catch'!X40+'2003 catch'!X40+'2004 Catch'!X40+'2005 catch'!X40+'2006 Catch'!X42</f>
        <v>38.831259968102074</v>
      </c>
      <c r="L16" s="176">
        <f t="shared" si="6"/>
        <v>68729</v>
      </c>
      <c r="M16" s="176">
        <f t="shared" si="3"/>
        <v>59796.898238213122</v>
      </c>
      <c r="N16" s="176">
        <f t="shared" si="1"/>
        <v>8932.1017617868765</v>
      </c>
      <c r="O16" s="176">
        <f t="shared" si="4"/>
        <v>13745.8</v>
      </c>
      <c r="P16" s="176">
        <f t="shared" si="5"/>
        <v>11959.379647642623</v>
      </c>
      <c r="Q16" s="176">
        <f t="shared" si="2"/>
        <v>1786.4203523573754</v>
      </c>
    </row>
    <row r="17" spans="1:18" x14ac:dyDescent="0.3">
      <c r="A17" s="186">
        <v>44</v>
      </c>
      <c r="B17" s="187">
        <f>'2000 catch'!Z36+'2001 catch'!Z36+'2002 catch'!Z36+'2003 catch'!Z36+'2004 Catch'!Z36+'2005 catch'!Z36+'2006 Catch'!Z38</f>
        <v>313</v>
      </c>
      <c r="C17" s="187">
        <f>'2000 catch'!AB36+'2001 catch'!AB36+'2002 catch'!AB36+'2003 catch'!AB36+'2004 Catch'!AB36+'2005 catch'!AB36+'2006 Catch'!AB38</f>
        <v>23.993982198572624</v>
      </c>
      <c r="D17" s="187">
        <f>'2000 catch'!Z37+'2001 catch'!Z37+'2002 catch'!Z37+'2003 catch'!Z37+'2004 Catch'!Z37+'2005 catch'!Z37+'2006 Catch'!Z39</f>
        <v>14010</v>
      </c>
      <c r="E17" s="187">
        <f>'2000 catch'!AB37+'2001 catch'!AB37+'2002 catch'!AB37+'2003 catch'!AB37+'2004 Catch'!AB37+'2005 catch'!AB37+'2006 Catch'!AB39</f>
        <v>1629.4738624546808</v>
      </c>
      <c r="F17" s="187">
        <f>'2000 catch'!Z38+'2001 catch'!Z38+'2002 catch'!Z38+'2003 catch'!Z38+'2004 Catch'!Z38+'2005 catch'!Z38+'2006 Catch'!Z40</f>
        <v>3445</v>
      </c>
      <c r="G17" s="187">
        <f>'2000 catch'!AB38+'2001 catch'!AB38+'2002 catch'!AB38+'2003 catch'!AB38+'2004 Catch'!AB38+'2005 catch'!AB38+'2006 Catch'!AB40</f>
        <v>595.51358724680551</v>
      </c>
      <c r="H17" s="187">
        <f>'2000 catch'!Z39+'2001 catch'!Z39+'2002 catch'!Z39+'2003 catch'!Z39+'2004 Catch'!Z39+'2005 catch'!Z39+'2006 Catch'!Z41</f>
        <v>179</v>
      </c>
      <c r="I17" s="187">
        <f>'2000 catch'!AB39+'2001 catch'!AB39+'2002 catch'!AB39+'2003 catch'!AB39+'2004 Catch'!AB39+'2005 catch'!AB39+'2006 Catch'!AB41</f>
        <v>15.555415617128462</v>
      </c>
      <c r="J17" s="187">
        <f>'2000 catch'!Z40+'2001 catch'!Z40+'2002 catch'!Z40+'2003 catch'!Z40+'2004 Catch'!Z40+'2005 catch'!Z40+'2006 Catch'!Z42</f>
        <v>30</v>
      </c>
      <c r="K17" s="187">
        <f>'2000 catch'!AB40+'2001 catch'!AB40+'2002 catch'!AB40+'2003 catch'!AB40+'2004 Catch'!AB40+'2005 catch'!AB40+'2006 Catch'!AB42</f>
        <v>5.333333333333333</v>
      </c>
      <c r="L17" s="176">
        <f t="shared" si="6"/>
        <v>17977</v>
      </c>
      <c r="M17" s="176">
        <f t="shared" si="3"/>
        <v>15707.129819149479</v>
      </c>
      <c r="N17" s="176">
        <f t="shared" si="1"/>
        <v>2269.8701808505207</v>
      </c>
      <c r="O17" s="176">
        <f t="shared" si="4"/>
        <v>3595.4</v>
      </c>
      <c r="P17" s="176">
        <f t="shared" si="5"/>
        <v>3141.4259638298959</v>
      </c>
      <c r="Q17" s="176">
        <f t="shared" si="2"/>
        <v>453.97403617010411</v>
      </c>
    </row>
    <row r="18" spans="1:18" x14ac:dyDescent="0.3">
      <c r="A18" s="186">
        <v>45</v>
      </c>
      <c r="B18" s="187">
        <f>'2000 catch'!AD36+'2001 catch'!AD36+'2002 catch'!AD36+'2003 catch'!AD36+'2004 Catch'!AD36+'2005 catch'!AD36+'2006 Catch'!AD38</f>
        <v>12</v>
      </c>
      <c r="C18" s="187">
        <f>'2000 catch'!AF36+'2001 catch'!AF36+'2002 catch'!AF36+'2003 catch'!AF36+'2004 Catch'!AF36+'2005 catch'!AF36+'2006 Catch'!AF38</f>
        <v>0.90773939658941838</v>
      </c>
      <c r="D18" s="187">
        <f>'2000 catch'!AD37+'2006 Catch'!AD39</f>
        <v>247</v>
      </c>
      <c r="E18" s="187">
        <f>'2000 catch'!AF37+'2006 Catch'!AF39</f>
        <v>14.702380952380951</v>
      </c>
      <c r="F18" s="187">
        <f>'2000 catch'!AD38+'2006 Catch'!AD40</f>
        <v>22</v>
      </c>
      <c r="G18" s="187">
        <f>'2000 catch'!AF38+'2006 Catch'!AF40</f>
        <v>3.6666666666666665</v>
      </c>
      <c r="H18" s="187">
        <v>0</v>
      </c>
      <c r="I18" s="187">
        <v>0</v>
      </c>
      <c r="J18" s="187">
        <v>0</v>
      </c>
      <c r="K18" s="187">
        <v>0</v>
      </c>
      <c r="L18" s="176">
        <f t="shared" si="6"/>
        <v>281</v>
      </c>
      <c r="M18" s="176">
        <f t="shared" si="3"/>
        <v>261.72321298436299</v>
      </c>
      <c r="N18" s="176">
        <f t="shared" si="1"/>
        <v>19.276787015637034</v>
      </c>
      <c r="O18" s="176">
        <f t="shared" si="4"/>
        <v>56.2</v>
      </c>
      <c r="P18" s="176">
        <f t="shared" si="5"/>
        <v>52.344642596872596</v>
      </c>
      <c r="Q18" s="176">
        <f t="shared" si="2"/>
        <v>3.8553574031274067</v>
      </c>
    </row>
    <row r="19" spans="1:18" x14ac:dyDescent="0.3">
      <c r="L19" s="176"/>
      <c r="M19" s="176"/>
      <c r="O19" s="176"/>
      <c r="P19" s="176"/>
      <c r="Q19" s="176"/>
    </row>
    <row r="20" spans="1:18" x14ac:dyDescent="0.3">
      <c r="B20" s="176">
        <f>SUM(B5:B18)</f>
        <v>167853</v>
      </c>
      <c r="C20" s="176">
        <f t="shared" ref="C20:K20" si="7">SUM(C5:C18)</f>
        <v>26353.459921736408</v>
      </c>
      <c r="D20" s="176">
        <f t="shared" si="7"/>
        <v>434372</v>
      </c>
      <c r="E20" s="176">
        <f t="shared" si="7"/>
        <v>61864.85652226556</v>
      </c>
      <c r="F20" s="176">
        <f t="shared" si="7"/>
        <v>81036</v>
      </c>
      <c r="G20" s="176">
        <f t="shared" si="7"/>
        <v>17579.944386161846</v>
      </c>
      <c r="H20" s="176">
        <f t="shared" si="7"/>
        <v>2785</v>
      </c>
      <c r="I20" s="176">
        <f t="shared" si="7"/>
        <v>586.4336484659301</v>
      </c>
      <c r="J20" s="176">
        <f t="shared" si="7"/>
        <v>5128</v>
      </c>
      <c r="K20" s="176">
        <f t="shared" si="7"/>
        <v>1200.3888837152681</v>
      </c>
      <c r="L20" s="176">
        <f t="shared" si="6"/>
        <v>691174</v>
      </c>
      <c r="M20" s="176">
        <f>L20-N20</f>
        <v>583588.916637655</v>
      </c>
      <c r="N20" s="176">
        <f>SUM(K20,I20,G20,E20,C20)</f>
        <v>107585.083362345</v>
      </c>
      <c r="O20" s="176">
        <f t="shared" si="4"/>
        <v>138234.79999999999</v>
      </c>
      <c r="P20" s="176">
        <f>O20-Q20</f>
        <v>116717.78332753098</v>
      </c>
      <c r="Q20" s="176">
        <f>AVERAGE(K20,I20,G20,E20,C20)</f>
        <v>21517.016672468999</v>
      </c>
    </row>
    <row r="21" spans="1:18" x14ac:dyDescent="0.3">
      <c r="N21" s="3">
        <f>N20/L20</f>
        <v>0.15565557061224092</v>
      </c>
      <c r="Q21" s="3">
        <f>Q20/(Q20+P20)</f>
        <v>0.15565557061224092</v>
      </c>
    </row>
    <row r="23" spans="1:18" s="189" customFormat="1" ht="12.5" x14ac:dyDescent="0.25">
      <c r="C23" s="190"/>
      <c r="E23" s="190"/>
      <c r="G23" s="190"/>
      <c r="I23" s="190"/>
      <c r="K23" s="190"/>
      <c r="L23" s="241">
        <f>SUM(L5:L8)</f>
        <v>1789</v>
      </c>
      <c r="M23" s="241"/>
      <c r="Q23" s="241">
        <f>SUM(Q5:Q8)</f>
        <v>48.636640136980311</v>
      </c>
    </row>
    <row r="24" spans="1:18" s="189" customFormat="1" ht="12.5" x14ac:dyDescent="0.25">
      <c r="C24" s="190"/>
      <c r="E24" s="190"/>
      <c r="G24" s="190"/>
      <c r="I24" s="190"/>
      <c r="K24" s="190"/>
      <c r="L24" s="246">
        <f>(L23/L20)</f>
        <v>2.5883496775052301E-3</v>
      </c>
      <c r="M24" s="241"/>
      <c r="Q24" s="246">
        <f>(Q23/Q20)</f>
        <v>2.2603802784245106E-3</v>
      </c>
      <c r="R24" s="247">
        <f>1-Q24</f>
        <v>0.99773961972157554</v>
      </c>
    </row>
    <row r="25" spans="1:18" x14ac:dyDescent="0.3">
      <c r="B25" s="189"/>
      <c r="C25" s="188"/>
      <c r="D25" s="2"/>
      <c r="E25" s="188"/>
      <c r="F25" s="2"/>
      <c r="G25" s="188"/>
      <c r="H25" s="2"/>
      <c r="I25" s="188"/>
      <c r="J25" s="2"/>
      <c r="K25" s="188"/>
      <c r="L25" s="242"/>
      <c r="M25" s="242"/>
    </row>
    <row r="27" spans="1:18" x14ac:dyDescent="0.3">
      <c r="B27" s="3"/>
      <c r="C27" s="3"/>
      <c r="D27" s="3"/>
      <c r="E27" s="3"/>
      <c r="F27" s="3"/>
      <c r="G27" s="3"/>
      <c r="H27" s="3"/>
      <c r="I27" s="3"/>
      <c r="J27" s="3"/>
      <c r="K27" s="3"/>
      <c r="L27" s="35"/>
      <c r="M27" s="35"/>
    </row>
    <row r="28" spans="1:18" x14ac:dyDescent="0.3">
      <c r="B28" s="3"/>
      <c r="C28" s="3"/>
      <c r="D28" s="3"/>
      <c r="E28" s="3"/>
      <c r="F28" s="3"/>
      <c r="G28" s="3"/>
      <c r="H28" s="3"/>
      <c r="I28" s="3"/>
      <c r="J28" s="3"/>
      <c r="K28" s="3"/>
      <c r="L28" s="35"/>
      <c r="M28" s="35"/>
    </row>
    <row r="29" spans="1:18" x14ac:dyDescent="0.3">
      <c r="B29" s="3"/>
      <c r="C29" s="192"/>
      <c r="D29" s="192"/>
      <c r="E29" s="192"/>
      <c r="F29" s="192"/>
      <c r="G29" s="192"/>
      <c r="H29" s="3"/>
      <c r="I29" s="3"/>
      <c r="J29" s="3"/>
      <c r="K29" s="3"/>
      <c r="L29" s="35"/>
      <c r="M29" s="35"/>
    </row>
    <row r="30" spans="1:18" x14ac:dyDescent="0.3">
      <c r="B30" s="191"/>
      <c r="C30" s="30"/>
      <c r="D30" s="30"/>
      <c r="E30" s="30"/>
      <c r="F30" s="30"/>
      <c r="G30" s="30"/>
    </row>
    <row r="31" spans="1:18" x14ac:dyDescent="0.3">
      <c r="B31" s="191"/>
      <c r="C31" s="30"/>
      <c r="D31" s="30"/>
      <c r="E31" s="30"/>
      <c r="F31" s="30"/>
      <c r="G31" s="30"/>
    </row>
    <row r="32" spans="1:18" x14ac:dyDescent="0.3">
      <c r="B32" s="191"/>
      <c r="C32" s="30"/>
      <c r="D32" s="30"/>
      <c r="E32" s="30"/>
      <c r="F32" s="30"/>
      <c r="G32" s="30"/>
    </row>
    <row r="33" spans="2:13" x14ac:dyDescent="0.3">
      <c r="B33" s="3"/>
      <c r="C33" s="3"/>
      <c r="D33" s="3"/>
      <c r="E33" s="3"/>
      <c r="F33" s="3"/>
      <c r="G33" s="3"/>
      <c r="H33" s="3"/>
      <c r="I33" s="3"/>
      <c r="J33" s="3"/>
      <c r="K33" s="3"/>
      <c r="L33" s="35"/>
      <c r="M33" s="35"/>
    </row>
    <row r="34" spans="2:13" x14ac:dyDescent="0.3">
      <c r="B34" s="3"/>
      <c r="C34" s="3"/>
      <c r="D34" s="3"/>
      <c r="E34" s="3"/>
      <c r="F34" s="3"/>
      <c r="G34" s="3"/>
      <c r="H34" s="3"/>
      <c r="I34" s="3"/>
      <c r="J34" s="3"/>
      <c r="K34" s="3"/>
      <c r="L34" s="35"/>
      <c r="M34" s="35"/>
    </row>
    <row r="35" spans="2:13" x14ac:dyDescent="0.3">
      <c r="B35" s="3"/>
      <c r="C35" s="3"/>
      <c r="D35" s="3"/>
      <c r="E35" s="3"/>
      <c r="F35" s="3"/>
      <c r="G35" s="3"/>
      <c r="H35" s="3"/>
      <c r="I35" s="3"/>
      <c r="J35" s="3"/>
      <c r="K35" s="3"/>
      <c r="L35" s="35"/>
      <c r="M35" s="35"/>
    </row>
    <row r="36" spans="2:13" x14ac:dyDescent="0.3">
      <c r="B36" s="3"/>
      <c r="C36" s="3"/>
      <c r="D36" s="3"/>
      <c r="E36" s="3"/>
      <c r="F36" s="3"/>
      <c r="G36" s="3"/>
      <c r="H36" s="3"/>
      <c r="I36" s="3"/>
      <c r="J36" s="3"/>
      <c r="K36" s="3"/>
      <c r="L36" s="35"/>
      <c r="M36" s="35"/>
    </row>
    <row r="37" spans="2:13" x14ac:dyDescent="0.3">
      <c r="B37" s="3"/>
      <c r="C37" s="3"/>
      <c r="D37" s="3"/>
      <c r="E37" s="3"/>
      <c r="F37" s="3"/>
      <c r="G37" s="3"/>
      <c r="H37" s="3"/>
      <c r="I37" s="3"/>
      <c r="J37" s="3"/>
      <c r="K37" s="3"/>
      <c r="L37" s="35"/>
      <c r="M37" s="35"/>
    </row>
    <row r="38" spans="2:13" x14ac:dyDescent="0.3">
      <c r="B38" s="3"/>
      <c r="C38" s="3"/>
      <c r="D38" s="3"/>
      <c r="E38" s="3"/>
      <c r="F38" s="3"/>
      <c r="G38" s="3"/>
      <c r="H38" s="3"/>
      <c r="I38" s="3"/>
      <c r="J38" s="3"/>
      <c r="K38" s="3"/>
      <c r="L38" s="35"/>
      <c r="M38" s="35"/>
    </row>
    <row r="39" spans="2:13" x14ac:dyDescent="0.3">
      <c r="B39" s="3"/>
      <c r="C39" s="3"/>
      <c r="D39" s="3"/>
      <c r="E39" s="3"/>
      <c r="F39" s="3"/>
      <c r="G39" s="3"/>
      <c r="H39" s="3"/>
      <c r="I39" s="3"/>
      <c r="J39" s="3"/>
      <c r="K39" s="3"/>
      <c r="L39" s="35"/>
      <c r="M39" s="35"/>
    </row>
    <row r="40" spans="2:13" x14ac:dyDescent="0.3">
      <c r="B40" s="3"/>
      <c r="C40" s="3"/>
      <c r="D40" s="3"/>
      <c r="E40" s="3"/>
      <c r="F40" s="3"/>
      <c r="G40" s="3"/>
      <c r="H40" s="3"/>
      <c r="I40" s="3"/>
      <c r="J40" s="3"/>
      <c r="K40" s="3"/>
      <c r="L40" s="35"/>
      <c r="M40" s="35"/>
    </row>
  </sheetData>
  <mergeCells count="5">
    <mergeCell ref="J2:K2"/>
    <mergeCell ref="B2:C2"/>
    <mergeCell ref="D2:E2"/>
    <mergeCell ref="F2:G2"/>
    <mergeCell ref="H2:I2"/>
  </mergeCells>
  <phoneticPr fontId="4" type="noConversion"/>
  <pageMargins left="0.75" right="0.75" top="1" bottom="1" header="0.5" footer="0.5"/>
  <pageSetup orientation="portrait" horizontalDpi="4294967293" verticalDpi="0" r:id="rId1"/>
  <headerFooter alignWithMargins="0"/>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M17"/>
  <sheetViews>
    <sheetView zoomScaleNormal="100" workbookViewId="0">
      <selection activeCell="I30" sqref="I30"/>
    </sheetView>
  </sheetViews>
  <sheetFormatPr defaultRowHeight="12.5" x14ac:dyDescent="0.25"/>
  <cols>
    <col min="2" max="2" width="9.26953125" bestFit="1" customWidth="1"/>
    <col min="3" max="3" width="10.453125" bestFit="1" customWidth="1"/>
    <col min="4" max="4" width="10.453125" customWidth="1"/>
    <col min="5" max="5" width="10.453125" bestFit="1" customWidth="1"/>
    <col min="6" max="6" width="9.453125" bestFit="1" customWidth="1"/>
    <col min="7" max="7" width="9.26953125" bestFit="1" customWidth="1"/>
    <col min="8" max="8" width="10.453125" customWidth="1"/>
    <col min="10" max="10" width="10.1796875" bestFit="1" customWidth="1"/>
    <col min="11" max="11" width="9.26953125" bestFit="1" customWidth="1"/>
    <col min="12" max="12" width="10.1796875" bestFit="1" customWidth="1"/>
  </cols>
  <sheetData>
    <row r="1" spans="1:13" ht="15.5" x14ac:dyDescent="0.35">
      <c r="A1" s="1" t="s">
        <v>120</v>
      </c>
    </row>
    <row r="2" spans="1:13" ht="15.5" x14ac:dyDescent="0.35">
      <c r="B2" s="1" t="s">
        <v>132</v>
      </c>
    </row>
    <row r="3" spans="1:13" x14ac:dyDescent="0.25">
      <c r="B3" s="9"/>
    </row>
    <row r="4" spans="1:13" ht="13" x14ac:dyDescent="0.3">
      <c r="H4" s="151" t="s">
        <v>44</v>
      </c>
    </row>
    <row r="5" spans="1:13" ht="13" x14ac:dyDescent="0.3">
      <c r="B5" s="151"/>
      <c r="C5" s="151"/>
      <c r="D5" s="173">
        <v>0.21</v>
      </c>
      <c r="E5" s="151"/>
      <c r="F5" s="173">
        <v>0.1</v>
      </c>
      <c r="G5" s="151" t="s">
        <v>44</v>
      </c>
      <c r="H5" s="151" t="s">
        <v>94</v>
      </c>
      <c r="J5" s="2" t="s">
        <v>94</v>
      </c>
    </row>
    <row r="6" spans="1:13" ht="13" x14ac:dyDescent="0.3">
      <c r="B6" s="174" t="s">
        <v>121</v>
      </c>
      <c r="C6" s="174" t="s">
        <v>122</v>
      </c>
      <c r="D6" s="174" t="s">
        <v>129</v>
      </c>
      <c r="E6" s="174" t="s">
        <v>123</v>
      </c>
      <c r="F6" s="174" t="s">
        <v>130</v>
      </c>
      <c r="G6" s="174" t="s">
        <v>131</v>
      </c>
      <c r="H6" s="175" t="s">
        <v>129</v>
      </c>
      <c r="J6" s="175" t="s">
        <v>145</v>
      </c>
    </row>
    <row r="7" spans="1:13" x14ac:dyDescent="0.25">
      <c r="B7">
        <v>2000</v>
      </c>
      <c r="C7" s="13">
        <f>1882+5237</f>
        <v>7119</v>
      </c>
      <c r="D7" s="13">
        <f t="shared" ref="D7:D12" si="0">C7*0.21</f>
        <v>1494.99</v>
      </c>
      <c r="E7" s="13">
        <v>220</v>
      </c>
      <c r="F7" s="13">
        <f t="shared" ref="F7:F12" si="1">E7*0.1</f>
        <v>22</v>
      </c>
      <c r="G7" s="14">
        <f t="shared" ref="G7:H17" si="2">C7+E7</f>
        <v>7339</v>
      </c>
      <c r="H7" s="14">
        <f t="shared" si="2"/>
        <v>1516.99</v>
      </c>
      <c r="J7" s="14">
        <v>55644.116000000002</v>
      </c>
      <c r="K7">
        <v>10000</v>
      </c>
      <c r="L7" s="14">
        <f t="shared" ref="L7:L12" si="3">SUM(J7:K7)</f>
        <v>65644.116000000009</v>
      </c>
      <c r="M7" s="6">
        <f t="shared" ref="M7:M12" si="4">H7/L7</f>
        <v>2.3109306552319173E-2</v>
      </c>
    </row>
    <row r="8" spans="1:13" x14ac:dyDescent="0.25">
      <c r="B8">
        <v>2001</v>
      </c>
      <c r="C8" s="13">
        <v>43891</v>
      </c>
      <c r="D8" s="13">
        <f t="shared" si="0"/>
        <v>9217.1099999999988</v>
      </c>
      <c r="E8" s="13">
        <v>432</v>
      </c>
      <c r="F8" s="13">
        <f t="shared" si="1"/>
        <v>43.2</v>
      </c>
      <c r="G8" s="14">
        <f t="shared" si="2"/>
        <v>44323</v>
      </c>
      <c r="H8" s="14">
        <f t="shared" si="2"/>
        <v>9260.31</v>
      </c>
      <c r="J8" s="14">
        <v>126093.99400000002</v>
      </c>
      <c r="K8">
        <v>10000</v>
      </c>
      <c r="L8" s="14">
        <f t="shared" si="3"/>
        <v>136093.99400000001</v>
      </c>
      <c r="M8" s="6">
        <f t="shared" si="4"/>
        <v>6.804348765016037E-2</v>
      </c>
    </row>
    <row r="9" spans="1:13" x14ac:dyDescent="0.25">
      <c r="B9">
        <v>2002</v>
      </c>
      <c r="C9" s="13">
        <v>4035</v>
      </c>
      <c r="D9" s="13">
        <f t="shared" si="0"/>
        <v>847.35</v>
      </c>
      <c r="E9" s="13">
        <v>611</v>
      </c>
      <c r="F9" s="13">
        <f t="shared" si="1"/>
        <v>61.1</v>
      </c>
      <c r="G9" s="14">
        <f t="shared" si="2"/>
        <v>4646</v>
      </c>
      <c r="H9" s="14">
        <f t="shared" si="2"/>
        <v>908.45</v>
      </c>
      <c r="J9" s="14">
        <v>66868.039999999994</v>
      </c>
      <c r="K9">
        <v>10000</v>
      </c>
      <c r="L9" s="14">
        <f t="shared" si="3"/>
        <v>76868.039999999994</v>
      </c>
      <c r="M9" s="6">
        <f t="shared" si="4"/>
        <v>1.1818305761406172E-2</v>
      </c>
    </row>
    <row r="10" spans="1:13" x14ac:dyDescent="0.25">
      <c r="B10">
        <v>2003</v>
      </c>
      <c r="C10" s="13">
        <v>18676</v>
      </c>
      <c r="D10" s="13">
        <f t="shared" si="0"/>
        <v>3921.96</v>
      </c>
      <c r="E10" s="13">
        <v>479</v>
      </c>
      <c r="F10" s="13">
        <f t="shared" si="1"/>
        <v>47.900000000000006</v>
      </c>
      <c r="G10" s="14">
        <f t="shared" si="2"/>
        <v>19155</v>
      </c>
      <c r="H10" s="14">
        <f t="shared" si="2"/>
        <v>3969.86</v>
      </c>
      <c r="J10" s="14">
        <v>110362.09100000001</v>
      </c>
      <c r="K10">
        <v>10000</v>
      </c>
      <c r="L10" s="14">
        <f t="shared" si="3"/>
        <v>120362.09100000001</v>
      </c>
      <c r="M10" s="6">
        <f t="shared" si="4"/>
        <v>3.2982644012058575E-2</v>
      </c>
    </row>
    <row r="11" spans="1:13" x14ac:dyDescent="0.25">
      <c r="B11">
        <v>2004</v>
      </c>
      <c r="C11" s="13">
        <v>7895</v>
      </c>
      <c r="D11" s="13">
        <f t="shared" si="0"/>
        <v>1657.95</v>
      </c>
      <c r="E11" s="13">
        <v>430</v>
      </c>
      <c r="F11" s="13">
        <f t="shared" si="1"/>
        <v>43</v>
      </c>
      <c r="G11" s="14">
        <f t="shared" si="2"/>
        <v>8325</v>
      </c>
      <c r="H11" s="14">
        <f t="shared" si="2"/>
        <v>1700.95</v>
      </c>
      <c r="J11" s="14">
        <v>73894.545899999997</v>
      </c>
      <c r="K11">
        <v>10000</v>
      </c>
      <c r="L11" s="14">
        <f t="shared" si="3"/>
        <v>83894.545899999997</v>
      </c>
      <c r="M11" s="6">
        <f t="shared" si="4"/>
        <v>2.0274857939245369E-2</v>
      </c>
    </row>
    <row r="12" spans="1:13" x14ac:dyDescent="0.25">
      <c r="B12">
        <v>2005</v>
      </c>
      <c r="C12" s="13">
        <v>2730</v>
      </c>
      <c r="D12" s="13">
        <f t="shared" si="0"/>
        <v>573.29999999999995</v>
      </c>
      <c r="E12" s="13">
        <v>198</v>
      </c>
      <c r="F12" s="13">
        <f t="shared" si="1"/>
        <v>19.8</v>
      </c>
      <c r="G12" s="14">
        <f t="shared" si="2"/>
        <v>2928</v>
      </c>
      <c r="H12" s="14">
        <f t="shared" si="2"/>
        <v>593.09999999999991</v>
      </c>
      <c r="J12" s="14">
        <v>51452.719899999996</v>
      </c>
      <c r="K12">
        <v>10000</v>
      </c>
      <c r="L12" s="14">
        <f t="shared" si="3"/>
        <v>61452.719899999996</v>
      </c>
      <c r="M12" s="6">
        <f t="shared" si="4"/>
        <v>9.651322202908711E-3</v>
      </c>
    </row>
    <row r="13" spans="1:13" x14ac:dyDescent="0.25">
      <c r="C13" s="13"/>
      <c r="D13" s="13"/>
      <c r="E13" s="13"/>
      <c r="F13" s="13"/>
    </row>
    <row r="14" spans="1:13" x14ac:dyDescent="0.25">
      <c r="A14" t="s">
        <v>186</v>
      </c>
      <c r="B14">
        <v>2006</v>
      </c>
      <c r="C14" s="64">
        <f>1101*0.87</f>
        <v>957.87</v>
      </c>
      <c r="D14" s="13">
        <f>C14*0.21</f>
        <v>201.15269999999998</v>
      </c>
      <c r="E14" s="13">
        <f>0.87*298</f>
        <v>259.26</v>
      </c>
      <c r="F14" s="13">
        <f>(E14*0.1)+32</f>
        <v>57.926000000000002</v>
      </c>
      <c r="G14" s="14">
        <f t="shared" si="2"/>
        <v>1217.1300000000001</v>
      </c>
      <c r="H14" s="14">
        <f>D14+F14</f>
        <v>259.07869999999997</v>
      </c>
    </row>
    <row r="15" spans="1:13" x14ac:dyDescent="0.25">
      <c r="A15" t="s">
        <v>187</v>
      </c>
      <c r="B15">
        <v>2006</v>
      </c>
      <c r="C15" s="64">
        <f>1101*0.13</f>
        <v>143.13</v>
      </c>
      <c r="D15" s="13">
        <f>C15*0.21</f>
        <v>30.057299999999998</v>
      </c>
      <c r="E15" s="13">
        <f>0.13*298</f>
        <v>38.74</v>
      </c>
      <c r="F15" s="13">
        <f>E15*0.1</f>
        <v>3.8740000000000006</v>
      </c>
      <c r="G15" s="14">
        <f t="shared" si="2"/>
        <v>181.87</v>
      </c>
      <c r="H15" s="14">
        <f>D15+F15</f>
        <v>33.9313</v>
      </c>
    </row>
    <row r="16" spans="1:13" x14ac:dyDescent="0.25">
      <c r="A16" t="s">
        <v>186</v>
      </c>
      <c r="B16">
        <v>2007</v>
      </c>
      <c r="C16" s="64">
        <f>D16/0.21</f>
        <v>2728.5714285714289</v>
      </c>
      <c r="D16" s="13">
        <v>573</v>
      </c>
      <c r="E16">
        <f>F16/0.1</f>
        <v>180</v>
      </c>
      <c r="F16">
        <v>18</v>
      </c>
      <c r="G16" s="14">
        <f t="shared" si="2"/>
        <v>2908.5714285714289</v>
      </c>
      <c r="H16" s="14">
        <f>D16+F16</f>
        <v>591</v>
      </c>
    </row>
    <row r="17" spans="1:8" x14ac:dyDescent="0.25">
      <c r="A17" t="s">
        <v>187</v>
      </c>
      <c r="B17">
        <v>2007</v>
      </c>
      <c r="C17" s="64">
        <f>D17/0.21</f>
        <v>38.095238095238095</v>
      </c>
      <c r="D17" s="13">
        <v>8</v>
      </c>
      <c r="E17">
        <f>F17/0.1</f>
        <v>120</v>
      </c>
      <c r="F17">
        <v>12</v>
      </c>
      <c r="G17" s="14">
        <f t="shared" si="2"/>
        <v>158.0952380952381</v>
      </c>
      <c r="H17" s="14">
        <f>D17+F17</f>
        <v>20</v>
      </c>
    </row>
  </sheetData>
  <phoneticPr fontId="4" type="noConversion"/>
  <pageMargins left="0.75" right="0.75" top="1" bottom="1" header="0.5" footer="0.5"/>
  <pageSetup orientation="portrait" horizontalDpi="4294967293" verticalDpi="300" r:id="rId1"/>
  <headerFooter alignWithMargins="0"/>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U37"/>
  <sheetViews>
    <sheetView zoomScale="75" workbookViewId="0">
      <selection activeCell="I30" sqref="I30"/>
    </sheetView>
  </sheetViews>
  <sheetFormatPr defaultRowHeight="12.5" x14ac:dyDescent="0.25"/>
  <cols>
    <col min="2" max="2" width="12.453125" customWidth="1"/>
    <col min="3" max="3" width="11" customWidth="1"/>
    <col min="4" max="4" width="11.1796875" style="44" customWidth="1"/>
    <col min="5" max="5" width="16.1796875" style="44" customWidth="1"/>
    <col min="6" max="6" width="11.1796875" customWidth="1"/>
    <col min="7" max="7" width="11.54296875" customWidth="1"/>
    <col min="8" max="8" width="11.453125" customWidth="1"/>
    <col min="10" max="11" width="11.7265625" customWidth="1"/>
    <col min="13" max="14" width="10.81640625" customWidth="1"/>
    <col min="15" max="15" width="11.1796875" customWidth="1"/>
    <col min="17" max="17" width="10.54296875" customWidth="1"/>
    <col min="18" max="18" width="9.26953125" bestFit="1" customWidth="1"/>
    <col min="19" max="19" width="9.81640625" customWidth="1"/>
  </cols>
  <sheetData>
    <row r="1" spans="1:19" ht="15.5" x14ac:dyDescent="0.35">
      <c r="A1" s="1" t="s">
        <v>95</v>
      </c>
      <c r="H1" s="37" t="s">
        <v>142</v>
      </c>
    </row>
    <row r="2" spans="1:19" ht="15.5" x14ac:dyDescent="0.35">
      <c r="A2" s="1"/>
    </row>
    <row r="3" spans="1:19" ht="15.5" x14ac:dyDescent="0.35">
      <c r="A3" s="1"/>
      <c r="B3" s="153"/>
      <c r="C3" s="163" t="s">
        <v>103</v>
      </c>
      <c r="D3" s="132"/>
      <c r="E3" s="132"/>
      <c r="F3" s="153"/>
      <c r="I3" s="930" t="s">
        <v>119</v>
      </c>
      <c r="J3" s="930"/>
      <c r="K3" s="151"/>
      <c r="L3" s="153"/>
      <c r="Q3" s="2" t="s">
        <v>101</v>
      </c>
    </row>
    <row r="4" spans="1:19" ht="13" x14ac:dyDescent="0.3">
      <c r="B4" s="151" t="s">
        <v>44</v>
      </c>
      <c r="C4" s="163" t="s">
        <v>104</v>
      </c>
      <c r="D4" s="164" t="s">
        <v>94</v>
      </c>
      <c r="E4" s="164" t="s">
        <v>111</v>
      </c>
      <c r="F4" s="151" t="s">
        <v>96</v>
      </c>
      <c r="G4" s="153"/>
      <c r="H4" s="151" t="s">
        <v>113</v>
      </c>
      <c r="I4" s="153"/>
      <c r="J4" s="151" t="s">
        <v>116</v>
      </c>
      <c r="K4" s="151"/>
      <c r="L4" s="153"/>
      <c r="Q4" s="2" t="s">
        <v>124</v>
      </c>
      <c r="S4" s="2" t="s">
        <v>127</v>
      </c>
    </row>
    <row r="5" spans="1:19" ht="13" x14ac:dyDescent="0.3">
      <c r="A5" s="2"/>
      <c r="B5" s="151" t="s">
        <v>101</v>
      </c>
      <c r="C5" s="163" t="s">
        <v>105</v>
      </c>
      <c r="D5" s="164" t="s">
        <v>106</v>
      </c>
      <c r="E5" s="164" t="s">
        <v>106</v>
      </c>
      <c r="F5" s="165" t="s">
        <v>107</v>
      </c>
      <c r="G5" s="165" t="s">
        <v>109</v>
      </c>
      <c r="H5" s="165" t="s">
        <v>97</v>
      </c>
      <c r="I5" s="165" t="s">
        <v>114</v>
      </c>
      <c r="J5" s="151" t="s">
        <v>117</v>
      </c>
      <c r="K5" s="151"/>
      <c r="L5" s="151"/>
      <c r="M5" s="151" t="s">
        <v>118</v>
      </c>
      <c r="N5" s="151"/>
      <c r="Q5" s="2" t="s">
        <v>44</v>
      </c>
      <c r="R5" s="2" t="s">
        <v>125</v>
      </c>
      <c r="S5" s="2" t="s">
        <v>128</v>
      </c>
    </row>
    <row r="6" spans="1:19" ht="13" x14ac:dyDescent="0.3">
      <c r="A6" s="2"/>
      <c r="B6" s="151" t="s">
        <v>102</v>
      </c>
      <c r="C6" s="166" t="s">
        <v>112</v>
      </c>
      <c r="D6" s="164" t="s">
        <v>101</v>
      </c>
      <c r="E6" s="164" t="s">
        <v>101</v>
      </c>
      <c r="F6" s="151" t="s">
        <v>108</v>
      </c>
      <c r="G6" s="165" t="s">
        <v>110</v>
      </c>
      <c r="H6" s="159" t="s">
        <v>112</v>
      </c>
      <c r="I6" s="151" t="s">
        <v>115</v>
      </c>
      <c r="J6" s="167" t="s">
        <v>112</v>
      </c>
      <c r="K6" s="167" t="s">
        <v>189</v>
      </c>
      <c r="L6" s="151" t="s">
        <v>98</v>
      </c>
      <c r="M6" s="165" t="s">
        <v>99</v>
      </c>
      <c r="N6" s="165" t="s">
        <v>188</v>
      </c>
      <c r="O6" s="151" t="s">
        <v>100</v>
      </c>
      <c r="P6" s="151" t="s">
        <v>194</v>
      </c>
      <c r="Q6" s="2" t="s">
        <v>94</v>
      </c>
      <c r="R6" s="151" t="s">
        <v>126</v>
      </c>
      <c r="S6" s="151" t="s">
        <v>105</v>
      </c>
    </row>
    <row r="7" spans="1:19" ht="13" x14ac:dyDescent="0.3">
      <c r="A7" s="2">
        <v>2000</v>
      </c>
      <c r="B7" s="176">
        <v>97263</v>
      </c>
      <c r="C7" s="177">
        <v>0.48199999999999998</v>
      </c>
      <c r="D7" s="124">
        <f>C7*B7</f>
        <v>46880.765999999996</v>
      </c>
      <c r="E7" s="156">
        <v>10.4</v>
      </c>
      <c r="F7" s="13">
        <f>2839+773</f>
        <v>3612</v>
      </c>
      <c r="G7" s="179">
        <v>2979</v>
      </c>
      <c r="H7" s="160">
        <f>G7*0.35</f>
        <v>1042.6499999999999</v>
      </c>
      <c r="I7" s="180">
        <v>742</v>
      </c>
      <c r="J7" s="162">
        <f t="shared" ref="J7:J12" si="0">I7*0.05</f>
        <v>37.1</v>
      </c>
      <c r="K7" s="162"/>
      <c r="L7" s="153">
        <v>285</v>
      </c>
      <c r="M7" s="154">
        <v>65.599999999999994</v>
      </c>
      <c r="N7" s="154"/>
      <c r="O7" s="153">
        <v>0</v>
      </c>
      <c r="P7">
        <v>10000</v>
      </c>
      <c r="Q7" s="14">
        <f>D7+F7+G7+H7+I7+J7+L7+M7+O7+K7+N7</f>
        <v>55644.115999999995</v>
      </c>
      <c r="R7" s="14">
        <f t="shared" ref="R7:R12" si="1">E7+G7+H7+I7+J7+L7+M7+O7+N7+K7</f>
        <v>5161.7500000000009</v>
      </c>
      <c r="S7" s="3">
        <f t="shared" ref="S7:S13" si="2">R7/Q7</f>
        <v>9.2763626615975023E-2</v>
      </c>
    </row>
    <row r="8" spans="1:19" ht="13" x14ac:dyDescent="0.3">
      <c r="A8" s="2">
        <v>2001</v>
      </c>
      <c r="B8" s="176">
        <v>266586</v>
      </c>
      <c r="C8" s="152">
        <v>0.42900000000000005</v>
      </c>
      <c r="D8" s="124">
        <f>C8*B8</f>
        <v>114365.39400000001</v>
      </c>
      <c r="E8" s="157">
        <v>20</v>
      </c>
      <c r="F8" s="13">
        <f>1736+402</f>
        <v>2138</v>
      </c>
      <c r="G8" s="179">
        <v>5528</v>
      </c>
      <c r="H8" s="160">
        <f>G8*0.35</f>
        <v>1934.8</v>
      </c>
      <c r="I8" s="180">
        <v>1396</v>
      </c>
      <c r="J8" s="162">
        <f t="shared" si="0"/>
        <v>69.8</v>
      </c>
      <c r="K8" s="162"/>
      <c r="L8" s="153">
        <v>171</v>
      </c>
      <c r="M8" s="153">
        <v>131</v>
      </c>
      <c r="N8" s="153"/>
      <c r="O8" s="154">
        <v>360</v>
      </c>
      <c r="P8">
        <v>10000</v>
      </c>
      <c r="Q8" s="14">
        <f t="shared" ref="Q8:Q13" si="3">D8+F8+G8+H8+I8+J8+L8+M8+O8+K8+N8</f>
        <v>126093.99400000002</v>
      </c>
      <c r="R8" s="14">
        <f t="shared" si="1"/>
        <v>9610.5999999999985</v>
      </c>
      <c r="S8" s="3">
        <f t="shared" si="2"/>
        <v>7.6217745945932974E-2</v>
      </c>
    </row>
    <row r="9" spans="1:19" ht="13" x14ac:dyDescent="0.3">
      <c r="A9" s="2">
        <v>2002</v>
      </c>
      <c r="B9" s="176">
        <v>95409</v>
      </c>
      <c r="C9" s="152">
        <v>0.61</v>
      </c>
      <c r="D9" s="124">
        <f>B9*C9</f>
        <v>58199.49</v>
      </c>
      <c r="E9" s="157">
        <v>178</v>
      </c>
      <c r="F9" s="13">
        <f>2337+2417</f>
        <v>4754</v>
      </c>
      <c r="G9" s="179">
        <v>1137</v>
      </c>
      <c r="H9" s="153">
        <v>1572</v>
      </c>
      <c r="I9" s="180">
        <v>311</v>
      </c>
      <c r="J9" s="162">
        <f t="shared" si="0"/>
        <v>15.55</v>
      </c>
      <c r="K9" s="162"/>
      <c r="L9" s="153">
        <v>334</v>
      </c>
      <c r="M9" s="153">
        <v>93</v>
      </c>
      <c r="N9" s="153">
        <v>73</v>
      </c>
      <c r="O9" s="153">
        <v>452</v>
      </c>
      <c r="P9">
        <v>10000</v>
      </c>
      <c r="Q9" s="14">
        <f t="shared" si="3"/>
        <v>66941.039999999994</v>
      </c>
      <c r="R9" s="14">
        <f t="shared" si="1"/>
        <v>4165.55</v>
      </c>
      <c r="S9" s="3">
        <f t="shared" si="2"/>
        <v>6.2227147949897414E-2</v>
      </c>
    </row>
    <row r="10" spans="1:19" ht="13" x14ac:dyDescent="0.3">
      <c r="A10" s="2">
        <v>2003</v>
      </c>
      <c r="B10" s="176">
        <v>133999</v>
      </c>
      <c r="C10" s="152">
        <v>0.70900000000000007</v>
      </c>
      <c r="D10" s="155">
        <f>C10*B10</f>
        <v>95005.291000000012</v>
      </c>
      <c r="E10" s="44">
        <v>304</v>
      </c>
      <c r="F10" s="123">
        <f>7908+1869</f>
        <v>9777</v>
      </c>
      <c r="G10" s="179">
        <v>2311</v>
      </c>
      <c r="H10" s="160">
        <f>G10*0.35</f>
        <v>808.84999999999991</v>
      </c>
      <c r="I10" s="180">
        <v>1199</v>
      </c>
      <c r="J10" s="162">
        <f t="shared" si="0"/>
        <v>59.95</v>
      </c>
      <c r="K10" s="162"/>
      <c r="L10" s="153">
        <v>299</v>
      </c>
      <c r="M10" s="153">
        <v>590</v>
      </c>
      <c r="N10" s="153">
        <v>331</v>
      </c>
      <c r="O10" s="153">
        <v>312</v>
      </c>
      <c r="P10">
        <v>10000</v>
      </c>
      <c r="Q10" s="14">
        <f t="shared" si="3"/>
        <v>110693.09100000001</v>
      </c>
      <c r="R10" s="14">
        <f t="shared" si="1"/>
        <v>6214.8</v>
      </c>
      <c r="S10" s="3">
        <f t="shared" si="2"/>
        <v>5.6144425490837542E-2</v>
      </c>
    </row>
    <row r="11" spans="1:19" ht="13" x14ac:dyDescent="0.3">
      <c r="A11" s="2">
        <v>2004</v>
      </c>
      <c r="B11" s="176">
        <v>119858</v>
      </c>
      <c r="C11" s="158">
        <v>0.52854999999999996</v>
      </c>
      <c r="D11" s="155">
        <f>C11*B11</f>
        <v>63350.945899999999</v>
      </c>
      <c r="E11" s="69">
        <v>415.3</v>
      </c>
      <c r="F11" s="123">
        <f>2849+524</f>
        <v>3373</v>
      </c>
      <c r="G11" s="179">
        <v>2039</v>
      </c>
      <c r="H11" s="132">
        <v>2590</v>
      </c>
      <c r="I11" s="180">
        <v>1032</v>
      </c>
      <c r="J11" s="162">
        <f t="shared" si="0"/>
        <v>51.6</v>
      </c>
      <c r="K11" s="162"/>
      <c r="L11" s="153">
        <v>377</v>
      </c>
      <c r="M11" s="153">
        <v>318</v>
      </c>
      <c r="N11" s="153">
        <v>124</v>
      </c>
      <c r="O11" s="153">
        <v>763</v>
      </c>
      <c r="P11">
        <v>10000</v>
      </c>
      <c r="Q11" s="14">
        <f t="shared" si="3"/>
        <v>74018.545899999997</v>
      </c>
      <c r="R11" s="14">
        <f t="shared" si="1"/>
        <v>7709.9000000000005</v>
      </c>
      <c r="S11" s="3">
        <f t="shared" si="2"/>
        <v>0.10416173279621264</v>
      </c>
    </row>
    <row r="12" spans="1:19" ht="13" x14ac:dyDescent="0.3">
      <c r="A12" s="2">
        <v>2005</v>
      </c>
      <c r="B12" s="176">
        <v>88738</v>
      </c>
      <c r="C12" s="169">
        <v>0.52854999999999996</v>
      </c>
      <c r="D12" s="168">
        <f>C12*B12</f>
        <v>46902.469899999996</v>
      </c>
      <c r="E12" s="170">
        <v>200</v>
      </c>
      <c r="F12" s="13">
        <f>1322+271</f>
        <v>1593</v>
      </c>
      <c r="G12" s="193">
        <v>1221</v>
      </c>
      <c r="H12" s="172">
        <v>103</v>
      </c>
      <c r="I12" s="194">
        <v>745</v>
      </c>
      <c r="J12" s="162">
        <f t="shared" si="0"/>
        <v>37.25</v>
      </c>
      <c r="K12" s="162"/>
      <c r="L12" s="171">
        <v>62</v>
      </c>
      <c r="M12" s="171">
        <v>479</v>
      </c>
      <c r="N12" s="171">
        <v>201</v>
      </c>
      <c r="O12" s="171">
        <v>310</v>
      </c>
      <c r="P12">
        <v>10000</v>
      </c>
      <c r="Q12" s="14">
        <f t="shared" si="3"/>
        <v>51653.719899999996</v>
      </c>
      <c r="R12" s="14">
        <f t="shared" si="1"/>
        <v>3358.25</v>
      </c>
      <c r="S12" s="3">
        <f t="shared" si="2"/>
        <v>6.5014678642728307E-2</v>
      </c>
    </row>
    <row r="13" spans="1:19" s="72" customFormat="1" ht="13" x14ac:dyDescent="0.3">
      <c r="A13" s="230">
        <v>2006</v>
      </c>
      <c r="B13" s="231">
        <v>107000</v>
      </c>
      <c r="C13" s="238">
        <v>0.7</v>
      </c>
      <c r="D13" s="188">
        <v>76702</v>
      </c>
      <c r="E13" s="232">
        <f>E12</f>
        <v>200</v>
      </c>
      <c r="F13" s="188">
        <v>7802</v>
      </c>
      <c r="G13" s="188">
        <v>2421</v>
      </c>
      <c r="H13" s="233"/>
      <c r="I13" s="27">
        <v>835</v>
      </c>
      <c r="K13" s="72">
        <v>1649</v>
      </c>
      <c r="L13" s="233">
        <v>25</v>
      </c>
      <c r="M13" s="233">
        <v>445</v>
      </c>
      <c r="N13" s="233">
        <f>49+477</f>
        <v>526</v>
      </c>
      <c r="O13" s="233">
        <v>663</v>
      </c>
      <c r="P13">
        <v>10000</v>
      </c>
      <c r="Q13" s="14">
        <f t="shared" si="3"/>
        <v>91068</v>
      </c>
      <c r="R13" s="14">
        <f>E13+G13+H13+I13+J13+L13+M13+O13+N13+K13</f>
        <v>6764</v>
      </c>
      <c r="S13" s="3">
        <f t="shared" si="2"/>
        <v>7.4274168753019718E-2</v>
      </c>
    </row>
    <row r="15" spans="1:19" ht="13" x14ac:dyDescent="0.3">
      <c r="F15" s="181" t="s">
        <v>144</v>
      </c>
      <c r="Q15" s="14"/>
    </row>
    <row r="16" spans="1:19" ht="13" x14ac:dyDescent="0.3">
      <c r="B16" s="930" t="s">
        <v>149</v>
      </c>
      <c r="C16" s="930"/>
      <c r="H16" s="14"/>
      <c r="I16" s="19"/>
    </row>
    <row r="17" spans="1:18" ht="15.5" x14ac:dyDescent="0.3">
      <c r="B17" s="2" t="s">
        <v>140</v>
      </c>
      <c r="C17" s="2" t="s">
        <v>141</v>
      </c>
      <c r="F17" s="74" t="s">
        <v>179</v>
      </c>
      <c r="G17" s="234"/>
      <c r="H17" s="235"/>
      <c r="I17" s="19"/>
    </row>
    <row r="18" spans="1:18" ht="15.5" x14ac:dyDescent="0.3">
      <c r="A18" s="2">
        <v>2000</v>
      </c>
      <c r="B18" s="176">
        <v>85866</v>
      </c>
      <c r="C18" s="176">
        <f t="shared" ref="C18:C23" si="4">B7-B18</f>
        <v>11397</v>
      </c>
      <c r="F18" s="74"/>
      <c r="G18" s="234"/>
      <c r="H18" s="74"/>
      <c r="I18" s="161"/>
    </row>
    <row r="19" spans="1:18" ht="15.5" x14ac:dyDescent="0.3">
      <c r="A19" s="2">
        <v>2001</v>
      </c>
      <c r="B19" s="176">
        <v>259805</v>
      </c>
      <c r="C19" s="176">
        <f t="shared" si="4"/>
        <v>6781</v>
      </c>
      <c r="F19" s="74" t="s">
        <v>180</v>
      </c>
      <c r="G19" s="236">
        <v>0.66</v>
      </c>
      <c r="H19" s="74"/>
    </row>
    <row r="20" spans="1:18" ht="15.5" x14ac:dyDescent="0.3">
      <c r="A20" s="2">
        <v>2002</v>
      </c>
      <c r="B20" s="176">
        <v>88576</v>
      </c>
      <c r="C20" s="176">
        <f t="shared" si="4"/>
        <v>6833</v>
      </c>
      <c r="F20" s="74" t="s">
        <v>181</v>
      </c>
      <c r="G20" s="236">
        <v>0.55000000000000004</v>
      </c>
      <c r="H20" s="74"/>
      <c r="I20" s="176"/>
      <c r="J20" s="6"/>
      <c r="K20" s="6"/>
      <c r="L20" s="14"/>
      <c r="M20" s="6"/>
      <c r="N20" s="6"/>
      <c r="O20" s="5"/>
      <c r="P20" s="6"/>
      <c r="Q20" s="6"/>
      <c r="R20" s="6"/>
    </row>
    <row r="21" spans="1:18" ht="15.5" x14ac:dyDescent="0.3">
      <c r="A21" s="2">
        <v>2003</v>
      </c>
      <c r="B21" s="176">
        <v>125865</v>
      </c>
      <c r="C21" s="176">
        <f t="shared" si="4"/>
        <v>8134</v>
      </c>
      <c r="F21" s="74" t="s">
        <v>117</v>
      </c>
      <c r="G21" s="236">
        <v>0.11</v>
      </c>
      <c r="H21" s="74"/>
      <c r="I21" s="176"/>
      <c r="J21" s="6"/>
      <c r="K21" s="6"/>
      <c r="L21" s="14"/>
      <c r="M21" s="6"/>
      <c r="N21" s="6"/>
      <c r="O21" s="5"/>
      <c r="P21" s="6"/>
      <c r="Q21" s="6"/>
      <c r="R21" s="6"/>
    </row>
    <row r="22" spans="1:18" ht="15.5" x14ac:dyDescent="0.3">
      <c r="A22" s="2">
        <v>2004</v>
      </c>
      <c r="B22" s="176">
        <v>115048</v>
      </c>
      <c r="C22" s="176">
        <f t="shared" si="4"/>
        <v>4810</v>
      </c>
      <c r="F22" s="74" t="s">
        <v>97</v>
      </c>
      <c r="G22" s="237">
        <v>0.24</v>
      </c>
      <c r="H22" s="74"/>
      <c r="I22" s="176"/>
      <c r="J22" s="6"/>
      <c r="K22" s="6"/>
      <c r="L22" s="14"/>
      <c r="M22" s="6"/>
      <c r="N22" s="6"/>
      <c r="O22" s="5"/>
      <c r="P22" s="6"/>
      <c r="Q22" s="6"/>
      <c r="R22" s="6"/>
    </row>
    <row r="23" spans="1:18" ht="13" x14ac:dyDescent="0.3">
      <c r="A23" s="2">
        <v>2005</v>
      </c>
      <c r="B23" s="176">
        <v>83250</v>
      </c>
      <c r="C23" s="176">
        <f t="shared" si="4"/>
        <v>5488</v>
      </c>
      <c r="I23" s="176"/>
      <c r="J23" s="6"/>
      <c r="K23" s="6"/>
      <c r="L23" s="14"/>
      <c r="M23" s="6"/>
      <c r="N23" s="6"/>
      <c r="O23" s="5"/>
      <c r="P23" s="6"/>
      <c r="Q23" s="6"/>
      <c r="R23" s="6"/>
    </row>
    <row r="24" spans="1:18" x14ac:dyDescent="0.25">
      <c r="I24" s="176"/>
      <c r="J24" s="6"/>
      <c r="K24" s="6"/>
      <c r="L24" s="14"/>
      <c r="M24" s="6"/>
      <c r="N24" s="6"/>
      <c r="O24" s="5"/>
      <c r="P24" s="6"/>
      <c r="Q24" s="6"/>
      <c r="R24" s="6"/>
    </row>
    <row r="25" spans="1:18" x14ac:dyDescent="0.25">
      <c r="I25" s="176"/>
      <c r="J25" s="6"/>
      <c r="K25" s="6"/>
      <c r="L25" s="14"/>
      <c r="M25" s="6"/>
      <c r="N25" s="6"/>
      <c r="O25" s="5"/>
      <c r="P25" s="6"/>
      <c r="Q25" s="6"/>
      <c r="R25" s="6"/>
    </row>
    <row r="26" spans="1:18" ht="13" x14ac:dyDescent="0.3">
      <c r="B26" s="2" t="s">
        <v>152</v>
      </c>
      <c r="I26" s="176"/>
    </row>
    <row r="27" spans="1:18" s="2" customFormat="1" ht="13" x14ac:dyDescent="0.3">
      <c r="B27" s="2" t="s">
        <v>44</v>
      </c>
      <c r="C27" s="2" t="s">
        <v>150</v>
      </c>
      <c r="D27" s="46" t="s">
        <v>151</v>
      </c>
      <c r="E27" s="245" t="s">
        <v>195</v>
      </c>
      <c r="F27" s="2" t="s">
        <v>192</v>
      </c>
      <c r="G27" s="2" t="s">
        <v>193</v>
      </c>
      <c r="H27" s="46" t="s">
        <v>190</v>
      </c>
      <c r="I27" s="2" t="s">
        <v>191</v>
      </c>
      <c r="J27" s="21"/>
      <c r="L27" s="21"/>
      <c r="M27" s="21"/>
      <c r="O27" s="21"/>
      <c r="P27" s="21"/>
      <c r="Q27" s="21"/>
    </row>
    <row r="28" spans="1:18" ht="14" x14ac:dyDescent="0.3">
      <c r="A28" s="2">
        <v>2000</v>
      </c>
      <c r="B28" s="200">
        <f t="shared" ref="B28:B33" si="5">C28+D28</f>
        <v>547624</v>
      </c>
      <c r="C28" s="200">
        <v>325524</v>
      </c>
      <c r="D28" s="200">
        <v>222100</v>
      </c>
      <c r="E28" s="200">
        <f>P7+Q7</f>
        <v>65644.115999999995</v>
      </c>
      <c r="F28" s="14">
        <f t="shared" ref="F28:G34" si="6">C28-H28</f>
        <v>286503.18422716315</v>
      </c>
      <c r="G28" s="14">
        <f t="shared" si="6"/>
        <v>195476.69977283684</v>
      </c>
      <c r="H28" s="69">
        <f>E28*(C28/B28)</f>
        <v>39020.815772836831</v>
      </c>
      <c r="I28" s="5">
        <f>E28*(D28/B28)</f>
        <v>26623.300227163163</v>
      </c>
    </row>
    <row r="29" spans="1:18" ht="14" x14ac:dyDescent="0.3">
      <c r="A29" s="2">
        <v>2001</v>
      </c>
      <c r="B29" s="200">
        <f t="shared" si="5"/>
        <v>1108287</v>
      </c>
      <c r="C29" s="200">
        <v>692211</v>
      </c>
      <c r="D29" s="200">
        <v>416076</v>
      </c>
      <c r="E29" s="200">
        <f t="shared" ref="E29:E34" si="7">P8+Q8</f>
        <v>136093.99400000001</v>
      </c>
      <c r="F29" s="14">
        <f t="shared" si="6"/>
        <v>607209.76865763648</v>
      </c>
      <c r="G29" s="14">
        <f t="shared" si="6"/>
        <v>364983.23734236346</v>
      </c>
      <c r="H29" s="69">
        <f t="shared" ref="H29:H34" si="8">E29*(C29/B29)</f>
        <v>85001.231342363491</v>
      </c>
      <c r="I29" s="5">
        <f t="shared" ref="I29:I34" si="9">E29*(D29/B29)</f>
        <v>51092.762657636522</v>
      </c>
    </row>
    <row r="30" spans="1:18" ht="14" x14ac:dyDescent="0.3">
      <c r="A30" s="2">
        <v>2002</v>
      </c>
      <c r="B30" s="200">
        <f t="shared" si="5"/>
        <v>499669</v>
      </c>
      <c r="C30" s="200">
        <v>295686</v>
      </c>
      <c r="D30" s="200">
        <v>203983</v>
      </c>
      <c r="E30" s="200">
        <f t="shared" si="7"/>
        <v>76941.039999999994</v>
      </c>
      <c r="F30" s="14">
        <f t="shared" si="6"/>
        <v>250155.08182528836</v>
      </c>
      <c r="G30" s="14">
        <f t="shared" si="6"/>
        <v>172572.87817471166</v>
      </c>
      <c r="H30" s="69">
        <f t="shared" si="8"/>
        <v>45530.918174711653</v>
      </c>
      <c r="I30" s="5">
        <f t="shared" si="9"/>
        <v>31410.121825288337</v>
      </c>
    </row>
    <row r="31" spans="1:18" ht="14" x14ac:dyDescent="0.3">
      <c r="A31" s="2">
        <v>2003</v>
      </c>
      <c r="B31" s="200">
        <f t="shared" si="5"/>
        <v>677235</v>
      </c>
      <c r="C31" s="200">
        <v>496441</v>
      </c>
      <c r="D31" s="200">
        <v>180794</v>
      </c>
      <c r="E31" s="200">
        <f t="shared" si="7"/>
        <v>120693.09100000001</v>
      </c>
      <c r="F31" s="14">
        <f t="shared" si="6"/>
        <v>407968.01973593951</v>
      </c>
      <c r="G31" s="14">
        <f t="shared" si="6"/>
        <v>148573.88926406048</v>
      </c>
      <c r="H31" s="69">
        <f t="shared" si="8"/>
        <v>88472.98026406049</v>
      </c>
      <c r="I31" s="5">
        <f t="shared" si="9"/>
        <v>32220.110735939521</v>
      </c>
      <c r="J31" s="19"/>
    </row>
    <row r="32" spans="1:18" ht="14" x14ac:dyDescent="0.3">
      <c r="A32" s="2">
        <v>2004</v>
      </c>
      <c r="B32" s="200">
        <f t="shared" si="5"/>
        <v>442565</v>
      </c>
      <c r="C32" s="200">
        <v>293834</v>
      </c>
      <c r="D32" s="200">
        <v>148731</v>
      </c>
      <c r="E32" s="200">
        <f t="shared" si="7"/>
        <v>84018.545899999997</v>
      </c>
      <c r="F32" s="14">
        <f t="shared" si="6"/>
        <v>238051.22138899236</v>
      </c>
      <c r="G32" s="14">
        <f t="shared" si="6"/>
        <v>120495.23271100764</v>
      </c>
      <c r="H32" s="69">
        <f t="shared" si="8"/>
        <v>55782.778611007649</v>
      </c>
      <c r="I32" s="5">
        <f t="shared" si="9"/>
        <v>28235.767288992349</v>
      </c>
      <c r="J32" s="19"/>
    </row>
    <row r="33" spans="1:255" ht="14" x14ac:dyDescent="0.3">
      <c r="A33" s="2">
        <v>2005</v>
      </c>
      <c r="B33" s="200">
        <f t="shared" si="5"/>
        <v>341832</v>
      </c>
      <c r="C33" s="200">
        <v>246172</v>
      </c>
      <c r="D33" s="200">
        <v>95660</v>
      </c>
      <c r="E33" s="200">
        <f t="shared" si="7"/>
        <v>61653.719899999996</v>
      </c>
      <c r="F33" s="14">
        <f t="shared" si="6"/>
        <v>201771.76966690421</v>
      </c>
      <c r="G33" s="14">
        <f t="shared" si="6"/>
        <v>78406.510433095798</v>
      </c>
      <c r="H33" s="69">
        <f t="shared" si="8"/>
        <v>44400.230333095788</v>
      </c>
      <c r="I33" s="5">
        <f t="shared" si="9"/>
        <v>17253.489566904209</v>
      </c>
      <c r="J33" s="19"/>
    </row>
    <row r="34" spans="1:255" ht="14" x14ac:dyDescent="0.3">
      <c r="A34" s="2">
        <v>2006</v>
      </c>
      <c r="B34" s="200">
        <f>D34+C34</f>
        <v>384085</v>
      </c>
      <c r="C34" s="200">
        <v>236862.94</v>
      </c>
      <c r="D34" s="244">
        <v>147222.06</v>
      </c>
      <c r="E34" s="200">
        <f t="shared" si="7"/>
        <v>101068</v>
      </c>
      <c r="F34" s="14">
        <f t="shared" si="6"/>
        <v>174534.90422687685</v>
      </c>
      <c r="G34" s="14">
        <f t="shared" si="6"/>
        <v>108482.09577312313</v>
      </c>
      <c r="H34" s="69">
        <f t="shared" si="8"/>
        <v>62328.035773123142</v>
      </c>
      <c r="I34" s="5">
        <f t="shared" si="9"/>
        <v>38739.964226876866</v>
      </c>
      <c r="J34" s="14"/>
      <c r="K34" s="19"/>
      <c r="L34" s="19"/>
      <c r="M34" s="19"/>
      <c r="IU34" s="14"/>
    </row>
    <row r="35" spans="1:255" ht="14" x14ac:dyDescent="0.3">
      <c r="C35" s="243"/>
      <c r="D35" s="244"/>
      <c r="E35" s="14"/>
      <c r="F35" s="5"/>
      <c r="G35" s="69"/>
      <c r="H35" s="5"/>
      <c r="I35" s="14"/>
      <c r="J35" s="19"/>
      <c r="K35" s="19"/>
      <c r="L35" s="19"/>
    </row>
    <row r="36" spans="1:255" x14ac:dyDescent="0.25">
      <c r="D36" s="155"/>
      <c r="E36" s="69"/>
      <c r="F36" s="5"/>
      <c r="G36" s="14"/>
      <c r="H36" s="5"/>
      <c r="I36" s="5"/>
      <c r="J36" s="14"/>
      <c r="K36" s="14"/>
      <c r="L36" s="19"/>
      <c r="M36" s="19"/>
      <c r="N36" s="19"/>
    </row>
    <row r="37" spans="1:255" x14ac:dyDescent="0.25">
      <c r="D37" s="155"/>
    </row>
  </sheetData>
  <mergeCells count="2">
    <mergeCell ref="I3:J3"/>
    <mergeCell ref="B16:C16"/>
  </mergeCells>
  <phoneticPr fontId="4" type="noConversion"/>
  <pageMargins left="0.75" right="0.75" top="1" bottom="1" header="0.5" footer="0.5"/>
  <pageSetup orientation="portrait" horizontalDpi="4294967293" verticalDpi="300" r:id="rId1"/>
  <headerFooter alignWithMargins="0"/>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B31"/>
  <sheetViews>
    <sheetView zoomScale="75" workbookViewId="0">
      <selection activeCell="I30" sqref="I30"/>
    </sheetView>
  </sheetViews>
  <sheetFormatPr defaultRowHeight="12.5" x14ac:dyDescent="0.25"/>
  <cols>
    <col min="1" max="1" width="22.1796875" bestFit="1" customWidth="1"/>
    <col min="2" max="2" width="11.453125" style="44" bestFit="1" customWidth="1"/>
    <col min="3" max="3" width="14.81640625" style="44" bestFit="1" customWidth="1"/>
    <col min="4" max="4" width="11.453125" bestFit="1" customWidth="1"/>
    <col min="5" max="5" width="14.81640625" bestFit="1" customWidth="1"/>
    <col min="6" max="6" width="11.453125" bestFit="1" customWidth="1"/>
    <col min="7" max="7" width="14.81640625" bestFit="1" customWidth="1"/>
    <col min="8" max="8" width="11.453125" bestFit="1" customWidth="1"/>
    <col min="9" max="9" width="14.81640625" bestFit="1" customWidth="1"/>
    <col min="10" max="10" width="11.453125" bestFit="1" customWidth="1"/>
    <col min="11" max="11" width="14.81640625" bestFit="1" customWidth="1"/>
    <col min="12" max="12" width="10" bestFit="1" customWidth="1"/>
    <col min="13" max="13" width="14.81640625" bestFit="1" customWidth="1"/>
    <col min="14" max="14" width="10" bestFit="1" customWidth="1"/>
    <col min="15" max="15" width="14.81640625" bestFit="1" customWidth="1"/>
    <col min="16" max="16" width="10" bestFit="1" customWidth="1"/>
    <col min="17" max="17" width="14.81640625" bestFit="1" customWidth="1"/>
  </cols>
  <sheetData>
    <row r="1" spans="1:28" ht="15.5" x14ac:dyDescent="0.35">
      <c r="A1" s="1" t="s">
        <v>93</v>
      </c>
      <c r="B1" s="933" t="s">
        <v>143</v>
      </c>
      <c r="C1" s="933"/>
      <c r="D1" s="933"/>
      <c r="E1" s="933"/>
      <c r="F1" s="933"/>
      <c r="G1" s="933"/>
      <c r="H1" s="933"/>
      <c r="I1" s="933"/>
      <c r="J1" s="933"/>
      <c r="K1" s="933"/>
      <c r="L1" s="933"/>
      <c r="M1" s="933"/>
      <c r="N1" s="933"/>
      <c r="O1" s="933"/>
      <c r="P1" s="933"/>
      <c r="Q1" s="933"/>
    </row>
    <row r="5" spans="1:28" x14ac:dyDescent="0.25">
      <c r="A5" s="130"/>
      <c r="B5" s="931">
        <v>2000</v>
      </c>
      <c r="C5" s="932"/>
      <c r="D5" s="899">
        <v>2001</v>
      </c>
      <c r="E5" s="932"/>
      <c r="F5" s="931">
        <v>2002</v>
      </c>
      <c r="G5" s="932"/>
      <c r="H5" s="931">
        <v>2003</v>
      </c>
      <c r="I5" s="932"/>
      <c r="J5" s="931">
        <v>2004</v>
      </c>
      <c r="K5" s="932"/>
      <c r="L5" s="931">
        <v>2005</v>
      </c>
      <c r="M5" s="932"/>
      <c r="N5" s="931">
        <v>2006</v>
      </c>
      <c r="O5" s="932"/>
      <c r="P5" s="931">
        <v>2007</v>
      </c>
      <c r="Q5" s="932"/>
    </row>
    <row r="6" spans="1:28" x14ac:dyDescent="0.25">
      <c r="A6" s="130"/>
      <c r="B6" s="128" t="s">
        <v>44</v>
      </c>
      <c r="C6" s="130" t="s">
        <v>233</v>
      </c>
      <c r="D6" s="44" t="s">
        <v>44</v>
      </c>
      <c r="E6" s="130" t="s">
        <v>233</v>
      </c>
      <c r="F6" s="128" t="s">
        <v>44</v>
      </c>
      <c r="G6" s="130" t="s">
        <v>233</v>
      </c>
      <c r="H6" s="128" t="s">
        <v>44</v>
      </c>
      <c r="I6" s="130" t="s">
        <v>233</v>
      </c>
      <c r="J6" s="128" t="s">
        <v>44</v>
      </c>
      <c r="K6" s="130" t="s">
        <v>233</v>
      </c>
      <c r="L6" s="128" t="s">
        <v>44</v>
      </c>
      <c r="M6" s="130" t="s">
        <v>233</v>
      </c>
      <c r="N6" s="128" t="s">
        <v>44</v>
      </c>
      <c r="O6" s="130" t="s">
        <v>233</v>
      </c>
      <c r="P6" s="128" t="s">
        <v>44</v>
      </c>
      <c r="Q6" s="130" t="s">
        <v>233</v>
      </c>
    </row>
    <row r="7" spans="1:28" x14ac:dyDescent="0.25">
      <c r="A7" s="133" t="s">
        <v>65</v>
      </c>
      <c r="B7" s="129">
        <v>363</v>
      </c>
      <c r="C7" s="131"/>
      <c r="D7" s="124">
        <v>26</v>
      </c>
      <c r="E7" s="131"/>
      <c r="F7" s="129">
        <v>105</v>
      </c>
      <c r="G7" s="131"/>
      <c r="H7" s="129">
        <v>115</v>
      </c>
      <c r="I7" s="131"/>
      <c r="J7" s="150">
        <v>0</v>
      </c>
      <c r="K7" s="131"/>
      <c r="L7" s="150"/>
      <c r="M7" s="131"/>
      <c r="N7" s="150"/>
      <c r="O7" s="131"/>
      <c r="P7" s="150"/>
      <c r="Q7" s="131"/>
      <c r="R7" s="13"/>
      <c r="S7" s="13"/>
      <c r="T7" s="13"/>
      <c r="U7" s="13"/>
      <c r="V7" s="13"/>
      <c r="W7" s="13"/>
      <c r="X7" s="13"/>
      <c r="Y7" s="13"/>
      <c r="Z7" s="13"/>
      <c r="AA7" s="13"/>
      <c r="AB7" s="13"/>
    </row>
    <row r="8" spans="1:28" x14ac:dyDescent="0.25">
      <c r="A8" s="133" t="s">
        <v>66</v>
      </c>
      <c r="B8" s="129">
        <v>14039</v>
      </c>
      <c r="C8" s="131"/>
      <c r="D8" s="124">
        <v>2491</v>
      </c>
      <c r="E8" s="131"/>
      <c r="F8" s="129">
        <v>303</v>
      </c>
      <c r="G8" s="131"/>
      <c r="H8" s="129">
        <v>3162</v>
      </c>
      <c r="I8" s="131"/>
      <c r="J8" s="129">
        <v>5767</v>
      </c>
      <c r="K8" s="131"/>
      <c r="L8" s="129">
        <f>'2005 catch'!B51</f>
        <v>0</v>
      </c>
      <c r="M8" s="131">
        <f>'2005 catch'!C51</f>
        <v>0</v>
      </c>
      <c r="N8" s="129">
        <f>'2006 Catch'!B55</f>
        <v>2235</v>
      </c>
      <c r="O8" s="131">
        <f>'2006 Catch'!C55</f>
        <v>72.527415966386556</v>
      </c>
      <c r="P8" s="129">
        <f>'2007 Comm Catch'!B55</f>
        <v>2674</v>
      </c>
      <c r="Q8" s="131">
        <f>'2007 Comm Catch'!C55</f>
        <v>0</v>
      </c>
      <c r="R8" s="13"/>
      <c r="S8" s="13"/>
      <c r="T8" s="13"/>
      <c r="U8" s="13"/>
      <c r="V8" s="13"/>
      <c r="W8" s="13"/>
      <c r="X8" s="13"/>
      <c r="Y8" s="13"/>
      <c r="Z8" s="13"/>
      <c r="AA8" s="13"/>
      <c r="AB8" s="13"/>
    </row>
    <row r="9" spans="1:28" x14ac:dyDescent="0.25">
      <c r="A9" s="130" t="s">
        <v>31</v>
      </c>
      <c r="B9" s="129">
        <f>'2000 catch'!B52</f>
        <v>33216</v>
      </c>
      <c r="C9" s="131">
        <f>'2000 catch'!C52</f>
        <v>594.14517786758461</v>
      </c>
      <c r="D9" s="124">
        <f>'2001 catch'!B52</f>
        <v>25469</v>
      </c>
      <c r="E9" s="131">
        <f>'2001 catch'!C52</f>
        <v>1149.0478486963057</v>
      </c>
      <c r="F9" s="129">
        <f>'2002 catch'!B52</f>
        <v>51860</v>
      </c>
      <c r="G9" s="131">
        <f>'2002 catch'!C52</f>
        <v>1092.7614995669585</v>
      </c>
      <c r="H9" s="129">
        <f>'2003 catch'!B52</f>
        <v>91435</v>
      </c>
      <c r="I9" s="131">
        <f>'2003 catch'!C52</f>
        <v>3288.3424605974087</v>
      </c>
      <c r="J9" s="129">
        <f>'2004 Catch'!B52</f>
        <v>34613</v>
      </c>
      <c r="K9" s="131">
        <f>'2004 Catch'!C52</f>
        <v>1019.0865646794166</v>
      </c>
      <c r="L9" s="129">
        <f>'2005 catch'!B52</f>
        <v>42332</v>
      </c>
      <c r="M9" s="131">
        <f>'2005 catch'!C52</f>
        <v>1451.8038451633736</v>
      </c>
      <c r="N9" s="129">
        <f>'2006 Catch'!B56</f>
        <v>20967</v>
      </c>
      <c r="O9" s="131">
        <f>'2006 Catch'!C56</f>
        <v>766.80919938317891</v>
      </c>
      <c r="P9" s="129">
        <f>'2007 Comm Catch'!B56</f>
        <v>3301</v>
      </c>
      <c r="Q9" s="131">
        <f>'2007 Comm Catch'!C56</f>
        <v>251.82550322757055</v>
      </c>
      <c r="R9" s="13"/>
      <c r="S9" s="13"/>
      <c r="T9" s="13"/>
      <c r="U9" s="13"/>
      <c r="V9" s="13"/>
      <c r="W9" s="13"/>
      <c r="X9" s="13"/>
      <c r="Y9" s="13"/>
      <c r="Z9" s="13"/>
      <c r="AA9" s="13"/>
      <c r="AB9" s="13"/>
    </row>
    <row r="10" spans="1:28" x14ac:dyDescent="0.25">
      <c r="A10" s="130" t="s">
        <v>32</v>
      </c>
      <c r="B10" s="129">
        <f>'2000 catch'!B53</f>
        <v>3398</v>
      </c>
      <c r="C10" s="131">
        <f>'2000 catch'!C53</f>
        <v>110.71717661423544</v>
      </c>
      <c r="D10" s="124">
        <f>'2001 catch'!B53</f>
        <v>3764</v>
      </c>
      <c r="E10" s="131">
        <f>'2001 catch'!C53</f>
        <v>268.75661089491291</v>
      </c>
      <c r="F10" s="129">
        <f>'2002 catch'!B53</f>
        <v>1450</v>
      </c>
      <c r="G10" s="131">
        <f>'2002 catch'!C53</f>
        <v>64.405031446540875</v>
      </c>
      <c r="H10" s="129">
        <f>'2003 catch'!B53</f>
        <v>3879</v>
      </c>
      <c r="I10" s="131">
        <f>'2003 catch'!C53</f>
        <v>279.43208821694742</v>
      </c>
      <c r="J10" s="129">
        <f>'2004 Catch'!B53</f>
        <v>1355</v>
      </c>
      <c r="K10" s="131">
        <f>'2004 Catch'!C53</f>
        <v>148.625</v>
      </c>
      <c r="L10" s="129">
        <f>'2005 catch'!B53</f>
        <v>1777</v>
      </c>
      <c r="M10" s="131">
        <f>'2005 catch'!C53</f>
        <v>43.10612244897959</v>
      </c>
      <c r="N10" s="129">
        <f>'2006 Catch'!B57</f>
        <v>2884</v>
      </c>
      <c r="O10" s="131">
        <f>'2006 Catch'!C57</f>
        <v>223.59564909801432</v>
      </c>
      <c r="P10" s="129">
        <f>'2007 Comm Catch'!B57</f>
        <v>2498</v>
      </c>
      <c r="Q10" s="131">
        <f>'2007 Comm Catch'!C57</f>
        <v>150.446256634675</v>
      </c>
      <c r="R10" s="13"/>
      <c r="S10" s="13"/>
      <c r="T10" s="13"/>
      <c r="U10" s="13"/>
      <c r="V10" s="13"/>
      <c r="W10" s="13"/>
      <c r="X10" s="13"/>
      <c r="Y10" s="13"/>
      <c r="Z10" s="13"/>
      <c r="AA10" s="13"/>
      <c r="AB10" s="13"/>
    </row>
    <row r="11" spans="1:28" x14ac:dyDescent="0.25">
      <c r="A11" s="134" t="s">
        <v>62</v>
      </c>
      <c r="B11" s="136">
        <f>'2000 catch'!B54</f>
        <v>10731</v>
      </c>
      <c r="C11" s="137">
        <f>'2000 catch'!C54</f>
        <v>193.14886048377849</v>
      </c>
      <c r="D11" s="136">
        <f>'2001 catch'!B54</f>
        <v>2021</v>
      </c>
      <c r="E11" s="137">
        <f>'2001 catch'!C54</f>
        <v>81.929864253393674</v>
      </c>
      <c r="F11" s="129">
        <f>'2002 catch'!B54</f>
        <v>15560</v>
      </c>
      <c r="G11" s="131">
        <f>'2002 catch'!C54</f>
        <v>496.28172397348095</v>
      </c>
      <c r="H11" s="129">
        <f>'2003 catch'!B54</f>
        <v>15598</v>
      </c>
      <c r="I11" s="131">
        <f>'2003 catch'!C54</f>
        <v>1315.342216230584</v>
      </c>
      <c r="J11" s="129">
        <f>'2004 Catch'!B54</f>
        <v>10196</v>
      </c>
      <c r="K11" s="131">
        <f>'2004 Catch'!C54</f>
        <v>318.90229569080958</v>
      </c>
      <c r="L11" s="129">
        <f>'2005 catch'!B54</f>
        <v>19083</v>
      </c>
      <c r="M11" s="131">
        <f>'2005 catch'!C54</f>
        <v>1.9145454545454546</v>
      </c>
      <c r="N11" s="129">
        <f>'2006 Catch'!B58</f>
        <v>11567</v>
      </c>
      <c r="O11" s="131">
        <f>'2006 Catch'!C58</f>
        <v>796.07388045755863</v>
      </c>
      <c r="P11" s="129">
        <f>'2007 Comm Catch'!B58</f>
        <v>2043</v>
      </c>
      <c r="Q11" s="131">
        <f>'2007 Comm Catch'!C58</f>
        <v>145.89269283973309</v>
      </c>
      <c r="R11" s="13"/>
      <c r="S11" s="13"/>
      <c r="T11" s="13"/>
      <c r="U11" s="13"/>
      <c r="V11" s="13"/>
      <c r="W11" s="13"/>
      <c r="X11" s="13"/>
      <c r="Y11" s="13"/>
      <c r="Z11" s="13"/>
      <c r="AA11" s="13"/>
      <c r="AB11" s="13"/>
    </row>
    <row r="12" spans="1:28" s="1" customFormat="1" ht="15.5" x14ac:dyDescent="0.35">
      <c r="A12" s="142" t="s">
        <v>61</v>
      </c>
      <c r="B12" s="143">
        <f t="shared" ref="B12:M12" si="0">SUM(B7:B11)</f>
        <v>61747</v>
      </c>
      <c r="C12" s="147">
        <f t="shared" si="0"/>
        <v>898.01121496559858</v>
      </c>
      <c r="D12" s="149">
        <f t="shared" si="0"/>
        <v>33771</v>
      </c>
      <c r="E12" s="144">
        <f t="shared" si="0"/>
        <v>1499.7343238446122</v>
      </c>
      <c r="F12" s="146">
        <f t="shared" si="0"/>
        <v>69278</v>
      </c>
      <c r="G12" s="147">
        <f t="shared" si="0"/>
        <v>1653.4482549869804</v>
      </c>
      <c r="H12" s="146">
        <f t="shared" si="0"/>
        <v>114189</v>
      </c>
      <c r="I12" s="147">
        <f t="shared" si="0"/>
        <v>4883.1167650449397</v>
      </c>
      <c r="J12" s="146">
        <f t="shared" si="0"/>
        <v>51931</v>
      </c>
      <c r="K12" s="147">
        <f t="shared" si="0"/>
        <v>1486.6138603702261</v>
      </c>
      <c r="L12" s="146">
        <f t="shared" si="0"/>
        <v>63192</v>
      </c>
      <c r="M12" s="147">
        <f t="shared" si="0"/>
        <v>1496.8245130668988</v>
      </c>
      <c r="N12" s="146">
        <f>'2006 Catch'!B59</f>
        <v>37653</v>
      </c>
      <c r="O12" s="147">
        <f>'2006 Catch'!C59</f>
        <v>1859.0061449051386</v>
      </c>
      <c r="P12" s="146">
        <f>'2007 Comm Catch'!B59</f>
        <v>10516</v>
      </c>
      <c r="Q12" s="147">
        <f>'2007 Comm Catch'!C59</f>
        <v>548.16445270197858</v>
      </c>
      <c r="R12" s="141"/>
      <c r="S12" s="141"/>
      <c r="T12" s="141"/>
      <c r="U12" s="141"/>
      <c r="V12" s="141"/>
      <c r="W12" s="141"/>
      <c r="X12" s="141"/>
      <c r="Y12" s="141"/>
      <c r="Z12" s="141"/>
      <c r="AA12" s="141"/>
      <c r="AB12" s="141"/>
    </row>
    <row r="13" spans="1:28" x14ac:dyDescent="0.25">
      <c r="A13" s="130">
        <v>1</v>
      </c>
      <c r="B13" s="129">
        <f>'2000 catch'!B56</f>
        <v>20847</v>
      </c>
      <c r="C13" s="131">
        <f>'2000 catch'!C56</f>
        <v>3282.4876780478694</v>
      </c>
      <c r="D13" s="124">
        <f>'2001 catch'!B56</f>
        <v>63297</v>
      </c>
      <c r="E13" s="131">
        <f>'2001 catch'!C56</f>
        <v>2818.8711398040568</v>
      </c>
      <c r="F13" s="129">
        <f>'2002 catch'!B56</f>
        <v>18606</v>
      </c>
      <c r="G13" s="131">
        <f>'2002 catch'!C56</f>
        <v>3802.7298565317228</v>
      </c>
      <c r="H13" s="129">
        <f>'2003 catch'!B56</f>
        <v>35819</v>
      </c>
      <c r="I13" s="131">
        <f>'2003 catch'!C56</f>
        <v>9255.7049228847845</v>
      </c>
      <c r="J13" s="129">
        <f>'2004 Catch'!B56</f>
        <v>13323</v>
      </c>
      <c r="K13" s="131">
        <f>'2004 Catch'!C56</f>
        <v>3913.717012407807</v>
      </c>
      <c r="L13" s="129">
        <f>'2005 catch'!B56</f>
        <v>12044</v>
      </c>
      <c r="M13" s="131">
        <f>'2005 catch'!C56</f>
        <v>2623.5378273569013</v>
      </c>
      <c r="N13" s="129">
        <f>'2006 Catch'!B60</f>
        <v>4182</v>
      </c>
      <c r="O13" s="131">
        <f>'2006 Catch'!C60</f>
        <v>921.41148470326937</v>
      </c>
      <c r="P13" s="129">
        <f>'2007 Comm Catch'!B60</f>
        <v>6675</v>
      </c>
      <c r="Q13" s="131">
        <f>'2007 Comm Catch'!C60</f>
        <v>1294.9841072083104</v>
      </c>
      <c r="R13" s="13"/>
      <c r="S13" s="13"/>
      <c r="T13" s="13"/>
      <c r="U13" s="13"/>
      <c r="V13" s="13"/>
      <c r="W13" s="13"/>
      <c r="X13" s="13"/>
      <c r="Y13" s="13"/>
      <c r="Z13" s="13"/>
      <c r="AA13" s="13"/>
      <c r="AB13" s="13"/>
    </row>
    <row r="14" spans="1:28" x14ac:dyDescent="0.25">
      <c r="A14" s="130">
        <v>2</v>
      </c>
      <c r="B14" s="129">
        <f>'2000 catch'!B57</f>
        <v>79212</v>
      </c>
      <c r="C14" s="131">
        <f>'2000 catch'!C57</f>
        <v>5259.7357977080455</v>
      </c>
      <c r="D14" s="124">
        <f>'2001 catch'!B57</f>
        <v>140077</v>
      </c>
      <c r="E14" s="131">
        <f>'2001 catch'!C57</f>
        <v>9518.9631750126391</v>
      </c>
      <c r="F14" s="129">
        <f>'2002 catch'!B57</f>
        <v>62579</v>
      </c>
      <c r="G14" s="131">
        <f>'2002 catch'!C57</f>
        <v>10739.175588014778</v>
      </c>
      <c r="H14" s="129">
        <f>'2003 catch'!B57</f>
        <v>88703</v>
      </c>
      <c r="I14" s="131">
        <f>'2003 catch'!C57</f>
        <v>21368.814055237141</v>
      </c>
      <c r="J14" s="129">
        <f>'2004 Catch'!B57</f>
        <v>35360</v>
      </c>
      <c r="K14" s="131">
        <f>'2004 Catch'!C57</f>
        <v>10542.065238433823</v>
      </c>
      <c r="L14" s="129">
        <f>'2005 catch'!B57</f>
        <v>12764</v>
      </c>
      <c r="M14" s="131">
        <f>'2005 catch'!C57</f>
        <v>1807.2467105331082</v>
      </c>
      <c r="N14" s="129">
        <f>'2006 Catch'!B61</f>
        <v>15677</v>
      </c>
      <c r="O14" s="131">
        <f>'2006 Catch'!C61</f>
        <v>2628.8559573260172</v>
      </c>
      <c r="P14" s="129">
        <f>'2007 Comm Catch'!B61</f>
        <v>18420</v>
      </c>
      <c r="Q14" s="131">
        <f>'2007 Comm Catch'!C61</f>
        <v>3131.5079254827097</v>
      </c>
      <c r="R14" s="13"/>
      <c r="S14" s="13"/>
      <c r="T14" s="13"/>
      <c r="U14" s="13"/>
      <c r="V14" s="13"/>
      <c r="W14" s="13"/>
      <c r="X14" s="13"/>
      <c r="Y14" s="13"/>
      <c r="Z14" s="13"/>
      <c r="AA14" s="13"/>
      <c r="AB14" s="13"/>
    </row>
    <row r="15" spans="1:28" x14ac:dyDescent="0.25">
      <c r="A15" s="130">
        <v>3</v>
      </c>
      <c r="B15" s="129">
        <f>'2000 catch'!B58</f>
        <v>11803</v>
      </c>
      <c r="C15" s="131">
        <f>'2000 catch'!C58</f>
        <v>3.6666666666666665</v>
      </c>
      <c r="D15" s="124">
        <f>'2001 catch'!B58</f>
        <v>14563</v>
      </c>
      <c r="E15" s="131">
        <f>'2001 catch'!C58</f>
        <v>1645.4186512016943</v>
      </c>
      <c r="F15" s="129">
        <f>'2002 catch'!B58</f>
        <v>12523</v>
      </c>
      <c r="G15" s="131">
        <f>'2002 catch'!C58</f>
        <v>2250.4657996639512</v>
      </c>
      <c r="H15" s="129">
        <f>'2003 catch'!B58</f>
        <v>18341</v>
      </c>
      <c r="I15" s="131">
        <f>'2003 catch'!C58</f>
        <v>6308.0629929028928</v>
      </c>
      <c r="J15" s="129">
        <f>'2004 Catch'!B58</f>
        <v>12927</v>
      </c>
      <c r="K15" s="131">
        <f>'2004 Catch'!C58</f>
        <v>4632.6749886811458</v>
      </c>
      <c r="L15" s="129">
        <f>'2005 catch'!B58</f>
        <v>4748</v>
      </c>
      <c r="M15" s="131">
        <f>'2005 catch'!C58</f>
        <v>1036.7761023356629</v>
      </c>
      <c r="N15" s="129">
        <f>'2006 Catch'!B62</f>
        <v>6237</v>
      </c>
      <c r="O15" s="131">
        <f>'2006 Catch'!C62</f>
        <v>1732.9383891501639</v>
      </c>
      <c r="P15" s="129">
        <f>'2007 Comm Catch'!B62</f>
        <v>4451</v>
      </c>
      <c r="Q15" s="131">
        <f>'2007 Comm Catch'!C62</f>
        <v>1018.4563643613847</v>
      </c>
      <c r="R15" s="13"/>
      <c r="S15" s="13"/>
      <c r="T15" s="13"/>
      <c r="U15" s="13"/>
      <c r="V15" s="13"/>
      <c r="W15" s="13"/>
      <c r="X15" s="13"/>
      <c r="Y15" s="13"/>
      <c r="Z15" s="13"/>
      <c r="AA15" s="13"/>
      <c r="AB15" s="13"/>
    </row>
    <row r="16" spans="1:28" x14ac:dyDescent="0.25">
      <c r="A16" s="130">
        <v>4</v>
      </c>
      <c r="B16" s="129">
        <f>'2000 catch'!B59</f>
        <v>96</v>
      </c>
      <c r="C16" s="131">
        <f>'2000 catch'!C59</f>
        <v>2.2594458438287153</v>
      </c>
      <c r="D16" s="124">
        <f>'2001 catch'!B59</f>
        <v>229</v>
      </c>
      <c r="E16" s="131">
        <f>'2001 catch'!C59</f>
        <v>19.90050377833753</v>
      </c>
      <c r="F16" s="129">
        <f>'2002 catch'!B59</f>
        <v>282</v>
      </c>
      <c r="G16" s="131">
        <f>'2002 catch'!C59</f>
        <v>40.309683739154778</v>
      </c>
      <c r="H16" s="129">
        <f>'2003 catch'!B59</f>
        <v>275</v>
      </c>
      <c r="I16" s="131">
        <f>'2003 catch'!C59</f>
        <v>11.644836272040301</v>
      </c>
      <c r="J16" s="129">
        <f>'2004 Catch'!B59</f>
        <v>251</v>
      </c>
      <c r="K16" s="131">
        <f>'2004 Catch'!C59</f>
        <v>53.062056331577736</v>
      </c>
      <c r="L16" s="129">
        <f>'2005 catch'!B59</f>
        <v>419</v>
      </c>
      <c r="M16" s="131">
        <f>'2005 catch'!C59</f>
        <v>22.159949622166245</v>
      </c>
      <c r="N16" s="129">
        <f>'2006 Catch'!B63</f>
        <v>1233</v>
      </c>
      <c r="O16" s="131">
        <f>'2006 Catch'!C63</f>
        <v>437.18407464204898</v>
      </c>
      <c r="P16" s="129">
        <f>'2007 Comm Catch'!B63</f>
        <v>400</v>
      </c>
      <c r="Q16" s="131">
        <f>'2007 Comm Catch'!C63</f>
        <v>29.375</v>
      </c>
      <c r="R16" s="13"/>
      <c r="S16" s="13"/>
      <c r="T16" s="13"/>
      <c r="U16" s="13"/>
      <c r="V16" s="13"/>
      <c r="W16" s="13"/>
      <c r="X16" s="13"/>
      <c r="Y16" s="13"/>
      <c r="Z16" s="13"/>
      <c r="AA16" s="13"/>
      <c r="AB16" s="13"/>
    </row>
    <row r="17" spans="1:28" x14ac:dyDescent="0.25">
      <c r="A17" s="134">
        <v>5</v>
      </c>
      <c r="B17" s="136">
        <f>'2000 catch'!B60</f>
        <v>423</v>
      </c>
      <c r="C17" s="137">
        <f>'2000 catch'!C60</f>
        <v>8.9519230769230766</v>
      </c>
      <c r="D17" s="136">
        <f>'2001 catch'!B60</f>
        <v>1557</v>
      </c>
      <c r="E17" s="131">
        <f>'2001 catch'!C60</f>
        <v>39.101343101343097</v>
      </c>
      <c r="F17" s="129">
        <f>'2002 catch'!B60</f>
        <v>886</v>
      </c>
      <c r="G17" s="131">
        <f>'2002 catch'!C60</f>
        <v>289.16926522525625</v>
      </c>
      <c r="H17" s="129">
        <f>'2003 catch'!B60</f>
        <v>653</v>
      </c>
      <c r="I17" s="131">
        <f>'2003 catch'!C60</f>
        <v>226.29207712473678</v>
      </c>
      <c r="J17" s="129">
        <f>'2004 Catch'!B60</f>
        <v>430</v>
      </c>
      <c r="K17" s="131">
        <f>'2004 Catch'!C60</f>
        <v>262.97884655076598</v>
      </c>
      <c r="L17" s="129">
        <f>'2005 catch'!B60</f>
        <v>309</v>
      </c>
      <c r="M17" s="131">
        <f>'2005 catch'!C60</f>
        <v>104.80735930735931</v>
      </c>
      <c r="N17" s="129">
        <f>'2006 Catch'!B64</f>
        <v>870</v>
      </c>
      <c r="O17" s="131">
        <f>'2006 Catch'!C64</f>
        <v>269.08806932888359</v>
      </c>
      <c r="P17" s="129">
        <f>'2007 Comm Catch'!B64</f>
        <v>247</v>
      </c>
      <c r="Q17" s="131">
        <f>'2007 Comm Catch'!C64</f>
        <v>70.471267679413302</v>
      </c>
      <c r="R17" s="13"/>
      <c r="S17" s="13"/>
      <c r="T17" s="13"/>
      <c r="U17" s="13"/>
      <c r="V17" s="13"/>
      <c r="W17" s="13"/>
      <c r="X17" s="13"/>
      <c r="Y17" s="13"/>
      <c r="Z17" s="13"/>
      <c r="AA17" s="13"/>
      <c r="AB17" s="13"/>
    </row>
    <row r="18" spans="1:28" s="1" customFormat="1" ht="15.5" x14ac:dyDescent="0.35">
      <c r="A18" s="145" t="s">
        <v>60</v>
      </c>
      <c r="B18" s="146">
        <f t="shared" ref="B18:M18" si="1">SUM(B13:B17)</f>
        <v>112381</v>
      </c>
      <c r="C18" s="147">
        <f t="shared" si="1"/>
        <v>8557.1015113433332</v>
      </c>
      <c r="D18" s="149">
        <f t="shared" si="1"/>
        <v>219723</v>
      </c>
      <c r="E18" s="147">
        <f t="shared" si="1"/>
        <v>14042.254812898072</v>
      </c>
      <c r="F18" s="146">
        <f t="shared" si="1"/>
        <v>94876</v>
      </c>
      <c r="G18" s="147">
        <f t="shared" si="1"/>
        <v>17121.850193174861</v>
      </c>
      <c r="H18" s="146">
        <f t="shared" si="1"/>
        <v>143791</v>
      </c>
      <c r="I18" s="147">
        <f t="shared" si="1"/>
        <v>37170.518884421595</v>
      </c>
      <c r="J18" s="146">
        <f t="shared" si="1"/>
        <v>62291</v>
      </c>
      <c r="K18" s="147">
        <f t="shared" si="1"/>
        <v>19404.498142405122</v>
      </c>
      <c r="L18" s="146">
        <f t="shared" si="1"/>
        <v>30284</v>
      </c>
      <c r="M18" s="147">
        <f t="shared" si="1"/>
        <v>5594.5279491551983</v>
      </c>
      <c r="N18" s="146">
        <f>'2006 Catch'!B65</f>
        <v>28199</v>
      </c>
      <c r="O18" s="147">
        <f>'2006 Catch'!C65</f>
        <v>5989.477975150382</v>
      </c>
      <c r="P18" s="146">
        <f>'2007 Comm Catch'!B65</f>
        <v>30193</v>
      </c>
      <c r="Q18" s="147">
        <f>'2007 Comm Catch'!C65</f>
        <v>5544.7946647318186</v>
      </c>
      <c r="R18" s="141"/>
      <c r="S18" s="141"/>
      <c r="T18" s="141"/>
      <c r="U18" s="141"/>
      <c r="V18" s="141"/>
      <c r="W18" s="141"/>
      <c r="X18" s="141"/>
      <c r="Y18" s="141"/>
      <c r="Z18" s="141"/>
      <c r="AA18" s="141"/>
      <c r="AB18" s="141"/>
    </row>
    <row r="19" spans="1:28" s="1" customFormat="1" ht="15.5" x14ac:dyDescent="0.35">
      <c r="A19" s="138"/>
      <c r="B19" s="139"/>
      <c r="C19" s="140"/>
      <c r="D19" s="148"/>
      <c r="E19" s="140"/>
      <c r="F19" s="139"/>
      <c r="G19" s="140"/>
      <c r="H19" s="139"/>
      <c r="I19" s="140"/>
      <c r="J19" s="139"/>
      <c r="K19" s="140"/>
      <c r="L19" s="139"/>
      <c r="M19" s="140"/>
      <c r="N19" s="139"/>
      <c r="O19" s="140"/>
      <c r="P19" s="139"/>
      <c r="Q19" s="140"/>
      <c r="R19" s="141"/>
      <c r="S19" s="141"/>
      <c r="T19" s="141"/>
      <c r="U19" s="141"/>
      <c r="V19" s="141"/>
      <c r="W19" s="141"/>
      <c r="X19" s="141"/>
      <c r="Y19" s="141"/>
      <c r="Z19" s="141"/>
      <c r="AA19" s="141"/>
      <c r="AB19" s="141"/>
    </row>
    <row r="20" spans="1:28" s="1" customFormat="1" ht="15.5" x14ac:dyDescent="0.35">
      <c r="A20" s="138" t="s">
        <v>146</v>
      </c>
      <c r="B20" s="139">
        <f>Sports!G7</f>
        <v>7339</v>
      </c>
      <c r="C20" s="140">
        <f>Sports!H7</f>
        <v>1516.99</v>
      </c>
      <c r="D20" s="148">
        <f>Sports!G8</f>
        <v>44323</v>
      </c>
      <c r="E20" s="140">
        <f>Sports!H8</f>
        <v>9260.31</v>
      </c>
      <c r="F20" s="139">
        <f>Sports!G9</f>
        <v>4646</v>
      </c>
      <c r="G20" s="140">
        <f>Sports!H9</f>
        <v>908.45</v>
      </c>
      <c r="H20" s="139">
        <f>Sports!G10</f>
        <v>19155</v>
      </c>
      <c r="I20" s="140">
        <f>Sports!H10</f>
        <v>3969.86</v>
      </c>
      <c r="J20" s="139">
        <f>Sports!G11</f>
        <v>8325</v>
      </c>
      <c r="K20" s="140">
        <f>Sports!H11</f>
        <v>1700.95</v>
      </c>
      <c r="L20" s="139">
        <f>Sports!G12</f>
        <v>2928</v>
      </c>
      <c r="M20" s="140">
        <f>Sports!H12</f>
        <v>593.09999999999991</v>
      </c>
      <c r="N20" s="139">
        <f>Sports!G14+Sports!G15</f>
        <v>1399</v>
      </c>
      <c r="O20" s="140">
        <f>Sports!H14+Sports!H15</f>
        <v>293.01</v>
      </c>
      <c r="P20" s="139"/>
      <c r="Q20" s="140"/>
      <c r="R20" s="141"/>
      <c r="S20" s="141"/>
      <c r="T20" s="141"/>
      <c r="U20" s="141"/>
      <c r="V20" s="141"/>
      <c r="W20" s="141"/>
      <c r="X20" s="141"/>
      <c r="Y20" s="141"/>
      <c r="Z20" s="141"/>
      <c r="AA20" s="141"/>
      <c r="AB20" s="141"/>
    </row>
    <row r="21" spans="1:28" ht="13" x14ac:dyDescent="0.3">
      <c r="A21" s="135"/>
      <c r="B21" s="129"/>
      <c r="C21" s="131"/>
      <c r="D21" s="124"/>
      <c r="E21" s="131"/>
      <c r="F21" s="129"/>
      <c r="G21" s="131"/>
      <c r="H21" s="129"/>
      <c r="I21" s="131"/>
      <c r="J21" s="129"/>
      <c r="K21" s="131"/>
      <c r="L21" s="129"/>
      <c r="M21" s="131"/>
      <c r="N21" s="129"/>
      <c r="O21" s="131"/>
      <c r="P21" s="129"/>
      <c r="Q21" s="131"/>
      <c r="R21" s="13"/>
      <c r="S21" s="13"/>
      <c r="T21" s="13"/>
      <c r="U21" s="13"/>
      <c r="V21" s="13"/>
      <c r="W21" s="13"/>
      <c r="X21" s="13"/>
      <c r="Y21" s="13"/>
      <c r="Z21" s="13"/>
      <c r="AA21" s="13"/>
      <c r="AB21" s="13"/>
    </row>
    <row r="22" spans="1:28" s="1" customFormat="1" ht="15.5" x14ac:dyDescent="0.35">
      <c r="A22" s="138" t="s">
        <v>147</v>
      </c>
      <c r="B22" s="148">
        <f>B12+B18</f>
        <v>174128</v>
      </c>
      <c r="C22" s="140">
        <f>C12+C18</f>
        <v>9455.1127263089311</v>
      </c>
      <c r="D22" s="148">
        <f t="shared" ref="D22:O22" si="2">D12+D18</f>
        <v>253494</v>
      </c>
      <c r="E22" s="140">
        <f t="shared" si="2"/>
        <v>15541.989136742684</v>
      </c>
      <c r="F22" s="148">
        <f t="shared" si="2"/>
        <v>164154</v>
      </c>
      <c r="G22" s="140">
        <f t="shared" si="2"/>
        <v>18775.29844816184</v>
      </c>
      <c r="H22" s="148">
        <f t="shared" si="2"/>
        <v>257980</v>
      </c>
      <c r="I22" s="140">
        <f t="shared" si="2"/>
        <v>42053.635649466538</v>
      </c>
      <c r="J22" s="148">
        <f t="shared" si="2"/>
        <v>114222</v>
      </c>
      <c r="K22" s="140">
        <f t="shared" si="2"/>
        <v>20891.11200277535</v>
      </c>
      <c r="L22" s="148">
        <f t="shared" si="2"/>
        <v>93476</v>
      </c>
      <c r="M22" s="140">
        <f t="shared" si="2"/>
        <v>7091.3524622220975</v>
      </c>
      <c r="N22" s="148">
        <f t="shared" si="2"/>
        <v>65852</v>
      </c>
      <c r="O22" s="140">
        <f t="shared" si="2"/>
        <v>7848.4841200555202</v>
      </c>
      <c r="P22" s="148"/>
      <c r="Q22" s="140"/>
      <c r="R22" s="141"/>
      <c r="S22" s="141"/>
      <c r="T22" s="141"/>
      <c r="U22" s="141"/>
      <c r="V22" s="141"/>
      <c r="W22" s="141"/>
      <c r="X22" s="141"/>
      <c r="Y22" s="141"/>
      <c r="Z22" s="141"/>
      <c r="AA22" s="141"/>
      <c r="AB22" s="141"/>
    </row>
    <row r="23" spans="1:28" x14ac:dyDescent="0.25">
      <c r="A23" s="130"/>
      <c r="B23" s="124"/>
      <c r="C23" s="131"/>
      <c r="D23" s="13"/>
      <c r="E23" s="131"/>
      <c r="F23" s="13"/>
      <c r="G23" s="131"/>
      <c r="H23" s="13"/>
      <c r="I23" s="131"/>
      <c r="J23" s="13"/>
      <c r="K23" s="131"/>
      <c r="L23" s="13"/>
      <c r="M23" s="131"/>
      <c r="N23" s="13"/>
      <c r="O23" s="131"/>
      <c r="P23" s="13"/>
      <c r="Q23" s="131"/>
      <c r="R23" s="13"/>
      <c r="S23" s="13"/>
      <c r="T23" s="13"/>
      <c r="U23" s="13"/>
      <c r="V23" s="13"/>
      <c r="W23" s="13"/>
      <c r="X23" s="13"/>
      <c r="Y23" s="13"/>
      <c r="Z23" s="13"/>
      <c r="AA23" s="13"/>
      <c r="AB23" s="13"/>
    </row>
    <row r="24" spans="1:28" s="1" customFormat="1" ht="15.5" x14ac:dyDescent="0.35">
      <c r="A24" s="138" t="s">
        <v>69</v>
      </c>
      <c r="B24" s="148">
        <f>B20+B22</f>
        <v>181467</v>
      </c>
      <c r="C24" s="140">
        <f t="shared" ref="C24:O24" si="3">C20+C22</f>
        <v>10972.102726308931</v>
      </c>
      <c r="D24" s="148">
        <f t="shared" si="3"/>
        <v>297817</v>
      </c>
      <c r="E24" s="140">
        <f t="shared" si="3"/>
        <v>24802.299136742684</v>
      </c>
      <c r="F24" s="148">
        <f t="shared" si="3"/>
        <v>168800</v>
      </c>
      <c r="G24" s="140">
        <f t="shared" si="3"/>
        <v>19683.748448161841</v>
      </c>
      <c r="H24" s="148">
        <f t="shared" si="3"/>
        <v>277135</v>
      </c>
      <c r="I24" s="140">
        <f t="shared" si="3"/>
        <v>46023.495649466538</v>
      </c>
      <c r="J24" s="148">
        <f t="shared" si="3"/>
        <v>122547</v>
      </c>
      <c r="K24" s="140">
        <f t="shared" si="3"/>
        <v>22592.06200277535</v>
      </c>
      <c r="L24" s="148">
        <f t="shared" si="3"/>
        <v>96404</v>
      </c>
      <c r="M24" s="140">
        <f t="shared" si="3"/>
        <v>7684.4524622220979</v>
      </c>
      <c r="N24" s="148">
        <f t="shared" si="3"/>
        <v>67251</v>
      </c>
      <c r="O24" s="140">
        <f t="shared" si="3"/>
        <v>8141.4941200555204</v>
      </c>
      <c r="P24" s="148"/>
      <c r="Q24" s="140"/>
      <c r="R24" s="141"/>
      <c r="S24" s="141"/>
      <c r="T24" s="141"/>
      <c r="U24" s="141"/>
      <c r="V24" s="141"/>
      <c r="W24" s="141"/>
      <c r="X24" s="141"/>
      <c r="Y24" s="141"/>
      <c r="Z24" s="141"/>
      <c r="AA24" s="141"/>
      <c r="AB24" s="141"/>
    </row>
    <row r="25" spans="1:28" x14ac:dyDescent="0.25">
      <c r="A25" s="130"/>
      <c r="B25" s="124"/>
      <c r="C25" s="124"/>
      <c r="D25" s="13"/>
      <c r="E25" s="13"/>
      <c r="F25" s="13"/>
      <c r="G25" s="13"/>
      <c r="H25" s="13"/>
      <c r="I25" s="13"/>
      <c r="J25" s="13"/>
      <c r="K25" s="13"/>
      <c r="L25" s="13"/>
      <c r="M25" s="13"/>
      <c r="N25" s="13"/>
      <c r="O25" s="13"/>
      <c r="P25" s="13"/>
      <c r="Q25" s="13"/>
      <c r="R25" s="13"/>
      <c r="S25" s="13"/>
      <c r="T25" s="13"/>
      <c r="U25" s="13"/>
      <c r="V25" s="13"/>
      <c r="W25" s="13"/>
      <c r="X25" s="13"/>
      <c r="Y25" s="13"/>
      <c r="Z25" s="13"/>
      <c r="AA25" s="13"/>
      <c r="AB25" s="13"/>
    </row>
    <row r="26" spans="1:28" s="1" customFormat="1" ht="15.5" x14ac:dyDescent="0.35">
      <c r="A26" s="138" t="s">
        <v>148</v>
      </c>
      <c r="B26" s="197"/>
      <c r="C26" s="198">
        <f>C24/Escapement!Q7</f>
        <v>0.19718352118863622</v>
      </c>
      <c r="E26" s="199">
        <f>E24/Escapement!Q8</f>
        <v>0.19669691116884347</v>
      </c>
      <c r="G26" s="199">
        <f>G24/Escapement!Q9</f>
        <v>0.29404605079577256</v>
      </c>
      <c r="I26" s="199">
        <f>I24/Escapement!Q10</f>
        <v>0.41577568422465078</v>
      </c>
      <c r="K26" s="199">
        <f>K24/Escapement!Q11:Q11</f>
        <v>0.30522164044261979</v>
      </c>
      <c r="M26" s="199">
        <f>M24/Escapement!Q12</f>
        <v>0.14876861680240958</v>
      </c>
      <c r="O26" s="199"/>
      <c r="Q26" s="199"/>
    </row>
    <row r="31" spans="1:28" x14ac:dyDescent="0.25">
      <c r="E31" s="44"/>
      <c r="G31" s="44"/>
      <c r="I31" s="44"/>
      <c r="K31" s="44"/>
      <c r="M31" s="44"/>
    </row>
  </sheetData>
  <mergeCells count="9">
    <mergeCell ref="N5:O5"/>
    <mergeCell ref="P5:Q5"/>
    <mergeCell ref="B1:Q1"/>
    <mergeCell ref="J5:K5"/>
    <mergeCell ref="L5:M5"/>
    <mergeCell ref="B5:C5"/>
    <mergeCell ref="D5:E5"/>
    <mergeCell ref="F5:G5"/>
    <mergeCell ref="H5:I5"/>
  </mergeCells>
  <phoneticPr fontId="4" type="noConversion"/>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R136"/>
  <sheetViews>
    <sheetView topLeftCell="A43" zoomScale="75" zoomScaleNormal="75" workbookViewId="0">
      <selection activeCell="I30" sqref="I30"/>
    </sheetView>
  </sheetViews>
  <sheetFormatPr defaultRowHeight="12.5" x14ac:dyDescent="0.25"/>
  <cols>
    <col min="1" max="1" width="13.1796875" customWidth="1"/>
    <col min="2" max="2" width="10.26953125" customWidth="1"/>
    <col min="3" max="4" width="13.453125" customWidth="1"/>
    <col min="5" max="5" width="1.1796875" customWidth="1"/>
    <col min="6" max="6" width="10.26953125" customWidth="1"/>
    <col min="7" max="8" width="13.453125" customWidth="1"/>
    <col min="9" max="9" width="1.1796875" customWidth="1"/>
    <col min="10" max="10" width="10.26953125" customWidth="1"/>
    <col min="11" max="12" width="13.453125" customWidth="1"/>
    <col min="13" max="13" width="1.1796875" customWidth="1"/>
    <col min="14" max="14" width="10.26953125" customWidth="1"/>
    <col min="15" max="16" width="13.453125" customWidth="1"/>
    <col min="17" max="17" width="0.81640625" customWidth="1"/>
    <col min="18" max="18" width="10.26953125" customWidth="1"/>
    <col min="19" max="20" width="13.453125" customWidth="1"/>
    <col min="21" max="21" width="1.1796875" customWidth="1"/>
    <col min="22" max="22" width="10.26953125" customWidth="1"/>
    <col min="23" max="24" width="13.453125" customWidth="1"/>
    <col min="25" max="25" width="1.26953125" customWidth="1"/>
    <col min="26" max="26" width="10.26953125" customWidth="1"/>
    <col min="27" max="28" width="13.453125" customWidth="1"/>
    <col min="29" max="29" width="1.7265625" customWidth="1"/>
    <col min="30" max="30" width="10.26953125" customWidth="1"/>
    <col min="31" max="32" width="13.453125" customWidth="1"/>
    <col min="34" max="34" width="9.81640625" customWidth="1"/>
    <col min="35" max="35" width="13.54296875" bestFit="1" customWidth="1"/>
    <col min="36" max="38" width="13.54296875" customWidth="1"/>
    <col min="56" max="56" width="11.26953125" bestFit="1" customWidth="1"/>
    <col min="57" max="57" width="10.26953125" bestFit="1" customWidth="1"/>
    <col min="58" max="58" width="11.26953125" bestFit="1" customWidth="1"/>
    <col min="61" max="61" width="11.81640625" customWidth="1"/>
    <col min="62" max="62" width="9.7265625" bestFit="1" customWidth="1"/>
    <col min="63" max="63" width="9.54296875" customWidth="1"/>
  </cols>
  <sheetData>
    <row r="1" spans="1:69" ht="15.5" x14ac:dyDescent="0.35">
      <c r="A1" s="1" t="s">
        <v>46</v>
      </c>
    </row>
    <row r="2" spans="1:69" s="27" customFormat="1" ht="13" x14ac:dyDescent="0.3">
      <c r="A2" s="2" t="s">
        <v>54</v>
      </c>
    </row>
    <row r="3" spans="1:69" s="27" customFormat="1" ht="13" x14ac:dyDescent="0.3">
      <c r="B3" s="36" t="s">
        <v>57</v>
      </c>
    </row>
    <row r="4" spans="1:69" s="27" customFormat="1" ht="13" x14ac:dyDescent="0.3">
      <c r="B4" s="37" t="s">
        <v>75</v>
      </c>
    </row>
    <row r="5" spans="1:69" s="27" customFormat="1" ht="13" x14ac:dyDescent="0.3">
      <c r="B5" s="38" t="s">
        <v>76</v>
      </c>
    </row>
    <row r="6" spans="1:69" s="27" customFormat="1" x14ac:dyDescent="0.25"/>
    <row r="7" spans="1:69" ht="15.5" x14ac:dyDescent="0.35">
      <c r="A7" s="1" t="s">
        <v>47</v>
      </c>
      <c r="BI7" s="2"/>
    </row>
    <row r="8" spans="1:69" ht="13" x14ac:dyDescent="0.3">
      <c r="A8" s="2"/>
      <c r="BI8" s="2"/>
      <c r="BJ8" s="2"/>
      <c r="BK8" s="2"/>
    </row>
    <row r="9" spans="1:69" ht="13" x14ac:dyDescent="0.3">
      <c r="C9" s="2" t="s">
        <v>0</v>
      </c>
      <c r="G9" s="2" t="s">
        <v>2</v>
      </c>
      <c r="K9" s="2" t="s">
        <v>3</v>
      </c>
      <c r="O9" s="2" t="s">
        <v>4</v>
      </c>
      <c r="S9" s="2" t="s">
        <v>67</v>
      </c>
      <c r="W9" s="2" t="s">
        <v>68</v>
      </c>
      <c r="BI9" s="14"/>
      <c r="BJ9" s="30"/>
      <c r="BK9" s="30"/>
    </row>
    <row r="10" spans="1:69" x14ac:dyDescent="0.25">
      <c r="B10" t="s">
        <v>43</v>
      </c>
      <c r="C10" t="s">
        <v>50</v>
      </c>
      <c r="D10" t="s">
        <v>51</v>
      </c>
      <c r="F10" t="s">
        <v>43</v>
      </c>
      <c r="G10" t="s">
        <v>50</v>
      </c>
      <c r="H10" t="s">
        <v>51</v>
      </c>
      <c r="J10" t="s">
        <v>43</v>
      </c>
      <c r="K10" t="s">
        <v>50</v>
      </c>
      <c r="L10" t="s">
        <v>51</v>
      </c>
      <c r="N10" t="s">
        <v>43</v>
      </c>
      <c r="O10" t="s">
        <v>50</v>
      </c>
      <c r="P10" t="s">
        <v>51</v>
      </c>
      <c r="R10" t="s">
        <v>43</v>
      </c>
      <c r="S10" t="s">
        <v>50</v>
      </c>
      <c r="T10" t="s">
        <v>51</v>
      </c>
      <c r="V10" t="s">
        <v>43</v>
      </c>
      <c r="W10" t="s">
        <v>50</v>
      </c>
      <c r="X10" t="s">
        <v>51</v>
      </c>
      <c r="BI10" s="14"/>
      <c r="BJ10" s="30"/>
      <c r="BK10" s="30"/>
      <c r="BN10" s="6"/>
    </row>
    <row r="11" spans="1:69" x14ac:dyDescent="0.25">
      <c r="A11" s="32" t="s">
        <v>65</v>
      </c>
      <c r="BI11" s="14"/>
      <c r="BJ11" s="30"/>
      <c r="BK11" s="30"/>
      <c r="BN11" s="6"/>
    </row>
    <row r="12" spans="1:69" x14ac:dyDescent="0.25">
      <c r="A12" s="32" t="s">
        <v>66</v>
      </c>
      <c r="BI12" s="14"/>
      <c r="BJ12" s="30"/>
      <c r="BK12" s="30"/>
      <c r="BN12" s="6"/>
    </row>
    <row r="13" spans="1:69" x14ac:dyDescent="0.25">
      <c r="A13" t="s">
        <v>31</v>
      </c>
      <c r="B13">
        <v>0</v>
      </c>
      <c r="F13" s="11">
        <v>2</v>
      </c>
      <c r="G13" s="4">
        <f>'2000 sampling'!H7</f>
        <v>0.5</v>
      </c>
      <c r="H13">
        <f>G13*F13</f>
        <v>1</v>
      </c>
      <c r="J13">
        <v>1</v>
      </c>
      <c r="K13" s="4">
        <f>'2000 sampling'!L7</f>
        <v>0</v>
      </c>
      <c r="L13">
        <f>K13*J13</f>
        <v>0</v>
      </c>
      <c r="N13">
        <v>14</v>
      </c>
      <c r="O13" s="4">
        <f>'2000 sampling'!P7</f>
        <v>0</v>
      </c>
      <c r="P13" s="5">
        <f>O13*N13</f>
        <v>0</v>
      </c>
      <c r="R13">
        <v>1446</v>
      </c>
      <c r="S13" s="4">
        <f>'2000 sampling'!T7</f>
        <v>1.8518518518518517E-2</v>
      </c>
      <c r="T13" s="5">
        <f>S13*R13</f>
        <v>26.777777777777775</v>
      </c>
      <c r="V13">
        <v>11981</v>
      </c>
      <c r="W13" s="4">
        <f>'2000 sampling'!X7</f>
        <v>9.8039215686274508E-3</v>
      </c>
      <c r="X13" s="5">
        <f>W13*V13</f>
        <v>117.46078431372548</v>
      </c>
      <c r="AA13" s="4"/>
      <c r="AB13" s="5"/>
      <c r="AE13" s="4"/>
      <c r="AF13" s="5"/>
      <c r="AI13" s="4"/>
      <c r="AJ13" s="5"/>
      <c r="AM13" s="4"/>
      <c r="AN13" s="5"/>
      <c r="AQ13" s="4"/>
      <c r="AR13" s="5"/>
      <c r="AU13" s="4"/>
      <c r="AV13" s="5"/>
      <c r="AY13" s="7"/>
      <c r="AZ13" s="5"/>
    </row>
    <row r="14" spans="1:69" x14ac:dyDescent="0.25">
      <c r="A14" t="s">
        <v>32</v>
      </c>
      <c r="B14">
        <v>0</v>
      </c>
      <c r="F14">
        <v>0</v>
      </c>
      <c r="J14">
        <v>0</v>
      </c>
      <c r="N14">
        <v>0</v>
      </c>
      <c r="R14">
        <v>0</v>
      </c>
      <c r="V14">
        <v>438</v>
      </c>
      <c r="W14" s="4">
        <f>'2000 sampling'!X8</f>
        <v>0</v>
      </c>
      <c r="X14" s="5">
        <f>W14*V14</f>
        <v>0</v>
      </c>
      <c r="AA14" s="4"/>
      <c r="AB14" s="5"/>
      <c r="AE14" s="4"/>
      <c r="AF14" s="5"/>
      <c r="AI14" s="4"/>
      <c r="AJ14" s="5"/>
      <c r="AM14" s="4"/>
      <c r="AN14" s="5"/>
      <c r="AQ14" s="4"/>
      <c r="AR14" s="5"/>
      <c r="AU14" s="4"/>
      <c r="AV14" s="5"/>
      <c r="AY14" s="4"/>
      <c r="AZ14" s="5"/>
      <c r="BD14" s="5"/>
      <c r="BE14" s="3"/>
      <c r="BG14" s="5"/>
      <c r="BH14" s="3"/>
      <c r="BJ14" s="5"/>
      <c r="BK14" s="3"/>
      <c r="BM14" s="5"/>
      <c r="BN14" s="3"/>
      <c r="BP14" s="5"/>
      <c r="BQ14" s="3"/>
    </row>
    <row r="15" spans="1:69" s="42" customFormat="1" x14ac:dyDescent="0.25">
      <c r="A15" s="42" t="s">
        <v>45</v>
      </c>
      <c r="B15" s="42">
        <v>0</v>
      </c>
      <c r="F15" s="42">
        <v>0</v>
      </c>
      <c r="J15" s="42">
        <v>0</v>
      </c>
      <c r="N15" s="42">
        <v>0</v>
      </c>
      <c r="R15" s="42">
        <v>0</v>
      </c>
      <c r="V15" s="42">
        <v>1283</v>
      </c>
      <c r="W15" s="49">
        <f>'2000 sampling'!X9</f>
        <v>3.0769230769230771E-2</v>
      </c>
      <c r="X15" s="50">
        <f>W15*V15</f>
        <v>39.476923076923079</v>
      </c>
      <c r="AA15" s="49"/>
      <c r="AB15" s="50"/>
      <c r="AE15" s="49"/>
      <c r="AF15" s="50"/>
      <c r="AI15" s="49"/>
      <c r="AJ15" s="50"/>
      <c r="AM15" s="49"/>
      <c r="AN15" s="50"/>
      <c r="AQ15" s="51"/>
      <c r="AR15" s="50"/>
      <c r="AT15" s="47"/>
      <c r="BD15" s="50"/>
      <c r="BE15" s="43"/>
      <c r="BG15" s="50"/>
      <c r="BH15" s="43"/>
      <c r="BJ15" s="50"/>
      <c r="BK15" s="43"/>
      <c r="BM15" s="50"/>
      <c r="BN15" s="43"/>
      <c r="BP15" s="50"/>
      <c r="BQ15" s="43"/>
    </row>
    <row r="16" spans="1:69" s="80" customFormat="1" ht="14" x14ac:dyDescent="0.3">
      <c r="A16" s="80" t="s">
        <v>61</v>
      </c>
      <c r="B16" s="80">
        <f>SUM(B11:B15)</f>
        <v>0</v>
      </c>
      <c r="C16" s="81"/>
      <c r="F16" s="80">
        <f>SUM(F11:F15)</f>
        <v>2</v>
      </c>
      <c r="G16" s="81">
        <f>H16/F16</f>
        <v>0.5</v>
      </c>
      <c r="H16" s="80">
        <f>SUM(H13:H15)</f>
        <v>1</v>
      </c>
      <c r="J16" s="80">
        <f>SUM(J11:J15)</f>
        <v>1</v>
      </c>
      <c r="K16" s="81">
        <f>L16/J16</f>
        <v>0</v>
      </c>
      <c r="L16" s="80">
        <f>SUM(L13:L15)</f>
        <v>0</v>
      </c>
      <c r="N16" s="80">
        <f>SUM(N11:N15)</f>
        <v>14</v>
      </c>
      <c r="O16" s="81">
        <f>P16/N16</f>
        <v>0</v>
      </c>
      <c r="P16" s="80">
        <f>SUM(P13:P15)</f>
        <v>0</v>
      </c>
      <c r="R16" s="80">
        <f>SUM(R11:R15)</f>
        <v>1446</v>
      </c>
      <c r="S16" s="81">
        <f>T16/R16</f>
        <v>1.8518518518518517E-2</v>
      </c>
      <c r="T16" s="82">
        <f>SUM(T13:T15)</f>
        <v>26.777777777777775</v>
      </c>
      <c r="V16" s="80">
        <f>SUM(V11:V15)</f>
        <v>13702</v>
      </c>
      <c r="W16" s="81">
        <f>X16/V16</f>
        <v>1.1453635045296203E-2</v>
      </c>
      <c r="X16" s="82">
        <f>SUM(X13:X15)</f>
        <v>156.93770739064857</v>
      </c>
      <c r="BI16" s="86"/>
      <c r="BJ16" s="87"/>
      <c r="BK16" s="87"/>
      <c r="BN16" s="88"/>
    </row>
    <row r="17" spans="1:63" x14ac:dyDescent="0.25">
      <c r="A17">
        <v>1</v>
      </c>
      <c r="B17">
        <v>2</v>
      </c>
      <c r="C17" s="39">
        <f>'Mean Unmarked Rates'!D13</f>
        <v>7.5644949715784865E-2</v>
      </c>
      <c r="D17" s="5">
        <f>B17*C17</f>
        <v>0.15128989943156973</v>
      </c>
      <c r="F17">
        <v>0</v>
      </c>
      <c r="J17">
        <v>0</v>
      </c>
      <c r="N17">
        <v>0</v>
      </c>
      <c r="BI17" s="14"/>
      <c r="BJ17" s="30"/>
      <c r="BK17" s="30"/>
    </row>
    <row r="18" spans="1:63" x14ac:dyDescent="0.25">
      <c r="A18">
        <v>2</v>
      </c>
      <c r="B18">
        <v>0</v>
      </c>
      <c r="F18">
        <v>0</v>
      </c>
      <c r="J18">
        <v>0</v>
      </c>
      <c r="N18">
        <v>0</v>
      </c>
      <c r="BI18" s="14"/>
      <c r="BJ18" s="30"/>
      <c r="BK18" s="30"/>
    </row>
    <row r="19" spans="1:63" ht="13" x14ac:dyDescent="0.3">
      <c r="A19">
        <v>3</v>
      </c>
      <c r="B19">
        <v>0</v>
      </c>
      <c r="F19">
        <v>0</v>
      </c>
      <c r="J19">
        <v>0</v>
      </c>
      <c r="N19">
        <v>0</v>
      </c>
      <c r="AO19" s="2"/>
      <c r="AP19" s="2"/>
      <c r="AQ19" s="2"/>
      <c r="AR19" s="2"/>
      <c r="AS19" s="2"/>
      <c r="AT19" s="2"/>
      <c r="AU19" s="2"/>
      <c r="AV19" s="2"/>
      <c r="AW19" s="2"/>
      <c r="AX19" s="2"/>
      <c r="AY19" s="2"/>
      <c r="AZ19" s="2"/>
      <c r="BA19" s="2"/>
      <c r="BB19" s="2"/>
      <c r="BI19" s="14"/>
      <c r="BJ19" s="30"/>
      <c r="BK19" s="30"/>
    </row>
    <row r="20" spans="1:63" ht="13" x14ac:dyDescent="0.3">
      <c r="A20">
        <v>4</v>
      </c>
      <c r="B20">
        <v>0</v>
      </c>
      <c r="F20">
        <v>0</v>
      </c>
      <c r="J20">
        <v>0</v>
      </c>
      <c r="N20">
        <v>26</v>
      </c>
      <c r="O20" s="39">
        <f>'Mean Unmarked Rates'!D16</f>
        <v>8.6901763224181361E-2</v>
      </c>
      <c r="P20" s="5">
        <f>N20*O20</f>
        <v>2.2594458438287153</v>
      </c>
      <c r="AO20" s="2"/>
      <c r="AP20" s="2"/>
      <c r="AQ20" s="2"/>
      <c r="AR20" s="2"/>
      <c r="AS20" s="2"/>
      <c r="AT20" s="2"/>
      <c r="AU20" s="2"/>
      <c r="AV20" s="2"/>
      <c r="AW20" s="2"/>
      <c r="AX20" s="2"/>
      <c r="AY20" s="2"/>
      <c r="AZ20" s="2"/>
      <c r="BA20" s="2"/>
      <c r="BB20" s="2"/>
      <c r="BD20" s="2"/>
    </row>
    <row r="21" spans="1:63" s="42" customFormat="1" ht="13" x14ac:dyDescent="0.3">
      <c r="A21" s="42">
        <v>5</v>
      </c>
      <c r="B21" s="42">
        <v>0</v>
      </c>
      <c r="F21" s="42">
        <v>0</v>
      </c>
      <c r="J21" s="42">
        <v>0</v>
      </c>
      <c r="N21" s="42">
        <v>133</v>
      </c>
      <c r="O21" s="95">
        <f>'Mean Unmarked Rates'!D17</f>
        <v>6.7307692307692304E-2</v>
      </c>
      <c r="P21" s="50">
        <f>N21*O21</f>
        <v>8.9519230769230766</v>
      </c>
      <c r="AO21" s="41"/>
      <c r="AP21" s="41"/>
      <c r="AQ21" s="41"/>
      <c r="AR21" s="41"/>
      <c r="AS21" s="41"/>
      <c r="AT21" s="41"/>
      <c r="AU21" s="41"/>
      <c r="AV21" s="41"/>
      <c r="AW21" s="41"/>
      <c r="AX21" s="41"/>
      <c r="AY21" s="41"/>
      <c r="AZ21" s="41"/>
      <c r="BA21" s="41"/>
      <c r="BB21" s="41"/>
      <c r="BD21" s="41"/>
      <c r="BE21" s="41"/>
      <c r="BF21" s="41"/>
      <c r="BG21" s="41"/>
    </row>
    <row r="22" spans="1:63" s="89" customFormat="1" ht="14" x14ac:dyDescent="0.3">
      <c r="A22" s="89" t="s">
        <v>60</v>
      </c>
      <c r="B22" s="89">
        <f>SUM(B17:B21)</f>
        <v>2</v>
      </c>
      <c r="C22" s="90">
        <f>D22/B22</f>
        <v>7.5644949715784865E-2</v>
      </c>
      <c r="D22" s="91">
        <f>SUM(D17:D21)</f>
        <v>0.15128989943156973</v>
      </c>
      <c r="F22" s="91">
        <f>SUM(F17:F21)</f>
        <v>0</v>
      </c>
      <c r="H22" s="91">
        <f>SUM(H17:H21)</f>
        <v>0</v>
      </c>
      <c r="J22" s="91">
        <f>SUM(J17:J21)</f>
        <v>0</v>
      </c>
      <c r="L22" s="91">
        <f>SUM(L17:L21)</f>
        <v>0</v>
      </c>
      <c r="N22" s="89">
        <f>SUM(N17:N21)</f>
        <v>159</v>
      </c>
      <c r="O22" s="90">
        <f>P22/N22</f>
        <v>7.0511754218564732E-2</v>
      </c>
      <c r="P22" s="91">
        <f>SUM(P17:P21)</f>
        <v>11.211368920751791</v>
      </c>
      <c r="AN22" s="92"/>
      <c r="AO22" s="92"/>
      <c r="AP22" s="92"/>
      <c r="AQ22" s="92"/>
      <c r="AR22" s="92"/>
      <c r="AS22" s="92"/>
      <c r="AT22" s="92"/>
      <c r="AU22" s="92"/>
      <c r="AV22" s="92"/>
      <c r="AW22" s="92"/>
      <c r="AX22" s="92"/>
      <c r="AY22" s="92"/>
      <c r="AZ22" s="92"/>
      <c r="BA22" s="92"/>
      <c r="BB22" s="92"/>
      <c r="BD22" s="93"/>
      <c r="BE22" s="93"/>
      <c r="BF22" s="93"/>
      <c r="BG22" s="94"/>
    </row>
    <row r="23" spans="1:63" s="2" customFormat="1" ht="13" x14ac:dyDescent="0.3">
      <c r="D23" s="8"/>
      <c r="F23" s="8"/>
      <c r="H23" s="8"/>
      <c r="J23" s="8"/>
      <c r="L23" s="8"/>
      <c r="N23" s="8"/>
      <c r="O23" s="25"/>
      <c r="P23" s="8"/>
      <c r="AN23" s="27"/>
      <c r="AO23" s="27"/>
      <c r="AP23" s="27"/>
      <c r="AQ23" s="27"/>
      <c r="AR23" s="27"/>
      <c r="AS23" s="27"/>
      <c r="AT23" s="27"/>
      <c r="AU23" s="27"/>
      <c r="AV23" s="27"/>
      <c r="AW23" s="27"/>
      <c r="AX23" s="27"/>
      <c r="AY23" s="27"/>
      <c r="AZ23" s="27"/>
      <c r="BA23" s="27"/>
      <c r="BB23" s="27"/>
      <c r="BD23" s="29"/>
      <c r="BE23" s="29"/>
      <c r="BF23" s="29"/>
      <c r="BG23" s="28"/>
    </row>
    <row r="24" spans="1:63" s="57" customFormat="1" ht="14" x14ac:dyDescent="0.3">
      <c r="A24" s="57" t="s">
        <v>44</v>
      </c>
      <c r="B24" s="57">
        <f>B16+B22</f>
        <v>2</v>
      </c>
      <c r="C24" s="58">
        <f>D24/B24</f>
        <v>7.5644949715784865E-2</v>
      </c>
      <c r="D24" s="59">
        <f>D16+D22</f>
        <v>0.15128989943156973</v>
      </c>
      <c r="F24" s="57">
        <f>F16+F22</f>
        <v>2</v>
      </c>
      <c r="G24" s="58">
        <f>H24/F24</f>
        <v>0.5</v>
      </c>
      <c r="H24" s="59">
        <f>H16+H22</f>
        <v>1</v>
      </c>
      <c r="J24" s="57">
        <f>J16+J22</f>
        <v>1</v>
      </c>
      <c r="K24" s="58">
        <f>L24/J24</f>
        <v>0</v>
      </c>
      <c r="L24" s="59">
        <f>L16+L22</f>
        <v>0</v>
      </c>
      <c r="N24" s="57">
        <f>N16+N22</f>
        <v>173</v>
      </c>
      <c r="O24" s="58">
        <f>P24/N24</f>
        <v>6.4805600697987228E-2</v>
      </c>
      <c r="P24" s="59">
        <f>P16+P22</f>
        <v>11.211368920751791</v>
      </c>
      <c r="R24" s="57">
        <f>R16+R22</f>
        <v>1446</v>
      </c>
      <c r="S24" s="58">
        <f>T24/R24</f>
        <v>1.8518518518518517E-2</v>
      </c>
      <c r="T24" s="59">
        <f>T16+T22</f>
        <v>26.777777777777775</v>
      </c>
      <c r="V24" s="57">
        <f>V16+V22</f>
        <v>13702</v>
      </c>
      <c r="W24" s="58">
        <f>X24/V24</f>
        <v>1.1453635045296203E-2</v>
      </c>
      <c r="X24" s="59">
        <f>X16+X22</f>
        <v>156.93770739064857</v>
      </c>
      <c r="AN24" s="60"/>
      <c r="AO24" s="60"/>
      <c r="AP24" s="60"/>
      <c r="AQ24" s="60"/>
      <c r="AR24" s="60"/>
      <c r="AS24" s="60"/>
      <c r="AT24" s="60"/>
      <c r="AU24" s="60"/>
      <c r="AV24" s="60"/>
      <c r="AW24" s="60"/>
      <c r="AX24" s="60"/>
      <c r="AY24" s="60"/>
      <c r="AZ24" s="60"/>
      <c r="BA24" s="60"/>
      <c r="BB24" s="60"/>
      <c r="BD24" s="61"/>
      <c r="BE24" s="61"/>
      <c r="BF24" s="61"/>
      <c r="BG24" s="62"/>
    </row>
    <row r="25" spans="1:63" s="2" customFormat="1" ht="13" x14ac:dyDescent="0.3">
      <c r="D25" s="8"/>
      <c r="F25" s="8"/>
      <c r="H25" s="8"/>
      <c r="J25" s="8"/>
      <c r="L25" s="8"/>
      <c r="N25" s="8"/>
      <c r="O25" s="25"/>
      <c r="P25" s="8"/>
      <c r="AN25" s="27"/>
      <c r="AO25" s="27"/>
      <c r="AP25" s="27"/>
      <c r="AQ25" s="27"/>
      <c r="AR25" s="27"/>
      <c r="AS25" s="27"/>
      <c r="AT25" s="27"/>
      <c r="AU25" s="27"/>
      <c r="AV25" s="27"/>
      <c r="AW25" s="27"/>
      <c r="AX25" s="27"/>
      <c r="AY25" s="27"/>
      <c r="AZ25" s="27"/>
      <c r="BA25" s="27"/>
      <c r="BB25" s="27"/>
      <c r="BD25" s="29"/>
      <c r="BE25" s="29"/>
      <c r="BF25" s="29"/>
      <c r="BG25" s="28"/>
    </row>
    <row r="26" spans="1:63" s="2" customFormat="1" ht="15.5" x14ac:dyDescent="0.35">
      <c r="A26" s="1" t="s">
        <v>48</v>
      </c>
      <c r="D26" s="8"/>
      <c r="F26" s="8"/>
      <c r="H26" s="8"/>
      <c r="J26" s="8"/>
      <c r="L26" s="8"/>
      <c r="N26" s="8"/>
      <c r="O26" s="25"/>
      <c r="P26" s="8"/>
      <c r="AN26" s="27"/>
      <c r="AO26" s="27"/>
      <c r="AP26" s="27"/>
      <c r="AQ26" s="27"/>
      <c r="AR26" s="27"/>
      <c r="AS26" s="27"/>
      <c r="AT26" s="27"/>
      <c r="AU26" s="27"/>
      <c r="AV26" s="27"/>
      <c r="AW26" s="27"/>
      <c r="AX26" s="27"/>
      <c r="AY26" s="27"/>
      <c r="AZ26" s="27"/>
      <c r="BA26" s="27"/>
      <c r="BB26" s="27"/>
      <c r="BD26" s="29"/>
      <c r="BE26" s="29"/>
      <c r="BF26" s="29"/>
      <c r="BG26" s="28"/>
    </row>
    <row r="27" spans="1:63" x14ac:dyDescent="0.25">
      <c r="D27" s="5"/>
      <c r="P27" s="5"/>
      <c r="BD27" s="29"/>
      <c r="BE27" s="13"/>
      <c r="BF27" s="13"/>
      <c r="BG27" s="6"/>
    </row>
    <row r="28" spans="1:63" s="2" customFormat="1" ht="13" x14ac:dyDescent="0.3">
      <c r="C28" s="2" t="s">
        <v>12</v>
      </c>
      <c r="G28" s="2" t="s">
        <v>5</v>
      </c>
      <c r="K28" s="2" t="s">
        <v>6</v>
      </c>
      <c r="O28" s="2" t="s">
        <v>7</v>
      </c>
      <c r="S28" s="2" t="s">
        <v>8</v>
      </c>
      <c r="W28" s="2" t="s">
        <v>9</v>
      </c>
      <c r="AA28" s="2" t="s">
        <v>10</v>
      </c>
      <c r="AE28" s="2" t="s">
        <v>11</v>
      </c>
      <c r="BD28" s="24"/>
      <c r="BE28" s="24"/>
      <c r="BF28" s="24"/>
      <c r="BG28" s="22"/>
    </row>
    <row r="29" spans="1:63" ht="13" x14ac:dyDescent="0.3">
      <c r="B29" t="s">
        <v>43</v>
      </c>
      <c r="C29" t="s">
        <v>50</v>
      </c>
      <c r="D29" t="s">
        <v>51</v>
      </c>
      <c r="F29" t="s">
        <v>43</v>
      </c>
      <c r="G29" t="s">
        <v>50</v>
      </c>
      <c r="H29" t="s">
        <v>51</v>
      </c>
      <c r="J29" t="s">
        <v>43</v>
      </c>
      <c r="K29" t="s">
        <v>50</v>
      </c>
      <c r="L29" t="s">
        <v>51</v>
      </c>
      <c r="N29" t="s">
        <v>43</v>
      </c>
      <c r="O29" t="s">
        <v>50</v>
      </c>
      <c r="P29" t="s">
        <v>51</v>
      </c>
      <c r="R29" t="s">
        <v>43</v>
      </c>
      <c r="S29" t="s">
        <v>50</v>
      </c>
      <c r="T29" t="s">
        <v>51</v>
      </c>
      <c r="V29" t="s">
        <v>43</v>
      </c>
      <c r="W29" t="s">
        <v>50</v>
      </c>
      <c r="X29" t="s">
        <v>51</v>
      </c>
      <c r="Z29" t="s">
        <v>43</v>
      </c>
      <c r="AA29" t="s">
        <v>50</v>
      </c>
      <c r="AB29" t="s">
        <v>51</v>
      </c>
      <c r="AD29" t="s">
        <v>43</v>
      </c>
      <c r="AE29" t="s">
        <v>50</v>
      </c>
      <c r="AF29" t="s">
        <v>51</v>
      </c>
      <c r="AK29" s="2"/>
      <c r="AL29" s="2"/>
      <c r="BD29" s="29"/>
      <c r="BE29" s="13"/>
      <c r="BF29" s="13"/>
      <c r="BG29" s="6"/>
    </row>
    <row r="30" spans="1:63" ht="13" x14ac:dyDescent="0.3">
      <c r="A30" s="32" t="s">
        <v>65</v>
      </c>
      <c r="AK30" s="2"/>
      <c r="AL30" s="2"/>
      <c r="BD30" s="29"/>
      <c r="BE30" s="13"/>
      <c r="BF30" s="13"/>
      <c r="BG30" s="6"/>
    </row>
    <row r="31" spans="1:63" ht="13" x14ac:dyDescent="0.3">
      <c r="A31" s="32" t="s">
        <v>66</v>
      </c>
      <c r="AK31" s="2"/>
      <c r="AL31" s="2"/>
      <c r="BD31" s="29"/>
      <c r="BE31" s="13"/>
      <c r="BF31" s="13"/>
      <c r="BG31" s="6"/>
    </row>
    <row r="32" spans="1:63" ht="13" x14ac:dyDescent="0.3">
      <c r="A32" t="s">
        <v>31</v>
      </c>
      <c r="B32">
        <v>11216</v>
      </c>
      <c r="C32" s="4">
        <f>'2000 sampling'!D24</f>
        <v>3.0534351145038167E-2</v>
      </c>
      <c r="D32" s="5">
        <f>C32*B32</f>
        <v>342.47328244274809</v>
      </c>
      <c r="F32">
        <v>3193</v>
      </c>
      <c r="G32" s="4">
        <f>'2000 sampling'!H24</f>
        <v>3.3333333333333333E-2</v>
      </c>
      <c r="H32" s="5">
        <f>G32*F32</f>
        <v>106.43333333333334</v>
      </c>
      <c r="J32">
        <v>3535</v>
      </c>
      <c r="K32" s="4">
        <f>'2000 sampling'!L24</f>
        <v>0</v>
      </c>
      <c r="L32" s="5">
        <f>K32*J32</f>
        <v>0</v>
      </c>
      <c r="N32">
        <v>967</v>
      </c>
      <c r="O32" s="4">
        <f>'2000 sampling'!P24</f>
        <v>0</v>
      </c>
      <c r="P32" s="5">
        <f>N32*O32</f>
        <v>0</v>
      </c>
      <c r="R32">
        <v>747</v>
      </c>
      <c r="S32" s="4">
        <f>'2000 sampling'!T24</f>
        <v>0</v>
      </c>
      <c r="T32" s="5">
        <f>R32*S32</f>
        <v>0</v>
      </c>
      <c r="V32">
        <v>111</v>
      </c>
      <c r="W32" s="4">
        <f>'2000 sampling'!X24</f>
        <v>0</v>
      </c>
      <c r="X32" s="5">
        <f>V32*W32</f>
        <v>0</v>
      </c>
      <c r="Z32">
        <v>3</v>
      </c>
      <c r="AA32" s="76">
        <f>'Mean Unmarked Rates'!AB43</f>
        <v>0</v>
      </c>
      <c r="AB32" s="5">
        <f>Z32*AA32</f>
        <v>0</v>
      </c>
      <c r="AD32">
        <v>0</v>
      </c>
      <c r="AK32" s="2"/>
      <c r="AL32" s="2"/>
      <c r="BD32" s="29"/>
      <c r="BE32" s="13"/>
      <c r="BF32" s="13"/>
      <c r="BG32" s="6"/>
    </row>
    <row r="33" spans="1:70" ht="13" x14ac:dyDescent="0.3">
      <c r="A33" t="s">
        <v>32</v>
      </c>
      <c r="B33">
        <v>557</v>
      </c>
      <c r="C33" s="4">
        <f>'2000 sampling'!D25</f>
        <v>0</v>
      </c>
      <c r="D33" s="5">
        <f>C33*B33</f>
        <v>0</v>
      </c>
      <c r="F33">
        <v>749</v>
      </c>
      <c r="G33" s="4">
        <f>'2000 sampling'!H25</f>
        <v>9.6153846153846159E-2</v>
      </c>
      <c r="H33" s="5">
        <f>G33*F33</f>
        <v>72.019230769230774</v>
      </c>
      <c r="J33">
        <v>904</v>
      </c>
      <c r="K33" s="4">
        <f>'2000 sampling'!L25</f>
        <v>2.7777777777777776E-2</v>
      </c>
      <c r="L33" s="5">
        <f>K33*J33</f>
        <v>25.111111111111111</v>
      </c>
      <c r="N33">
        <v>257</v>
      </c>
      <c r="O33" s="4">
        <f>'2000 sampling'!P25</f>
        <v>1.9607843137254902E-2</v>
      </c>
      <c r="P33" s="5">
        <f>N33*O33</f>
        <v>5.0392156862745097</v>
      </c>
      <c r="R33">
        <v>359</v>
      </c>
      <c r="S33" s="4">
        <f>'2000 sampling'!T25</f>
        <v>2.3809523809523808E-2</v>
      </c>
      <c r="T33" s="5">
        <f>R33*S33</f>
        <v>8.5476190476190474</v>
      </c>
      <c r="V33">
        <v>106</v>
      </c>
      <c r="W33" s="4">
        <f>'2000 sampling'!X25</f>
        <v>0</v>
      </c>
      <c r="X33" s="5">
        <f>V33*W33</f>
        <v>0</v>
      </c>
      <c r="Z33">
        <v>28</v>
      </c>
      <c r="AA33" s="4">
        <f>'2000 sampling'!AB25</f>
        <v>0</v>
      </c>
      <c r="AB33" s="5">
        <f>Z33*AA33</f>
        <v>0</v>
      </c>
      <c r="AD33">
        <v>0</v>
      </c>
      <c r="AK33" s="2"/>
      <c r="AL33" s="2"/>
      <c r="BD33" s="29"/>
      <c r="BE33" s="13"/>
      <c r="BF33" s="13"/>
      <c r="BG33" s="6"/>
    </row>
    <row r="34" spans="1:70" s="42" customFormat="1" ht="13" x14ac:dyDescent="0.3">
      <c r="A34" s="42" t="s">
        <v>62</v>
      </c>
      <c r="B34" s="42">
        <v>6245</v>
      </c>
      <c r="C34" s="49">
        <f>'2000 sampling'!D26</f>
        <v>2.4590163934426229E-2</v>
      </c>
      <c r="D34" s="50">
        <f>C34*B34</f>
        <v>153.5655737704918</v>
      </c>
      <c r="F34" s="42">
        <v>1080</v>
      </c>
      <c r="G34" s="49">
        <f>'2000 sampling'!H26</f>
        <v>0</v>
      </c>
      <c r="H34" s="50">
        <f>G34*F34</f>
        <v>0</v>
      </c>
      <c r="J34" s="42">
        <v>1671</v>
      </c>
      <c r="K34" s="49">
        <f>'2000 sampling'!L26</f>
        <v>0</v>
      </c>
      <c r="L34" s="50">
        <f>K34*J34</f>
        <v>0</v>
      </c>
      <c r="N34" s="42">
        <v>450</v>
      </c>
      <c r="O34" s="49">
        <f>'2000 sampling'!P26</f>
        <v>0</v>
      </c>
      <c r="P34" s="50">
        <f>N34*O34</f>
        <v>0</v>
      </c>
      <c r="R34" s="42">
        <v>2</v>
      </c>
      <c r="S34" s="77">
        <f>'Mean Unmarked Rates'!D11</f>
        <v>5.3181818181818184E-2</v>
      </c>
      <c r="T34" s="50">
        <f>R34*S34</f>
        <v>0.10636363636363637</v>
      </c>
      <c r="V34" s="47">
        <v>0</v>
      </c>
      <c r="Z34" s="42">
        <v>0</v>
      </c>
      <c r="AD34" s="42">
        <v>0</v>
      </c>
      <c r="AK34" s="41"/>
      <c r="AL34" s="41"/>
      <c r="BD34" s="52"/>
      <c r="BE34" s="53"/>
      <c r="BF34" s="53"/>
      <c r="BG34" s="54"/>
    </row>
    <row r="35" spans="1:70" s="93" customFormat="1" ht="14" x14ac:dyDescent="0.3">
      <c r="A35" s="108" t="s">
        <v>61</v>
      </c>
      <c r="B35" s="89">
        <f>SUM(B30:B34)</f>
        <v>18018</v>
      </c>
      <c r="C35" s="90">
        <f>D35/B35</f>
        <v>2.7530184050018867E-2</v>
      </c>
      <c r="D35" s="91">
        <f>SUM(D32:D34)</f>
        <v>496.03885621323991</v>
      </c>
      <c r="F35" s="89">
        <f>SUM(F30:F34)</f>
        <v>5022</v>
      </c>
      <c r="G35" s="90">
        <f>H35/F35</f>
        <v>3.5534162505488673E-2</v>
      </c>
      <c r="H35" s="91">
        <f>SUM(H32:H34)</f>
        <v>178.45256410256411</v>
      </c>
      <c r="J35" s="89">
        <f>SUM(J30:J34)</f>
        <v>6110</v>
      </c>
      <c r="K35" s="90">
        <f>L35/J35</f>
        <v>4.1098381523913437E-3</v>
      </c>
      <c r="L35" s="91">
        <f>SUM(L32:L34)</f>
        <v>25.111111111111111</v>
      </c>
      <c r="N35" s="89">
        <f>SUM(N30:N34)</f>
        <v>1674</v>
      </c>
      <c r="O35" s="90">
        <f>P35/N35</f>
        <v>3.0102841614543067E-3</v>
      </c>
      <c r="P35" s="91">
        <f>SUM(P32:P34)</f>
        <v>5.0392156862745097</v>
      </c>
      <c r="R35" s="89">
        <f>SUM(R30:R34)</f>
        <v>1108</v>
      </c>
      <c r="S35" s="90">
        <f>T35/R35</f>
        <v>7.8104536859049485E-3</v>
      </c>
      <c r="T35" s="91">
        <f>SUM(T32:T34)</f>
        <v>8.653982683982683</v>
      </c>
      <c r="V35" s="89">
        <f>SUM(V30:V34)</f>
        <v>217</v>
      </c>
      <c r="W35" s="90">
        <f>X35/V35</f>
        <v>0</v>
      </c>
      <c r="X35" s="91">
        <f>SUM(X32:X34)</f>
        <v>0</v>
      </c>
      <c r="Z35" s="89">
        <f>SUM(Z30:Z34)</f>
        <v>31</v>
      </c>
      <c r="AA35" s="90">
        <f>AB35/Z35</f>
        <v>0</v>
      </c>
      <c r="AB35" s="91">
        <f>SUM(AB32:AB34)</f>
        <v>0</v>
      </c>
      <c r="AC35" s="127"/>
      <c r="AD35" s="109">
        <f>SUM(AD30:AD34)</f>
        <v>0</v>
      </c>
      <c r="AE35" s="109"/>
      <c r="AF35" s="109"/>
      <c r="AK35" s="108"/>
      <c r="AL35" s="108"/>
    </row>
    <row r="36" spans="1:70" s="44" customFormat="1" ht="13" x14ac:dyDescent="0.3">
      <c r="A36" s="44">
        <v>1</v>
      </c>
      <c r="B36" s="44">
        <v>0</v>
      </c>
      <c r="F36" s="44">
        <v>4250</v>
      </c>
      <c r="G36" s="121">
        <f>'2000 sampling'!H28</f>
        <v>0.12962962962962962</v>
      </c>
      <c r="H36" s="69">
        <f>G36*F36</f>
        <v>550.92592592592587</v>
      </c>
      <c r="J36" s="44">
        <v>5632</v>
      </c>
      <c r="K36" s="121">
        <f>'2000 sampling'!L28</f>
        <v>6.5476190476190479E-2</v>
      </c>
      <c r="L36" s="69">
        <f>K36*J36</f>
        <v>368.76190476190476</v>
      </c>
      <c r="N36" s="44">
        <v>1418</v>
      </c>
      <c r="O36" s="121">
        <f>'2000 sampling'!P28</f>
        <v>6.25E-2</v>
      </c>
      <c r="P36" s="69">
        <f>O36*N36</f>
        <v>88.625</v>
      </c>
      <c r="R36" s="44">
        <v>8154</v>
      </c>
      <c r="S36" s="121">
        <f>'2000 sampling'!T28</f>
        <v>0.27737226277372262</v>
      </c>
      <c r="T36" s="69">
        <f>S36*R36</f>
        <v>2261.6934306569342</v>
      </c>
      <c r="V36" s="44">
        <v>1228</v>
      </c>
      <c r="W36" s="121">
        <f>'2000 sampling'!X28</f>
        <v>0</v>
      </c>
      <c r="X36" s="69">
        <f>W36*V36</f>
        <v>0</v>
      </c>
      <c r="Z36" s="44">
        <v>151</v>
      </c>
      <c r="AA36" s="122">
        <f>'Mean Unmarked Rates'!D13</f>
        <v>7.5644949715784865E-2</v>
      </c>
      <c r="AB36" s="69">
        <f>Z36*AA36</f>
        <v>11.422387407083514</v>
      </c>
      <c r="AD36" s="44">
        <v>12</v>
      </c>
      <c r="AE36" s="122">
        <f>'Mean Unmarked Rates'!D13</f>
        <v>7.5644949715784865E-2</v>
      </c>
      <c r="AF36" s="69">
        <f>AD36*AE36</f>
        <v>0.90773939658941838</v>
      </c>
      <c r="AJ36" s="46"/>
      <c r="AL36" s="69"/>
      <c r="BD36" s="123"/>
      <c r="BE36" s="124"/>
      <c r="BF36" s="124"/>
      <c r="BG36" s="125"/>
    </row>
    <row r="37" spans="1:70" s="44" customFormat="1" ht="13" x14ac:dyDescent="0.3">
      <c r="A37" s="44">
        <v>2</v>
      </c>
      <c r="B37" s="44">
        <v>0</v>
      </c>
      <c r="F37" s="44">
        <v>4794</v>
      </c>
      <c r="G37" s="121">
        <f>'2000 sampling'!H29</f>
        <v>0.15909090909090909</v>
      </c>
      <c r="H37" s="69">
        <f>G37*F37</f>
        <v>762.68181818181813</v>
      </c>
      <c r="J37" s="44">
        <v>14694</v>
      </c>
      <c r="K37" s="121">
        <f>'2000 sampling'!L29</f>
        <v>8.9928057553956831E-2</v>
      </c>
      <c r="L37" s="69">
        <f>K37*J37</f>
        <v>1321.4028776978416</v>
      </c>
      <c r="N37" s="44">
        <v>4565</v>
      </c>
      <c r="O37" s="121">
        <f>'2000 sampling'!P29</f>
        <v>4.3010752688172046E-2</v>
      </c>
      <c r="P37" s="69">
        <f>O37*N37</f>
        <v>196.3440860215054</v>
      </c>
      <c r="R37" s="44">
        <v>36545</v>
      </c>
      <c r="S37" s="121">
        <f>'2000 sampling'!T29</f>
        <v>4.6012269938650305E-2</v>
      </c>
      <c r="T37" s="69">
        <f>S37*R37</f>
        <v>1681.5184049079753</v>
      </c>
      <c r="V37" s="44">
        <v>15417</v>
      </c>
      <c r="W37" s="121">
        <f>'2000 sampling'!X29</f>
        <v>7.1969696969696975E-2</v>
      </c>
      <c r="X37" s="69">
        <f>W37*V37</f>
        <v>1109.5568181818182</v>
      </c>
      <c r="Z37" s="44">
        <v>2950</v>
      </c>
      <c r="AA37" s="121">
        <f>'2000 sampling'!AB29</f>
        <v>5.8823529411764705E-2</v>
      </c>
      <c r="AB37" s="69">
        <f>Z37*AA37</f>
        <v>173.52941176470588</v>
      </c>
      <c r="AD37" s="44">
        <v>247</v>
      </c>
      <c r="AE37" s="121">
        <f>'2000 sampling'!AF29</f>
        <v>5.9523809523809521E-2</v>
      </c>
      <c r="AF37" s="69">
        <f>AD37*AE37</f>
        <v>14.702380952380951</v>
      </c>
      <c r="AJ37" s="46"/>
      <c r="AL37" s="69"/>
    </row>
    <row r="38" spans="1:70" s="44" customFormat="1" ht="13" x14ac:dyDescent="0.3">
      <c r="A38" s="44">
        <v>3</v>
      </c>
      <c r="B38" s="44">
        <v>0</v>
      </c>
      <c r="F38" s="44">
        <v>1013</v>
      </c>
      <c r="G38" s="126">
        <f>'Mean Unmarked Rates'!H49</f>
        <v>0</v>
      </c>
      <c r="H38" s="69">
        <f>G38*F38</f>
        <v>0</v>
      </c>
      <c r="J38" s="44">
        <v>2863</v>
      </c>
      <c r="K38" s="126">
        <f>'Mean Unmarked Rates'!L49</f>
        <v>0</v>
      </c>
      <c r="L38" s="69">
        <f>K38*J38</f>
        <v>0</v>
      </c>
      <c r="N38" s="44">
        <v>860</v>
      </c>
      <c r="O38" s="126">
        <f>'Mean Unmarked Rates'!P49</f>
        <v>0</v>
      </c>
      <c r="P38" s="69">
        <f>O38*N38</f>
        <v>0</v>
      </c>
      <c r="R38" s="44">
        <v>4163</v>
      </c>
      <c r="S38" s="126">
        <f>'Mean Unmarked Rates'!T49</f>
        <v>0</v>
      </c>
      <c r="T38" s="69">
        <f>S38*R38</f>
        <v>0</v>
      </c>
      <c r="V38" s="44">
        <v>2717</v>
      </c>
      <c r="W38" s="121">
        <f>'2000 sampling'!X30</f>
        <v>0</v>
      </c>
      <c r="X38" s="69">
        <f>W38*V38</f>
        <v>0</v>
      </c>
      <c r="Z38" s="44">
        <v>165</v>
      </c>
      <c r="AA38" s="126">
        <f>'Mean Unmarked Rates'!AB49</f>
        <v>0</v>
      </c>
      <c r="AB38" s="69">
        <f>Z38*AA38</f>
        <v>0</v>
      </c>
      <c r="AD38" s="44">
        <v>22</v>
      </c>
      <c r="AE38" s="121">
        <f>'2000 sampling'!AF30</f>
        <v>0.16666666666666666</v>
      </c>
      <c r="AF38" s="69">
        <f>AD38*AE38</f>
        <v>3.6666666666666665</v>
      </c>
      <c r="AH38" s="46"/>
      <c r="AJ38" s="46"/>
      <c r="AL38" s="69"/>
    </row>
    <row r="39" spans="1:70" ht="13" x14ac:dyDescent="0.3">
      <c r="A39">
        <v>4</v>
      </c>
      <c r="B39">
        <v>0</v>
      </c>
      <c r="F39">
        <v>70</v>
      </c>
      <c r="G39" s="76">
        <f>'Mean Unmarked Rates'!H50</f>
        <v>0</v>
      </c>
      <c r="H39" s="69">
        <f>G39*F39</f>
        <v>0</v>
      </c>
      <c r="J39">
        <v>0</v>
      </c>
      <c r="N39">
        <v>0</v>
      </c>
      <c r="R39">
        <v>0</v>
      </c>
      <c r="V39">
        <v>0</v>
      </c>
      <c r="Z39">
        <v>0</v>
      </c>
      <c r="AD39">
        <v>0</v>
      </c>
      <c r="AH39" s="2"/>
      <c r="AI39" s="23"/>
      <c r="AJ39" s="23"/>
      <c r="AL39" s="5"/>
    </row>
    <row r="40" spans="1:70" s="42" customFormat="1" ht="13" x14ac:dyDescent="0.3">
      <c r="A40" s="42">
        <v>5</v>
      </c>
      <c r="B40" s="42">
        <v>0</v>
      </c>
      <c r="F40" s="42">
        <v>87</v>
      </c>
      <c r="G40" s="51">
        <f>'Mean Unmarked Rates'!H51</f>
        <v>0</v>
      </c>
      <c r="H40" s="50">
        <f>G40*F40</f>
        <v>0</v>
      </c>
      <c r="J40" s="42">
        <v>0</v>
      </c>
      <c r="N40" s="42">
        <v>0</v>
      </c>
      <c r="R40" s="42">
        <v>147</v>
      </c>
      <c r="S40" s="51">
        <f>'Mean Unmarked Rates'!T51</f>
        <v>0</v>
      </c>
      <c r="T40" s="50">
        <f>S40*R40</f>
        <v>0</v>
      </c>
      <c r="V40" s="42">
        <v>56</v>
      </c>
      <c r="W40" s="51">
        <f>'Mean Unmarked Rates'!X51</f>
        <v>0</v>
      </c>
      <c r="X40" s="50">
        <f>W40*V40</f>
        <v>0</v>
      </c>
      <c r="Z40" s="42">
        <v>0</v>
      </c>
      <c r="AD40" s="42">
        <v>0</v>
      </c>
      <c r="AJ40" s="41"/>
      <c r="AL40" s="50"/>
    </row>
    <row r="41" spans="1:70" s="79" customFormat="1" ht="14" x14ac:dyDescent="0.3">
      <c r="A41" s="79" t="s">
        <v>60</v>
      </c>
      <c r="B41" s="85">
        <f>SUM(B36:B40)</f>
        <v>0</v>
      </c>
      <c r="F41" s="79">
        <f>SUM(F36:F40)</f>
        <v>10214</v>
      </c>
      <c r="G41" s="81">
        <f>H41/F41</f>
        <v>0.12860855141058783</v>
      </c>
      <c r="H41" s="79">
        <f>SUM(H36:H40)</f>
        <v>1313.6077441077441</v>
      </c>
      <c r="J41" s="79">
        <f>SUM(J36:J40)</f>
        <v>23189</v>
      </c>
      <c r="K41" s="81">
        <f>L41/J41</f>
        <v>7.2886488527308058E-2</v>
      </c>
      <c r="L41" s="79">
        <f>SUM(L36:L40)</f>
        <v>1690.1647824597464</v>
      </c>
      <c r="N41" s="79">
        <f>SUM(N36:N40)</f>
        <v>6843</v>
      </c>
      <c r="O41" s="81">
        <f>P41/N41</f>
        <v>4.1643882218545286E-2</v>
      </c>
      <c r="P41" s="79">
        <f>SUM(P36:P40)</f>
        <v>284.9690860215054</v>
      </c>
      <c r="R41" s="79">
        <f>SUM(R36:R40)</f>
        <v>49009</v>
      </c>
      <c r="S41" s="81">
        <f>T41/R41</f>
        <v>8.0458932758573104E-2</v>
      </c>
      <c r="T41" s="79">
        <f>SUM(T36:T40)</f>
        <v>3943.2118355649095</v>
      </c>
      <c r="V41" s="79">
        <f>SUM(V36:V40)</f>
        <v>19418</v>
      </c>
      <c r="W41" s="81">
        <f>X41/V41</f>
        <v>5.7140633339263482E-2</v>
      </c>
      <c r="X41" s="79">
        <f>SUM(X36:X40)</f>
        <v>1109.5568181818182</v>
      </c>
      <c r="Z41" s="79">
        <f>SUM(Z36:Z40)</f>
        <v>3266</v>
      </c>
      <c r="AA41" s="81">
        <f>AB41/Z41</f>
        <v>5.6629454737228836E-2</v>
      </c>
      <c r="AB41" s="79">
        <f>SUM(AB36:AB40)</f>
        <v>184.95179917178939</v>
      </c>
      <c r="AD41" s="79">
        <f>SUM(AD36:AD40)</f>
        <v>281</v>
      </c>
      <c r="AE41" s="81">
        <f>AF41/AD41</f>
        <v>6.860066553607487E-2</v>
      </c>
      <c r="AF41" s="79">
        <f>SUM(AF36:AF40)</f>
        <v>19.276787015637037</v>
      </c>
    </row>
    <row r="42" spans="1:70" s="24" customFormat="1" ht="13" x14ac:dyDescent="0.3">
      <c r="G42" s="56"/>
      <c r="S42" s="56"/>
      <c r="W42" s="56"/>
    </row>
    <row r="43" spans="1:70" s="63" customFormat="1" ht="14" x14ac:dyDescent="0.3">
      <c r="A43" s="63" t="s">
        <v>44</v>
      </c>
      <c r="B43" s="63">
        <f>B35+B41</f>
        <v>18018</v>
      </c>
      <c r="C43" s="58">
        <f>D43/B43</f>
        <v>2.7530184050018867E-2</v>
      </c>
      <c r="D43" s="63">
        <f>D35+D41</f>
        <v>496.03885621323991</v>
      </c>
      <c r="F43" s="63">
        <f>F35+F41</f>
        <v>15236</v>
      </c>
      <c r="G43" s="58">
        <f>H43/F43</f>
        <v>9.7929923090726456E-2</v>
      </c>
      <c r="H43" s="63">
        <f>H35+H41</f>
        <v>1492.0603082103082</v>
      </c>
      <c r="J43" s="63">
        <f>J35+J41</f>
        <v>29299</v>
      </c>
      <c r="K43" s="58">
        <f>L43/J43</f>
        <v>5.8543837454208589E-2</v>
      </c>
      <c r="L43" s="63">
        <f>L35+L41</f>
        <v>1715.2758935708575</v>
      </c>
      <c r="N43" s="63">
        <f>N35+N41</f>
        <v>8517</v>
      </c>
      <c r="O43" s="58">
        <f>P43/N43</f>
        <v>3.4050522684957139E-2</v>
      </c>
      <c r="P43" s="63">
        <f>P35+P41</f>
        <v>290.00830170777994</v>
      </c>
      <c r="R43" s="63">
        <f>R35+R41</f>
        <v>50117</v>
      </c>
      <c r="S43" s="58">
        <f>T43/R43</f>
        <v>7.8852800811079912E-2</v>
      </c>
      <c r="T43" s="63">
        <f>T35+T41</f>
        <v>3951.8658182488921</v>
      </c>
      <c r="V43" s="63">
        <f>V35+V41</f>
        <v>19635</v>
      </c>
      <c r="W43" s="58">
        <f>X43/V43</f>
        <v>5.6509132578651297E-2</v>
      </c>
      <c r="X43" s="63">
        <f>X35+X41</f>
        <v>1109.5568181818182</v>
      </c>
      <c r="Z43" s="63">
        <f>Z35+Z41</f>
        <v>3297</v>
      </c>
      <c r="AA43" s="58">
        <f>AB43/Z43</f>
        <v>5.6096997019044401E-2</v>
      </c>
      <c r="AB43" s="63">
        <f>AB35+AB41</f>
        <v>184.95179917178939</v>
      </c>
      <c r="AD43" s="63">
        <f>AD35+AD41</f>
        <v>281</v>
      </c>
      <c r="AE43" s="58">
        <f>AF43/AD43</f>
        <v>6.860066553607487E-2</v>
      </c>
      <c r="AF43" s="63">
        <f>AF35+AF41</f>
        <v>19.276787015637037</v>
      </c>
    </row>
    <row r="44" spans="1:70" ht="13" x14ac:dyDescent="0.3">
      <c r="A44" s="2"/>
      <c r="BD44" s="2"/>
      <c r="BE44" s="2"/>
      <c r="BF44" s="2"/>
      <c r="BG44" s="2"/>
      <c r="BH44" s="2"/>
      <c r="BI44" s="2"/>
      <c r="BJ44" s="2"/>
      <c r="BK44" s="2"/>
      <c r="BL44" s="2"/>
      <c r="BM44" s="2"/>
      <c r="BN44" s="2"/>
      <c r="BO44" s="2"/>
      <c r="BP44" s="2"/>
      <c r="BQ44" s="2"/>
    </row>
    <row r="45" spans="1:70" ht="13" x14ac:dyDescent="0.3">
      <c r="A45" s="2"/>
      <c r="BD45" s="2"/>
      <c r="BE45" s="2"/>
      <c r="BF45" s="2"/>
      <c r="BG45" s="2"/>
      <c r="BH45" s="2"/>
      <c r="BI45" s="2"/>
      <c r="BJ45" s="2"/>
      <c r="BK45" s="2"/>
      <c r="BL45" s="2"/>
      <c r="BM45" s="2"/>
      <c r="BN45" s="2"/>
      <c r="BO45" s="2"/>
      <c r="BP45" s="2"/>
      <c r="BQ45" s="2"/>
    </row>
    <row r="46" spans="1:70" x14ac:dyDescent="0.25">
      <c r="F46" s="19">
        <f>H41/(H41+Escapement!Q7)</f>
        <v>2.3062855355831115E-2</v>
      </c>
      <c r="BD46" s="5"/>
      <c r="BE46" s="5"/>
      <c r="BF46" s="5"/>
      <c r="BG46" s="5"/>
      <c r="BH46" s="5"/>
      <c r="BI46" s="5"/>
      <c r="BJ46" s="5"/>
      <c r="BK46" s="5"/>
      <c r="BL46" s="5"/>
      <c r="BM46" s="5"/>
      <c r="BN46" s="5"/>
      <c r="BO46" s="5"/>
      <c r="BP46" s="5"/>
      <c r="BQ46" s="5"/>
      <c r="BR46" s="5"/>
    </row>
    <row r="47" spans="1:70" ht="15.5" x14ac:dyDescent="0.35">
      <c r="A47" s="1" t="s">
        <v>52</v>
      </c>
      <c r="BD47" s="5"/>
      <c r="BE47" s="5"/>
      <c r="BJ47" s="5"/>
      <c r="BK47" s="5"/>
      <c r="BL47" s="5"/>
      <c r="BM47" s="5"/>
      <c r="BN47" s="5"/>
      <c r="BO47" s="5"/>
      <c r="BP47" s="5"/>
      <c r="BQ47" s="5"/>
      <c r="BR47" s="5"/>
    </row>
    <row r="48" spans="1:70" ht="15.5" x14ac:dyDescent="0.35">
      <c r="A48" s="1"/>
      <c r="BD48" s="5"/>
      <c r="BE48" s="5"/>
      <c r="BJ48" s="5"/>
      <c r="BK48" s="5"/>
      <c r="BL48" s="5"/>
      <c r="BM48" s="5"/>
      <c r="BN48" s="5"/>
      <c r="BO48" s="5"/>
      <c r="BP48" s="5"/>
      <c r="BQ48" s="5"/>
      <c r="BR48" s="5"/>
    </row>
    <row r="49" spans="1:70" ht="13" x14ac:dyDescent="0.3">
      <c r="B49" s="2" t="s">
        <v>44</v>
      </c>
      <c r="C49" s="2" t="s">
        <v>55</v>
      </c>
      <c r="D49" s="2" t="s">
        <v>56</v>
      </c>
      <c r="BD49" s="5"/>
      <c r="BE49" s="5"/>
      <c r="BF49" s="5"/>
      <c r="BJ49" s="5"/>
      <c r="BK49" s="5"/>
      <c r="BL49" s="5"/>
      <c r="BM49" s="5"/>
      <c r="BN49" s="5"/>
      <c r="BO49" s="5"/>
      <c r="BP49" s="5"/>
      <c r="BQ49" s="5"/>
      <c r="BR49" s="5"/>
    </row>
    <row r="50" spans="1:70" ht="13" x14ac:dyDescent="0.3">
      <c r="A50" s="32" t="s">
        <v>65</v>
      </c>
      <c r="B50" s="2"/>
      <c r="C50" s="2"/>
      <c r="D50" s="2"/>
      <c r="BD50" s="5"/>
      <c r="BE50" s="5"/>
      <c r="BF50" s="5"/>
      <c r="BJ50" s="5"/>
      <c r="BK50" s="5"/>
      <c r="BL50" s="5"/>
      <c r="BM50" s="5"/>
      <c r="BN50" s="5"/>
      <c r="BO50" s="5"/>
      <c r="BP50" s="5"/>
      <c r="BQ50" s="5"/>
      <c r="BR50" s="5"/>
    </row>
    <row r="51" spans="1:70" ht="13" x14ac:dyDescent="0.3">
      <c r="A51" s="32" t="s">
        <v>66</v>
      </c>
      <c r="B51" s="2"/>
      <c r="C51" s="2"/>
      <c r="D51" s="2"/>
      <c r="BD51" s="5"/>
      <c r="BE51" s="5"/>
      <c r="BF51" s="5"/>
      <c r="BJ51" s="5"/>
      <c r="BK51" s="5"/>
      <c r="BL51" s="5"/>
      <c r="BM51" s="5"/>
      <c r="BN51" s="5"/>
      <c r="BO51" s="5"/>
      <c r="BP51" s="5"/>
      <c r="BQ51" s="5"/>
      <c r="BR51" s="5"/>
    </row>
    <row r="52" spans="1:70" x14ac:dyDescent="0.25">
      <c r="A52" t="s">
        <v>31</v>
      </c>
      <c r="B52" s="29">
        <f>B13+F13+J13+N13+R13+V13+B32+F32+J32+N32+R32+V32+Z32+AD32</f>
        <v>33216</v>
      </c>
      <c r="C52" s="65">
        <f>D13+H13+L13+P13+T13+X13+D32+H32+L32+P32+T32+X32+AB32+AF32</f>
        <v>594.14517786758461</v>
      </c>
      <c r="D52" s="3">
        <f>C52/B52</f>
        <v>1.7887318697843949E-2</v>
      </c>
      <c r="BD52" s="5"/>
      <c r="BE52" s="5"/>
      <c r="BF52" s="5"/>
      <c r="BJ52" s="5"/>
      <c r="BK52" s="5"/>
      <c r="BL52" s="5"/>
      <c r="BM52" s="5"/>
      <c r="BN52" s="5"/>
      <c r="BO52" s="5"/>
      <c r="BP52" s="5"/>
      <c r="BQ52" s="5"/>
      <c r="BR52" s="5"/>
    </row>
    <row r="53" spans="1:70" x14ac:dyDescent="0.25">
      <c r="A53" t="s">
        <v>32</v>
      </c>
      <c r="B53" s="29">
        <f>B14+F14+J14+N14+R14+V14+B33+F33+J33+N33+R33+V33+Z33+AD33</f>
        <v>3398</v>
      </c>
      <c r="C53" s="65">
        <f>D14+H14+L14+P14+T14+X14+D33+H33+L33+P33+T33+X33+AB33+AF33</f>
        <v>110.71717661423544</v>
      </c>
      <c r="D53" s="3">
        <f>C53/B53</f>
        <v>3.2583041970051629E-2</v>
      </c>
      <c r="BD53" s="5"/>
      <c r="BE53" s="5"/>
      <c r="BF53" s="5"/>
      <c r="BJ53" s="5"/>
      <c r="BK53" s="5"/>
      <c r="BL53" s="5"/>
      <c r="BM53" s="5"/>
      <c r="BN53" s="5"/>
      <c r="BO53" s="5"/>
      <c r="BP53" s="5"/>
      <c r="BQ53" s="5"/>
      <c r="BR53" s="5"/>
    </row>
    <row r="54" spans="1:70" x14ac:dyDescent="0.25">
      <c r="A54" s="42" t="s">
        <v>62</v>
      </c>
      <c r="B54" s="52">
        <f>B15+F15+J15+N15+R15+V15+B34+F34+J34+N34+R34+V34+Z34+AD34</f>
        <v>10731</v>
      </c>
      <c r="C54" s="66">
        <f>D15+H15+L15+P15+T15+X15+D34+H34+L34+P34+T34+X34+AB34+AF34</f>
        <v>193.14886048377849</v>
      </c>
      <c r="D54" s="43">
        <f>C54/B54</f>
        <v>1.7999148307126876E-2</v>
      </c>
      <c r="BD54" s="5"/>
      <c r="BE54" s="5"/>
      <c r="BF54" s="5"/>
      <c r="BJ54" s="5"/>
      <c r="BK54" s="5"/>
      <c r="BL54" s="5"/>
      <c r="BM54" s="5"/>
      <c r="BN54" s="5"/>
      <c r="BO54" s="5"/>
      <c r="BP54" s="5"/>
      <c r="BQ54" s="5"/>
      <c r="BR54" s="5"/>
    </row>
    <row r="55" spans="1:70" s="44" customFormat="1" ht="13" x14ac:dyDescent="0.3">
      <c r="A55" s="41" t="s">
        <v>61</v>
      </c>
      <c r="B55" s="96">
        <f>SUM(B50:B54)</f>
        <v>47345</v>
      </c>
      <c r="C55" s="96">
        <f>SUM(C50:C54)</f>
        <v>898.01121496559858</v>
      </c>
      <c r="D55" s="97">
        <f>C55/B55</f>
        <v>1.8967392860187952E-2</v>
      </c>
      <c r="BD55" s="69"/>
      <c r="BE55" s="69"/>
      <c r="BF55" s="69"/>
      <c r="BJ55" s="69"/>
      <c r="BK55" s="69"/>
      <c r="BL55" s="69"/>
      <c r="BM55" s="69"/>
      <c r="BN55" s="69"/>
      <c r="BO55" s="69"/>
      <c r="BP55" s="69"/>
      <c r="BQ55" s="69"/>
      <c r="BR55" s="69"/>
    </row>
    <row r="56" spans="1:70" x14ac:dyDescent="0.25">
      <c r="A56">
        <v>1</v>
      </c>
      <c r="B56" s="13">
        <f>B17+F17+J17+N17+B36+F36+J36+N36+R36+V36+Z36+AD36</f>
        <v>20847</v>
      </c>
      <c r="C56" s="64">
        <f>D17+H17+L17+P17+D36+H36+L36+P36+T36+X36+AB36+AF36</f>
        <v>3282.4876780478694</v>
      </c>
      <c r="D56" s="3">
        <f>C56/B56</f>
        <v>0.15745611733332707</v>
      </c>
      <c r="BD56" s="5"/>
      <c r="BE56" s="5"/>
      <c r="BF56" s="5"/>
      <c r="BJ56" s="5"/>
      <c r="BK56" s="5"/>
      <c r="BL56" s="5"/>
      <c r="BM56" s="5"/>
      <c r="BN56" s="5"/>
      <c r="BO56" s="5"/>
      <c r="BP56" s="5"/>
      <c r="BQ56" s="5"/>
      <c r="BR56" s="5"/>
    </row>
    <row r="57" spans="1:70" x14ac:dyDescent="0.25">
      <c r="A57">
        <v>2</v>
      </c>
      <c r="B57" s="13">
        <f>B18+F18+J18+N18+B37+F37+J37+N37+R37+V37+Z37+AD37</f>
        <v>79212</v>
      </c>
      <c r="C57" s="64">
        <f>D18+H18+L18+P18+T18+X18+D37+H37+L37+P37+T37+X37+AB37+AF37</f>
        <v>5259.7357977080455</v>
      </c>
      <c r="D57" s="3">
        <f t="shared" ref="D57:D63" si="0">C57/B57</f>
        <v>6.6400744807706483E-2</v>
      </c>
      <c r="BD57" s="5"/>
      <c r="BE57" s="5"/>
      <c r="BF57" s="5"/>
      <c r="BG57" s="5"/>
      <c r="BJ57" s="5"/>
      <c r="BK57" s="5"/>
      <c r="BL57" s="5"/>
      <c r="BM57" s="5"/>
      <c r="BN57" s="5"/>
      <c r="BO57" s="5"/>
      <c r="BP57" s="5"/>
      <c r="BQ57" s="5"/>
      <c r="BR57" s="5"/>
    </row>
    <row r="58" spans="1:70" x14ac:dyDescent="0.25">
      <c r="A58">
        <v>3</v>
      </c>
      <c r="B58" s="13">
        <f>B19+F19+J19+N19+B38+F38+J38+N38+R38+V38+Z38+AD38</f>
        <v>11803</v>
      </c>
      <c r="C58" s="64">
        <f>D19+H19+L19+P19+D38+H38+L38+P38+T38+X38+AB38+AF38</f>
        <v>3.6666666666666665</v>
      </c>
      <c r="D58" s="3">
        <f t="shared" si="0"/>
        <v>3.1065548306927616E-4</v>
      </c>
      <c r="K58" s="7"/>
      <c r="L58" s="5"/>
      <c r="BD58" s="5"/>
      <c r="BE58" s="5"/>
      <c r="BF58" s="5"/>
      <c r="BG58" s="5"/>
      <c r="BJ58" s="5"/>
      <c r="BK58" s="5"/>
      <c r="BL58" s="5"/>
      <c r="BM58" s="5"/>
      <c r="BN58" s="5"/>
      <c r="BO58" s="5"/>
      <c r="BP58" s="5"/>
      <c r="BQ58" s="5"/>
      <c r="BR58" s="5"/>
    </row>
    <row r="59" spans="1:70" x14ac:dyDescent="0.25">
      <c r="A59">
        <v>4</v>
      </c>
      <c r="B59" s="13">
        <f>B20+F20+J20+N20+B39+F39+J39+N39+R39+V39+Z39+AD39</f>
        <v>96</v>
      </c>
      <c r="C59" s="64">
        <f>D20+H20+L20+P20+D39+H39+L39+P39+T39+X39+AB39+AF39</f>
        <v>2.2594458438287153</v>
      </c>
      <c r="D59" s="3">
        <f t="shared" si="0"/>
        <v>2.3535894206549116E-2</v>
      </c>
      <c r="K59" s="7"/>
      <c r="L59" s="5"/>
      <c r="BD59" s="5"/>
      <c r="BE59" s="5"/>
      <c r="BF59" s="5"/>
      <c r="BG59" s="5"/>
      <c r="BH59" s="5"/>
      <c r="BI59" s="5"/>
      <c r="BJ59" s="5"/>
      <c r="BK59" s="5"/>
      <c r="BL59" s="5"/>
      <c r="BM59" s="5"/>
      <c r="BN59" s="5"/>
      <c r="BO59" s="5"/>
      <c r="BP59" s="5"/>
    </row>
    <row r="60" spans="1:70" s="46" customFormat="1" ht="13" x14ac:dyDescent="0.3">
      <c r="A60" s="42">
        <v>5</v>
      </c>
      <c r="B60" s="53">
        <f>B21+F21+J21+N21+B40+F40+J40+N40+R40+V40+Z40+AD40</f>
        <v>423</v>
      </c>
      <c r="C60" s="98">
        <f>D21+H21+L21+P21+D40+H40+L40+P40+T40+X40+AB40+AF40</f>
        <v>8.9519230769230766</v>
      </c>
      <c r="D60" s="43">
        <f t="shared" si="0"/>
        <v>2.1162938716130206E-2</v>
      </c>
      <c r="F60" s="102"/>
      <c r="J60" s="102"/>
      <c r="L60" s="102"/>
      <c r="BC60" s="44"/>
      <c r="BD60" s="44"/>
      <c r="BE60" s="44"/>
      <c r="BF60" s="44"/>
      <c r="BG60" s="44"/>
      <c r="BH60" s="44"/>
      <c r="BI60" s="44"/>
      <c r="BJ60" s="44"/>
      <c r="BK60" s="44"/>
      <c r="BL60" s="44"/>
      <c r="BM60" s="44"/>
      <c r="BN60" s="44"/>
      <c r="BO60" s="44"/>
      <c r="BP60" s="44"/>
      <c r="BQ60" s="44"/>
    </row>
    <row r="61" spans="1:70" s="44" customFormat="1" ht="13" x14ac:dyDescent="0.3">
      <c r="A61" s="99" t="s">
        <v>60</v>
      </c>
      <c r="B61" s="100">
        <f>SUM(B56:B60)</f>
        <v>112381</v>
      </c>
      <c r="C61" s="100">
        <f>SUM(C56:C60)</f>
        <v>8557.1015113433332</v>
      </c>
      <c r="D61" s="101">
        <f t="shared" si="0"/>
        <v>7.6143667624806094E-2</v>
      </c>
      <c r="BC61" s="46"/>
      <c r="BD61" s="46"/>
      <c r="BE61" s="46"/>
      <c r="BF61" s="46"/>
      <c r="BG61" s="46"/>
      <c r="BH61" s="46"/>
      <c r="BI61" s="46"/>
      <c r="BJ61" s="46"/>
      <c r="BK61" s="46"/>
      <c r="BL61" s="46"/>
      <c r="BM61" s="46"/>
      <c r="BN61" s="46"/>
      <c r="BO61" s="46"/>
      <c r="BP61" s="46"/>
      <c r="BQ61" s="46"/>
    </row>
    <row r="62" spans="1:70" ht="13" x14ac:dyDescent="0.3">
      <c r="A62" s="2"/>
    </row>
    <row r="63" spans="1:70" ht="13" x14ac:dyDescent="0.3">
      <c r="A63" s="2" t="s">
        <v>69</v>
      </c>
      <c r="B63" s="40">
        <f>B55+B61</f>
        <v>159726</v>
      </c>
      <c r="C63" s="40">
        <f>C55+C61</f>
        <v>9455.1127263089311</v>
      </c>
      <c r="D63" s="55">
        <f t="shared" si="0"/>
        <v>5.9195827393842777E-2</v>
      </c>
    </row>
    <row r="64" spans="1:70" ht="13" x14ac:dyDescent="0.3">
      <c r="C64" s="4"/>
      <c r="D64" s="5"/>
      <c r="G64" s="4"/>
      <c r="H64" s="5"/>
      <c r="K64" s="4"/>
      <c r="L64" s="5"/>
      <c r="O64" s="4"/>
      <c r="P64" s="5"/>
      <c r="S64" s="4"/>
      <c r="T64" s="5"/>
      <c r="W64" s="7"/>
      <c r="X64" s="5"/>
      <c r="AK64" s="2"/>
      <c r="AL64" s="2"/>
    </row>
    <row r="65" spans="1:69" ht="13" x14ac:dyDescent="0.3">
      <c r="C65" s="4"/>
      <c r="D65" s="5"/>
      <c r="G65" s="4"/>
      <c r="H65" s="5"/>
      <c r="K65" s="4"/>
      <c r="L65" s="5"/>
      <c r="O65" s="4"/>
      <c r="P65" s="5"/>
      <c r="S65" s="4"/>
      <c r="T65" s="5"/>
      <c r="W65" s="4"/>
      <c r="X65" s="5"/>
      <c r="AA65" s="4"/>
      <c r="AB65" s="5"/>
      <c r="AJ65" s="2"/>
      <c r="AL65" s="5"/>
    </row>
    <row r="66" spans="1:69" ht="13" x14ac:dyDescent="0.3">
      <c r="C66" s="4"/>
      <c r="D66" s="5"/>
      <c r="G66" s="4"/>
      <c r="H66" s="5"/>
      <c r="K66" s="4"/>
      <c r="L66" s="5"/>
      <c r="O66" s="4"/>
      <c r="P66" s="5"/>
      <c r="S66" s="4"/>
      <c r="T66" s="5"/>
      <c r="W66" s="4"/>
      <c r="X66" s="5"/>
      <c r="AA66" s="4"/>
      <c r="AB66" s="5"/>
      <c r="AH66" s="2"/>
      <c r="AJ66" s="2"/>
      <c r="AL66" s="5"/>
    </row>
    <row r="67" spans="1:69" ht="13" x14ac:dyDescent="0.3">
      <c r="S67" s="7"/>
      <c r="T67" s="5"/>
      <c r="AA67" s="7"/>
      <c r="AB67" s="5"/>
      <c r="AG67" s="2"/>
      <c r="AH67" s="2"/>
      <c r="AI67" s="23"/>
      <c r="AJ67" s="2"/>
      <c r="AL67" s="5"/>
    </row>
    <row r="68" spans="1:69" ht="13" x14ac:dyDescent="0.3">
      <c r="C68" s="7"/>
      <c r="D68" s="5"/>
      <c r="G68" s="7"/>
      <c r="H68" s="5"/>
      <c r="K68" s="7"/>
      <c r="L68" s="5"/>
      <c r="O68" s="4"/>
      <c r="P68" s="5"/>
      <c r="S68" s="4"/>
      <c r="T68" s="5"/>
      <c r="W68" s="7"/>
      <c r="X68" s="5"/>
      <c r="AA68" s="7"/>
      <c r="AB68" s="5"/>
      <c r="AJ68" s="23"/>
      <c r="AL68" s="5"/>
    </row>
    <row r="69" spans="1:69" s="2" customFormat="1" ht="13" x14ac:dyDescent="0.3">
      <c r="B69" s="8"/>
      <c r="D69" s="8"/>
      <c r="F69" s="8"/>
      <c r="H69" s="8"/>
      <c r="J69" s="8"/>
      <c r="L69" s="8"/>
      <c r="N69" s="8"/>
      <c r="O69" s="26"/>
      <c r="P69" s="8"/>
      <c r="R69" s="8"/>
      <c r="S69" s="26"/>
      <c r="T69" s="8"/>
      <c r="V69" s="8"/>
      <c r="W69" s="26"/>
      <c r="X69" s="8"/>
      <c r="Z69" s="8"/>
      <c r="AB69" s="8"/>
      <c r="AG69" s="8"/>
      <c r="AH69" s="24"/>
      <c r="AI69" s="24"/>
      <c r="AK69"/>
      <c r="AL69" s="5"/>
      <c r="BC69"/>
      <c r="BD69"/>
      <c r="BE69"/>
      <c r="BF69"/>
      <c r="BG69"/>
      <c r="BH69"/>
      <c r="BI69"/>
      <c r="BJ69"/>
      <c r="BK69"/>
      <c r="BL69"/>
      <c r="BM69"/>
      <c r="BN69"/>
      <c r="BO69"/>
      <c r="BP69"/>
      <c r="BQ69"/>
    </row>
    <row r="70" spans="1:69" ht="13" x14ac:dyDescent="0.3">
      <c r="BC70" s="2"/>
      <c r="BD70" s="2"/>
      <c r="BE70" s="2"/>
      <c r="BF70" s="2"/>
      <c r="BG70" s="2"/>
      <c r="BH70" s="2"/>
      <c r="BI70" s="2"/>
      <c r="BJ70" s="2"/>
      <c r="BK70" s="2"/>
      <c r="BL70" s="2"/>
      <c r="BM70" s="2"/>
      <c r="BN70" s="2"/>
      <c r="BO70" s="2"/>
      <c r="BP70" s="2"/>
      <c r="BQ70" s="2"/>
    </row>
    <row r="71" spans="1:69" ht="13" x14ac:dyDescent="0.3">
      <c r="A71" s="2"/>
      <c r="AL71" s="5"/>
    </row>
    <row r="74" spans="1:69" x14ac:dyDescent="0.25">
      <c r="C74" s="7"/>
      <c r="D74" s="5"/>
    </row>
    <row r="75" spans="1:69" x14ac:dyDescent="0.25">
      <c r="C75" s="7"/>
      <c r="D75" s="5"/>
      <c r="G75" s="7"/>
      <c r="H75" s="5"/>
    </row>
    <row r="76" spans="1:69" x14ac:dyDescent="0.25">
      <c r="G76" s="7"/>
      <c r="H76" s="5"/>
    </row>
    <row r="77" spans="1:69" x14ac:dyDescent="0.25">
      <c r="O77" s="7"/>
      <c r="P77" s="5"/>
    </row>
    <row r="78" spans="1:69" x14ac:dyDescent="0.25">
      <c r="K78" s="7"/>
      <c r="L78" s="5"/>
      <c r="O78" s="7"/>
      <c r="P78" s="5"/>
    </row>
    <row r="79" spans="1:69" s="2" customFormat="1" ht="13" x14ac:dyDescent="0.3">
      <c r="B79" s="8"/>
      <c r="D79" s="8"/>
      <c r="F79" s="8"/>
      <c r="H79" s="8"/>
      <c r="J79" s="8"/>
      <c r="K79" s="25"/>
      <c r="L79" s="8"/>
      <c r="N79" s="8"/>
      <c r="O79" s="25"/>
      <c r="P79" s="8"/>
      <c r="S79" s="8"/>
      <c r="BC79"/>
      <c r="BD79"/>
      <c r="BE79"/>
      <c r="BF79"/>
      <c r="BG79"/>
      <c r="BH79"/>
      <c r="BI79"/>
      <c r="BJ79"/>
      <c r="BK79"/>
      <c r="BL79"/>
      <c r="BM79"/>
      <c r="BN79"/>
      <c r="BO79"/>
      <c r="BP79"/>
      <c r="BQ79"/>
    </row>
    <row r="80" spans="1:69" ht="13" x14ac:dyDescent="0.3">
      <c r="BC80" s="2"/>
      <c r="BD80" s="2"/>
      <c r="BE80" s="2"/>
      <c r="BF80" s="2"/>
      <c r="BG80" s="2"/>
      <c r="BH80" s="2"/>
      <c r="BI80" s="2"/>
      <c r="BJ80" s="2"/>
      <c r="BK80" s="2"/>
      <c r="BL80" s="2"/>
      <c r="BM80" s="2"/>
      <c r="BN80" s="2"/>
      <c r="BO80" s="2"/>
      <c r="BP80" s="2"/>
      <c r="BQ80" s="2"/>
    </row>
    <row r="82" spans="1:69" ht="13" x14ac:dyDescent="0.3">
      <c r="AK82" s="2"/>
      <c r="AL82" s="2"/>
    </row>
    <row r="83" spans="1:69" ht="13" x14ac:dyDescent="0.3">
      <c r="C83" s="4"/>
      <c r="D83" s="5"/>
      <c r="G83" s="4"/>
      <c r="H83" s="5"/>
      <c r="K83" s="4"/>
      <c r="L83" s="5"/>
      <c r="O83" s="4"/>
      <c r="P83" s="5"/>
      <c r="S83" s="4"/>
      <c r="T83" s="5"/>
      <c r="W83" s="4"/>
      <c r="X83" s="5"/>
      <c r="AJ83" s="2"/>
      <c r="AL83" s="5"/>
    </row>
    <row r="84" spans="1:69" ht="13" x14ac:dyDescent="0.3">
      <c r="C84" s="4"/>
      <c r="D84" s="5"/>
      <c r="G84" s="4"/>
      <c r="H84" s="5"/>
      <c r="K84" s="4"/>
      <c r="L84" s="5"/>
      <c r="O84" s="4"/>
      <c r="P84" s="5"/>
      <c r="S84" s="4"/>
      <c r="T84" s="5"/>
      <c r="W84" s="4"/>
      <c r="X84" s="5"/>
      <c r="AA84" s="4"/>
      <c r="AB84" s="5"/>
      <c r="AJ84" s="2"/>
      <c r="AL84" s="5"/>
    </row>
    <row r="85" spans="1:69" ht="13" x14ac:dyDescent="0.3">
      <c r="C85" s="4"/>
      <c r="D85" s="5"/>
      <c r="G85" s="4"/>
      <c r="H85" s="5"/>
      <c r="K85" s="4"/>
      <c r="L85" s="5"/>
      <c r="O85" s="4"/>
      <c r="P85" s="5"/>
      <c r="S85" s="4"/>
      <c r="T85" s="5"/>
      <c r="W85" s="4"/>
      <c r="X85" s="5"/>
      <c r="AA85" s="4"/>
      <c r="AB85" s="5"/>
      <c r="AH85" s="2"/>
      <c r="AJ85" s="2"/>
      <c r="AL85" s="5"/>
    </row>
    <row r="86" spans="1:69" ht="13" x14ac:dyDescent="0.3">
      <c r="C86" s="4"/>
      <c r="D86" s="5"/>
      <c r="G86" s="7"/>
      <c r="H86" s="5"/>
      <c r="K86" s="7"/>
      <c r="L86" s="5"/>
      <c r="O86" s="4"/>
      <c r="P86" s="5"/>
      <c r="S86" s="7"/>
      <c r="T86" s="5"/>
      <c r="W86" s="7"/>
      <c r="X86" s="5"/>
      <c r="AA86" s="7"/>
      <c r="AH86" s="2"/>
      <c r="AI86" s="23"/>
      <c r="AJ86" s="23"/>
      <c r="AL86" s="5"/>
    </row>
    <row r="87" spans="1:69" ht="13" x14ac:dyDescent="0.3">
      <c r="C87" s="4"/>
      <c r="D87" s="5"/>
      <c r="G87" s="4"/>
      <c r="H87" s="5"/>
      <c r="K87" s="4"/>
      <c r="L87" s="5"/>
      <c r="O87" s="4"/>
      <c r="P87" s="5"/>
      <c r="S87" s="4"/>
      <c r="T87" s="5"/>
      <c r="W87" s="4"/>
      <c r="X87" s="5"/>
      <c r="AA87" s="4"/>
      <c r="AB87" s="5"/>
      <c r="AJ87" s="2"/>
      <c r="AL87" s="5"/>
    </row>
    <row r="88" spans="1:69" s="2" customFormat="1" ht="13" x14ac:dyDescent="0.3">
      <c r="B88" s="8"/>
      <c r="C88" s="26"/>
      <c r="D88" s="8"/>
      <c r="F88" s="8"/>
      <c r="G88" s="26"/>
      <c r="H88" s="8"/>
      <c r="J88" s="8"/>
      <c r="K88" s="26"/>
      <c r="L88" s="8"/>
      <c r="N88" s="8"/>
      <c r="O88" s="26"/>
      <c r="P88" s="8"/>
      <c r="R88" s="8"/>
      <c r="S88" s="26"/>
      <c r="T88" s="8"/>
      <c r="V88" s="8"/>
      <c r="W88" s="26"/>
      <c r="X88" s="8"/>
      <c r="Z88" s="8"/>
      <c r="AA88" s="26"/>
      <c r="AB88" s="8"/>
      <c r="AH88" s="24"/>
      <c r="AI88" s="24"/>
      <c r="AJ88" s="24"/>
      <c r="AK88" s="24"/>
      <c r="AL88" s="24"/>
      <c r="BC88"/>
      <c r="BD88"/>
      <c r="BE88"/>
      <c r="BF88"/>
      <c r="BG88"/>
      <c r="BH88"/>
      <c r="BI88"/>
      <c r="BJ88"/>
      <c r="BK88"/>
      <c r="BL88"/>
      <c r="BM88"/>
      <c r="BN88"/>
      <c r="BO88"/>
      <c r="BP88"/>
      <c r="BQ88"/>
    </row>
    <row r="89" spans="1:69" ht="13" x14ac:dyDescent="0.3">
      <c r="AL89" s="5"/>
      <c r="BC89" s="2"/>
      <c r="BD89" s="2"/>
      <c r="BE89" s="2"/>
      <c r="BF89" s="2"/>
      <c r="BG89" s="2"/>
      <c r="BH89" s="2"/>
      <c r="BI89" s="2"/>
      <c r="BJ89" s="2"/>
      <c r="BK89" s="2"/>
      <c r="BL89" s="2"/>
      <c r="BM89" s="2"/>
      <c r="BN89" s="2"/>
      <c r="BO89" s="2"/>
      <c r="BP89" s="2"/>
      <c r="BQ89" s="2"/>
    </row>
    <row r="90" spans="1:69" ht="13" x14ac:dyDescent="0.3">
      <c r="A90" s="2"/>
    </row>
    <row r="93" spans="1:69" x14ac:dyDescent="0.25">
      <c r="C93" s="7"/>
      <c r="D93" s="5"/>
      <c r="G93" s="7"/>
      <c r="H93" s="5"/>
    </row>
    <row r="94" spans="1:69" x14ac:dyDescent="0.25">
      <c r="G94" s="7"/>
      <c r="H94" s="5"/>
    </row>
    <row r="95" spans="1:69" x14ac:dyDescent="0.25">
      <c r="G95" s="7"/>
      <c r="H95" s="5"/>
    </row>
    <row r="96" spans="1:69" x14ac:dyDescent="0.25">
      <c r="O96" s="7"/>
      <c r="P96" s="5"/>
    </row>
    <row r="97" spans="1:69" x14ac:dyDescent="0.25">
      <c r="K97" s="7"/>
      <c r="L97" s="5"/>
      <c r="O97" s="7"/>
      <c r="P97" s="5"/>
    </row>
    <row r="98" spans="1:69" s="2" customFormat="1" ht="13" x14ac:dyDescent="0.3">
      <c r="B98" s="8"/>
      <c r="D98" s="8"/>
      <c r="F98" s="8"/>
      <c r="H98" s="8"/>
      <c r="J98" s="8"/>
      <c r="L98" s="8"/>
      <c r="N98" s="8"/>
      <c r="P98" s="8"/>
      <c r="S98" s="8"/>
      <c r="BC98"/>
      <c r="BD98"/>
      <c r="BE98"/>
      <c r="BF98"/>
      <c r="BG98"/>
      <c r="BH98"/>
      <c r="BI98"/>
      <c r="BJ98"/>
      <c r="BK98"/>
      <c r="BL98"/>
      <c r="BM98"/>
      <c r="BN98"/>
      <c r="BO98"/>
      <c r="BP98"/>
      <c r="BQ98"/>
    </row>
    <row r="99" spans="1:69" ht="13" x14ac:dyDescent="0.3">
      <c r="BC99" s="2"/>
      <c r="BD99" s="2"/>
      <c r="BE99" s="2"/>
      <c r="BF99" s="2"/>
      <c r="BG99" s="2"/>
      <c r="BH99" s="2"/>
      <c r="BI99" s="2"/>
      <c r="BJ99" s="2"/>
      <c r="BK99" s="2"/>
      <c r="BL99" s="2"/>
      <c r="BM99" s="2"/>
      <c r="BN99" s="2"/>
      <c r="BO99" s="2"/>
      <c r="BP99" s="2"/>
      <c r="BQ99" s="2"/>
    </row>
    <row r="101" spans="1:69" ht="13" x14ac:dyDescent="0.3">
      <c r="AK101" s="2"/>
      <c r="AL101" s="2"/>
    </row>
    <row r="102" spans="1:69" ht="13" x14ac:dyDescent="0.3">
      <c r="C102" s="4"/>
      <c r="D102" s="5"/>
      <c r="G102" s="4"/>
      <c r="H102" s="5"/>
      <c r="K102" s="4"/>
      <c r="L102" s="5"/>
      <c r="O102" s="4"/>
      <c r="P102" s="5"/>
      <c r="S102" s="4"/>
      <c r="T102" s="5"/>
      <c r="W102" s="7"/>
      <c r="X102" s="5"/>
      <c r="AA102" s="7"/>
      <c r="AB102" s="5"/>
      <c r="AJ102" s="2"/>
      <c r="AL102" s="5"/>
    </row>
    <row r="103" spans="1:69" ht="13" x14ac:dyDescent="0.3">
      <c r="C103" s="4"/>
      <c r="D103" s="5"/>
      <c r="G103" s="4"/>
      <c r="H103" s="5"/>
      <c r="K103" s="4"/>
      <c r="L103" s="5"/>
      <c r="O103" s="4"/>
      <c r="P103" s="5"/>
      <c r="S103" s="4"/>
      <c r="T103" s="5"/>
      <c r="W103" s="4"/>
      <c r="X103" s="5"/>
      <c r="AA103" s="4"/>
      <c r="AB103" s="5"/>
      <c r="AJ103" s="2"/>
      <c r="AL103" s="5"/>
    </row>
    <row r="104" spans="1:69" ht="13" x14ac:dyDescent="0.3">
      <c r="C104" s="4"/>
      <c r="D104" s="5"/>
      <c r="G104" s="4"/>
      <c r="H104" s="5"/>
      <c r="K104" s="4"/>
      <c r="L104" s="5"/>
      <c r="O104" s="4"/>
      <c r="P104" s="5"/>
      <c r="S104" s="4"/>
      <c r="T104" s="5"/>
      <c r="W104" s="4"/>
      <c r="X104" s="5"/>
      <c r="AA104" s="4"/>
      <c r="AB104" s="5"/>
      <c r="AH104" s="2"/>
      <c r="AJ104" s="2"/>
      <c r="AL104" s="5"/>
    </row>
    <row r="105" spans="1:69" ht="13" x14ac:dyDescent="0.3">
      <c r="C105" s="7"/>
      <c r="D105" s="5"/>
      <c r="G105" s="7"/>
      <c r="H105" s="5"/>
      <c r="K105" s="7"/>
      <c r="L105" s="5"/>
      <c r="AA105" s="7"/>
      <c r="AB105" s="5"/>
      <c r="AG105" s="2"/>
      <c r="AH105" s="2"/>
      <c r="AI105" s="23"/>
      <c r="AJ105" s="23"/>
      <c r="AL105" s="5"/>
    </row>
    <row r="106" spans="1:69" ht="13" x14ac:dyDescent="0.3">
      <c r="C106" s="4"/>
      <c r="D106" s="5"/>
      <c r="G106" s="7"/>
      <c r="H106" s="5"/>
      <c r="K106" s="4"/>
      <c r="L106" s="5"/>
      <c r="O106" s="4"/>
      <c r="P106" s="5"/>
      <c r="S106" s="4"/>
      <c r="T106" s="5"/>
      <c r="W106" s="4"/>
      <c r="X106" s="5"/>
      <c r="AA106" s="4"/>
      <c r="AB106" s="5"/>
      <c r="AJ106" s="2"/>
      <c r="AL106" s="5"/>
    </row>
    <row r="107" spans="1:69" s="2" customFormat="1" ht="13" x14ac:dyDescent="0.3">
      <c r="B107" s="8"/>
      <c r="C107" s="26"/>
      <c r="D107" s="8"/>
      <c r="F107" s="8"/>
      <c r="H107" s="8"/>
      <c r="J107" s="8"/>
      <c r="K107" s="26"/>
      <c r="L107" s="8"/>
      <c r="N107" s="8"/>
      <c r="O107" s="26"/>
      <c r="P107" s="8"/>
      <c r="R107" s="8"/>
      <c r="S107" s="26"/>
      <c r="T107" s="8"/>
      <c r="V107" s="8"/>
      <c r="W107" s="26"/>
      <c r="X107" s="8"/>
      <c r="Z107" s="8"/>
      <c r="AA107" s="26"/>
      <c r="AB107" s="8"/>
      <c r="AG107" s="8"/>
      <c r="AH107" s="24"/>
      <c r="AI107" s="24"/>
      <c r="AJ107" s="24"/>
      <c r="AK107" s="24"/>
      <c r="AL107" s="24"/>
      <c r="BC107"/>
      <c r="BD107"/>
      <c r="BE107"/>
      <c r="BF107"/>
      <c r="BG107"/>
      <c r="BH107"/>
      <c r="BI107"/>
      <c r="BJ107"/>
      <c r="BK107"/>
      <c r="BL107"/>
      <c r="BM107"/>
      <c r="BN107"/>
      <c r="BO107"/>
      <c r="BP107"/>
      <c r="BQ107"/>
    </row>
    <row r="108" spans="1:69" ht="13" x14ac:dyDescent="0.3">
      <c r="AL108" s="5"/>
      <c r="BC108" s="2"/>
      <c r="BD108" s="2"/>
      <c r="BE108" s="2"/>
      <c r="BF108" s="2"/>
      <c r="BG108" s="2"/>
      <c r="BH108" s="2"/>
      <c r="BI108" s="2"/>
      <c r="BJ108" s="2"/>
      <c r="BK108" s="2"/>
      <c r="BL108" s="2"/>
      <c r="BM108" s="2"/>
      <c r="BN108" s="2"/>
      <c r="BO108" s="2"/>
      <c r="BP108" s="2"/>
      <c r="BQ108" s="2"/>
    </row>
    <row r="109" spans="1:69" ht="13" x14ac:dyDescent="0.3">
      <c r="A109" s="2"/>
    </row>
    <row r="112" spans="1:69" ht="13" x14ac:dyDescent="0.3">
      <c r="C112" s="7"/>
      <c r="D112" s="5"/>
      <c r="G112" s="7"/>
      <c r="H112" s="5"/>
      <c r="AP112" s="2"/>
      <c r="AQ112" s="2"/>
      <c r="AR112" s="2"/>
      <c r="AS112" s="2"/>
      <c r="AT112" s="2"/>
      <c r="AU112" s="2"/>
      <c r="AV112" s="2"/>
      <c r="AW112" s="2"/>
      <c r="AX112" s="2"/>
      <c r="AY112" s="2"/>
    </row>
    <row r="113" spans="2:69" ht="13" x14ac:dyDescent="0.3">
      <c r="C113" s="7"/>
      <c r="D113" s="5"/>
      <c r="G113" s="9"/>
      <c r="K113" s="7"/>
      <c r="L113" s="5"/>
      <c r="AP113" s="2"/>
      <c r="AQ113" s="2"/>
      <c r="AR113" s="2"/>
      <c r="AS113" s="2"/>
      <c r="AT113" s="2"/>
      <c r="AU113" s="2"/>
      <c r="AV113" s="2"/>
      <c r="AW113" s="2"/>
      <c r="AX113" s="2"/>
      <c r="AY113" s="2"/>
    </row>
    <row r="114" spans="2:69" ht="13" x14ac:dyDescent="0.3">
      <c r="C114" s="7"/>
      <c r="D114" s="5"/>
      <c r="G114" s="9"/>
      <c r="K114" s="7"/>
      <c r="L114" s="5"/>
      <c r="AO114" s="23"/>
      <c r="AQ114" s="5"/>
      <c r="AS114" s="5"/>
      <c r="AU114" s="5"/>
      <c r="AW114" s="5"/>
      <c r="AY114" s="5"/>
    </row>
    <row r="115" spans="2:69" ht="13" x14ac:dyDescent="0.3">
      <c r="G115" s="9"/>
      <c r="K115" s="7"/>
      <c r="L115" s="5"/>
      <c r="AO115" s="2"/>
      <c r="AQ115" s="5"/>
      <c r="AS115" s="5"/>
      <c r="AU115" s="5"/>
      <c r="AW115" s="5"/>
      <c r="AY115" s="5"/>
    </row>
    <row r="116" spans="2:69" ht="13" x14ac:dyDescent="0.3">
      <c r="G116" s="7"/>
      <c r="H116" s="5"/>
      <c r="K116" s="7"/>
      <c r="L116" s="5"/>
      <c r="O116" s="7"/>
      <c r="P116" s="5"/>
      <c r="AO116" s="2"/>
      <c r="AQ116" s="5"/>
      <c r="AS116" s="5"/>
      <c r="AU116" s="5"/>
      <c r="AW116" s="5"/>
      <c r="AY116" s="5"/>
    </row>
    <row r="117" spans="2:69" ht="13" x14ac:dyDescent="0.3">
      <c r="O117" s="7"/>
      <c r="P117" s="5"/>
      <c r="AO117" s="2"/>
      <c r="AQ117" s="5"/>
      <c r="AS117" s="5"/>
      <c r="AU117" s="5"/>
      <c r="AW117" s="5"/>
      <c r="AY117" s="5"/>
    </row>
    <row r="118" spans="2:69" s="2" customFormat="1" ht="13" x14ac:dyDescent="0.3">
      <c r="B118" s="8"/>
      <c r="D118" s="8"/>
      <c r="F118" s="8"/>
      <c r="H118" s="8"/>
      <c r="J118" s="8"/>
      <c r="L118" s="8"/>
      <c r="N118" s="8"/>
      <c r="O118" s="25"/>
      <c r="P118" s="8"/>
      <c r="AP118"/>
      <c r="AQ118" s="5"/>
      <c r="AR118"/>
      <c r="AS118" s="5"/>
      <c r="AT118"/>
      <c r="AU118" s="5"/>
      <c r="AV118"/>
      <c r="AW118" s="5"/>
      <c r="AX118"/>
      <c r="AY118" s="5"/>
      <c r="BC118"/>
      <c r="BD118"/>
      <c r="BE118"/>
      <c r="BF118"/>
      <c r="BG118"/>
      <c r="BH118"/>
      <c r="BI118"/>
      <c r="BJ118"/>
      <c r="BK118"/>
      <c r="BL118"/>
      <c r="BM118"/>
      <c r="BN118"/>
      <c r="BO118"/>
      <c r="BP118"/>
      <c r="BQ118"/>
    </row>
    <row r="119" spans="2:69" ht="13" x14ac:dyDescent="0.3">
      <c r="AO119" s="2"/>
      <c r="AQ119" s="5"/>
      <c r="AS119" s="5"/>
      <c r="AU119" s="5"/>
      <c r="AW119" s="5"/>
      <c r="AY119" s="5"/>
      <c r="BC119" s="2"/>
      <c r="BD119" s="2"/>
      <c r="BE119" s="2"/>
      <c r="BF119" s="2"/>
      <c r="BG119" s="2"/>
      <c r="BH119" s="2"/>
      <c r="BI119" s="2"/>
      <c r="BJ119" s="2"/>
      <c r="BK119" s="2"/>
      <c r="BL119" s="2"/>
      <c r="BM119" s="2"/>
      <c r="BN119" s="2"/>
      <c r="BO119" s="2"/>
      <c r="BP119" s="2"/>
      <c r="BQ119" s="2"/>
    </row>
    <row r="121" spans="2:69" ht="13" x14ac:dyDescent="0.3">
      <c r="AK121" s="2"/>
      <c r="AL121" s="2"/>
    </row>
    <row r="122" spans="2:69" ht="13" x14ac:dyDescent="0.3">
      <c r="G122" s="4"/>
      <c r="H122" s="5"/>
      <c r="K122" s="4"/>
      <c r="L122" s="5"/>
      <c r="O122" s="4"/>
      <c r="P122" s="5"/>
      <c r="S122" s="4"/>
      <c r="T122" s="5"/>
      <c r="W122" s="4"/>
      <c r="X122" s="5"/>
      <c r="AA122" s="7"/>
      <c r="AB122" s="5"/>
      <c r="AJ122" s="2"/>
      <c r="AL122" s="5"/>
      <c r="AN122" s="2"/>
      <c r="AQ122" s="5"/>
      <c r="AS122" s="5"/>
      <c r="AU122" s="5"/>
      <c r="AW122" s="5"/>
      <c r="AY122" s="5"/>
    </row>
    <row r="123" spans="2:69" ht="13" x14ac:dyDescent="0.3">
      <c r="G123" s="4"/>
      <c r="H123" s="5"/>
      <c r="K123" s="4"/>
      <c r="L123" s="5"/>
      <c r="O123" s="4"/>
      <c r="P123" s="5"/>
      <c r="S123" s="4"/>
      <c r="T123" s="5"/>
      <c r="W123" s="4"/>
      <c r="X123" s="5"/>
      <c r="AA123" s="4"/>
      <c r="AB123" s="5"/>
      <c r="AJ123" s="2"/>
      <c r="AL123" s="5"/>
      <c r="AN123" s="2"/>
      <c r="AP123" s="5"/>
      <c r="AQ123" s="5"/>
      <c r="AR123" s="5"/>
      <c r="AS123" s="5"/>
      <c r="AT123" s="5"/>
      <c r="AU123" s="5"/>
      <c r="AV123" s="5"/>
      <c r="AW123" s="5"/>
      <c r="AX123" s="5"/>
      <c r="AY123" s="5"/>
    </row>
    <row r="124" spans="2:69" ht="13" x14ac:dyDescent="0.3">
      <c r="G124" s="4"/>
      <c r="H124" s="5"/>
      <c r="K124" s="4"/>
      <c r="L124" s="5"/>
      <c r="O124" s="4"/>
      <c r="P124" s="5"/>
      <c r="S124" s="4"/>
      <c r="T124" s="5"/>
      <c r="W124" s="4"/>
      <c r="X124" s="5"/>
      <c r="AA124" s="4"/>
      <c r="AB124" s="5"/>
      <c r="AH124" s="2"/>
      <c r="AJ124" s="2"/>
      <c r="AL124" s="5"/>
    </row>
    <row r="125" spans="2:69" ht="13" x14ac:dyDescent="0.3">
      <c r="G125" s="4"/>
      <c r="H125" s="5"/>
      <c r="K125" s="7"/>
      <c r="L125" s="5"/>
      <c r="O125" s="7"/>
      <c r="P125" s="5"/>
      <c r="W125" s="7"/>
      <c r="X125" s="5"/>
      <c r="AA125" s="7"/>
      <c r="AB125" s="5"/>
      <c r="AG125" s="2"/>
      <c r="AH125" s="2"/>
      <c r="AI125" s="23"/>
      <c r="AJ125" s="23"/>
      <c r="AL125" s="5"/>
    </row>
    <row r="126" spans="2:69" ht="13" x14ac:dyDescent="0.3">
      <c r="G126" s="4"/>
      <c r="H126" s="5"/>
      <c r="K126" s="4"/>
      <c r="L126" s="5"/>
      <c r="O126" s="4"/>
      <c r="P126" s="5"/>
      <c r="S126" s="4"/>
      <c r="T126" s="5"/>
      <c r="W126" s="4"/>
      <c r="X126" s="5"/>
      <c r="AA126" s="4"/>
      <c r="AB126" s="5"/>
      <c r="AJ126" s="2"/>
      <c r="AL126" s="5"/>
    </row>
    <row r="127" spans="2:69" s="2" customFormat="1" ht="13" x14ac:dyDescent="0.3">
      <c r="B127" s="8"/>
      <c r="F127" s="8"/>
      <c r="H127" s="8"/>
      <c r="J127" s="8"/>
      <c r="L127" s="8"/>
      <c r="N127" s="8"/>
      <c r="P127" s="8"/>
      <c r="R127" s="8"/>
      <c r="T127" s="8"/>
      <c r="V127" s="8"/>
      <c r="X127" s="8"/>
      <c r="Z127" s="8"/>
      <c r="AB127" s="8"/>
      <c r="AG127" s="8"/>
      <c r="AH127" s="24"/>
      <c r="AI127" s="24"/>
      <c r="AJ127" s="24"/>
      <c r="AK127" s="24"/>
      <c r="AL127" s="24"/>
      <c r="BC127"/>
      <c r="BD127"/>
      <c r="BE127"/>
      <c r="BF127"/>
      <c r="BG127"/>
      <c r="BH127"/>
      <c r="BI127"/>
      <c r="BJ127"/>
      <c r="BK127"/>
      <c r="BL127"/>
      <c r="BM127"/>
      <c r="BN127"/>
      <c r="BO127"/>
      <c r="BP127"/>
      <c r="BQ127"/>
    </row>
    <row r="128" spans="2:69" ht="13" x14ac:dyDescent="0.3">
      <c r="AL128" s="5"/>
      <c r="BC128" s="2"/>
      <c r="BD128" s="2"/>
      <c r="BE128" s="2"/>
      <c r="BF128" s="2"/>
      <c r="BG128" s="2"/>
      <c r="BH128" s="2"/>
      <c r="BI128" s="2"/>
      <c r="BJ128" s="2"/>
      <c r="BK128" s="2"/>
      <c r="BL128" s="2"/>
      <c r="BM128" s="2"/>
      <c r="BN128" s="2"/>
      <c r="BO128" s="2"/>
      <c r="BP128" s="2"/>
      <c r="BQ128" s="2"/>
    </row>
    <row r="132" spans="6:6" x14ac:dyDescent="0.25">
      <c r="F132" s="19"/>
    </row>
    <row r="133" spans="6:6" x14ac:dyDescent="0.25">
      <c r="F133" s="19"/>
    </row>
    <row r="134" spans="6:6" x14ac:dyDescent="0.25">
      <c r="F134" s="19"/>
    </row>
    <row r="135" spans="6:6" x14ac:dyDescent="0.25">
      <c r="F135" s="19"/>
    </row>
    <row r="136" spans="6:6" x14ac:dyDescent="0.25">
      <c r="F136" s="19"/>
    </row>
  </sheetData>
  <phoneticPr fontId="4" type="noConversion"/>
  <pageMargins left="0.75" right="0.75" top="1" bottom="1" header="0.5" footer="0.5"/>
  <pageSetup orientation="portrait" horizontalDpi="4294967293" verticalDpi="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V86"/>
  <sheetViews>
    <sheetView workbookViewId="0">
      <selection activeCell="I30" sqref="I30"/>
    </sheetView>
  </sheetViews>
  <sheetFormatPr defaultRowHeight="12.5" x14ac:dyDescent="0.25"/>
  <cols>
    <col min="1" max="1" width="11.7265625" customWidth="1"/>
    <col min="3" max="4" width="11.7265625" customWidth="1"/>
    <col min="5" max="5" width="2.26953125" customWidth="1"/>
    <col min="7" max="8" width="11.7265625" customWidth="1"/>
    <col min="9" max="9" width="2.26953125" customWidth="1"/>
    <col min="11" max="12" width="11.7265625" customWidth="1"/>
    <col min="13" max="13" width="2.26953125" customWidth="1"/>
    <col min="15" max="16" width="11.7265625" customWidth="1"/>
    <col min="17" max="17" width="2.26953125" customWidth="1"/>
    <col min="19" max="20" width="11.7265625" customWidth="1"/>
    <col min="21" max="21" width="2.26953125" customWidth="1"/>
    <col min="23" max="24" width="11.7265625" customWidth="1"/>
    <col min="25" max="25" width="2.26953125" customWidth="1"/>
    <col min="27" max="28" width="11.7265625" customWidth="1"/>
    <col min="29" max="29" width="2.26953125" customWidth="1"/>
    <col min="31" max="32" width="11.7265625" customWidth="1"/>
    <col min="33" max="33" width="2.26953125" customWidth="1"/>
    <col min="36" max="36" width="2.81640625" customWidth="1"/>
    <col min="37" max="37" width="11.26953125" customWidth="1"/>
    <col min="40" max="40" width="4.7265625" customWidth="1"/>
    <col min="42" max="42" width="11.81640625" customWidth="1"/>
    <col min="44" max="44" width="10.7265625" customWidth="1"/>
    <col min="61" max="61" width="12.453125" customWidth="1"/>
  </cols>
  <sheetData>
    <row r="1" spans="1:24" ht="15.5" x14ac:dyDescent="0.35">
      <c r="A1" s="1" t="s">
        <v>49</v>
      </c>
    </row>
    <row r="2" spans="1:24" ht="13" x14ac:dyDescent="0.3">
      <c r="A2" s="2"/>
    </row>
    <row r="3" spans="1:24" ht="13" x14ac:dyDescent="0.3">
      <c r="A3" s="2" t="s">
        <v>53</v>
      </c>
    </row>
    <row r="4" spans="1:24" s="2" customFormat="1" ht="13" x14ac:dyDescent="0.3">
      <c r="C4" s="2" t="s">
        <v>35</v>
      </c>
      <c r="G4" s="2" t="s">
        <v>34</v>
      </c>
      <c r="K4" s="2" t="s">
        <v>20</v>
      </c>
      <c r="O4" s="2" t="s">
        <v>21</v>
      </c>
      <c r="S4" s="2" t="s">
        <v>22</v>
      </c>
      <c r="W4" s="2" t="s">
        <v>23</v>
      </c>
    </row>
    <row r="5" spans="1:24" s="2" customFormat="1" ht="13" x14ac:dyDescent="0.3">
      <c r="B5" s="27" t="s">
        <v>44</v>
      </c>
      <c r="F5" s="27" t="s">
        <v>44</v>
      </c>
      <c r="J5" s="27" t="s">
        <v>44</v>
      </c>
      <c r="N5" s="27" t="s">
        <v>44</v>
      </c>
      <c r="R5" s="27" t="s">
        <v>44</v>
      </c>
      <c r="V5" s="27" t="s">
        <v>44</v>
      </c>
    </row>
    <row r="6" spans="1:24" x14ac:dyDescent="0.25">
      <c r="B6" t="s">
        <v>13</v>
      </c>
      <c r="C6" t="s">
        <v>51</v>
      </c>
      <c r="D6" t="s">
        <v>14</v>
      </c>
      <c r="F6" t="s">
        <v>13</v>
      </c>
      <c r="G6" t="s">
        <v>51</v>
      </c>
      <c r="H6" t="s">
        <v>14</v>
      </c>
      <c r="J6" t="s">
        <v>13</v>
      </c>
      <c r="K6" t="s">
        <v>51</v>
      </c>
      <c r="L6" t="s">
        <v>14</v>
      </c>
      <c r="N6" t="s">
        <v>13</v>
      </c>
      <c r="O6" t="s">
        <v>51</v>
      </c>
      <c r="P6" t="s">
        <v>14</v>
      </c>
      <c r="R6" t="s">
        <v>13</v>
      </c>
      <c r="S6" t="s">
        <v>51</v>
      </c>
      <c r="T6" t="s">
        <v>14</v>
      </c>
      <c r="V6" t="s">
        <v>13</v>
      </c>
      <c r="W6" t="s">
        <v>51</v>
      </c>
      <c r="X6" t="s">
        <v>14</v>
      </c>
    </row>
    <row r="7" spans="1:24" x14ac:dyDescent="0.25">
      <c r="A7" t="s">
        <v>31</v>
      </c>
      <c r="B7">
        <v>0</v>
      </c>
      <c r="F7">
        <v>2</v>
      </c>
      <c r="G7">
        <v>1</v>
      </c>
      <c r="H7" s="3">
        <f>G7/F7</f>
        <v>0.5</v>
      </c>
      <c r="J7">
        <v>1</v>
      </c>
      <c r="K7">
        <v>0</v>
      </c>
      <c r="L7" s="3">
        <f>K7/J7</f>
        <v>0</v>
      </c>
      <c r="N7">
        <v>8</v>
      </c>
      <c r="O7">
        <v>0</v>
      </c>
      <c r="P7" s="3">
        <f>O7/N7</f>
        <v>0</v>
      </c>
      <c r="R7">
        <v>54</v>
      </c>
      <c r="S7">
        <v>1</v>
      </c>
      <c r="T7" s="3">
        <f>S7/R7</f>
        <v>1.8518518518518517E-2</v>
      </c>
      <c r="V7">
        <v>102</v>
      </c>
      <c r="W7">
        <v>1</v>
      </c>
      <c r="X7" s="3">
        <f>W7/V7</f>
        <v>9.8039215686274508E-3</v>
      </c>
    </row>
    <row r="8" spans="1:24" x14ac:dyDescent="0.25">
      <c r="A8" t="s">
        <v>32</v>
      </c>
      <c r="B8">
        <v>0</v>
      </c>
      <c r="F8">
        <v>0</v>
      </c>
      <c r="J8">
        <v>0</v>
      </c>
      <c r="N8">
        <v>0</v>
      </c>
      <c r="R8">
        <v>0</v>
      </c>
      <c r="V8">
        <v>50</v>
      </c>
      <c r="W8">
        <v>0</v>
      </c>
      <c r="X8" s="3">
        <f>W8/V8</f>
        <v>0</v>
      </c>
    </row>
    <row r="9" spans="1:24" s="42" customFormat="1" x14ac:dyDescent="0.25">
      <c r="A9" s="42" t="s">
        <v>45</v>
      </c>
      <c r="B9" s="42">
        <v>0</v>
      </c>
      <c r="F9" s="42">
        <v>0</v>
      </c>
      <c r="J9" s="42">
        <v>0</v>
      </c>
      <c r="N9" s="42">
        <v>0</v>
      </c>
      <c r="R9" s="42">
        <v>0</v>
      </c>
      <c r="V9" s="42">
        <v>130</v>
      </c>
      <c r="W9" s="42">
        <v>4</v>
      </c>
      <c r="X9" s="43">
        <f>W9/V9</f>
        <v>3.0769230769230771E-2</v>
      </c>
    </row>
    <row r="10" spans="1:24" s="195" customFormat="1" ht="13" x14ac:dyDescent="0.3">
      <c r="A10" s="99" t="s">
        <v>61</v>
      </c>
      <c r="B10" s="195">
        <f>SUM(B7:B9)</f>
        <v>0</v>
      </c>
      <c r="D10" s="196"/>
      <c r="F10" s="195">
        <f>SUM(F7:F9)</f>
        <v>2</v>
      </c>
      <c r="G10" s="195">
        <f>SUM(G7:G9)</f>
        <v>1</v>
      </c>
      <c r="H10" s="196">
        <f>G10/F10</f>
        <v>0.5</v>
      </c>
      <c r="J10" s="195">
        <f>SUM(J7:J9)</f>
        <v>1</v>
      </c>
      <c r="K10" s="195">
        <f>SUM(K7:K9)</f>
        <v>0</v>
      </c>
      <c r="L10" s="196">
        <f>K10/J10</f>
        <v>0</v>
      </c>
      <c r="N10" s="195">
        <f>SUM(N7:N9)</f>
        <v>8</v>
      </c>
      <c r="O10" s="195">
        <f>SUM(O7:O9)</f>
        <v>0</v>
      </c>
      <c r="P10" s="196">
        <f>O10/N10</f>
        <v>0</v>
      </c>
      <c r="R10" s="195">
        <f>SUM(R7:R9)</f>
        <v>54</v>
      </c>
      <c r="S10" s="195">
        <f>SUM(S7:S9)</f>
        <v>1</v>
      </c>
      <c r="T10" s="196">
        <f>S10/R10</f>
        <v>1.8518518518518517E-2</v>
      </c>
      <c r="V10" s="195">
        <f>SUM(V7:V9)</f>
        <v>282</v>
      </c>
      <c r="W10" s="195">
        <f>SUM(W7:W9)</f>
        <v>5</v>
      </c>
      <c r="X10" s="196">
        <f>W10/V10</f>
        <v>1.7730496453900711E-2</v>
      </c>
    </row>
    <row r="11" spans="1:24" ht="13" x14ac:dyDescent="0.3">
      <c r="A11" s="23" t="s">
        <v>63</v>
      </c>
      <c r="B11">
        <v>0</v>
      </c>
      <c r="D11" s="3"/>
      <c r="F11">
        <v>0</v>
      </c>
      <c r="H11" s="3"/>
      <c r="J11">
        <v>0</v>
      </c>
      <c r="L11" s="3"/>
      <c r="N11" s="73">
        <v>0</v>
      </c>
      <c r="P11" s="3"/>
      <c r="R11" s="73">
        <v>0</v>
      </c>
      <c r="T11" s="3"/>
      <c r="V11" s="73">
        <v>0</v>
      </c>
      <c r="X11" s="3"/>
    </row>
    <row r="12" spans="1:24" ht="13" x14ac:dyDescent="0.3">
      <c r="A12" s="2">
        <v>2</v>
      </c>
      <c r="B12">
        <v>0</v>
      </c>
      <c r="D12" s="3"/>
      <c r="F12">
        <v>0</v>
      </c>
      <c r="H12" s="3"/>
      <c r="J12">
        <v>0</v>
      </c>
      <c r="L12" s="3"/>
      <c r="N12" s="73">
        <v>0</v>
      </c>
      <c r="P12" s="3"/>
      <c r="R12" s="73">
        <v>0</v>
      </c>
      <c r="T12" s="3"/>
      <c r="V12" s="73">
        <v>0</v>
      </c>
      <c r="X12" s="3"/>
    </row>
    <row r="13" spans="1:24" ht="13" x14ac:dyDescent="0.3">
      <c r="A13" s="2">
        <v>3</v>
      </c>
      <c r="B13">
        <v>0</v>
      </c>
      <c r="D13" s="3"/>
      <c r="F13">
        <v>0</v>
      </c>
      <c r="H13" s="3"/>
      <c r="J13">
        <v>0</v>
      </c>
      <c r="L13" s="3"/>
      <c r="N13" s="73">
        <v>0</v>
      </c>
      <c r="P13" s="3"/>
      <c r="R13" s="73">
        <v>0</v>
      </c>
      <c r="T13" s="3"/>
      <c r="V13" s="73">
        <v>0</v>
      </c>
      <c r="X13" s="3"/>
    </row>
    <row r="14" spans="1:24" ht="13" x14ac:dyDescent="0.3">
      <c r="A14" s="2">
        <v>4</v>
      </c>
      <c r="B14">
        <v>0</v>
      </c>
      <c r="D14" s="3"/>
      <c r="F14">
        <v>0</v>
      </c>
      <c r="H14" s="3"/>
      <c r="J14">
        <v>0</v>
      </c>
      <c r="L14" s="3"/>
      <c r="N14" s="73">
        <v>0</v>
      </c>
      <c r="P14" s="3"/>
      <c r="R14" s="73">
        <v>0</v>
      </c>
      <c r="T14" s="3"/>
      <c r="V14" s="73">
        <v>0</v>
      </c>
      <c r="X14" s="3"/>
    </row>
    <row r="15" spans="1:24" s="44" customFormat="1" ht="13" x14ac:dyDescent="0.3">
      <c r="A15" s="46">
        <v>5</v>
      </c>
      <c r="B15" s="44">
        <v>0</v>
      </c>
      <c r="D15" s="45"/>
      <c r="F15">
        <v>0</v>
      </c>
      <c r="H15" s="45"/>
      <c r="J15">
        <v>0</v>
      </c>
      <c r="L15" s="45"/>
      <c r="N15" s="73">
        <v>0</v>
      </c>
      <c r="P15" s="45"/>
      <c r="R15" s="73">
        <v>0</v>
      </c>
      <c r="T15" s="45"/>
      <c r="V15" s="73">
        <v>0</v>
      </c>
      <c r="X15" s="45"/>
    </row>
    <row r="16" spans="1:24" ht="13" x14ac:dyDescent="0.3">
      <c r="A16" s="2"/>
      <c r="D16" s="3"/>
      <c r="H16" s="3"/>
      <c r="J16">
        <v>0</v>
      </c>
      <c r="L16" s="3"/>
      <c r="N16" s="73">
        <v>63</v>
      </c>
      <c r="O16">
        <v>24</v>
      </c>
      <c r="P16" s="45">
        <f>O16/N16</f>
        <v>0.38095238095238093</v>
      </c>
      <c r="R16" s="73">
        <v>0</v>
      </c>
      <c r="T16" s="3"/>
      <c r="V16" s="73">
        <v>0</v>
      </c>
      <c r="X16" s="3"/>
    </row>
    <row r="17" spans="1:64" ht="13" x14ac:dyDescent="0.3">
      <c r="A17" s="2"/>
      <c r="P17" s="44"/>
    </row>
    <row r="18" spans="1:64" x14ac:dyDescent="0.25">
      <c r="P18" s="44"/>
    </row>
    <row r="19" spans="1:64" s="2" customFormat="1" ht="13" x14ac:dyDescent="0.3">
      <c r="C19" s="2" t="s">
        <v>12</v>
      </c>
      <c r="G19" s="2" t="s">
        <v>5</v>
      </c>
      <c r="K19" s="2" t="s">
        <v>6</v>
      </c>
      <c r="O19" s="2" t="s">
        <v>7</v>
      </c>
      <c r="S19" s="2" t="s">
        <v>8</v>
      </c>
      <c r="W19" s="2" t="s">
        <v>9</v>
      </c>
      <c r="AA19" s="2" t="s">
        <v>10</v>
      </c>
      <c r="AE19" s="2" t="s">
        <v>11</v>
      </c>
    </row>
    <row r="20" spans="1:64" s="2" customFormat="1" ht="13" x14ac:dyDescent="0.3">
      <c r="B20" s="27" t="s">
        <v>44</v>
      </c>
      <c r="F20" s="27" t="s">
        <v>44</v>
      </c>
      <c r="J20" s="27" t="s">
        <v>44</v>
      </c>
      <c r="N20" s="27" t="s">
        <v>44</v>
      </c>
      <c r="R20" s="27" t="s">
        <v>44</v>
      </c>
      <c r="V20" s="27" t="s">
        <v>44</v>
      </c>
      <c r="Z20" s="27" t="s">
        <v>44</v>
      </c>
      <c r="AD20" s="27" t="s">
        <v>44</v>
      </c>
    </row>
    <row r="21" spans="1:64" x14ac:dyDescent="0.25">
      <c r="B21" t="s">
        <v>13</v>
      </c>
      <c r="C21" t="s">
        <v>51</v>
      </c>
      <c r="D21" t="s">
        <v>14</v>
      </c>
      <c r="F21" t="s">
        <v>13</v>
      </c>
      <c r="G21" t="s">
        <v>51</v>
      </c>
      <c r="H21" t="s">
        <v>14</v>
      </c>
      <c r="J21" t="s">
        <v>13</v>
      </c>
      <c r="K21" t="s">
        <v>51</v>
      </c>
      <c r="L21" t="s">
        <v>14</v>
      </c>
      <c r="N21" t="s">
        <v>13</v>
      </c>
      <c r="O21" t="s">
        <v>51</v>
      </c>
      <c r="P21" t="s">
        <v>14</v>
      </c>
      <c r="R21" t="s">
        <v>13</v>
      </c>
      <c r="S21" t="s">
        <v>51</v>
      </c>
      <c r="T21" t="s">
        <v>14</v>
      </c>
      <c r="V21" t="s">
        <v>13</v>
      </c>
      <c r="W21" t="s">
        <v>51</v>
      </c>
      <c r="X21" t="s">
        <v>14</v>
      </c>
      <c r="Z21" t="s">
        <v>13</v>
      </c>
      <c r="AA21" t="s">
        <v>51</v>
      </c>
      <c r="AB21" t="s">
        <v>14</v>
      </c>
      <c r="AD21" t="s">
        <v>13</v>
      </c>
      <c r="AE21" t="s">
        <v>51</v>
      </c>
      <c r="AF21" t="s">
        <v>14</v>
      </c>
    </row>
    <row r="22" spans="1:64" x14ac:dyDescent="0.25">
      <c r="A22" s="32" t="s">
        <v>65</v>
      </c>
    </row>
    <row r="23" spans="1:64" x14ac:dyDescent="0.25">
      <c r="A23" s="32" t="s">
        <v>66</v>
      </c>
    </row>
    <row r="24" spans="1:64" x14ac:dyDescent="0.25">
      <c r="A24" t="s">
        <v>31</v>
      </c>
      <c r="B24">
        <v>131</v>
      </c>
      <c r="C24">
        <v>4</v>
      </c>
      <c r="D24" s="3">
        <f>C24/B24</f>
        <v>3.0534351145038167E-2</v>
      </c>
      <c r="F24">
        <v>90</v>
      </c>
      <c r="G24">
        <v>3</v>
      </c>
      <c r="H24" s="3">
        <f t="shared" ref="H24:H29" si="0">G24/F24</f>
        <v>3.3333333333333333E-2</v>
      </c>
      <c r="J24">
        <v>102</v>
      </c>
      <c r="K24">
        <v>0</v>
      </c>
      <c r="L24" s="3">
        <f t="shared" ref="L24:L29" si="1">K24/J24</f>
        <v>0</v>
      </c>
      <c r="N24">
        <v>64</v>
      </c>
      <c r="O24">
        <v>0</v>
      </c>
      <c r="P24" s="3">
        <f t="shared" ref="P24:P29" si="2">O24/N24</f>
        <v>0</v>
      </c>
      <c r="R24">
        <v>17</v>
      </c>
      <c r="S24">
        <v>0</v>
      </c>
      <c r="T24" s="3">
        <f>S24/R24</f>
        <v>0</v>
      </c>
      <c r="V24">
        <v>51</v>
      </c>
      <c r="W24">
        <v>0</v>
      </c>
      <c r="X24" s="3">
        <f>W24/V24</f>
        <v>0</v>
      </c>
      <c r="Z24">
        <f>SUM(Z19:Z21)</f>
        <v>0</v>
      </c>
      <c r="AD24">
        <f>SUM(AD19:AD21)</f>
        <v>0</v>
      </c>
    </row>
    <row r="25" spans="1:64" x14ac:dyDescent="0.25">
      <c r="A25" t="s">
        <v>32</v>
      </c>
      <c r="B25">
        <v>24</v>
      </c>
      <c r="C25">
        <v>0</v>
      </c>
      <c r="D25" s="3">
        <f>C25/B25</f>
        <v>0</v>
      </c>
      <c r="F25">
        <v>52</v>
      </c>
      <c r="G25">
        <v>5</v>
      </c>
      <c r="H25" s="3">
        <f t="shared" si="0"/>
        <v>9.6153846153846159E-2</v>
      </c>
      <c r="J25">
        <v>36</v>
      </c>
      <c r="K25">
        <v>1</v>
      </c>
      <c r="L25" s="3">
        <f t="shared" si="1"/>
        <v>2.7777777777777776E-2</v>
      </c>
      <c r="N25">
        <v>51</v>
      </c>
      <c r="O25">
        <v>1</v>
      </c>
      <c r="P25" s="3">
        <f t="shared" si="2"/>
        <v>1.9607843137254902E-2</v>
      </c>
      <c r="R25">
        <v>42</v>
      </c>
      <c r="S25">
        <v>1</v>
      </c>
      <c r="T25" s="3">
        <f>S25/R25</f>
        <v>2.3809523809523808E-2</v>
      </c>
      <c r="V25">
        <v>19</v>
      </c>
      <c r="W25">
        <v>0</v>
      </c>
      <c r="X25" s="3">
        <f>W25/V25</f>
        <v>0</v>
      </c>
      <c r="Z25">
        <v>21</v>
      </c>
      <c r="AA25">
        <v>0</v>
      </c>
      <c r="AB25" s="3">
        <f>AA25/Z25</f>
        <v>0</v>
      </c>
      <c r="AD25">
        <f>SUM(AD20:AD24)</f>
        <v>0</v>
      </c>
    </row>
    <row r="26" spans="1:64" s="42" customFormat="1" x14ac:dyDescent="0.25">
      <c r="A26" s="42" t="s">
        <v>45</v>
      </c>
      <c r="B26" s="42">
        <v>122</v>
      </c>
      <c r="C26" s="42">
        <v>3</v>
      </c>
      <c r="D26" s="43">
        <f>C26/B26</f>
        <v>2.4590163934426229E-2</v>
      </c>
      <c r="F26" s="42">
        <v>49</v>
      </c>
      <c r="G26" s="42">
        <v>0</v>
      </c>
      <c r="H26" s="43">
        <f t="shared" si="0"/>
        <v>0</v>
      </c>
      <c r="J26" s="42">
        <v>26</v>
      </c>
      <c r="K26" s="42">
        <v>0</v>
      </c>
      <c r="L26" s="43">
        <f t="shared" si="1"/>
        <v>0</v>
      </c>
      <c r="N26" s="42">
        <v>92</v>
      </c>
      <c r="O26" s="42">
        <v>0</v>
      </c>
      <c r="P26" s="43">
        <f t="shared" si="2"/>
        <v>0</v>
      </c>
      <c r="R26" s="42">
        <v>0</v>
      </c>
      <c r="V26" s="47">
        <v>0</v>
      </c>
      <c r="W26" s="47"/>
      <c r="X26" s="43"/>
      <c r="Z26" s="42">
        <v>0</v>
      </c>
      <c r="AD26" s="42">
        <f>SUM(AD21:AD25)</f>
        <v>0</v>
      </c>
    </row>
    <row r="27" spans="1:64" s="44" customFormat="1" ht="13" x14ac:dyDescent="0.3">
      <c r="A27" s="46" t="s">
        <v>61</v>
      </c>
      <c r="B27" s="44">
        <f>SUM(B24:B26)</f>
        <v>277</v>
      </c>
      <c r="C27" s="44">
        <f>SUM(C24:C26)</f>
        <v>7</v>
      </c>
      <c r="D27" s="45">
        <f>C27/B27</f>
        <v>2.5270758122743681E-2</v>
      </c>
      <c r="F27" s="44">
        <f>SUM(F24:F26)</f>
        <v>191</v>
      </c>
      <c r="G27" s="44">
        <f>SUM(G24:G26)</f>
        <v>8</v>
      </c>
      <c r="H27" s="45">
        <f t="shared" si="0"/>
        <v>4.1884816753926704E-2</v>
      </c>
      <c r="J27" s="44">
        <f>SUM(J24:J26)</f>
        <v>164</v>
      </c>
      <c r="K27" s="44">
        <f>SUM(K24:K26)</f>
        <v>1</v>
      </c>
      <c r="L27" s="45">
        <f t="shared" si="1"/>
        <v>6.0975609756097563E-3</v>
      </c>
      <c r="N27" s="44">
        <f>SUM(N24:N26)</f>
        <v>207</v>
      </c>
      <c r="O27" s="44">
        <f>SUM(O24:O26)</f>
        <v>1</v>
      </c>
      <c r="P27" s="45">
        <f t="shared" si="2"/>
        <v>4.830917874396135E-3</v>
      </c>
      <c r="R27" s="44">
        <f>SUM(R24:R26)</f>
        <v>59</v>
      </c>
      <c r="S27" s="44">
        <f>SUM(S24:S26)</f>
        <v>1</v>
      </c>
      <c r="T27" s="45">
        <f>S27/R27</f>
        <v>1.6949152542372881E-2</v>
      </c>
      <c r="V27" s="44">
        <f>SUM(V24:V26)</f>
        <v>70</v>
      </c>
      <c r="W27" s="44">
        <f>SUM(W24:W26)</f>
        <v>0</v>
      </c>
      <c r="X27" s="45">
        <f>W27/V27</f>
        <v>0</v>
      </c>
      <c r="Z27" s="44">
        <f>SUM(Z24:Z26)</f>
        <v>21</v>
      </c>
      <c r="AA27" s="44">
        <f>SUM(AA24:AA26)</f>
        <v>0</v>
      </c>
      <c r="AB27" s="45">
        <f>AA27/Z27</f>
        <v>0</v>
      </c>
      <c r="AD27" s="44">
        <f>SUM(AD24:AD26)</f>
        <v>0</v>
      </c>
      <c r="AF27" s="45"/>
    </row>
    <row r="28" spans="1:64" ht="13" x14ac:dyDescent="0.3">
      <c r="A28" s="23" t="s">
        <v>63</v>
      </c>
      <c r="B28">
        <v>0</v>
      </c>
      <c r="D28" s="3"/>
      <c r="F28">
        <v>54</v>
      </c>
      <c r="G28">
        <v>7</v>
      </c>
      <c r="H28" s="3">
        <f t="shared" si="0"/>
        <v>0.12962962962962962</v>
      </c>
      <c r="J28">
        <v>168</v>
      </c>
      <c r="K28">
        <v>11</v>
      </c>
      <c r="L28" s="3">
        <f t="shared" si="1"/>
        <v>6.5476190476190479E-2</v>
      </c>
      <c r="N28">
        <v>64</v>
      </c>
      <c r="O28">
        <v>4</v>
      </c>
      <c r="P28" s="3">
        <f t="shared" si="2"/>
        <v>6.25E-2</v>
      </c>
      <c r="R28">
        <v>137</v>
      </c>
      <c r="S28">
        <v>38</v>
      </c>
      <c r="T28" s="3">
        <f>S28/R28</f>
        <v>0.27737226277372262</v>
      </c>
      <c r="V28">
        <v>12</v>
      </c>
      <c r="W28">
        <v>0</v>
      </c>
      <c r="X28" s="3">
        <f>W28/V28</f>
        <v>0</v>
      </c>
      <c r="Z28">
        <v>0</v>
      </c>
      <c r="AA28">
        <v>0</v>
      </c>
      <c r="AD28">
        <v>0</v>
      </c>
      <c r="AE28">
        <v>0</v>
      </c>
      <c r="AH28" s="4"/>
      <c r="AM28" s="3"/>
    </row>
    <row r="29" spans="1:64" ht="13" x14ac:dyDescent="0.3">
      <c r="A29" s="2">
        <v>2</v>
      </c>
      <c r="B29">
        <v>0</v>
      </c>
      <c r="D29" s="3"/>
      <c r="F29">
        <v>88</v>
      </c>
      <c r="G29">
        <v>14</v>
      </c>
      <c r="H29" s="3">
        <f t="shared" si="0"/>
        <v>0.15909090909090909</v>
      </c>
      <c r="J29">
        <v>278</v>
      </c>
      <c r="K29">
        <v>25</v>
      </c>
      <c r="L29" s="3">
        <f t="shared" si="1"/>
        <v>8.9928057553956831E-2</v>
      </c>
      <c r="N29">
        <v>93</v>
      </c>
      <c r="O29">
        <v>4</v>
      </c>
      <c r="P29" s="3">
        <f t="shared" si="2"/>
        <v>4.3010752688172046E-2</v>
      </c>
      <c r="R29">
        <v>326</v>
      </c>
      <c r="S29">
        <v>15</v>
      </c>
      <c r="T29" s="3">
        <f>S29/R29</f>
        <v>4.6012269938650305E-2</v>
      </c>
      <c r="V29">
        <v>264</v>
      </c>
      <c r="W29">
        <v>19</v>
      </c>
      <c r="X29" s="3">
        <f>W29/V29</f>
        <v>7.1969696969696975E-2</v>
      </c>
      <c r="Z29">
        <v>153</v>
      </c>
      <c r="AA29">
        <v>9</v>
      </c>
      <c r="AB29" s="3">
        <f>AA29/Z29</f>
        <v>5.8823529411764705E-2</v>
      </c>
      <c r="AD29">
        <v>84</v>
      </c>
      <c r="AE29">
        <v>5</v>
      </c>
      <c r="AF29" s="3">
        <f>AE29/AD29</f>
        <v>5.9523809523809521E-2</v>
      </c>
      <c r="AH29" s="4"/>
      <c r="AM29" s="3"/>
    </row>
    <row r="30" spans="1:64" ht="13" x14ac:dyDescent="0.3">
      <c r="A30" s="2">
        <v>3</v>
      </c>
      <c r="B30">
        <v>0</v>
      </c>
      <c r="D30" s="3"/>
      <c r="F30">
        <v>0</v>
      </c>
      <c r="H30" s="3"/>
      <c r="J30">
        <v>0</v>
      </c>
      <c r="L30" s="3"/>
      <c r="N30">
        <v>0</v>
      </c>
      <c r="P30" s="3"/>
      <c r="R30">
        <v>0</v>
      </c>
      <c r="T30" s="3"/>
      <c r="V30">
        <v>19</v>
      </c>
      <c r="W30">
        <v>0</v>
      </c>
      <c r="X30" s="3">
        <f>W30/V30</f>
        <v>0</v>
      </c>
      <c r="Z30">
        <v>0</v>
      </c>
      <c r="AA30">
        <v>0</v>
      </c>
      <c r="AD30">
        <v>12</v>
      </c>
      <c r="AE30">
        <v>2</v>
      </c>
      <c r="AF30" s="3">
        <f>AE30/AD30</f>
        <v>0.16666666666666666</v>
      </c>
      <c r="AH30" s="4"/>
      <c r="AM30" s="3"/>
    </row>
    <row r="31" spans="1:64" ht="13" x14ac:dyDescent="0.3">
      <c r="A31" s="2">
        <v>4</v>
      </c>
      <c r="B31">
        <v>0</v>
      </c>
      <c r="D31" s="3"/>
      <c r="F31">
        <v>0</v>
      </c>
      <c r="H31" s="3"/>
      <c r="J31">
        <v>0</v>
      </c>
      <c r="L31" s="3"/>
      <c r="N31">
        <v>0</v>
      </c>
      <c r="P31" s="3"/>
      <c r="R31">
        <v>0</v>
      </c>
      <c r="T31" s="3"/>
      <c r="V31">
        <v>0</v>
      </c>
      <c r="W31">
        <v>0</v>
      </c>
      <c r="Z31">
        <v>0</v>
      </c>
      <c r="AA31">
        <v>0</v>
      </c>
      <c r="AD31">
        <v>0</v>
      </c>
      <c r="AE31">
        <v>0</v>
      </c>
      <c r="BL31" s="4"/>
    </row>
    <row r="32" spans="1:64" ht="13" x14ac:dyDescent="0.3">
      <c r="A32" s="2">
        <v>5</v>
      </c>
      <c r="B32">
        <v>0</v>
      </c>
      <c r="D32" s="3"/>
      <c r="F32">
        <v>0</v>
      </c>
      <c r="H32" s="3"/>
      <c r="J32">
        <v>0</v>
      </c>
      <c r="L32" s="3"/>
      <c r="N32">
        <v>0</v>
      </c>
      <c r="P32" s="3"/>
      <c r="R32">
        <v>0</v>
      </c>
      <c r="T32" s="3"/>
      <c r="V32">
        <v>0</v>
      </c>
      <c r="W32">
        <v>0</v>
      </c>
      <c r="Z32">
        <v>0</v>
      </c>
      <c r="AA32">
        <v>0</v>
      </c>
      <c r="AD32">
        <v>0</v>
      </c>
      <c r="AE32">
        <v>0</v>
      </c>
      <c r="BL32" s="4"/>
    </row>
    <row r="33" spans="1:256" x14ac:dyDescent="0.25">
      <c r="F33">
        <f>SUM(F28:F32)</f>
        <v>142</v>
      </c>
      <c r="G33">
        <f>SUM(G28:G32)</f>
        <v>21</v>
      </c>
      <c r="H33" s="3">
        <f>G33/F33</f>
        <v>0.14788732394366197</v>
      </c>
      <c r="J33">
        <f>SUM(J28:J32)</f>
        <v>446</v>
      </c>
      <c r="K33">
        <f>SUM(K28:K32)</f>
        <v>36</v>
      </c>
      <c r="L33" s="3">
        <f>K33/J33</f>
        <v>8.0717488789237665E-2</v>
      </c>
      <c r="N33">
        <f>SUM(N28:N32)</f>
        <v>157</v>
      </c>
      <c r="O33">
        <f>SUM(O28:O32)</f>
        <v>8</v>
      </c>
      <c r="P33" s="3">
        <f>O33/N33</f>
        <v>5.0955414012738856E-2</v>
      </c>
      <c r="R33">
        <f>SUM(R28:R32)</f>
        <v>463</v>
      </c>
      <c r="S33">
        <f>SUM(S28:S32)</f>
        <v>53</v>
      </c>
      <c r="T33" s="3">
        <f>S33/R33</f>
        <v>0.11447084233261338</v>
      </c>
      <c r="V33">
        <f>SUM(V28:V32)</f>
        <v>295</v>
      </c>
      <c r="W33">
        <f>SUM(W28:W32)</f>
        <v>19</v>
      </c>
      <c r="X33" s="3">
        <f>W33/V33</f>
        <v>6.4406779661016947E-2</v>
      </c>
      <c r="Z33">
        <f>SUM(Z28:Z32)</f>
        <v>153</v>
      </c>
      <c r="AA33">
        <f>SUM(AA28:AA32)</f>
        <v>9</v>
      </c>
      <c r="AB33" s="3">
        <f>AA33/Z33</f>
        <v>5.8823529411764705E-2</v>
      </c>
      <c r="AD33">
        <f>SUM(AD28:AD32)</f>
        <v>96</v>
      </c>
      <c r="AE33">
        <f>SUM(AE28:AE32)</f>
        <v>7</v>
      </c>
      <c r="AF33" s="3">
        <f>AE33/AD33</f>
        <v>7.2916666666666671E-2</v>
      </c>
      <c r="BL33" s="4"/>
      <c r="IV33">
        <f>SUM(IV28:IV32)</f>
        <v>0</v>
      </c>
    </row>
    <row r="34" spans="1:256" ht="15.5" x14ac:dyDescent="0.35">
      <c r="A34" s="1" t="s">
        <v>64</v>
      </c>
      <c r="BJ34" s="14"/>
      <c r="BL34" s="4"/>
    </row>
    <row r="35" spans="1:256" ht="13" x14ac:dyDescent="0.3">
      <c r="A35" s="2"/>
      <c r="BJ35" s="14"/>
      <c r="BL35" s="4"/>
    </row>
    <row r="36" spans="1:256" ht="13" x14ac:dyDescent="0.3">
      <c r="B36" s="27" t="s">
        <v>44</v>
      </c>
      <c r="C36" s="2"/>
      <c r="D36" s="2"/>
      <c r="AT36" s="4"/>
      <c r="AU36" s="4"/>
      <c r="AV36" s="4"/>
      <c r="AW36" s="4"/>
      <c r="AX36" s="4"/>
      <c r="BJ36" s="14"/>
      <c r="BL36" s="4"/>
    </row>
    <row r="37" spans="1:256" x14ac:dyDescent="0.25">
      <c r="B37" t="s">
        <v>13</v>
      </c>
      <c r="C37" t="s">
        <v>51</v>
      </c>
      <c r="D37" t="s">
        <v>14</v>
      </c>
      <c r="AT37" s="4"/>
      <c r="AU37" s="4"/>
      <c r="AV37" s="4"/>
      <c r="AW37" s="4"/>
      <c r="AX37" s="4"/>
      <c r="BJ37" s="14"/>
      <c r="BL37" s="4"/>
    </row>
    <row r="38" spans="1:256" x14ac:dyDescent="0.25">
      <c r="A38" t="s">
        <v>31</v>
      </c>
      <c r="B38">
        <f t="shared" ref="B38:C40" si="3">B24+F24+J24+N24+R24+V24+Z24+AD24+B7+F7+J7+N7+R7+V7</f>
        <v>622</v>
      </c>
      <c r="C38">
        <f t="shared" si="3"/>
        <v>10</v>
      </c>
      <c r="D38" s="3">
        <f t="shared" ref="D38:D44" si="4">C38/B38</f>
        <v>1.607717041800643E-2</v>
      </c>
      <c r="AT38" s="4"/>
      <c r="AU38" s="4"/>
      <c r="AV38" s="4"/>
      <c r="AW38" s="4"/>
      <c r="AX38" s="4"/>
      <c r="BJ38" s="14"/>
      <c r="BL38" s="4"/>
    </row>
    <row r="39" spans="1:256" x14ac:dyDescent="0.25">
      <c r="A39" t="s">
        <v>32</v>
      </c>
      <c r="B39">
        <f t="shared" si="3"/>
        <v>295</v>
      </c>
      <c r="C39">
        <f t="shared" si="3"/>
        <v>8</v>
      </c>
      <c r="D39" s="3">
        <f t="shared" si="4"/>
        <v>2.7118644067796609E-2</v>
      </c>
      <c r="AT39" s="4"/>
      <c r="AU39" s="4"/>
      <c r="AV39" s="4"/>
      <c r="AW39" s="4"/>
      <c r="AX39" s="4"/>
      <c r="BJ39" s="14"/>
      <c r="BL39" s="4"/>
    </row>
    <row r="40" spans="1:256" x14ac:dyDescent="0.25">
      <c r="A40" s="42" t="s">
        <v>45</v>
      </c>
      <c r="B40" s="42">
        <f t="shared" si="3"/>
        <v>419</v>
      </c>
      <c r="C40" s="42">
        <f t="shared" si="3"/>
        <v>7</v>
      </c>
      <c r="D40" s="43">
        <f t="shared" si="4"/>
        <v>1.6706443914081145E-2</v>
      </c>
      <c r="AT40" s="4"/>
      <c r="AU40" s="4"/>
      <c r="AV40" s="4"/>
      <c r="AW40" s="4"/>
      <c r="AX40" s="4"/>
      <c r="BJ40" s="14"/>
      <c r="BL40" s="4"/>
    </row>
    <row r="41" spans="1:256" ht="13" x14ac:dyDescent="0.3">
      <c r="A41" s="46" t="s">
        <v>61</v>
      </c>
      <c r="B41" s="44">
        <f>SUM(B38:B40)</f>
        <v>1336</v>
      </c>
      <c r="C41" s="44">
        <f>SUM(C38:C40)</f>
        <v>25</v>
      </c>
      <c r="D41" s="45">
        <f t="shared" si="4"/>
        <v>1.87125748502994E-2</v>
      </c>
      <c r="AT41" s="4"/>
      <c r="AU41" s="4"/>
      <c r="AV41" s="4"/>
      <c r="AW41" s="4"/>
      <c r="AX41" s="4"/>
      <c r="BJ41" s="14"/>
      <c r="BL41" s="4"/>
    </row>
    <row r="42" spans="1:256" ht="13" x14ac:dyDescent="0.3">
      <c r="A42" s="2">
        <v>1</v>
      </c>
      <c r="B42">
        <f t="shared" ref="B42:C44" si="5">B28+F28+J28+N28+R28+V28+Z28+AD28</f>
        <v>435</v>
      </c>
      <c r="C42">
        <f t="shared" si="5"/>
        <v>60</v>
      </c>
      <c r="D42" s="3">
        <f t="shared" si="4"/>
        <v>0.13793103448275862</v>
      </c>
      <c r="AT42" s="4"/>
      <c r="AU42" s="4"/>
      <c r="AV42" s="4"/>
      <c r="AW42" s="4"/>
      <c r="AX42" s="4"/>
    </row>
    <row r="43" spans="1:256" ht="13" x14ac:dyDescent="0.3">
      <c r="A43" s="2">
        <v>2</v>
      </c>
      <c r="B43">
        <f t="shared" si="5"/>
        <v>1286</v>
      </c>
      <c r="C43">
        <f t="shared" si="5"/>
        <v>91</v>
      </c>
      <c r="D43" s="3">
        <f t="shared" si="4"/>
        <v>7.0762052877138409E-2</v>
      </c>
      <c r="H43" s="3"/>
      <c r="L43" s="3"/>
      <c r="P43" s="3"/>
      <c r="T43" s="3"/>
      <c r="AH43" s="4"/>
      <c r="AM43" s="3"/>
      <c r="AT43" s="4"/>
      <c r="AU43" s="4"/>
      <c r="AV43" s="4"/>
      <c r="AW43" s="4"/>
      <c r="AX43" s="4"/>
    </row>
    <row r="44" spans="1:256" ht="13" x14ac:dyDescent="0.3">
      <c r="A44" s="2">
        <v>3</v>
      </c>
      <c r="B44">
        <f t="shared" si="5"/>
        <v>31</v>
      </c>
      <c r="C44">
        <f t="shared" si="5"/>
        <v>2</v>
      </c>
      <c r="D44" s="3">
        <f t="shared" si="4"/>
        <v>6.4516129032258063E-2</v>
      </c>
      <c r="H44" s="3"/>
      <c r="L44" s="3"/>
      <c r="P44" s="3"/>
      <c r="T44" s="3"/>
      <c r="X44" s="3"/>
      <c r="AB44" s="3"/>
      <c r="AH44" s="4"/>
      <c r="AM44" s="3"/>
      <c r="AT44" s="4"/>
      <c r="AU44" s="4"/>
      <c r="AV44" s="4"/>
      <c r="AW44" s="4"/>
      <c r="AX44" s="4"/>
    </row>
    <row r="45" spans="1:256" ht="13" x14ac:dyDescent="0.3">
      <c r="A45" s="2">
        <v>4</v>
      </c>
      <c r="B45">
        <f>B31+F31+J31+N31+R31+V31+Z31+AD31</f>
        <v>0</v>
      </c>
      <c r="C45" s="48" t="s">
        <v>74</v>
      </c>
      <c r="D45" s="48"/>
      <c r="H45" s="3"/>
      <c r="L45" s="3"/>
      <c r="P45" s="3"/>
      <c r="T45" s="3"/>
      <c r="X45" s="3"/>
      <c r="AB45" s="3"/>
      <c r="AH45" s="4"/>
      <c r="AM45" s="3"/>
      <c r="AT45" s="4"/>
      <c r="AU45" s="4"/>
      <c r="AV45" s="4"/>
      <c r="AW45" s="4"/>
      <c r="AX45" s="4"/>
    </row>
    <row r="46" spans="1:256" ht="13" x14ac:dyDescent="0.3">
      <c r="A46" s="2">
        <v>5</v>
      </c>
      <c r="B46">
        <f>B32+F32+J32+N32+R32+V32+Z32+AD32</f>
        <v>0</v>
      </c>
      <c r="C46" s="48" t="s">
        <v>74</v>
      </c>
      <c r="D46" s="48"/>
    </row>
    <row r="47" spans="1:256" x14ac:dyDescent="0.25">
      <c r="P47" s="3"/>
      <c r="T47" s="3"/>
      <c r="AH47" s="4"/>
      <c r="AM47" s="3"/>
    </row>
    <row r="49" spans="1:55" ht="13" x14ac:dyDescent="0.3">
      <c r="A49" s="2"/>
    </row>
    <row r="51" spans="1:55" x14ac:dyDescent="0.25">
      <c r="AV51" s="4"/>
      <c r="AW51" s="4"/>
      <c r="AX51" s="4"/>
      <c r="AY51" s="4"/>
      <c r="AZ51" s="4"/>
      <c r="BA51" s="4"/>
    </row>
    <row r="52" spans="1:55" x14ac:dyDescent="0.25">
      <c r="AV52" s="4"/>
      <c r="AW52" s="4"/>
      <c r="AX52" s="4"/>
      <c r="AY52" s="4"/>
      <c r="AZ52" s="4"/>
      <c r="BA52" s="4"/>
      <c r="BB52" s="3"/>
      <c r="BC52" s="3"/>
    </row>
    <row r="53" spans="1:55" x14ac:dyDescent="0.25">
      <c r="D53" s="3"/>
      <c r="H53" s="3"/>
      <c r="L53" s="3"/>
      <c r="P53" s="3"/>
      <c r="T53" s="3"/>
      <c r="X53" s="3"/>
      <c r="AH53" s="4"/>
      <c r="AM53" s="3"/>
      <c r="AV53" s="4"/>
      <c r="AW53" s="4"/>
      <c r="AX53" s="4"/>
      <c r="AY53" s="4"/>
      <c r="AZ53" s="4"/>
      <c r="BA53" s="4"/>
      <c r="BB53" s="3"/>
      <c r="BC53" s="3"/>
    </row>
    <row r="54" spans="1:55" x14ac:dyDescent="0.25">
      <c r="D54" s="3"/>
      <c r="H54" s="3"/>
      <c r="L54" s="3"/>
      <c r="P54" s="3"/>
      <c r="T54" s="3"/>
      <c r="X54" s="3"/>
      <c r="AB54" s="3"/>
      <c r="AH54" s="4"/>
      <c r="AM54" s="3"/>
      <c r="AV54" s="4"/>
      <c r="AW54" s="4"/>
      <c r="AX54" s="4"/>
      <c r="AY54" s="4"/>
      <c r="AZ54" s="4"/>
      <c r="BA54" s="4"/>
    </row>
    <row r="55" spans="1:55" x14ac:dyDescent="0.25">
      <c r="D55" s="3"/>
      <c r="H55" s="3"/>
      <c r="L55" s="3"/>
      <c r="P55" s="3"/>
      <c r="T55" s="3"/>
      <c r="X55" s="3"/>
      <c r="AB55" s="3"/>
      <c r="AH55" s="4"/>
      <c r="AM55" s="3"/>
      <c r="AV55" s="4"/>
      <c r="AW55" s="4"/>
      <c r="AX55" s="4"/>
      <c r="AY55" s="4"/>
      <c r="AZ55" s="4"/>
      <c r="BA55" s="4"/>
      <c r="BB55" s="3"/>
    </row>
    <row r="56" spans="1:55" x14ac:dyDescent="0.25">
      <c r="D56" s="3"/>
      <c r="H56" s="3"/>
      <c r="L56" s="3"/>
      <c r="P56" s="3"/>
      <c r="AH56" s="4"/>
      <c r="AM56" s="3"/>
      <c r="AP56" s="3"/>
      <c r="AQ56" s="3"/>
      <c r="AR56" s="3"/>
      <c r="AS56" s="3"/>
      <c r="AT56" s="3"/>
      <c r="AU56" s="3"/>
      <c r="AV56" s="3"/>
      <c r="AW56" s="3"/>
      <c r="AX56" s="3"/>
      <c r="AY56" s="3"/>
      <c r="AZ56" s="3"/>
      <c r="BA56" s="3"/>
      <c r="BB56" s="3"/>
      <c r="BC56" s="3"/>
    </row>
    <row r="57" spans="1:55" x14ac:dyDescent="0.25">
      <c r="D57" s="3"/>
      <c r="H57" s="3"/>
      <c r="L57" s="3"/>
      <c r="P57" s="3"/>
      <c r="T57" s="3"/>
      <c r="X57" s="3"/>
      <c r="AB57" s="3"/>
      <c r="AH57" s="4"/>
      <c r="AM57" s="3"/>
    </row>
    <row r="59" spans="1:55" ht="13" x14ac:dyDescent="0.3">
      <c r="A59" s="2"/>
    </row>
    <row r="63" spans="1:55" x14ac:dyDescent="0.25">
      <c r="D63" s="3"/>
      <c r="H63" s="3"/>
      <c r="L63" s="3"/>
      <c r="P63" s="3"/>
      <c r="T63" s="3"/>
      <c r="AH63" s="4"/>
      <c r="AM63" s="3"/>
    </row>
    <row r="64" spans="1:55" x14ac:dyDescent="0.25">
      <c r="D64" s="3"/>
      <c r="H64" s="3"/>
      <c r="L64" s="3"/>
      <c r="P64" s="3"/>
      <c r="T64" s="3"/>
      <c r="X64" s="3"/>
      <c r="AB64" s="3"/>
      <c r="AH64" s="4"/>
      <c r="AM64" s="3"/>
    </row>
    <row r="65" spans="1:39" x14ac:dyDescent="0.25">
      <c r="D65" s="3"/>
      <c r="H65" s="3"/>
      <c r="L65" s="3"/>
      <c r="P65" s="3"/>
      <c r="T65" s="3"/>
      <c r="X65" s="3"/>
      <c r="AB65" s="3"/>
      <c r="AH65" s="4"/>
      <c r="AM65" s="3"/>
    </row>
    <row r="66" spans="1:39" x14ac:dyDescent="0.25">
      <c r="D66" s="3"/>
    </row>
    <row r="67" spans="1:39" x14ac:dyDescent="0.25">
      <c r="D67" s="3"/>
      <c r="L67" s="3"/>
      <c r="P67" s="3"/>
      <c r="T67" s="3"/>
      <c r="X67" s="3"/>
      <c r="AB67" s="3"/>
      <c r="AH67" s="4"/>
      <c r="AM67" s="3"/>
    </row>
    <row r="69" spans="1:39" ht="13" x14ac:dyDescent="0.3">
      <c r="A69" s="2"/>
    </row>
    <row r="73" spans="1:39" x14ac:dyDescent="0.25">
      <c r="H73" s="3"/>
      <c r="L73" s="3"/>
      <c r="P73" s="3"/>
      <c r="T73" s="3"/>
      <c r="X73" s="3"/>
      <c r="AH73" s="4"/>
      <c r="AM73" s="3"/>
    </row>
    <row r="74" spans="1:39" x14ac:dyDescent="0.25">
      <c r="H74" s="3"/>
      <c r="L74" s="3"/>
      <c r="P74" s="3"/>
      <c r="T74" s="3"/>
      <c r="X74" s="3"/>
      <c r="AB74" s="3"/>
      <c r="AH74" s="4"/>
      <c r="AM74" s="3"/>
    </row>
    <row r="75" spans="1:39" x14ac:dyDescent="0.25">
      <c r="H75" s="3"/>
      <c r="L75" s="3"/>
      <c r="P75" s="3"/>
      <c r="T75" s="3"/>
      <c r="X75" s="3"/>
      <c r="AB75" s="3"/>
      <c r="AH75" s="4"/>
      <c r="AM75" s="3"/>
    </row>
    <row r="76" spans="1:39" x14ac:dyDescent="0.25">
      <c r="H76" s="3"/>
      <c r="AH76" s="4"/>
      <c r="AM76" s="3"/>
    </row>
    <row r="77" spans="1:39" x14ac:dyDescent="0.25">
      <c r="H77" s="3"/>
      <c r="L77" s="3"/>
      <c r="P77" s="3"/>
      <c r="T77" s="3"/>
      <c r="X77" s="3"/>
      <c r="AB77" s="3"/>
      <c r="AH77" s="4"/>
      <c r="AM77" s="3"/>
    </row>
    <row r="78" spans="1:39" x14ac:dyDescent="0.25">
      <c r="H78" s="3"/>
      <c r="L78" s="3"/>
      <c r="P78" s="3"/>
      <c r="T78" s="3"/>
      <c r="X78" s="3"/>
      <c r="AB78" s="3"/>
      <c r="AH78" s="4"/>
      <c r="AM78" s="3"/>
    </row>
    <row r="82" spans="4:32" x14ac:dyDescent="0.25">
      <c r="D82" s="3"/>
      <c r="H82" s="3"/>
      <c r="L82" s="3"/>
      <c r="P82" s="3"/>
      <c r="T82" s="3"/>
      <c r="X82" s="3"/>
    </row>
    <row r="83" spans="4:32" x14ac:dyDescent="0.25">
      <c r="D83" s="3"/>
      <c r="H83" s="3"/>
      <c r="L83" s="3"/>
      <c r="P83" s="3"/>
      <c r="T83" s="3"/>
      <c r="X83" s="3"/>
      <c r="AB83" s="3"/>
      <c r="AF83" s="3"/>
    </row>
    <row r="84" spans="4:32" x14ac:dyDescent="0.25">
      <c r="D84" s="3"/>
      <c r="H84" s="3"/>
      <c r="L84" s="3"/>
      <c r="P84" s="3"/>
      <c r="T84" s="3"/>
      <c r="X84" s="3"/>
      <c r="AB84" s="3"/>
      <c r="AF84" s="3"/>
    </row>
    <row r="85" spans="4:32" x14ac:dyDescent="0.25">
      <c r="D85" s="3"/>
      <c r="H85" s="3"/>
      <c r="P85" s="3"/>
    </row>
    <row r="86" spans="4:32" x14ac:dyDescent="0.25">
      <c r="D86" s="3"/>
      <c r="H86" s="3"/>
      <c r="L86" s="3"/>
      <c r="P86" s="3"/>
      <c r="T86" s="3"/>
      <c r="X86" s="3"/>
      <c r="AB86" s="3"/>
    </row>
  </sheetData>
  <phoneticPr fontId="4" type="noConversion"/>
  <pageMargins left="0.75" right="0.75" top="1" bottom="1" header="0.5" footer="0.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R136"/>
  <sheetViews>
    <sheetView topLeftCell="A37" zoomScale="75" workbookViewId="0">
      <selection activeCell="I30" sqref="I30"/>
    </sheetView>
  </sheetViews>
  <sheetFormatPr defaultRowHeight="12.5" x14ac:dyDescent="0.25"/>
  <cols>
    <col min="1" max="1" width="13.1796875" customWidth="1"/>
    <col min="2" max="2" width="10.26953125" customWidth="1"/>
    <col min="3" max="4" width="13.453125" customWidth="1"/>
    <col min="5" max="5" width="1.1796875" customWidth="1"/>
    <col min="6" max="6" width="10.26953125" customWidth="1"/>
    <col min="7" max="8" width="13.453125" customWidth="1"/>
    <col min="9" max="9" width="1.1796875" customWidth="1"/>
    <col min="10" max="10" width="10.26953125" customWidth="1"/>
    <col min="11" max="12" width="13.453125" customWidth="1"/>
    <col min="13" max="13" width="1.1796875" customWidth="1"/>
    <col min="14" max="14" width="10.26953125" customWidth="1"/>
    <col min="15" max="16" width="13.453125" customWidth="1"/>
    <col min="17" max="17" width="0.81640625" customWidth="1"/>
    <col min="18" max="18" width="10.26953125" customWidth="1"/>
    <col min="19" max="20" width="13.453125" customWidth="1"/>
    <col min="21" max="21" width="1.1796875" customWidth="1"/>
    <col min="22" max="22" width="10.26953125" customWidth="1"/>
    <col min="23" max="24" width="13.453125" customWidth="1"/>
    <col min="25" max="25" width="1.26953125" customWidth="1"/>
    <col min="26" max="26" width="10.26953125" customWidth="1"/>
    <col min="27" max="28" width="13.453125" customWidth="1"/>
    <col min="29" max="29" width="1.7265625" customWidth="1"/>
    <col min="30" max="30" width="10.26953125" customWidth="1"/>
    <col min="31" max="32" width="13.453125" customWidth="1"/>
    <col min="34" max="34" width="9.81640625" customWidth="1"/>
    <col min="35" max="35" width="13.54296875" bestFit="1" customWidth="1"/>
    <col min="36" max="38" width="13.54296875" customWidth="1"/>
    <col min="56" max="56" width="11.26953125" bestFit="1" customWidth="1"/>
    <col min="57" max="57" width="10.26953125" bestFit="1" customWidth="1"/>
    <col min="58" max="58" width="11.26953125" bestFit="1" customWidth="1"/>
    <col min="61" max="61" width="11.81640625" customWidth="1"/>
    <col min="62" max="62" width="9.7265625" bestFit="1" customWidth="1"/>
    <col min="63" max="63" width="9.54296875" customWidth="1"/>
  </cols>
  <sheetData>
    <row r="1" spans="1:69" ht="15.5" x14ac:dyDescent="0.35">
      <c r="A1" s="1" t="s">
        <v>72</v>
      </c>
    </row>
    <row r="2" spans="1:69" s="27" customFormat="1" ht="13" x14ac:dyDescent="0.3">
      <c r="A2" s="2" t="s">
        <v>54</v>
      </c>
    </row>
    <row r="3" spans="1:69" s="27" customFormat="1" ht="13" x14ac:dyDescent="0.3">
      <c r="B3" s="36" t="s">
        <v>57</v>
      </c>
    </row>
    <row r="4" spans="1:69" s="72" customFormat="1" ht="13" x14ac:dyDescent="0.3">
      <c r="B4" s="37" t="s">
        <v>58</v>
      </c>
    </row>
    <row r="5" spans="1:69" s="27" customFormat="1" ht="13" x14ac:dyDescent="0.3">
      <c r="B5" s="38" t="s">
        <v>59</v>
      </c>
    </row>
    <row r="6" spans="1:69" s="27" customFormat="1" x14ac:dyDescent="0.25"/>
    <row r="7" spans="1:69" ht="15.5" x14ac:dyDescent="0.35">
      <c r="A7" s="1" t="s">
        <v>47</v>
      </c>
      <c r="BI7" s="2"/>
    </row>
    <row r="8" spans="1:69" ht="13" x14ac:dyDescent="0.3">
      <c r="A8" s="2"/>
      <c r="BI8" s="2"/>
      <c r="BJ8" s="2"/>
      <c r="BK8" s="2"/>
    </row>
    <row r="9" spans="1:69" ht="13" x14ac:dyDescent="0.3">
      <c r="C9" s="2" t="s">
        <v>0</v>
      </c>
      <c r="G9" s="2" t="s">
        <v>2</v>
      </c>
      <c r="K9" s="2" t="s">
        <v>3</v>
      </c>
      <c r="O9" s="2" t="s">
        <v>4</v>
      </c>
      <c r="S9" s="2" t="s">
        <v>67</v>
      </c>
      <c r="W9" s="2" t="s">
        <v>68</v>
      </c>
      <c r="BI9" s="14"/>
      <c r="BJ9" s="30"/>
      <c r="BK9" s="30"/>
    </row>
    <row r="10" spans="1:69" x14ac:dyDescent="0.25">
      <c r="B10" t="s">
        <v>43</v>
      </c>
      <c r="C10" t="s">
        <v>50</v>
      </c>
      <c r="D10" t="s">
        <v>51</v>
      </c>
      <c r="F10" t="s">
        <v>43</v>
      </c>
      <c r="G10" t="s">
        <v>50</v>
      </c>
      <c r="H10" t="s">
        <v>51</v>
      </c>
      <c r="J10" t="s">
        <v>43</v>
      </c>
      <c r="K10" t="s">
        <v>50</v>
      </c>
      <c r="L10" t="s">
        <v>51</v>
      </c>
      <c r="N10" t="s">
        <v>43</v>
      </c>
      <c r="O10" t="s">
        <v>50</v>
      </c>
      <c r="P10" t="s">
        <v>51</v>
      </c>
      <c r="R10" t="s">
        <v>43</v>
      </c>
      <c r="S10" t="s">
        <v>50</v>
      </c>
      <c r="T10" t="s">
        <v>51</v>
      </c>
      <c r="V10" t="s">
        <v>43</v>
      </c>
      <c r="W10" t="s">
        <v>50</v>
      </c>
      <c r="X10" t="s">
        <v>51</v>
      </c>
      <c r="BI10" s="14"/>
      <c r="BJ10" s="30"/>
      <c r="BK10" s="30"/>
      <c r="BN10" s="6"/>
    </row>
    <row r="11" spans="1:69" x14ac:dyDescent="0.25">
      <c r="A11" s="32" t="s">
        <v>65</v>
      </c>
      <c r="BI11" s="14"/>
      <c r="BJ11" s="30"/>
      <c r="BK11" s="30"/>
      <c r="BN11" s="6"/>
    </row>
    <row r="12" spans="1:69" x14ac:dyDescent="0.25">
      <c r="A12" s="32" t="s">
        <v>66</v>
      </c>
      <c r="BI12" s="14"/>
      <c r="BJ12" s="30"/>
      <c r="BK12" s="30"/>
      <c r="BN12" s="6"/>
    </row>
    <row r="13" spans="1:69" x14ac:dyDescent="0.25">
      <c r="A13" t="s">
        <v>31</v>
      </c>
      <c r="B13" s="11">
        <v>3</v>
      </c>
      <c r="C13" s="7">
        <f>'Mean Unmarked Rates'!D27</f>
        <v>0</v>
      </c>
      <c r="D13" s="5">
        <f>C13*B13</f>
        <v>0</v>
      </c>
      <c r="F13" s="11">
        <v>14</v>
      </c>
      <c r="G13" s="4">
        <f>'2001 sampling'!H7</f>
        <v>0</v>
      </c>
      <c r="H13">
        <f>G13*F13</f>
        <v>0</v>
      </c>
      <c r="J13">
        <v>57</v>
      </c>
      <c r="K13" s="4">
        <f>'2001 sampling'!L7</f>
        <v>0.13953488372093023</v>
      </c>
      <c r="L13" s="5">
        <f>K13*J13</f>
        <v>7.9534883720930232</v>
      </c>
      <c r="N13">
        <v>96</v>
      </c>
      <c r="O13" s="4">
        <f>'2001 sampling'!P7</f>
        <v>3.7735849056603772E-2</v>
      </c>
      <c r="P13" s="5">
        <f>O13*N13</f>
        <v>3.6226415094339623</v>
      </c>
      <c r="R13">
        <v>770</v>
      </c>
      <c r="S13" s="10">
        <f>'Mean Unmarked Rates'!T27</f>
        <v>0</v>
      </c>
      <c r="T13" s="5">
        <f>S13*R13</f>
        <v>0</v>
      </c>
      <c r="V13">
        <v>8801</v>
      </c>
      <c r="W13" s="4">
        <f>'2001 sampling'!X7</f>
        <v>9.2715231788079472E-2</v>
      </c>
      <c r="X13" s="5">
        <f>W13*V13</f>
        <v>815.98675496688747</v>
      </c>
      <c r="AA13" s="4"/>
      <c r="AB13" s="5"/>
      <c r="AE13" s="4"/>
      <c r="AF13" s="5"/>
      <c r="AI13" s="4"/>
      <c r="AJ13" s="5"/>
      <c r="AM13" s="4"/>
      <c r="AN13" s="5"/>
      <c r="AQ13" s="4"/>
      <c r="AR13" s="5"/>
      <c r="AU13" s="4"/>
      <c r="AV13" s="5"/>
      <c r="AY13" s="7"/>
      <c r="AZ13" s="5"/>
    </row>
    <row r="14" spans="1:69" x14ac:dyDescent="0.25">
      <c r="A14" t="s">
        <v>32</v>
      </c>
      <c r="B14">
        <v>0</v>
      </c>
      <c r="F14">
        <v>0</v>
      </c>
      <c r="J14">
        <v>0</v>
      </c>
      <c r="N14">
        <v>0</v>
      </c>
      <c r="R14">
        <v>0</v>
      </c>
      <c r="S14" s="10"/>
      <c r="T14" s="5"/>
      <c r="V14">
        <v>253</v>
      </c>
      <c r="W14" s="7">
        <f>'Mean Unmarked Rates'!X28</f>
        <v>0</v>
      </c>
      <c r="X14" s="5">
        <f>W14*V14</f>
        <v>0</v>
      </c>
      <c r="AA14" s="4"/>
      <c r="AB14" s="5"/>
      <c r="AE14" s="4"/>
      <c r="AF14" s="5"/>
      <c r="AI14" s="4"/>
      <c r="AJ14" s="5"/>
      <c r="AM14" s="4"/>
      <c r="AN14" s="5"/>
      <c r="AQ14" s="4"/>
      <c r="AR14" s="5"/>
      <c r="AU14" s="4"/>
      <c r="AV14" s="5"/>
      <c r="AY14" s="4"/>
      <c r="AZ14" s="5"/>
      <c r="BD14" s="5"/>
      <c r="BE14" s="3"/>
      <c r="BG14" s="5"/>
      <c r="BH14" s="3"/>
      <c r="BJ14" s="5"/>
      <c r="BK14" s="3"/>
      <c r="BM14" s="5"/>
      <c r="BN14" s="3"/>
      <c r="BP14" s="5"/>
      <c r="BQ14" s="3"/>
    </row>
    <row r="15" spans="1:69" s="42" customFormat="1" x14ac:dyDescent="0.25">
      <c r="A15" s="42" t="s">
        <v>45</v>
      </c>
      <c r="B15" s="42">
        <v>0</v>
      </c>
      <c r="F15" s="42">
        <v>0</v>
      </c>
      <c r="J15" s="42">
        <v>0</v>
      </c>
      <c r="N15" s="42">
        <v>0</v>
      </c>
      <c r="R15" s="42">
        <v>105</v>
      </c>
      <c r="S15" s="68">
        <f>'Mean Unmarked Rates'!T29</f>
        <v>0</v>
      </c>
      <c r="T15" s="50">
        <f>S15*R15</f>
        <v>0</v>
      </c>
      <c r="V15" s="42">
        <v>669</v>
      </c>
      <c r="W15" s="49">
        <f>'2001 sampling'!X9</f>
        <v>1.282051282051282E-2</v>
      </c>
      <c r="X15" s="50">
        <f>W15*V15</f>
        <v>8.5769230769230766</v>
      </c>
      <c r="AA15" s="49"/>
      <c r="AB15" s="50"/>
      <c r="AE15" s="49"/>
      <c r="AF15" s="50"/>
      <c r="AI15" s="49"/>
      <c r="AJ15" s="50"/>
      <c r="AM15" s="49"/>
      <c r="AN15" s="50"/>
      <c r="AQ15" s="51"/>
      <c r="AR15" s="50"/>
      <c r="AT15" s="47"/>
      <c r="BD15" s="50"/>
      <c r="BE15" s="43"/>
      <c r="BG15" s="50"/>
      <c r="BH15" s="43"/>
      <c r="BJ15" s="50"/>
      <c r="BK15" s="43"/>
      <c r="BM15" s="50"/>
      <c r="BN15" s="43"/>
      <c r="BP15" s="50"/>
      <c r="BQ15" s="43"/>
    </row>
    <row r="16" spans="1:69" s="80" customFormat="1" ht="14" x14ac:dyDescent="0.3">
      <c r="A16" s="80" t="s">
        <v>61</v>
      </c>
      <c r="B16" s="80">
        <f>SUM(B11:B15)</f>
        <v>3</v>
      </c>
      <c r="C16" s="81">
        <f>D16/B16</f>
        <v>0</v>
      </c>
      <c r="D16" s="82">
        <f>SUM(D13:D15)</f>
        <v>0</v>
      </c>
      <c r="F16" s="80">
        <f>SUM(F11:F15)</f>
        <v>14</v>
      </c>
      <c r="G16" s="81">
        <f>H16/F16</f>
        <v>0</v>
      </c>
      <c r="H16" s="82">
        <f>SUM(H13:H15)</f>
        <v>0</v>
      </c>
      <c r="J16" s="80">
        <f>SUM(J11:J15)</f>
        <v>57</v>
      </c>
      <c r="K16" s="81">
        <f>L16/J16</f>
        <v>0.13953488372093023</v>
      </c>
      <c r="L16" s="82">
        <f>SUM(L13:L15)</f>
        <v>7.9534883720930232</v>
      </c>
      <c r="N16" s="80">
        <f>SUM(N11:N15)</f>
        <v>96</v>
      </c>
      <c r="O16" s="81">
        <f>P16/N16</f>
        <v>3.7735849056603772E-2</v>
      </c>
      <c r="P16" s="82">
        <f>SUM(P13:P15)</f>
        <v>3.6226415094339623</v>
      </c>
      <c r="R16" s="80">
        <f>SUM(R11:R15)</f>
        <v>875</v>
      </c>
      <c r="S16" s="81">
        <f>T16/R16</f>
        <v>0</v>
      </c>
      <c r="T16" s="82">
        <f>SUM(T13:T15)</f>
        <v>0</v>
      </c>
      <c r="V16" s="80">
        <f>SUM(V11:V15)</f>
        <v>9723</v>
      </c>
      <c r="W16" s="81">
        <f>X16/V16</f>
        <v>8.4805479588996258E-2</v>
      </c>
      <c r="X16" s="82">
        <f>SUM(X13:X15)</f>
        <v>824.56367804381057</v>
      </c>
      <c r="BI16" s="86"/>
      <c r="BJ16" s="87"/>
      <c r="BK16" s="87"/>
      <c r="BN16" s="88"/>
    </row>
    <row r="17" spans="1:63" x14ac:dyDescent="0.25">
      <c r="A17">
        <v>1</v>
      </c>
      <c r="B17">
        <v>266</v>
      </c>
      <c r="C17" s="39">
        <f>'Mean Unmarked Rates'!D13</f>
        <v>7.5644949715784865E-2</v>
      </c>
      <c r="D17" s="5">
        <f>B17*C17</f>
        <v>20.121556624398774</v>
      </c>
      <c r="F17">
        <v>0</v>
      </c>
      <c r="J17">
        <v>0</v>
      </c>
      <c r="N17">
        <v>0</v>
      </c>
      <c r="R17" s="73">
        <v>0</v>
      </c>
      <c r="V17" s="73">
        <v>0</v>
      </c>
      <c r="BI17" s="14"/>
      <c r="BJ17" s="30"/>
      <c r="BK17" s="30"/>
    </row>
    <row r="18" spans="1:63" x14ac:dyDescent="0.25">
      <c r="A18">
        <v>2</v>
      </c>
      <c r="B18">
        <v>8</v>
      </c>
      <c r="C18" s="39">
        <f>'Mean Unmarked Rates'!D14</f>
        <v>8.7292161520190023E-2</v>
      </c>
      <c r="D18" s="5">
        <f>B18*C18</f>
        <v>0.69833729216152018</v>
      </c>
      <c r="F18">
        <v>0</v>
      </c>
      <c r="J18">
        <v>0</v>
      </c>
      <c r="N18">
        <v>0</v>
      </c>
      <c r="R18" s="73">
        <v>0</v>
      </c>
      <c r="V18" s="73">
        <v>0</v>
      </c>
      <c r="BI18" s="14"/>
      <c r="BJ18" s="30"/>
      <c r="BK18" s="30"/>
    </row>
    <row r="19" spans="1:63" ht="13" x14ac:dyDescent="0.3">
      <c r="A19">
        <v>3</v>
      </c>
      <c r="B19">
        <v>1</v>
      </c>
      <c r="C19" s="39">
        <f>'Mean Unmarked Rates'!D15</f>
        <v>5.920444033302498E-2</v>
      </c>
      <c r="D19" s="5">
        <f>B19*C19</f>
        <v>5.920444033302498E-2</v>
      </c>
      <c r="F19">
        <v>0</v>
      </c>
      <c r="J19">
        <v>0</v>
      </c>
      <c r="N19">
        <v>0</v>
      </c>
      <c r="R19" s="73">
        <v>0</v>
      </c>
      <c r="V19" s="73">
        <v>0</v>
      </c>
      <c r="AO19" s="2"/>
      <c r="AP19" s="2"/>
      <c r="AQ19" s="2"/>
      <c r="AR19" s="2"/>
      <c r="AS19" s="2"/>
      <c r="AT19" s="2"/>
      <c r="AU19" s="2"/>
      <c r="AV19" s="2"/>
      <c r="AW19" s="2"/>
      <c r="AX19" s="2"/>
      <c r="AY19" s="2"/>
      <c r="AZ19" s="2"/>
      <c r="BA19" s="2"/>
      <c r="BB19" s="2"/>
      <c r="BI19" s="14"/>
      <c r="BJ19" s="30"/>
      <c r="BK19" s="30"/>
    </row>
    <row r="20" spans="1:63" ht="13" x14ac:dyDescent="0.3">
      <c r="A20">
        <v>4</v>
      </c>
      <c r="B20">
        <v>0</v>
      </c>
      <c r="F20">
        <v>0</v>
      </c>
      <c r="J20">
        <v>89</v>
      </c>
      <c r="K20" s="39">
        <f>'Mean Unmarked Rates'!D16</f>
        <v>8.6901763224181361E-2</v>
      </c>
      <c r="L20" s="5">
        <f>J20*K20</f>
        <v>7.7342569269521411</v>
      </c>
      <c r="N20">
        <v>0</v>
      </c>
      <c r="R20" s="73">
        <v>0</v>
      </c>
      <c r="V20" s="73">
        <v>0</v>
      </c>
      <c r="AO20" s="2"/>
      <c r="AP20" s="2"/>
      <c r="AQ20" s="2"/>
      <c r="AR20" s="2"/>
      <c r="AS20" s="2"/>
      <c r="AT20" s="2"/>
      <c r="AU20" s="2"/>
      <c r="AV20" s="2"/>
      <c r="AW20" s="2"/>
      <c r="AX20" s="2"/>
      <c r="AY20" s="2"/>
      <c r="AZ20" s="2"/>
      <c r="BA20" s="2"/>
      <c r="BB20" s="2"/>
      <c r="BD20" s="2"/>
    </row>
    <row r="21" spans="1:63" s="42" customFormat="1" ht="13" x14ac:dyDescent="0.3">
      <c r="A21" s="42">
        <v>5</v>
      </c>
      <c r="B21" s="42">
        <v>0</v>
      </c>
      <c r="F21" s="42">
        <v>0</v>
      </c>
      <c r="J21" s="42">
        <v>298</v>
      </c>
      <c r="K21" s="95">
        <f>'Mean Unmarked Rates'!D17</f>
        <v>6.7307692307692304E-2</v>
      </c>
      <c r="L21" s="50">
        <f>J21*K21</f>
        <v>20.057692307692307</v>
      </c>
      <c r="N21" s="42">
        <v>0</v>
      </c>
      <c r="R21" s="42">
        <v>0</v>
      </c>
      <c r="V21" s="42">
        <v>0</v>
      </c>
      <c r="AO21" s="41"/>
      <c r="AP21" s="41"/>
      <c r="AQ21" s="41"/>
      <c r="AR21" s="41"/>
      <c r="AS21" s="41"/>
      <c r="AT21" s="41"/>
      <c r="AU21" s="41"/>
      <c r="AV21" s="41"/>
      <c r="AW21" s="41"/>
      <c r="AX21" s="41"/>
      <c r="AY21" s="41"/>
      <c r="AZ21" s="41"/>
      <c r="BA21" s="41"/>
      <c r="BB21" s="41"/>
      <c r="BD21" s="41"/>
      <c r="BE21" s="41"/>
      <c r="BF21" s="41"/>
      <c r="BG21" s="41"/>
    </row>
    <row r="22" spans="1:63" s="80" customFormat="1" ht="14" x14ac:dyDescent="0.3">
      <c r="A22" s="80" t="s">
        <v>60</v>
      </c>
      <c r="B22" s="80">
        <f>SUM(B17:B21)</f>
        <v>275</v>
      </c>
      <c r="C22" s="81">
        <f>D22/B22</f>
        <v>7.592399402506661E-2</v>
      </c>
      <c r="D22" s="82">
        <f>SUM(D17:D21)</f>
        <v>20.879098356893319</v>
      </c>
      <c r="F22" s="82">
        <f>SUM(F17:F21)</f>
        <v>0</v>
      </c>
      <c r="G22" s="81"/>
      <c r="H22" s="82"/>
      <c r="J22" s="80">
        <f>SUM(J17:J21)</f>
        <v>387</v>
      </c>
      <c r="K22" s="81">
        <f>L22/J22</f>
        <v>7.1813822311742756E-2</v>
      </c>
      <c r="L22" s="82">
        <f>SUM(L17:L21)</f>
        <v>27.791949234644449</v>
      </c>
      <c r="N22" s="82">
        <f>SUM(N17:N21)</f>
        <v>0</v>
      </c>
      <c r="O22" s="103"/>
      <c r="P22" s="82"/>
      <c r="R22" s="82">
        <f>SUM(R17:R21)</f>
        <v>0</v>
      </c>
      <c r="V22" s="82">
        <f>SUM(V17:V21)</f>
        <v>0</v>
      </c>
      <c r="AN22" s="104"/>
      <c r="AO22" s="104"/>
      <c r="AP22" s="104"/>
      <c r="AQ22" s="104"/>
      <c r="AR22" s="104"/>
      <c r="AS22" s="104"/>
      <c r="AT22" s="104"/>
      <c r="AU22" s="104"/>
      <c r="AV22" s="104"/>
      <c r="AW22" s="104"/>
      <c r="AX22" s="104"/>
      <c r="AY22" s="104"/>
      <c r="AZ22" s="104"/>
      <c r="BA22" s="104"/>
      <c r="BB22" s="104"/>
      <c r="BD22" s="83"/>
      <c r="BE22" s="83"/>
      <c r="BF22" s="83"/>
      <c r="BG22" s="105"/>
    </row>
    <row r="23" spans="1:63" s="2" customFormat="1" ht="13" x14ac:dyDescent="0.3">
      <c r="D23" s="8"/>
      <c r="F23" s="8"/>
      <c r="H23" s="8"/>
      <c r="J23" s="8"/>
      <c r="L23" s="8"/>
      <c r="N23" s="8"/>
      <c r="O23" s="25"/>
      <c r="P23" s="8"/>
      <c r="AN23" s="27"/>
      <c r="AO23" s="27"/>
      <c r="AP23" s="27"/>
      <c r="AQ23" s="27"/>
      <c r="AR23" s="27"/>
      <c r="AS23" s="27"/>
      <c r="AT23" s="27"/>
      <c r="AU23" s="27"/>
      <c r="AV23" s="27"/>
      <c r="AW23" s="27"/>
      <c r="AX23" s="27"/>
      <c r="AY23" s="27"/>
      <c r="AZ23" s="27"/>
      <c r="BA23" s="27"/>
      <c r="BB23" s="27"/>
      <c r="BD23" s="29"/>
      <c r="BE23" s="29"/>
      <c r="BF23" s="29"/>
      <c r="BG23" s="28"/>
    </row>
    <row r="24" spans="1:63" s="57" customFormat="1" ht="14" x14ac:dyDescent="0.3">
      <c r="A24" s="57" t="s">
        <v>44</v>
      </c>
      <c r="B24" s="57">
        <f>B16+B22</f>
        <v>278</v>
      </c>
      <c r="C24" s="58">
        <f>D24/B24</f>
        <v>7.5104670348537114E-2</v>
      </c>
      <c r="D24" s="59">
        <f>D16+D22</f>
        <v>20.879098356893319</v>
      </c>
      <c r="F24" s="57">
        <f>F16+F22</f>
        <v>14</v>
      </c>
      <c r="G24" s="58">
        <f>H24/F24</f>
        <v>0</v>
      </c>
      <c r="H24" s="59">
        <f>H16+H22</f>
        <v>0</v>
      </c>
      <c r="J24" s="57">
        <f>J16+J22</f>
        <v>444</v>
      </c>
      <c r="K24" s="58">
        <f>L24/J24</f>
        <v>8.0507742357516815E-2</v>
      </c>
      <c r="L24" s="59">
        <f>L16+L22</f>
        <v>35.745437606737468</v>
      </c>
      <c r="N24" s="57">
        <f>N16+N22</f>
        <v>96</v>
      </c>
      <c r="O24" s="58">
        <f>P24/N24</f>
        <v>3.7735849056603772E-2</v>
      </c>
      <c r="P24" s="59">
        <f>P16+P22</f>
        <v>3.6226415094339623</v>
      </c>
      <c r="R24" s="57">
        <f>R16+R22</f>
        <v>875</v>
      </c>
      <c r="S24" s="58">
        <f>T24/R24</f>
        <v>0</v>
      </c>
      <c r="T24" s="59">
        <f>T16+T22</f>
        <v>0</v>
      </c>
      <c r="V24" s="57">
        <f>V16+V22</f>
        <v>9723</v>
      </c>
      <c r="W24" s="58">
        <f>X24/V24</f>
        <v>8.4805479588996258E-2</v>
      </c>
      <c r="X24" s="59">
        <f>X16+X22</f>
        <v>824.56367804381057</v>
      </c>
      <c r="AN24" s="60"/>
      <c r="AO24" s="60"/>
      <c r="AP24" s="60"/>
      <c r="AQ24" s="60"/>
      <c r="AR24" s="60"/>
      <c r="AS24" s="60"/>
      <c r="AT24" s="60"/>
      <c r="AU24" s="60"/>
      <c r="AV24" s="60"/>
      <c r="AW24" s="60"/>
      <c r="AX24" s="60"/>
      <c r="AY24" s="60"/>
      <c r="AZ24" s="60"/>
      <c r="BA24" s="60"/>
      <c r="BB24" s="60"/>
      <c r="BD24" s="61"/>
      <c r="BE24" s="61"/>
      <c r="BF24" s="61"/>
      <c r="BG24" s="62"/>
    </row>
    <row r="25" spans="1:63" s="2" customFormat="1" ht="13" x14ac:dyDescent="0.3">
      <c r="D25" s="8"/>
      <c r="F25" s="8"/>
      <c r="H25" s="8"/>
      <c r="J25" s="8"/>
      <c r="L25" s="8"/>
      <c r="N25" s="8"/>
      <c r="O25" s="25"/>
      <c r="P25" s="8"/>
      <c r="AN25" s="27"/>
      <c r="AO25" s="27"/>
      <c r="AP25" s="27"/>
      <c r="AQ25" s="27"/>
      <c r="AR25" s="27"/>
      <c r="AS25" s="27"/>
      <c r="AT25" s="27"/>
      <c r="AU25" s="27"/>
      <c r="AV25" s="27"/>
      <c r="AW25" s="27"/>
      <c r="AX25" s="27"/>
      <c r="AY25" s="27"/>
      <c r="AZ25" s="27"/>
      <c r="BA25" s="27"/>
      <c r="BB25" s="27"/>
      <c r="BD25" s="29"/>
      <c r="BE25" s="29"/>
      <c r="BF25" s="29"/>
      <c r="BG25" s="28"/>
    </row>
    <row r="26" spans="1:63" s="2" customFormat="1" ht="15.5" x14ac:dyDescent="0.35">
      <c r="A26" s="1" t="s">
        <v>48</v>
      </c>
      <c r="D26" s="8"/>
      <c r="F26" s="8"/>
      <c r="H26" s="8"/>
      <c r="J26" s="8"/>
      <c r="L26" s="8"/>
      <c r="N26" s="8"/>
      <c r="O26" s="25"/>
      <c r="P26" s="8"/>
      <c r="AN26" s="27"/>
      <c r="AO26" s="27"/>
      <c r="AP26" s="27"/>
      <c r="AQ26" s="27"/>
      <c r="AR26" s="27"/>
      <c r="AS26" s="27"/>
      <c r="AT26" s="27"/>
      <c r="AU26" s="27"/>
      <c r="AV26" s="27"/>
      <c r="AW26" s="27"/>
      <c r="AX26" s="27"/>
      <c r="AY26" s="27"/>
      <c r="AZ26" s="27"/>
      <c r="BA26" s="27"/>
      <c r="BB26" s="27"/>
      <c r="BD26" s="29"/>
      <c r="BE26" s="29"/>
      <c r="BF26" s="29"/>
      <c r="BG26" s="28"/>
    </row>
    <row r="27" spans="1:63" x14ac:dyDescent="0.25">
      <c r="D27" s="5"/>
      <c r="P27" s="5"/>
      <c r="BD27" s="29"/>
      <c r="BE27" s="13"/>
      <c r="BF27" s="13"/>
      <c r="BG27" s="6"/>
    </row>
    <row r="28" spans="1:63" s="2" customFormat="1" ht="13" x14ac:dyDescent="0.3">
      <c r="C28" s="2" t="s">
        <v>12</v>
      </c>
      <c r="G28" s="2" t="s">
        <v>5</v>
      </c>
      <c r="K28" s="2" t="s">
        <v>6</v>
      </c>
      <c r="O28" s="2" t="s">
        <v>7</v>
      </c>
      <c r="S28" s="2" t="s">
        <v>8</v>
      </c>
      <c r="W28" s="2" t="s">
        <v>9</v>
      </c>
      <c r="AA28" s="2" t="s">
        <v>10</v>
      </c>
      <c r="AE28" s="2" t="s">
        <v>11</v>
      </c>
      <c r="BD28" s="24"/>
      <c r="BE28" s="24"/>
      <c r="BF28" s="24"/>
      <c r="BG28" s="22"/>
    </row>
    <row r="29" spans="1:63" ht="13" x14ac:dyDescent="0.3">
      <c r="B29" t="s">
        <v>43</v>
      </c>
      <c r="C29" t="s">
        <v>50</v>
      </c>
      <c r="D29" t="s">
        <v>51</v>
      </c>
      <c r="F29" t="s">
        <v>43</v>
      </c>
      <c r="G29" t="s">
        <v>50</v>
      </c>
      <c r="H29" t="s">
        <v>51</v>
      </c>
      <c r="J29" t="s">
        <v>43</v>
      </c>
      <c r="K29" t="s">
        <v>50</v>
      </c>
      <c r="L29" t="s">
        <v>51</v>
      </c>
      <c r="N29" t="s">
        <v>43</v>
      </c>
      <c r="O29" t="s">
        <v>50</v>
      </c>
      <c r="P29" t="s">
        <v>51</v>
      </c>
      <c r="R29" t="s">
        <v>43</v>
      </c>
      <c r="S29" t="s">
        <v>50</v>
      </c>
      <c r="T29" t="s">
        <v>51</v>
      </c>
      <c r="V29" t="s">
        <v>43</v>
      </c>
      <c r="W29" t="s">
        <v>50</v>
      </c>
      <c r="X29" t="s">
        <v>51</v>
      </c>
      <c r="Z29" t="s">
        <v>43</v>
      </c>
      <c r="AA29" t="s">
        <v>50</v>
      </c>
      <c r="AB29" t="s">
        <v>51</v>
      </c>
      <c r="AD29" t="s">
        <v>43</v>
      </c>
      <c r="AE29" t="s">
        <v>50</v>
      </c>
      <c r="AF29" t="s">
        <v>51</v>
      </c>
      <c r="AK29" s="2"/>
      <c r="AL29" s="2"/>
      <c r="BD29" s="29"/>
      <c r="BE29" s="13"/>
      <c r="BF29" s="13"/>
      <c r="BG29" s="6"/>
    </row>
    <row r="30" spans="1:63" ht="13" x14ac:dyDescent="0.3">
      <c r="A30" s="32" t="s">
        <v>65</v>
      </c>
      <c r="AK30" s="2"/>
      <c r="AL30" s="2"/>
      <c r="BD30" s="29"/>
      <c r="BE30" s="13"/>
      <c r="BF30" s="13"/>
      <c r="BG30" s="6"/>
    </row>
    <row r="31" spans="1:63" ht="13" x14ac:dyDescent="0.3">
      <c r="A31" s="32" t="s">
        <v>66</v>
      </c>
      <c r="AK31" s="2"/>
      <c r="AL31" s="2"/>
      <c r="BD31" s="29"/>
      <c r="BE31" s="13"/>
      <c r="BF31" s="13"/>
      <c r="BG31" s="6"/>
    </row>
    <row r="32" spans="1:63" ht="13" x14ac:dyDescent="0.3">
      <c r="A32" t="s">
        <v>31</v>
      </c>
      <c r="B32">
        <v>7393</v>
      </c>
      <c r="C32" s="4">
        <f>'2001 sampling'!D24</f>
        <v>9.9009900990099011E-3</v>
      </c>
      <c r="D32" s="5">
        <f>C32*B32</f>
        <v>73.198019801980195</v>
      </c>
      <c r="F32">
        <v>4171</v>
      </c>
      <c r="G32" s="4">
        <f>'2001 sampling'!H24</f>
        <v>4.878048780487805E-2</v>
      </c>
      <c r="H32" s="5">
        <f>F32*G32</f>
        <v>203.46341463414635</v>
      </c>
      <c r="J32">
        <v>2616</v>
      </c>
      <c r="K32" s="4">
        <f>'2001 sampling'!L24</f>
        <v>0</v>
      </c>
      <c r="L32" s="5">
        <f>J32*K32</f>
        <v>0</v>
      </c>
      <c r="N32">
        <v>762</v>
      </c>
      <c r="O32" s="4">
        <f>'2001 sampling'!P24</f>
        <v>5.8823529411764705E-2</v>
      </c>
      <c r="P32" s="5">
        <f>N32*O32</f>
        <v>44.823529411764703</v>
      </c>
      <c r="R32">
        <v>577</v>
      </c>
      <c r="S32" s="7">
        <f>'Mean Unmarked Rates'!T43</f>
        <v>0</v>
      </c>
      <c r="T32" s="5">
        <f>R32*S32</f>
        <v>0</v>
      </c>
      <c r="V32">
        <v>209</v>
      </c>
      <c r="W32" s="7">
        <f>'Mean Unmarked Rates'!X43</f>
        <v>0</v>
      </c>
      <c r="X32" s="5">
        <f>V32*W32</f>
        <v>0</v>
      </c>
      <c r="Z32">
        <v>0</v>
      </c>
      <c r="AD32">
        <v>0</v>
      </c>
      <c r="AK32" s="2"/>
      <c r="AL32" s="2"/>
      <c r="BD32" s="29"/>
      <c r="BE32" s="13"/>
      <c r="BF32" s="13"/>
      <c r="BG32" s="6"/>
    </row>
    <row r="33" spans="1:70" ht="13" x14ac:dyDescent="0.3">
      <c r="A33" t="s">
        <v>32</v>
      </c>
      <c r="B33">
        <v>1015</v>
      </c>
      <c r="C33" s="4">
        <f>'2001 sampling'!D25</f>
        <v>0.13043478260869565</v>
      </c>
      <c r="D33" s="5">
        <f>C33*B33</f>
        <v>132.39130434782609</v>
      </c>
      <c r="F33">
        <v>909</v>
      </c>
      <c r="G33" s="4">
        <f>'2001 sampling'!H25</f>
        <v>0.04</v>
      </c>
      <c r="H33" s="5">
        <f>F33*G33</f>
        <v>36.36</v>
      </c>
      <c r="J33">
        <v>616</v>
      </c>
      <c r="K33" s="4">
        <f>'2001 sampling'!L25</f>
        <v>8.4905660377358486E-2</v>
      </c>
      <c r="L33" s="5">
        <f>J33*K33</f>
        <v>52.301886792452827</v>
      </c>
      <c r="N33">
        <v>440</v>
      </c>
      <c r="O33" s="4">
        <f>'2001 sampling'!P25</f>
        <v>2.7888446215139442E-2</v>
      </c>
      <c r="P33" s="5">
        <f>N33*O33</f>
        <v>12.270916334661354</v>
      </c>
      <c r="R33">
        <v>306</v>
      </c>
      <c r="S33" s="4">
        <f>'2001 sampling'!T25</f>
        <v>0.06</v>
      </c>
      <c r="T33" s="5">
        <f>R33*S33</f>
        <v>18.36</v>
      </c>
      <c r="V33">
        <v>190</v>
      </c>
      <c r="W33" s="4">
        <f>'2001 sampling'!X25</f>
        <v>4.6511627906976744E-2</v>
      </c>
      <c r="X33" s="5">
        <f>V33*W33</f>
        <v>8.8372093023255811</v>
      </c>
      <c r="Z33">
        <v>35</v>
      </c>
      <c r="AA33" s="4">
        <f>'2001 sampling'!AB25</f>
        <v>0.23529411764705882</v>
      </c>
      <c r="AB33" s="5">
        <f>Z33*AA33</f>
        <v>8.235294117647058</v>
      </c>
      <c r="AD33">
        <v>0</v>
      </c>
      <c r="AK33" s="2"/>
      <c r="AL33" s="2"/>
      <c r="BD33" s="29"/>
      <c r="BE33" s="13"/>
      <c r="BF33" s="13"/>
      <c r="BG33" s="6"/>
    </row>
    <row r="34" spans="1:70" s="42" customFormat="1" ht="13" x14ac:dyDescent="0.3">
      <c r="A34" s="42" t="s">
        <v>62</v>
      </c>
      <c r="B34" s="42">
        <v>1247</v>
      </c>
      <c r="C34" s="49">
        <f>'2001 sampling'!D26</f>
        <v>5.8823529411764705E-2</v>
      </c>
      <c r="D34" s="50">
        <f>C34*B34</f>
        <v>73.352941176470594</v>
      </c>
      <c r="F34" s="42">
        <v>0</v>
      </c>
      <c r="J34" s="42">
        <v>0</v>
      </c>
      <c r="N34" s="47">
        <v>0</v>
      </c>
      <c r="R34" s="42">
        <v>0</v>
      </c>
      <c r="V34" s="42">
        <v>0</v>
      </c>
      <c r="Z34" s="42">
        <v>0</v>
      </c>
      <c r="AD34" s="42">
        <v>0</v>
      </c>
      <c r="AK34" s="41"/>
      <c r="AL34" s="41"/>
      <c r="BD34" s="52"/>
      <c r="BE34" s="53"/>
      <c r="BF34" s="53"/>
      <c r="BG34" s="54"/>
    </row>
    <row r="35" spans="1:70" s="83" customFormat="1" ht="14" x14ac:dyDescent="0.3">
      <c r="A35" s="79" t="s">
        <v>61</v>
      </c>
      <c r="B35" s="79">
        <f>SUM(B30:B34)</f>
        <v>9655</v>
      </c>
      <c r="C35" s="81">
        <f>D35/B35</f>
        <v>2.8890964818879011E-2</v>
      </c>
      <c r="D35" s="79">
        <f>SUM(D32:D34)</f>
        <v>278.94226532627687</v>
      </c>
      <c r="F35" s="79">
        <f>SUM(F30:F34)</f>
        <v>5080</v>
      </c>
      <c r="G35" s="81">
        <f>H35/F35</f>
        <v>4.7209333589398883E-2</v>
      </c>
      <c r="H35" s="79">
        <f>SUM(H32:H34)</f>
        <v>239.82341463414633</v>
      </c>
      <c r="J35" s="79">
        <f>SUM(J30:J34)</f>
        <v>3232</v>
      </c>
      <c r="K35" s="81">
        <f>L35/J35</f>
        <v>1.618251447786288E-2</v>
      </c>
      <c r="L35" s="79">
        <f>SUM(L32:L34)</f>
        <v>52.301886792452827</v>
      </c>
      <c r="N35" s="79">
        <f>SUM(N30:N34)</f>
        <v>1202</v>
      </c>
      <c r="O35" s="81">
        <f>P35/N35</f>
        <v>4.7499538890537485E-2</v>
      </c>
      <c r="P35" s="79">
        <f>SUM(P32:P34)</f>
        <v>57.094445746426061</v>
      </c>
      <c r="R35" s="79">
        <f>SUM(R30:R34)</f>
        <v>883</v>
      </c>
      <c r="S35" s="81">
        <f>T35/R35</f>
        <v>2.0792751981879954E-2</v>
      </c>
      <c r="T35" s="79">
        <f>SUM(T32:T34)</f>
        <v>18.36</v>
      </c>
      <c r="V35" s="79">
        <f>SUM(V30:V34)</f>
        <v>399</v>
      </c>
      <c r="W35" s="81">
        <f>X35/V35</f>
        <v>2.2148394241417495E-2</v>
      </c>
      <c r="X35" s="79">
        <f>SUM(X32:X34)</f>
        <v>8.8372093023255811</v>
      </c>
      <c r="Z35" s="79">
        <f>SUM(Z30:Z34)</f>
        <v>35</v>
      </c>
      <c r="AA35" s="81">
        <f>AB35/Z35</f>
        <v>0.23529411764705879</v>
      </c>
      <c r="AB35" s="79">
        <f>SUM(AB32:AB34)</f>
        <v>8.235294117647058</v>
      </c>
      <c r="AD35" s="99">
        <v>0</v>
      </c>
      <c r="AE35" s="79"/>
      <c r="AF35" s="79"/>
      <c r="AK35" s="79"/>
      <c r="AL35" s="79"/>
    </row>
    <row r="36" spans="1:70" ht="13" x14ac:dyDescent="0.3">
      <c r="A36">
        <v>1</v>
      </c>
      <c r="B36">
        <v>18710</v>
      </c>
      <c r="C36" s="4">
        <f>'2001 sampling'!D28</f>
        <v>4.6728971962616821E-2</v>
      </c>
      <c r="D36" s="5">
        <f>B36*C36</f>
        <v>874.29906542056074</v>
      </c>
      <c r="F36">
        <v>6128</v>
      </c>
      <c r="G36" s="4">
        <f>'2001 sampling'!H28</f>
        <v>3.5714285714285712E-2</v>
      </c>
      <c r="H36" s="69">
        <f>G36*F36</f>
        <v>218.85714285714283</v>
      </c>
      <c r="J36">
        <v>18005</v>
      </c>
      <c r="K36" s="4">
        <f>'2001 sampling'!L28</f>
        <v>6.4777327935222673E-2</v>
      </c>
      <c r="L36" s="69">
        <f>K36*J36</f>
        <v>1166.3157894736842</v>
      </c>
      <c r="N36">
        <v>3746</v>
      </c>
      <c r="O36" s="4">
        <f>'2001 sampling'!P28</f>
        <v>8.7912087912087919E-2</v>
      </c>
      <c r="P36" s="69">
        <f>O36*N36</f>
        <v>329.31868131868134</v>
      </c>
      <c r="R36">
        <v>15327</v>
      </c>
      <c r="S36" s="4">
        <f>'2001 sampling'!T28</f>
        <v>1.3698630136986301E-2</v>
      </c>
      <c r="T36" s="69">
        <f>S36*R36</f>
        <v>209.95890410958904</v>
      </c>
      <c r="V36">
        <v>1115</v>
      </c>
      <c r="W36" s="7">
        <f>'Mean Unmarked Rates'!X47</f>
        <v>0</v>
      </c>
      <c r="X36" s="5">
        <f>W36*V36</f>
        <v>0</v>
      </c>
      <c r="Z36">
        <v>0</v>
      </c>
      <c r="AD36">
        <v>0</v>
      </c>
      <c r="AJ36" s="2"/>
      <c r="AL36" s="5"/>
      <c r="BD36" s="29"/>
      <c r="BE36" s="13"/>
      <c r="BF36" s="13"/>
      <c r="BG36" s="6"/>
    </row>
    <row r="37" spans="1:70" ht="13" x14ac:dyDescent="0.3">
      <c r="A37">
        <v>2</v>
      </c>
      <c r="B37">
        <v>32881</v>
      </c>
      <c r="C37" s="4">
        <f>'2001 sampling'!D29</f>
        <v>0.1360544217687075</v>
      </c>
      <c r="D37" s="5">
        <f>B37*C37</f>
        <v>4473.6054421768713</v>
      </c>
      <c r="F37">
        <v>18154</v>
      </c>
      <c r="G37" s="4">
        <f>'2001 sampling'!H29</f>
        <v>4.2944785276073622E-2</v>
      </c>
      <c r="H37" s="69">
        <f>G37*F37</f>
        <v>779.61963190184053</v>
      </c>
      <c r="J37">
        <v>20746</v>
      </c>
      <c r="K37" s="4">
        <f>'2001 sampling'!L29</f>
        <v>7.4534161490683232E-2</v>
      </c>
      <c r="L37" s="69">
        <f>K37*J37</f>
        <v>1546.2857142857142</v>
      </c>
      <c r="N37">
        <v>9048</v>
      </c>
      <c r="O37" s="4">
        <f>'2001 sampling'!P29</f>
        <v>3.7267080745341616E-2</v>
      </c>
      <c r="P37" s="69">
        <f>O37*N37</f>
        <v>337.19254658385091</v>
      </c>
      <c r="R37">
        <v>32417</v>
      </c>
      <c r="S37" s="4">
        <f>'2001 sampling'!T29</f>
        <v>1.7699115044247787E-2</v>
      </c>
      <c r="T37" s="69">
        <f>S37*R37</f>
        <v>573.75221238938047</v>
      </c>
      <c r="V37">
        <v>19631</v>
      </c>
      <c r="W37" s="4">
        <f>'2001 sampling'!X29</f>
        <v>6.7460317460317457E-2</v>
      </c>
      <c r="X37" s="5">
        <f>W37*V37</f>
        <v>1324.313492063492</v>
      </c>
      <c r="Z37">
        <v>7192</v>
      </c>
      <c r="AA37" s="4">
        <f>'2001 sampling'!AB29</f>
        <v>6.7226890756302518E-2</v>
      </c>
      <c r="AB37" s="5">
        <f>AA37*Z37</f>
        <v>483.49579831932772</v>
      </c>
      <c r="AD37">
        <v>0</v>
      </c>
      <c r="AJ37" s="2"/>
      <c r="AL37" s="5"/>
    </row>
    <row r="38" spans="1:70" ht="13" x14ac:dyDescent="0.3">
      <c r="A38">
        <v>3</v>
      </c>
      <c r="B38">
        <v>3885</v>
      </c>
      <c r="C38" s="4">
        <f>'2001 sampling'!D30</f>
        <v>0.21830985915492956</v>
      </c>
      <c r="D38" s="5">
        <f>B38*C38</f>
        <v>848.13380281690138</v>
      </c>
      <c r="F38">
        <v>807</v>
      </c>
      <c r="G38" s="4">
        <f>'2001 sampling'!H30</f>
        <v>0.11059907834101383</v>
      </c>
      <c r="H38" s="69">
        <f>G38*F38</f>
        <v>89.253456221198164</v>
      </c>
      <c r="J38">
        <v>1309</v>
      </c>
      <c r="K38" s="4">
        <f>'2001 sampling'!L30</f>
        <v>0.08</v>
      </c>
      <c r="L38" s="69">
        <f>K38*J38</f>
        <v>104.72</v>
      </c>
      <c r="N38">
        <v>512</v>
      </c>
      <c r="O38" s="4">
        <f>'2001 sampling'!P30</f>
        <v>0.1</v>
      </c>
      <c r="P38" s="69">
        <f>O38*N38</f>
        <v>51.2</v>
      </c>
      <c r="R38">
        <v>4024</v>
      </c>
      <c r="S38" s="4">
        <f>'2001 sampling'!T30</f>
        <v>7.2916666666666671E-2</v>
      </c>
      <c r="T38" s="69">
        <f>S38*R38</f>
        <v>293.41666666666669</v>
      </c>
      <c r="V38">
        <v>2425</v>
      </c>
      <c r="W38" s="4">
        <f>'2001 sampling'!X30</f>
        <v>7.4204946996466431E-2</v>
      </c>
      <c r="X38" s="5">
        <f>W38*V38</f>
        <v>179.9469964664311</v>
      </c>
      <c r="Z38">
        <v>1600</v>
      </c>
      <c r="AA38" s="4">
        <f>'2001 sampling'!AB30</f>
        <v>4.9180327868852458E-2</v>
      </c>
      <c r="AB38" s="5">
        <f>AA38*Z38</f>
        <v>78.688524590163937</v>
      </c>
      <c r="AD38">
        <v>0</v>
      </c>
      <c r="AH38" s="2"/>
      <c r="AJ38" s="2"/>
      <c r="AL38" s="5"/>
    </row>
    <row r="39" spans="1:70" ht="13" x14ac:dyDescent="0.3">
      <c r="A39">
        <v>4</v>
      </c>
      <c r="B39">
        <v>0</v>
      </c>
      <c r="D39" s="44"/>
      <c r="F39">
        <v>0</v>
      </c>
      <c r="J39">
        <v>0</v>
      </c>
      <c r="N39">
        <v>0</v>
      </c>
      <c r="R39">
        <v>48</v>
      </c>
      <c r="S39" s="78">
        <f>'Mean Unmarked Rates'!D16</f>
        <v>8.6901763224181361E-2</v>
      </c>
      <c r="T39" s="69">
        <f>S39*R39</f>
        <v>4.1712846347607053</v>
      </c>
      <c r="V39">
        <v>0</v>
      </c>
      <c r="Z39">
        <v>92</v>
      </c>
      <c r="AA39" s="78">
        <f>'Mean Unmarked Rates'!D16</f>
        <v>8.6901763224181361E-2</v>
      </c>
      <c r="AB39" s="5">
        <f>AA39*Z39</f>
        <v>7.9949622166246854</v>
      </c>
      <c r="AD39">
        <v>0</v>
      </c>
      <c r="AH39" s="2"/>
      <c r="AI39" s="23"/>
      <c r="AJ39" s="23"/>
      <c r="AL39" s="5"/>
    </row>
    <row r="40" spans="1:70" s="42" customFormat="1" ht="13" x14ac:dyDescent="0.3">
      <c r="A40" s="42">
        <v>5</v>
      </c>
      <c r="B40" s="42">
        <v>820</v>
      </c>
      <c r="C40" s="51">
        <f>'Mean Unmarked Rates'!D51</f>
        <v>0</v>
      </c>
      <c r="D40" s="50">
        <f>C40*B40</f>
        <v>0</v>
      </c>
      <c r="F40" s="42">
        <v>187</v>
      </c>
      <c r="G40" s="51">
        <f>'Mean Unmarked Rates'!H51</f>
        <v>0</v>
      </c>
      <c r="H40" s="50">
        <f>G40*F40</f>
        <v>0</v>
      </c>
      <c r="J40" s="42">
        <v>122</v>
      </c>
      <c r="K40" s="51">
        <f>'Mean Unmarked Rates'!L51</f>
        <v>0</v>
      </c>
      <c r="L40" s="50">
        <f>K40*J40</f>
        <v>0</v>
      </c>
      <c r="N40" s="42">
        <v>41</v>
      </c>
      <c r="O40" s="49">
        <f>'2001 sampling'!P32</f>
        <v>0.19444444444444445</v>
      </c>
      <c r="P40" s="50">
        <f>O40*N40</f>
        <v>7.9722222222222223</v>
      </c>
      <c r="R40" s="42">
        <v>62</v>
      </c>
      <c r="S40" s="49">
        <f>'2001 sampling'!T32</f>
        <v>0.17857142857142858</v>
      </c>
      <c r="T40" s="50">
        <f>S40*R40</f>
        <v>11.071428571428571</v>
      </c>
      <c r="V40" s="42">
        <v>11</v>
      </c>
      <c r="W40" s="51">
        <f>'Mean Unmarked Rates'!X51</f>
        <v>0</v>
      </c>
      <c r="X40" s="50">
        <f>W40*V40</f>
        <v>0</v>
      </c>
      <c r="Z40" s="42">
        <v>16</v>
      </c>
      <c r="AA40" s="51">
        <f>'Mean Unmarked Rates'!AB51</f>
        <v>0</v>
      </c>
      <c r="AB40" s="50">
        <f>AA40*Z40</f>
        <v>0</v>
      </c>
      <c r="AD40" s="42">
        <v>0</v>
      </c>
      <c r="AJ40" s="41"/>
      <c r="AL40" s="50"/>
    </row>
    <row r="41" spans="1:70" s="79" customFormat="1" ht="14" x14ac:dyDescent="0.3">
      <c r="A41" s="79" t="s">
        <v>60</v>
      </c>
      <c r="B41" s="79">
        <f>SUM(B36:B40)</f>
        <v>56296</v>
      </c>
      <c r="C41" s="81">
        <f>D41/B41</f>
        <v>0.11006178610228672</v>
      </c>
      <c r="D41" s="79">
        <f>SUM(D36:D40)</f>
        <v>6196.038310414333</v>
      </c>
      <c r="F41" s="79">
        <f>SUM(F36:F40)</f>
        <v>25276</v>
      </c>
      <c r="G41" s="81">
        <f>H41/F41</f>
        <v>4.3034112635709026E-2</v>
      </c>
      <c r="H41" s="79">
        <f>SUM(H36:H40)</f>
        <v>1087.7302309801814</v>
      </c>
      <c r="J41" s="79">
        <f>SUM(J36:J40)</f>
        <v>40182</v>
      </c>
      <c r="K41" s="81">
        <f>L41/J41</f>
        <v>7.0114018808406703E-2</v>
      </c>
      <c r="L41" s="79">
        <f>SUM(L36:L40)</f>
        <v>2817.3215037593982</v>
      </c>
      <c r="N41" s="79">
        <f>SUM(N36:N40)</f>
        <v>13347</v>
      </c>
      <c r="O41" s="81">
        <f>P41/N41</f>
        <v>5.4370528967165238E-2</v>
      </c>
      <c r="P41" s="79">
        <f>SUM(P36:P40)</f>
        <v>725.68345012475447</v>
      </c>
      <c r="R41" s="79">
        <f>SUM(R36:R40)</f>
        <v>51878</v>
      </c>
      <c r="S41" s="81">
        <f>T41/R41</f>
        <v>2.1056526781522526E-2</v>
      </c>
      <c r="T41" s="79">
        <f>SUM(T36:T40)</f>
        <v>1092.3704963718255</v>
      </c>
      <c r="V41" s="79">
        <f>SUM(V36:V40)</f>
        <v>23182</v>
      </c>
      <c r="W41" s="81">
        <f>X41/V41</f>
        <v>6.48891591980814E-2</v>
      </c>
      <c r="X41" s="79">
        <f>SUM(X36:X40)</f>
        <v>1504.2604885299231</v>
      </c>
      <c r="Z41" s="79">
        <f>SUM(Z36:Z40)</f>
        <v>8900</v>
      </c>
      <c r="AA41" s="81">
        <f>AB41/Z41</f>
        <v>6.4065088216417571E-2</v>
      </c>
      <c r="AB41" s="79">
        <f>SUM(AB36:AB40)</f>
        <v>570.17928512611638</v>
      </c>
      <c r="AD41" s="99">
        <v>0</v>
      </c>
    </row>
    <row r="42" spans="1:70" s="24" customFormat="1" ht="13" x14ac:dyDescent="0.3">
      <c r="G42" s="56"/>
      <c r="S42" s="56"/>
      <c r="W42" s="56"/>
      <c r="AD42" s="70"/>
    </row>
    <row r="43" spans="1:70" s="63" customFormat="1" ht="14" x14ac:dyDescent="0.3">
      <c r="A43" s="63" t="s">
        <v>44</v>
      </c>
      <c r="B43" s="63">
        <f>B35+B41</f>
        <v>65951</v>
      </c>
      <c r="C43" s="58">
        <f>D43/B43</f>
        <v>9.8178656513784629E-2</v>
      </c>
      <c r="D43" s="63">
        <f>D35+D41</f>
        <v>6474.9805757406102</v>
      </c>
      <c r="F43" s="63">
        <f>F35+F41</f>
        <v>30356</v>
      </c>
      <c r="G43" s="58">
        <f>H43/F43</f>
        <v>4.3732825326601915E-2</v>
      </c>
      <c r="H43" s="63">
        <f>H35+H41</f>
        <v>1327.5536456143277</v>
      </c>
      <c r="J43" s="63">
        <f>J35+J41</f>
        <v>43414</v>
      </c>
      <c r="K43" s="58">
        <f>L43/J43</f>
        <v>6.6099032352509579E-2</v>
      </c>
      <c r="L43" s="63">
        <f>L35+L41</f>
        <v>2869.6233905518511</v>
      </c>
      <c r="N43" s="63">
        <f>N35+N41</f>
        <v>14549</v>
      </c>
      <c r="O43" s="58">
        <f>P43/N43</f>
        <v>5.3802865892582347E-2</v>
      </c>
      <c r="P43" s="63">
        <f>P35+P41</f>
        <v>782.77789587118059</v>
      </c>
      <c r="R43" s="63">
        <f>R35+R41</f>
        <v>52761</v>
      </c>
      <c r="S43" s="58">
        <f>T43/R43</f>
        <v>2.1052112286951072E-2</v>
      </c>
      <c r="T43" s="63">
        <f>T35+T41</f>
        <v>1110.7304963718254</v>
      </c>
      <c r="V43" s="63">
        <f>V35+V41</f>
        <v>23581</v>
      </c>
      <c r="W43" s="58">
        <f>X43/V43</f>
        <v>6.416596827243326E-2</v>
      </c>
      <c r="X43" s="63">
        <f>X35+X41</f>
        <v>1513.0976978322487</v>
      </c>
      <c r="Z43" s="63">
        <f>Z35+Z41</f>
        <v>8935</v>
      </c>
      <c r="AA43" s="58">
        <f>AB43/Z43</f>
        <v>6.473582308268197E-2</v>
      </c>
      <c r="AB43" s="63">
        <f>AB35+AB41</f>
        <v>578.41457924376346</v>
      </c>
      <c r="AD43" s="46">
        <v>0</v>
      </c>
      <c r="AE43" s="58"/>
    </row>
    <row r="44" spans="1:70" ht="13" x14ac:dyDescent="0.3">
      <c r="A44" s="2"/>
      <c r="AD44" s="44"/>
      <c r="BD44" s="2"/>
      <c r="BE44" s="2"/>
      <c r="BF44" s="2"/>
      <c r="BG44" s="2"/>
      <c r="BH44" s="2"/>
      <c r="BI44" s="2"/>
      <c r="BJ44" s="2"/>
      <c r="BK44" s="2"/>
      <c r="BL44" s="2"/>
      <c r="BM44" s="2"/>
      <c r="BN44" s="2"/>
      <c r="BO44" s="2"/>
      <c r="BP44" s="2"/>
      <c r="BQ44" s="2"/>
    </row>
    <row r="45" spans="1:70" ht="13" x14ac:dyDescent="0.3">
      <c r="A45" s="2"/>
      <c r="BD45" s="2"/>
      <c r="BE45" s="2"/>
      <c r="BF45" s="2"/>
      <c r="BG45" s="2"/>
      <c r="BH45" s="2"/>
      <c r="BI45" s="2"/>
      <c r="BJ45" s="2"/>
      <c r="BK45" s="2"/>
      <c r="BL45" s="2"/>
      <c r="BM45" s="2"/>
      <c r="BN45" s="2"/>
      <c r="BO45" s="2"/>
      <c r="BP45" s="2"/>
      <c r="BQ45" s="2"/>
    </row>
    <row r="46" spans="1:70" x14ac:dyDescent="0.25">
      <c r="BD46" s="5"/>
      <c r="BE46" s="5"/>
      <c r="BF46" s="5"/>
      <c r="BG46" s="5"/>
      <c r="BH46" s="5"/>
      <c r="BI46" s="5"/>
      <c r="BJ46" s="5"/>
      <c r="BK46" s="5"/>
      <c r="BL46" s="5"/>
      <c r="BM46" s="5"/>
      <c r="BN46" s="5"/>
      <c r="BO46" s="5"/>
      <c r="BP46" s="5"/>
      <c r="BQ46" s="5"/>
      <c r="BR46" s="5"/>
    </row>
    <row r="47" spans="1:70" ht="15.5" x14ac:dyDescent="0.35">
      <c r="A47" s="1" t="s">
        <v>73</v>
      </c>
      <c r="BD47" s="5"/>
      <c r="BE47" s="5"/>
      <c r="BJ47" s="5"/>
      <c r="BK47" s="5"/>
      <c r="BL47" s="5"/>
      <c r="BM47" s="5"/>
      <c r="BN47" s="5"/>
      <c r="BO47" s="5"/>
      <c r="BP47" s="5"/>
      <c r="BQ47" s="5"/>
      <c r="BR47" s="5"/>
    </row>
    <row r="48" spans="1:70" ht="15.5" x14ac:dyDescent="0.35">
      <c r="A48" s="1"/>
      <c r="BD48" s="5"/>
      <c r="BE48" s="5"/>
      <c r="BJ48" s="5"/>
      <c r="BK48" s="5"/>
      <c r="BL48" s="5"/>
      <c r="BM48" s="5"/>
      <c r="BN48" s="5"/>
      <c r="BO48" s="5"/>
      <c r="BP48" s="5"/>
      <c r="BQ48" s="5"/>
      <c r="BR48" s="5"/>
    </row>
    <row r="49" spans="1:70" ht="13" x14ac:dyDescent="0.3">
      <c r="B49" s="2" t="s">
        <v>44</v>
      </c>
      <c r="C49" s="2" t="s">
        <v>55</v>
      </c>
      <c r="D49" s="2" t="s">
        <v>56</v>
      </c>
      <c r="BD49" s="5"/>
      <c r="BE49" s="5"/>
      <c r="BF49" s="5"/>
      <c r="BJ49" s="5"/>
      <c r="BK49" s="5"/>
      <c r="BL49" s="5"/>
      <c r="BM49" s="5"/>
      <c r="BN49" s="5"/>
      <c r="BO49" s="5"/>
      <c r="BP49" s="5"/>
      <c r="BQ49" s="5"/>
      <c r="BR49" s="5"/>
    </row>
    <row r="50" spans="1:70" ht="13" x14ac:dyDescent="0.3">
      <c r="A50" s="32" t="s">
        <v>65</v>
      </c>
      <c r="B50" s="2"/>
      <c r="C50" s="2"/>
      <c r="D50" s="2"/>
      <c r="BD50" s="5"/>
      <c r="BE50" s="5"/>
      <c r="BF50" s="5"/>
      <c r="BJ50" s="5"/>
      <c r="BK50" s="5"/>
      <c r="BL50" s="5"/>
      <c r="BM50" s="5"/>
      <c r="BN50" s="5"/>
      <c r="BO50" s="5"/>
      <c r="BP50" s="5"/>
      <c r="BQ50" s="5"/>
      <c r="BR50" s="5"/>
    </row>
    <row r="51" spans="1:70" ht="13" x14ac:dyDescent="0.3">
      <c r="A51" s="32" t="s">
        <v>66</v>
      </c>
      <c r="B51" s="2"/>
      <c r="C51" s="2"/>
      <c r="D51" s="2"/>
      <c r="BD51" s="5"/>
      <c r="BE51" s="5"/>
      <c r="BF51" s="5"/>
      <c r="BJ51" s="5"/>
      <c r="BK51" s="5"/>
      <c r="BL51" s="5"/>
      <c r="BM51" s="5"/>
      <c r="BN51" s="5"/>
      <c r="BO51" s="5"/>
      <c r="BP51" s="5"/>
      <c r="BQ51" s="5"/>
      <c r="BR51" s="5"/>
    </row>
    <row r="52" spans="1:70" x14ac:dyDescent="0.25">
      <c r="A52" t="s">
        <v>31</v>
      </c>
      <c r="B52" s="29">
        <f>B13+F13+J13+N13+R13+V13+B32+F32+J32+N32+R32+V32+Z32+AD32</f>
        <v>25469</v>
      </c>
      <c r="C52" s="65">
        <f>D13+H13+L13+P13+T13+X13+D32+H32+L32+P32+T32+X32+AB32+AF32</f>
        <v>1149.0478486963057</v>
      </c>
      <c r="D52" s="3">
        <f>C52/B52</f>
        <v>4.5115546299277776E-2</v>
      </c>
      <c r="BD52" s="5"/>
      <c r="BE52" s="5"/>
      <c r="BF52" s="5"/>
      <c r="BJ52" s="5"/>
      <c r="BK52" s="5"/>
      <c r="BL52" s="5"/>
      <c r="BM52" s="5"/>
      <c r="BN52" s="5"/>
      <c r="BO52" s="5"/>
      <c r="BP52" s="5"/>
      <c r="BQ52" s="5"/>
      <c r="BR52" s="5"/>
    </row>
    <row r="53" spans="1:70" x14ac:dyDescent="0.25">
      <c r="A53" t="s">
        <v>32</v>
      </c>
      <c r="B53" s="29">
        <f>B14+F14+J14+N14+R14+V14+B33+F33+J33+N33+R33+V33+Z33+AD33</f>
        <v>3764</v>
      </c>
      <c r="C53" s="65">
        <f>D14+H14+L14+P14+T14+X14+D33+H33+L33+P33+T33+X33+AB33+AF33</f>
        <v>268.75661089491291</v>
      </c>
      <c r="D53" s="3">
        <f>C53/B53</f>
        <v>7.1401862618202153E-2</v>
      </c>
      <c r="BD53" s="5"/>
      <c r="BE53" s="5"/>
      <c r="BF53" s="5"/>
      <c r="BJ53" s="5"/>
      <c r="BK53" s="5"/>
      <c r="BL53" s="5"/>
      <c r="BM53" s="5"/>
      <c r="BN53" s="5"/>
      <c r="BO53" s="5"/>
      <c r="BP53" s="5"/>
      <c r="BQ53" s="5"/>
      <c r="BR53" s="5"/>
    </row>
    <row r="54" spans="1:70" x14ac:dyDescent="0.25">
      <c r="A54" s="42" t="s">
        <v>62</v>
      </c>
      <c r="B54" s="52">
        <f>B15+F15+J15+N15+R15+V15+B34+F34+J34+N34+R34+V34+Z34+AD34</f>
        <v>2021</v>
      </c>
      <c r="C54" s="66">
        <f>D15+H15+L15+P15+T15+X15+D34+H34+L34+P34+T34+X34+AB34+AF34</f>
        <v>81.929864253393674</v>
      </c>
      <c r="D54" s="43">
        <f>C54/B54</f>
        <v>4.0539269793861292E-2</v>
      </c>
      <c r="BD54" s="5"/>
      <c r="BE54" s="5"/>
      <c r="BF54" s="5"/>
      <c r="BJ54" s="5"/>
      <c r="BK54" s="5"/>
      <c r="BL54" s="5"/>
      <c r="BM54" s="5"/>
      <c r="BN54" s="5"/>
      <c r="BO54" s="5"/>
      <c r="BP54" s="5"/>
      <c r="BQ54" s="5"/>
      <c r="BR54" s="5"/>
    </row>
    <row r="55" spans="1:70" ht="13" x14ac:dyDescent="0.3">
      <c r="A55" s="99" t="s">
        <v>61</v>
      </c>
      <c r="B55" s="106">
        <f>SUM(B50:B54)</f>
        <v>31254</v>
      </c>
      <c r="C55" s="106">
        <f>SUM(C50:C54)</f>
        <v>1499.7343238446122</v>
      </c>
      <c r="D55" s="101">
        <f>C55/B55</f>
        <v>4.7985356237429201E-2</v>
      </c>
      <c r="BD55" s="5"/>
      <c r="BE55" s="5"/>
      <c r="BF55" s="5"/>
      <c r="BJ55" s="5"/>
      <c r="BK55" s="5"/>
      <c r="BL55" s="5"/>
      <c r="BM55" s="5"/>
      <c r="BN55" s="5"/>
      <c r="BO55" s="5"/>
      <c r="BP55" s="5"/>
      <c r="BQ55" s="5"/>
      <c r="BR55" s="5"/>
    </row>
    <row r="56" spans="1:70" x14ac:dyDescent="0.25">
      <c r="A56">
        <v>1</v>
      </c>
      <c r="B56" s="13">
        <f>B17+F17+J17+N17+B36+F36+J36+N36+R36+V36+Z36+AD36</f>
        <v>63297</v>
      </c>
      <c r="C56" s="64">
        <f>D17+H17+L17+P17+D36+H36+L36+P36+T36+X36+AB36+AF36</f>
        <v>2818.8711398040568</v>
      </c>
      <c r="D56" s="3">
        <f>C56/B56</f>
        <v>4.4534040156785581E-2</v>
      </c>
      <c r="BD56" s="5"/>
      <c r="BE56" s="5"/>
      <c r="BF56" s="5"/>
      <c r="BJ56" s="5"/>
      <c r="BK56" s="5"/>
      <c r="BL56" s="5"/>
      <c r="BM56" s="5"/>
      <c r="BN56" s="5"/>
      <c r="BO56" s="5"/>
      <c r="BP56" s="5"/>
      <c r="BQ56" s="5"/>
      <c r="BR56" s="5"/>
    </row>
    <row r="57" spans="1:70" x14ac:dyDescent="0.25">
      <c r="A57">
        <v>2</v>
      </c>
      <c r="B57" s="13">
        <f>B18+F18+J18+N18+B37+F37+J37+N37+R37+V37+Z37+AD37</f>
        <v>140077</v>
      </c>
      <c r="C57" s="64">
        <f>D18+H18+L18+P18+D37+H37+L37+P37+T37+X37+AB37+AF37</f>
        <v>9518.9631750126391</v>
      </c>
      <c r="D57" s="3">
        <f t="shared" ref="D57:D63" si="0">C57/B57</f>
        <v>6.7955218736927822E-2</v>
      </c>
      <c r="BD57" s="5"/>
      <c r="BE57" s="5"/>
      <c r="BF57" s="5"/>
      <c r="BG57" s="5"/>
      <c r="BJ57" s="5"/>
      <c r="BK57" s="5"/>
      <c r="BL57" s="5"/>
      <c r="BM57" s="5"/>
      <c r="BN57" s="5"/>
      <c r="BO57" s="5"/>
      <c r="BP57" s="5"/>
      <c r="BQ57" s="5"/>
      <c r="BR57" s="5"/>
    </row>
    <row r="58" spans="1:70" x14ac:dyDescent="0.25">
      <c r="A58">
        <v>3</v>
      </c>
      <c r="B58" s="13">
        <f>B19+F19+J19+N19+B38+F38+J38+N38+R38+V38+Z38+AD38</f>
        <v>14563</v>
      </c>
      <c r="C58" s="64">
        <f>D19+H19+L19+P19+D38+H38+L38+P38+T38+X38+AB38+AF38</f>
        <v>1645.4186512016943</v>
      </c>
      <c r="D58" s="3">
        <f t="shared" si="0"/>
        <v>0.11298624261496218</v>
      </c>
      <c r="K58" s="7"/>
      <c r="L58" s="5"/>
      <c r="BD58" s="5"/>
      <c r="BE58" s="5"/>
      <c r="BF58" s="5"/>
      <c r="BG58" s="5"/>
      <c r="BJ58" s="5"/>
      <c r="BK58" s="5"/>
      <c r="BL58" s="5"/>
      <c r="BM58" s="5"/>
      <c r="BN58" s="5"/>
      <c r="BO58" s="5"/>
      <c r="BP58" s="5"/>
      <c r="BQ58" s="5"/>
      <c r="BR58" s="5"/>
    </row>
    <row r="59" spans="1:70" x14ac:dyDescent="0.25">
      <c r="A59">
        <v>4</v>
      </c>
      <c r="B59" s="13">
        <f>B20+F20+J20+N20+B39+F39+J39+N39+R39+V39+Z39+AD39</f>
        <v>229</v>
      </c>
      <c r="C59" s="64">
        <f>D20+H20+L20+P20+D39+H39+L39+P39+T39+X39+AB39+AF39</f>
        <v>19.90050377833753</v>
      </c>
      <c r="D59" s="3">
        <f t="shared" si="0"/>
        <v>8.6901763224181347E-2</v>
      </c>
      <c r="K59" s="7"/>
      <c r="L59" s="5"/>
      <c r="BD59" s="5"/>
      <c r="BE59" s="5"/>
      <c r="BF59" s="5"/>
      <c r="BG59" s="5"/>
      <c r="BH59" s="5"/>
      <c r="BI59" s="5"/>
      <c r="BJ59" s="5"/>
      <c r="BK59" s="5"/>
      <c r="BL59" s="5"/>
      <c r="BM59" s="5"/>
      <c r="BN59" s="5"/>
      <c r="BO59" s="5"/>
      <c r="BP59" s="5"/>
    </row>
    <row r="60" spans="1:70" s="2" customFormat="1" ht="13" x14ac:dyDescent="0.3">
      <c r="A60" s="42">
        <v>5</v>
      </c>
      <c r="B60" s="53">
        <f>B21+F21+J21+N21+B40+F40+J40+N40+R40+V40+Z40+AD40</f>
        <v>1557</v>
      </c>
      <c r="C60" s="98">
        <f>D21+H21+L21+P21+D40+H40+L40+P40+T40+X40+AB40+AF40</f>
        <v>39.101343101343097</v>
      </c>
      <c r="D60" s="43">
        <f t="shared" si="0"/>
        <v>2.5113258253913359E-2</v>
      </c>
      <c r="F60" s="8"/>
      <c r="J60" s="8"/>
      <c r="L60" s="8"/>
      <c r="BC60"/>
      <c r="BD60"/>
      <c r="BE60"/>
      <c r="BF60"/>
      <c r="BG60"/>
      <c r="BH60"/>
      <c r="BI60"/>
      <c r="BJ60"/>
      <c r="BK60"/>
      <c r="BL60"/>
      <c r="BM60"/>
      <c r="BN60"/>
      <c r="BO60"/>
      <c r="BP60"/>
      <c r="BQ60"/>
    </row>
    <row r="61" spans="1:70" ht="13" x14ac:dyDescent="0.3">
      <c r="A61" s="41" t="s">
        <v>60</v>
      </c>
      <c r="B61" s="107">
        <f>SUM(B56:B60)</f>
        <v>219723</v>
      </c>
      <c r="C61" s="107">
        <f>SUM(C56:C60)</f>
        <v>14042.254812898072</v>
      </c>
      <c r="D61" s="97">
        <f t="shared" si="0"/>
        <v>6.3908898080301438E-2</v>
      </c>
      <c r="BC61" s="2"/>
      <c r="BD61" s="2"/>
      <c r="BE61" s="2"/>
      <c r="BF61" s="2"/>
      <c r="BG61" s="2"/>
      <c r="BH61" s="2"/>
      <c r="BI61" s="2"/>
      <c r="BJ61" s="2"/>
      <c r="BK61" s="2"/>
      <c r="BL61" s="2"/>
      <c r="BM61" s="2"/>
      <c r="BN61" s="2"/>
      <c r="BO61" s="2"/>
      <c r="BP61" s="2"/>
      <c r="BQ61" s="2"/>
    </row>
    <row r="62" spans="1:70" ht="13" x14ac:dyDescent="0.3">
      <c r="A62" s="2"/>
    </row>
    <row r="63" spans="1:70" ht="13" x14ac:dyDescent="0.3">
      <c r="A63" s="2" t="s">
        <v>69</v>
      </c>
      <c r="B63" s="40">
        <f>B55+B61</f>
        <v>250977</v>
      </c>
      <c r="C63" s="40">
        <f>C55+C61</f>
        <v>15541.989136742684</v>
      </c>
      <c r="D63" s="55">
        <f t="shared" si="0"/>
        <v>6.1925949934626218E-2</v>
      </c>
    </row>
    <row r="64" spans="1:70" ht="13" x14ac:dyDescent="0.3">
      <c r="C64" s="4"/>
      <c r="D64" s="5"/>
      <c r="G64" s="4"/>
      <c r="H64" s="5"/>
      <c r="K64" s="4"/>
      <c r="L64" s="5"/>
      <c r="O64" s="4"/>
      <c r="P64" s="5"/>
      <c r="S64" s="4"/>
      <c r="T64" s="5"/>
      <c r="W64" s="7"/>
      <c r="X64" s="5"/>
      <c r="AK64" s="2"/>
      <c r="AL64" s="2"/>
    </row>
    <row r="65" spans="1:69" ht="13" x14ac:dyDescent="0.3">
      <c r="C65" s="4"/>
      <c r="D65" s="5"/>
      <c r="G65" s="4"/>
      <c r="H65" s="5"/>
      <c r="K65" s="4"/>
      <c r="L65" s="5"/>
      <c r="O65" s="4"/>
      <c r="P65" s="5"/>
      <c r="S65" s="4"/>
      <c r="T65" s="5"/>
      <c r="W65" s="4"/>
      <c r="X65" s="5"/>
      <c r="AA65" s="4"/>
      <c r="AB65" s="5"/>
      <c r="AJ65" s="2"/>
      <c r="AL65" s="5"/>
    </row>
    <row r="66" spans="1:69" ht="13" x14ac:dyDescent="0.3">
      <c r="C66" s="4"/>
      <c r="D66" s="5"/>
      <c r="G66" s="4"/>
      <c r="H66" s="5"/>
      <c r="K66" s="4"/>
      <c r="L66" s="5"/>
      <c r="O66" s="4"/>
      <c r="P66" s="5"/>
      <c r="S66" s="4"/>
      <c r="T66" s="5"/>
      <c r="W66" s="4"/>
      <c r="X66" s="5"/>
      <c r="AA66" s="4"/>
      <c r="AB66" s="5"/>
      <c r="AH66" s="2"/>
      <c r="AJ66" s="2"/>
      <c r="AL66" s="5"/>
    </row>
    <row r="67" spans="1:69" ht="13" x14ac:dyDescent="0.3">
      <c r="S67" s="7"/>
      <c r="T67" s="5"/>
      <c r="AA67" s="7"/>
      <c r="AB67" s="5"/>
      <c r="AG67" s="2"/>
      <c r="AH67" s="2"/>
      <c r="AI67" s="23"/>
      <c r="AJ67" s="2"/>
      <c r="AL67" s="5"/>
    </row>
    <row r="68" spans="1:69" ht="13" x14ac:dyDescent="0.3">
      <c r="C68" s="7"/>
      <c r="D68" s="5"/>
      <c r="G68" s="7"/>
      <c r="H68" s="5"/>
      <c r="K68" s="7"/>
      <c r="L68" s="5"/>
      <c r="O68" s="4"/>
      <c r="P68" s="5"/>
      <c r="S68" s="4"/>
      <c r="T68" s="5"/>
      <c r="W68" s="7"/>
      <c r="X68" s="5"/>
      <c r="AA68" s="7"/>
      <c r="AB68" s="5"/>
      <c r="AJ68" s="23"/>
      <c r="AL68" s="5"/>
    </row>
    <row r="69" spans="1:69" s="2" customFormat="1" ht="13" x14ac:dyDescent="0.3">
      <c r="B69" s="8"/>
      <c r="D69" s="8"/>
      <c r="F69" s="8"/>
      <c r="H69" s="8"/>
      <c r="J69" s="8"/>
      <c r="L69" s="8"/>
      <c r="N69" s="8"/>
      <c r="O69" s="26"/>
      <c r="P69" s="8"/>
      <c r="R69" s="8"/>
      <c r="S69" s="26"/>
      <c r="T69" s="8"/>
      <c r="V69" s="8"/>
      <c r="W69" s="26"/>
      <c r="X69" s="8"/>
      <c r="Z69" s="8"/>
      <c r="AB69" s="8"/>
      <c r="AG69" s="8"/>
      <c r="AH69" s="24"/>
      <c r="AI69" s="24"/>
      <c r="AK69"/>
      <c r="AL69" s="5"/>
      <c r="BC69"/>
      <c r="BD69"/>
      <c r="BE69"/>
      <c r="BF69"/>
      <c r="BG69"/>
      <c r="BH69"/>
      <c r="BI69"/>
      <c r="BJ69"/>
      <c r="BK69"/>
      <c r="BL69"/>
      <c r="BM69"/>
      <c r="BN69"/>
      <c r="BO69"/>
      <c r="BP69"/>
      <c r="BQ69"/>
    </row>
    <row r="70" spans="1:69" ht="13" x14ac:dyDescent="0.3">
      <c r="BC70" s="2"/>
      <c r="BD70" s="2"/>
      <c r="BE70" s="2"/>
      <c r="BF70" s="2"/>
      <c r="BG70" s="2"/>
      <c r="BH70" s="2"/>
      <c r="BI70" s="2"/>
      <c r="BJ70" s="2"/>
      <c r="BK70" s="2"/>
      <c r="BL70" s="2"/>
      <c r="BM70" s="2"/>
      <c r="BN70" s="2"/>
      <c r="BO70" s="2"/>
      <c r="BP70" s="2"/>
      <c r="BQ70" s="2"/>
    </row>
    <row r="71" spans="1:69" ht="13" x14ac:dyDescent="0.3">
      <c r="A71" s="2"/>
      <c r="AL71" s="5"/>
    </row>
    <row r="74" spans="1:69" x14ac:dyDescent="0.25">
      <c r="C74" s="7"/>
      <c r="D74" s="5"/>
    </row>
    <row r="75" spans="1:69" x14ac:dyDescent="0.25">
      <c r="C75" s="7"/>
      <c r="D75" s="5"/>
      <c r="G75" s="7"/>
      <c r="H75" s="5"/>
    </row>
    <row r="76" spans="1:69" x14ac:dyDescent="0.25">
      <c r="G76" s="7"/>
      <c r="H76" s="5"/>
    </row>
    <row r="77" spans="1:69" x14ac:dyDescent="0.25">
      <c r="O77" s="7"/>
      <c r="P77" s="5"/>
    </row>
    <row r="78" spans="1:69" x14ac:dyDescent="0.25">
      <c r="K78" s="7"/>
      <c r="L78" s="5"/>
      <c r="O78" s="7"/>
      <c r="P78" s="5"/>
    </row>
    <row r="79" spans="1:69" s="2" customFormat="1" ht="13" x14ac:dyDescent="0.3">
      <c r="B79" s="8"/>
      <c r="D79" s="8"/>
      <c r="F79" s="8"/>
      <c r="H79" s="8"/>
      <c r="J79" s="8"/>
      <c r="K79" s="25"/>
      <c r="L79" s="8"/>
      <c r="N79" s="8"/>
      <c r="O79" s="25"/>
      <c r="P79" s="8"/>
      <c r="S79" s="8"/>
      <c r="BC79"/>
      <c r="BD79"/>
      <c r="BE79"/>
      <c r="BF79"/>
      <c r="BG79"/>
      <c r="BH79"/>
      <c r="BI79"/>
      <c r="BJ79"/>
      <c r="BK79"/>
      <c r="BL79"/>
      <c r="BM79"/>
      <c r="BN79"/>
      <c r="BO79"/>
      <c r="BP79"/>
      <c r="BQ79"/>
    </row>
    <row r="80" spans="1:69" ht="13" x14ac:dyDescent="0.3">
      <c r="BC80" s="2"/>
      <c r="BD80" s="2"/>
      <c r="BE80" s="2"/>
      <c r="BF80" s="2"/>
      <c r="BG80" s="2"/>
      <c r="BH80" s="2"/>
      <c r="BI80" s="2"/>
      <c r="BJ80" s="2"/>
      <c r="BK80" s="2"/>
      <c r="BL80" s="2"/>
      <c r="BM80" s="2"/>
      <c r="BN80" s="2"/>
      <c r="BO80" s="2"/>
      <c r="BP80" s="2"/>
      <c r="BQ80" s="2"/>
    </row>
    <row r="82" spans="1:69" ht="13" x14ac:dyDescent="0.3">
      <c r="AK82" s="2"/>
      <c r="AL82" s="2"/>
    </row>
    <row r="83" spans="1:69" ht="13" x14ac:dyDescent="0.3">
      <c r="C83" s="4"/>
      <c r="D83" s="5"/>
      <c r="G83" s="4"/>
      <c r="H83" s="5"/>
      <c r="K83" s="4"/>
      <c r="L83" s="5"/>
      <c r="O83" s="4"/>
      <c r="P83" s="5"/>
      <c r="S83" s="4"/>
      <c r="T83" s="5"/>
      <c r="W83" s="4"/>
      <c r="X83" s="5"/>
      <c r="AJ83" s="2"/>
      <c r="AL83" s="5"/>
    </row>
    <row r="84" spans="1:69" ht="13" x14ac:dyDescent="0.3">
      <c r="C84" s="4"/>
      <c r="D84" s="5"/>
      <c r="G84" s="4"/>
      <c r="H84" s="5"/>
      <c r="K84" s="4"/>
      <c r="L84" s="5"/>
      <c r="O84" s="4"/>
      <c r="P84" s="5"/>
      <c r="S84" s="4"/>
      <c r="T84" s="5"/>
      <c r="W84" s="4"/>
      <c r="X84" s="5"/>
      <c r="AA84" s="4"/>
      <c r="AB84" s="5"/>
      <c r="AJ84" s="2"/>
      <c r="AL84" s="5"/>
    </row>
    <row r="85" spans="1:69" ht="13" x14ac:dyDescent="0.3">
      <c r="C85" s="4"/>
      <c r="D85" s="5"/>
      <c r="G85" s="4"/>
      <c r="H85" s="5"/>
      <c r="K85" s="4"/>
      <c r="L85" s="5"/>
      <c r="O85" s="4"/>
      <c r="P85" s="5"/>
      <c r="S85" s="4"/>
      <c r="T85" s="5"/>
      <c r="W85" s="4"/>
      <c r="X85" s="5"/>
      <c r="AA85" s="4"/>
      <c r="AB85" s="5"/>
      <c r="AH85" s="2"/>
      <c r="AJ85" s="2"/>
      <c r="AL85" s="5"/>
    </row>
    <row r="86" spans="1:69" ht="13" x14ac:dyDescent="0.3">
      <c r="C86" s="4"/>
      <c r="D86" s="5"/>
      <c r="G86" s="7"/>
      <c r="H86" s="5"/>
      <c r="K86" s="7"/>
      <c r="L86" s="5"/>
      <c r="O86" s="4"/>
      <c r="P86" s="5"/>
      <c r="S86" s="7"/>
      <c r="T86" s="5"/>
      <c r="W86" s="7"/>
      <c r="X86" s="5"/>
      <c r="AA86" s="7"/>
      <c r="AH86" s="2"/>
      <c r="AI86" s="23"/>
      <c r="AJ86" s="23"/>
      <c r="AL86" s="5"/>
    </row>
    <row r="87" spans="1:69" ht="13" x14ac:dyDescent="0.3">
      <c r="C87" s="4"/>
      <c r="D87" s="5"/>
      <c r="G87" s="4"/>
      <c r="H87" s="5"/>
      <c r="K87" s="4"/>
      <c r="L87" s="5"/>
      <c r="O87" s="4"/>
      <c r="P87" s="5"/>
      <c r="S87" s="4"/>
      <c r="T87" s="5"/>
      <c r="W87" s="4"/>
      <c r="X87" s="5"/>
      <c r="AA87" s="4"/>
      <c r="AB87" s="5"/>
      <c r="AJ87" s="2"/>
      <c r="AL87" s="5"/>
    </row>
    <row r="88" spans="1:69" s="2" customFormat="1" ht="13" x14ac:dyDescent="0.3">
      <c r="B88" s="8"/>
      <c r="C88" s="26"/>
      <c r="D88" s="8"/>
      <c r="F88" s="8"/>
      <c r="G88" s="26"/>
      <c r="H88" s="8"/>
      <c r="J88" s="8"/>
      <c r="K88" s="26"/>
      <c r="L88" s="8"/>
      <c r="N88" s="8"/>
      <c r="O88" s="26"/>
      <c r="P88" s="8"/>
      <c r="R88" s="8"/>
      <c r="S88" s="26"/>
      <c r="T88" s="8"/>
      <c r="V88" s="8"/>
      <c r="W88" s="26"/>
      <c r="X88" s="8"/>
      <c r="Z88" s="8"/>
      <c r="AA88" s="26"/>
      <c r="AB88" s="8"/>
      <c r="AH88" s="24"/>
      <c r="AI88" s="24"/>
      <c r="AJ88" s="24"/>
      <c r="AK88" s="24"/>
      <c r="AL88" s="24"/>
      <c r="BC88"/>
      <c r="BD88"/>
      <c r="BE88"/>
      <c r="BF88"/>
      <c r="BG88"/>
      <c r="BH88"/>
      <c r="BI88"/>
      <c r="BJ88"/>
      <c r="BK88"/>
      <c r="BL88"/>
      <c r="BM88"/>
      <c r="BN88"/>
      <c r="BO88"/>
      <c r="BP88"/>
      <c r="BQ88"/>
    </row>
    <row r="89" spans="1:69" ht="13" x14ac:dyDescent="0.3">
      <c r="AL89" s="5"/>
      <c r="BC89" s="2"/>
      <c r="BD89" s="2"/>
      <c r="BE89" s="2"/>
      <c r="BF89" s="2"/>
      <c r="BG89" s="2"/>
      <c r="BH89" s="2"/>
      <c r="BI89" s="2"/>
      <c r="BJ89" s="2"/>
      <c r="BK89" s="2"/>
      <c r="BL89" s="2"/>
      <c r="BM89" s="2"/>
      <c r="BN89" s="2"/>
      <c r="BO89" s="2"/>
      <c r="BP89" s="2"/>
      <c r="BQ89" s="2"/>
    </row>
    <row r="90" spans="1:69" ht="13" x14ac:dyDescent="0.3">
      <c r="A90" s="2"/>
    </row>
    <row r="93" spans="1:69" x14ac:dyDescent="0.25">
      <c r="C93" s="7"/>
      <c r="D93" s="5"/>
      <c r="G93" s="7"/>
      <c r="H93" s="5"/>
    </row>
    <row r="94" spans="1:69" x14ac:dyDescent="0.25">
      <c r="G94" s="7"/>
      <c r="H94" s="5"/>
    </row>
    <row r="95" spans="1:69" x14ac:dyDescent="0.25">
      <c r="G95" s="7"/>
      <c r="H95" s="5"/>
    </row>
    <row r="96" spans="1:69" x14ac:dyDescent="0.25">
      <c r="O96" s="7"/>
      <c r="P96" s="5"/>
    </row>
    <row r="97" spans="1:69" x14ac:dyDescent="0.25">
      <c r="K97" s="7"/>
      <c r="L97" s="5"/>
      <c r="O97" s="7"/>
      <c r="P97" s="5"/>
    </row>
    <row r="98" spans="1:69" s="2" customFormat="1" ht="13" x14ac:dyDescent="0.3">
      <c r="B98" s="8"/>
      <c r="D98" s="8"/>
      <c r="F98" s="8"/>
      <c r="H98" s="8"/>
      <c r="J98" s="8"/>
      <c r="L98" s="8"/>
      <c r="N98" s="8"/>
      <c r="P98" s="8"/>
      <c r="S98" s="8"/>
      <c r="BC98"/>
      <c r="BD98"/>
      <c r="BE98"/>
      <c r="BF98"/>
      <c r="BG98"/>
      <c r="BH98"/>
      <c r="BI98"/>
      <c r="BJ98"/>
      <c r="BK98"/>
      <c r="BL98"/>
      <c r="BM98"/>
      <c r="BN98"/>
      <c r="BO98"/>
      <c r="BP98"/>
      <c r="BQ98"/>
    </row>
    <row r="99" spans="1:69" ht="13" x14ac:dyDescent="0.3">
      <c r="BC99" s="2"/>
      <c r="BD99" s="2"/>
      <c r="BE99" s="2"/>
      <c r="BF99" s="2"/>
      <c r="BG99" s="2"/>
      <c r="BH99" s="2"/>
      <c r="BI99" s="2"/>
      <c r="BJ99" s="2"/>
      <c r="BK99" s="2"/>
      <c r="BL99" s="2"/>
      <c r="BM99" s="2"/>
      <c r="BN99" s="2"/>
      <c r="BO99" s="2"/>
      <c r="BP99" s="2"/>
      <c r="BQ99" s="2"/>
    </row>
    <row r="101" spans="1:69" ht="13" x14ac:dyDescent="0.3">
      <c r="AK101" s="2"/>
      <c r="AL101" s="2"/>
    </row>
    <row r="102" spans="1:69" ht="13" x14ac:dyDescent="0.3">
      <c r="C102" s="4"/>
      <c r="D102" s="5"/>
      <c r="G102" s="4"/>
      <c r="H102" s="5"/>
      <c r="K102" s="4"/>
      <c r="L102" s="5"/>
      <c r="O102" s="4"/>
      <c r="P102" s="5"/>
      <c r="S102" s="4"/>
      <c r="T102" s="5"/>
      <c r="W102" s="7"/>
      <c r="X102" s="5"/>
      <c r="AA102" s="7"/>
      <c r="AB102" s="5"/>
      <c r="AJ102" s="2"/>
      <c r="AL102" s="5"/>
    </row>
    <row r="103" spans="1:69" ht="13" x14ac:dyDescent="0.3">
      <c r="C103" s="4"/>
      <c r="D103" s="5"/>
      <c r="G103" s="4"/>
      <c r="H103" s="5"/>
      <c r="K103" s="4"/>
      <c r="L103" s="5"/>
      <c r="O103" s="4"/>
      <c r="P103" s="5"/>
      <c r="S103" s="4"/>
      <c r="T103" s="5"/>
      <c r="W103" s="4"/>
      <c r="X103" s="5"/>
      <c r="AA103" s="4"/>
      <c r="AB103" s="5"/>
      <c r="AJ103" s="2"/>
      <c r="AL103" s="5"/>
    </row>
    <row r="104" spans="1:69" ht="13" x14ac:dyDescent="0.3">
      <c r="C104" s="4"/>
      <c r="D104" s="5"/>
      <c r="G104" s="4"/>
      <c r="H104" s="5"/>
      <c r="K104" s="4"/>
      <c r="L104" s="5"/>
      <c r="O104" s="4"/>
      <c r="P104" s="5"/>
      <c r="S104" s="4"/>
      <c r="T104" s="5"/>
      <c r="W104" s="4"/>
      <c r="X104" s="5"/>
      <c r="AA104" s="4"/>
      <c r="AB104" s="5"/>
      <c r="AH104" s="2"/>
      <c r="AJ104" s="2"/>
      <c r="AL104" s="5"/>
    </row>
    <row r="105" spans="1:69" ht="13" x14ac:dyDescent="0.3">
      <c r="C105" s="7"/>
      <c r="D105" s="5"/>
      <c r="G105" s="7"/>
      <c r="H105" s="5"/>
      <c r="K105" s="7"/>
      <c r="L105" s="5"/>
      <c r="AA105" s="7"/>
      <c r="AB105" s="5"/>
      <c r="AG105" s="2"/>
      <c r="AH105" s="2"/>
      <c r="AI105" s="23"/>
      <c r="AJ105" s="23"/>
      <c r="AL105" s="5"/>
    </row>
    <row r="106" spans="1:69" ht="13" x14ac:dyDescent="0.3">
      <c r="C106" s="4"/>
      <c r="D106" s="5"/>
      <c r="G106" s="7"/>
      <c r="H106" s="5"/>
      <c r="K106" s="4"/>
      <c r="L106" s="5"/>
      <c r="O106" s="4"/>
      <c r="P106" s="5"/>
      <c r="S106" s="4"/>
      <c r="T106" s="5"/>
      <c r="W106" s="4"/>
      <c r="X106" s="5"/>
      <c r="AA106" s="4"/>
      <c r="AB106" s="5"/>
      <c r="AJ106" s="2"/>
      <c r="AL106" s="5"/>
    </row>
    <row r="107" spans="1:69" s="2" customFormat="1" ht="13" x14ac:dyDescent="0.3">
      <c r="B107" s="8"/>
      <c r="C107" s="26"/>
      <c r="D107" s="8"/>
      <c r="F107" s="8"/>
      <c r="H107" s="8"/>
      <c r="J107" s="8"/>
      <c r="K107" s="26"/>
      <c r="L107" s="8"/>
      <c r="N107" s="8"/>
      <c r="O107" s="26"/>
      <c r="P107" s="8"/>
      <c r="R107" s="8"/>
      <c r="S107" s="26"/>
      <c r="T107" s="8"/>
      <c r="V107" s="8"/>
      <c r="W107" s="26"/>
      <c r="X107" s="8"/>
      <c r="Z107" s="8"/>
      <c r="AA107" s="26"/>
      <c r="AB107" s="8"/>
      <c r="AG107" s="8"/>
      <c r="AH107" s="24"/>
      <c r="AI107" s="24"/>
      <c r="AJ107" s="24"/>
      <c r="AK107" s="24"/>
      <c r="AL107" s="24"/>
      <c r="BC107"/>
      <c r="BD107"/>
      <c r="BE107"/>
      <c r="BF107"/>
      <c r="BG107"/>
      <c r="BH107"/>
      <c r="BI107"/>
      <c r="BJ107"/>
      <c r="BK107"/>
      <c r="BL107"/>
      <c r="BM107"/>
      <c r="BN107"/>
      <c r="BO107"/>
      <c r="BP107"/>
      <c r="BQ107"/>
    </row>
    <row r="108" spans="1:69" ht="13" x14ac:dyDescent="0.3">
      <c r="AL108" s="5"/>
      <c r="BC108" s="2"/>
      <c r="BD108" s="2"/>
      <c r="BE108" s="2"/>
      <c r="BF108" s="2"/>
      <c r="BG108" s="2"/>
      <c r="BH108" s="2"/>
      <c r="BI108" s="2"/>
      <c r="BJ108" s="2"/>
      <c r="BK108" s="2"/>
      <c r="BL108" s="2"/>
      <c r="BM108" s="2"/>
      <c r="BN108" s="2"/>
      <c r="BO108" s="2"/>
      <c r="BP108" s="2"/>
      <c r="BQ108" s="2"/>
    </row>
    <row r="109" spans="1:69" ht="13" x14ac:dyDescent="0.3">
      <c r="A109" s="2"/>
    </row>
    <row r="112" spans="1:69" ht="13" x14ac:dyDescent="0.3">
      <c r="C112" s="7"/>
      <c r="D112" s="5"/>
      <c r="G112" s="7"/>
      <c r="H112" s="5"/>
      <c r="AP112" s="2"/>
      <c r="AQ112" s="2"/>
      <c r="AR112" s="2"/>
      <c r="AS112" s="2"/>
      <c r="AT112" s="2"/>
      <c r="AU112" s="2"/>
      <c r="AV112" s="2"/>
      <c r="AW112" s="2"/>
      <c r="AX112" s="2"/>
      <c r="AY112" s="2"/>
    </row>
    <row r="113" spans="2:69" ht="13" x14ac:dyDescent="0.3">
      <c r="C113" s="7"/>
      <c r="D113" s="5"/>
      <c r="G113" s="9"/>
      <c r="K113" s="7"/>
      <c r="L113" s="5"/>
      <c r="AP113" s="2"/>
      <c r="AQ113" s="2"/>
      <c r="AR113" s="2"/>
      <c r="AS113" s="2"/>
      <c r="AT113" s="2"/>
      <c r="AU113" s="2"/>
      <c r="AV113" s="2"/>
      <c r="AW113" s="2"/>
      <c r="AX113" s="2"/>
      <c r="AY113" s="2"/>
    </row>
    <row r="114" spans="2:69" ht="13" x14ac:dyDescent="0.3">
      <c r="C114" s="7"/>
      <c r="D114" s="5"/>
      <c r="G114" s="9"/>
      <c r="K114" s="7"/>
      <c r="L114" s="5"/>
      <c r="AO114" s="23"/>
      <c r="AQ114" s="5"/>
      <c r="AS114" s="5"/>
      <c r="AU114" s="5"/>
      <c r="AW114" s="5"/>
      <c r="AY114" s="5"/>
    </row>
    <row r="115" spans="2:69" ht="13" x14ac:dyDescent="0.3">
      <c r="G115" s="9"/>
      <c r="K115" s="7"/>
      <c r="L115" s="5"/>
      <c r="AO115" s="2"/>
      <c r="AQ115" s="5"/>
      <c r="AS115" s="5"/>
      <c r="AU115" s="5"/>
      <c r="AW115" s="5"/>
      <c r="AY115" s="5"/>
    </row>
    <row r="116" spans="2:69" ht="13" x14ac:dyDescent="0.3">
      <c r="G116" s="7"/>
      <c r="H116" s="5"/>
      <c r="K116" s="7"/>
      <c r="L116" s="5"/>
      <c r="O116" s="7"/>
      <c r="P116" s="5"/>
      <c r="AO116" s="2"/>
      <c r="AQ116" s="5"/>
      <c r="AS116" s="5"/>
      <c r="AU116" s="5"/>
      <c r="AW116" s="5"/>
      <c r="AY116" s="5"/>
    </row>
    <row r="117" spans="2:69" ht="13" x14ac:dyDescent="0.3">
      <c r="O117" s="7"/>
      <c r="P117" s="5"/>
      <c r="AO117" s="2"/>
      <c r="AQ117" s="5"/>
      <c r="AS117" s="5"/>
      <c r="AU117" s="5"/>
      <c r="AW117" s="5"/>
      <c r="AY117" s="5"/>
    </row>
    <row r="118" spans="2:69" s="2" customFormat="1" ht="13" x14ac:dyDescent="0.3">
      <c r="B118" s="8"/>
      <c r="D118" s="8"/>
      <c r="F118" s="8"/>
      <c r="H118" s="8"/>
      <c r="J118" s="8"/>
      <c r="L118" s="8"/>
      <c r="N118" s="8"/>
      <c r="O118" s="25"/>
      <c r="P118" s="8"/>
      <c r="AP118"/>
      <c r="AQ118" s="5"/>
      <c r="AR118"/>
      <c r="AS118" s="5"/>
      <c r="AT118"/>
      <c r="AU118" s="5"/>
      <c r="AV118"/>
      <c r="AW118" s="5"/>
      <c r="AX118"/>
      <c r="AY118" s="5"/>
      <c r="BC118"/>
      <c r="BD118"/>
      <c r="BE118"/>
      <c r="BF118"/>
      <c r="BG118"/>
      <c r="BH118"/>
      <c r="BI118"/>
      <c r="BJ118"/>
      <c r="BK118"/>
      <c r="BL118"/>
      <c r="BM118"/>
      <c r="BN118"/>
      <c r="BO118"/>
      <c r="BP118"/>
      <c r="BQ118"/>
    </row>
    <row r="119" spans="2:69" ht="13" x14ac:dyDescent="0.3">
      <c r="AO119" s="2"/>
      <c r="AQ119" s="5"/>
      <c r="AS119" s="5"/>
      <c r="AU119" s="5"/>
      <c r="AW119" s="5"/>
      <c r="AY119" s="5"/>
      <c r="BC119" s="2"/>
      <c r="BD119" s="2"/>
      <c r="BE119" s="2"/>
      <c r="BF119" s="2"/>
      <c r="BG119" s="2"/>
      <c r="BH119" s="2"/>
      <c r="BI119" s="2"/>
      <c r="BJ119" s="2"/>
      <c r="BK119" s="2"/>
      <c r="BL119" s="2"/>
      <c r="BM119" s="2"/>
      <c r="BN119" s="2"/>
      <c r="BO119" s="2"/>
      <c r="BP119" s="2"/>
      <c r="BQ119" s="2"/>
    </row>
    <row r="121" spans="2:69" ht="13" x14ac:dyDescent="0.3">
      <c r="AK121" s="2"/>
      <c r="AL121" s="2"/>
    </row>
    <row r="122" spans="2:69" ht="13" x14ac:dyDescent="0.3">
      <c r="G122" s="4"/>
      <c r="H122" s="5"/>
      <c r="K122" s="4"/>
      <c r="L122" s="5"/>
      <c r="O122" s="4"/>
      <c r="P122" s="5"/>
      <c r="S122" s="4"/>
      <c r="T122" s="5"/>
      <c r="W122" s="4"/>
      <c r="X122" s="5"/>
      <c r="AA122" s="7"/>
      <c r="AB122" s="5"/>
      <c r="AJ122" s="2"/>
      <c r="AL122" s="5"/>
      <c r="AN122" s="2"/>
      <c r="AQ122" s="5"/>
      <c r="AS122" s="5"/>
      <c r="AU122" s="5"/>
      <c r="AW122" s="5"/>
      <c r="AY122" s="5"/>
    </row>
    <row r="123" spans="2:69" ht="13" x14ac:dyDescent="0.3">
      <c r="G123" s="4"/>
      <c r="H123" s="5"/>
      <c r="K123" s="4"/>
      <c r="L123" s="5"/>
      <c r="O123" s="4"/>
      <c r="P123" s="5"/>
      <c r="S123" s="4"/>
      <c r="T123" s="5"/>
      <c r="W123" s="4"/>
      <c r="X123" s="5"/>
      <c r="AA123" s="4"/>
      <c r="AB123" s="5"/>
      <c r="AJ123" s="2"/>
      <c r="AL123" s="5"/>
      <c r="AN123" s="2"/>
      <c r="AP123" s="5"/>
      <c r="AQ123" s="5"/>
      <c r="AR123" s="5"/>
      <c r="AS123" s="5"/>
      <c r="AT123" s="5"/>
      <c r="AU123" s="5"/>
      <c r="AV123" s="5"/>
      <c r="AW123" s="5"/>
      <c r="AX123" s="5"/>
      <c r="AY123" s="5"/>
    </row>
    <row r="124" spans="2:69" ht="13" x14ac:dyDescent="0.3">
      <c r="G124" s="4"/>
      <c r="H124" s="5"/>
      <c r="K124" s="4"/>
      <c r="L124" s="5"/>
      <c r="O124" s="4"/>
      <c r="P124" s="5"/>
      <c r="S124" s="4"/>
      <c r="T124" s="5"/>
      <c r="W124" s="4"/>
      <c r="X124" s="5"/>
      <c r="AA124" s="4"/>
      <c r="AB124" s="5"/>
      <c r="AH124" s="2"/>
      <c r="AJ124" s="2"/>
      <c r="AL124" s="5"/>
    </row>
    <row r="125" spans="2:69" ht="13" x14ac:dyDescent="0.3">
      <c r="G125" s="4"/>
      <c r="H125" s="5"/>
      <c r="K125" s="7"/>
      <c r="L125" s="5"/>
      <c r="O125" s="7"/>
      <c r="P125" s="5"/>
      <c r="W125" s="7"/>
      <c r="X125" s="5"/>
      <c r="AA125" s="7"/>
      <c r="AB125" s="5"/>
      <c r="AG125" s="2"/>
      <c r="AH125" s="2"/>
      <c r="AI125" s="23"/>
      <c r="AJ125" s="23"/>
      <c r="AL125" s="5"/>
    </row>
    <row r="126" spans="2:69" ht="13" x14ac:dyDescent="0.3">
      <c r="G126" s="4"/>
      <c r="H126" s="5"/>
      <c r="K126" s="4"/>
      <c r="L126" s="5"/>
      <c r="O126" s="4"/>
      <c r="P126" s="5"/>
      <c r="S126" s="4"/>
      <c r="T126" s="5"/>
      <c r="W126" s="4"/>
      <c r="X126" s="5"/>
      <c r="AA126" s="4"/>
      <c r="AB126" s="5"/>
      <c r="AJ126" s="2"/>
      <c r="AL126" s="5"/>
    </row>
    <row r="127" spans="2:69" s="2" customFormat="1" ht="13" x14ac:dyDescent="0.3">
      <c r="B127" s="8"/>
      <c r="F127" s="8"/>
      <c r="H127" s="8"/>
      <c r="J127" s="8"/>
      <c r="L127" s="8"/>
      <c r="N127" s="8"/>
      <c r="P127" s="8"/>
      <c r="R127" s="8"/>
      <c r="T127" s="8"/>
      <c r="V127" s="8"/>
      <c r="X127" s="8"/>
      <c r="Z127" s="8"/>
      <c r="AB127" s="8"/>
      <c r="AG127" s="8"/>
      <c r="AH127" s="24"/>
      <c r="AI127" s="24"/>
      <c r="AJ127" s="24"/>
      <c r="AK127" s="24"/>
      <c r="AL127" s="24"/>
      <c r="BC127"/>
      <c r="BD127"/>
      <c r="BE127"/>
      <c r="BF127"/>
      <c r="BG127"/>
      <c r="BH127"/>
      <c r="BI127"/>
      <c r="BJ127"/>
      <c r="BK127"/>
      <c r="BL127"/>
      <c r="BM127"/>
      <c r="BN127"/>
      <c r="BO127"/>
      <c r="BP127"/>
      <c r="BQ127"/>
    </row>
    <row r="128" spans="2:69" ht="13" x14ac:dyDescent="0.3">
      <c r="AL128" s="5"/>
      <c r="BC128" s="2"/>
      <c r="BD128" s="2"/>
      <c r="BE128" s="2"/>
      <c r="BF128" s="2"/>
      <c r="BG128" s="2"/>
      <c r="BH128" s="2"/>
      <c r="BI128" s="2"/>
      <c r="BJ128" s="2"/>
      <c r="BK128" s="2"/>
      <c r="BL128" s="2"/>
      <c r="BM128" s="2"/>
      <c r="BN128" s="2"/>
      <c r="BO128" s="2"/>
      <c r="BP128" s="2"/>
      <c r="BQ128" s="2"/>
    </row>
    <row r="132" spans="6:6" x14ac:dyDescent="0.25">
      <c r="F132" s="19"/>
    </row>
    <row r="133" spans="6:6" x14ac:dyDescent="0.25">
      <c r="F133" s="19"/>
    </row>
    <row r="134" spans="6:6" x14ac:dyDescent="0.25">
      <c r="F134" s="19"/>
    </row>
    <row r="135" spans="6:6" x14ac:dyDescent="0.25">
      <c r="F135" s="19"/>
    </row>
    <row r="136" spans="6:6" x14ac:dyDescent="0.25">
      <c r="F136" s="19"/>
    </row>
  </sheetData>
  <phoneticPr fontId="4" type="noConversion"/>
  <pageMargins left="0.75" right="0.75" top="1" bottom="1" header="0.5" footer="0.5"/>
  <pageSetup orientation="portrait" horizontalDpi="4294967293" verticalDpi="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L86"/>
  <sheetViews>
    <sheetView topLeftCell="A19" workbookViewId="0">
      <selection activeCell="I30" sqref="I30"/>
    </sheetView>
  </sheetViews>
  <sheetFormatPr defaultRowHeight="12.5" x14ac:dyDescent="0.25"/>
  <cols>
    <col min="1" max="1" width="11.7265625" customWidth="1"/>
    <col min="3" max="4" width="11.7265625" customWidth="1"/>
    <col min="5" max="5" width="2.26953125" customWidth="1"/>
    <col min="7" max="8" width="11.7265625" customWidth="1"/>
    <col min="9" max="9" width="2.26953125" customWidth="1"/>
    <col min="11" max="12" width="11.7265625" customWidth="1"/>
    <col min="13" max="13" width="2.26953125" customWidth="1"/>
    <col min="15" max="16" width="11.7265625" customWidth="1"/>
    <col min="17" max="17" width="2.26953125" customWidth="1"/>
    <col min="19" max="20" width="11.7265625" customWidth="1"/>
    <col min="21" max="21" width="2.26953125" customWidth="1"/>
    <col min="23" max="24" width="11.7265625" customWidth="1"/>
    <col min="25" max="25" width="2.26953125" customWidth="1"/>
    <col min="27" max="28" width="11.7265625" customWidth="1"/>
    <col min="29" max="29" width="2.26953125" customWidth="1"/>
    <col min="31" max="32" width="11.7265625" customWidth="1"/>
    <col min="33" max="33" width="2.26953125" customWidth="1"/>
    <col min="36" max="36" width="2.81640625" customWidth="1"/>
    <col min="37" max="37" width="11.26953125" customWidth="1"/>
    <col min="40" max="40" width="4.7265625" customWidth="1"/>
    <col min="42" max="42" width="11.81640625" customWidth="1"/>
    <col min="44" max="44" width="10.7265625" customWidth="1"/>
    <col min="61" max="61" width="12.453125" customWidth="1"/>
  </cols>
  <sheetData>
    <row r="1" spans="1:24" ht="15.5" x14ac:dyDescent="0.35">
      <c r="A1" s="1" t="s">
        <v>70</v>
      </c>
    </row>
    <row r="2" spans="1:24" ht="13" x14ac:dyDescent="0.3">
      <c r="A2" s="2"/>
    </row>
    <row r="3" spans="1:24" ht="13" x14ac:dyDescent="0.3">
      <c r="A3" s="2" t="s">
        <v>53</v>
      </c>
    </row>
    <row r="4" spans="1:24" s="2" customFormat="1" ht="13" x14ac:dyDescent="0.3">
      <c r="C4" s="2" t="s">
        <v>35</v>
      </c>
      <c r="G4" s="2" t="s">
        <v>34</v>
      </c>
      <c r="K4" s="2" t="s">
        <v>20</v>
      </c>
      <c r="O4" s="2" t="s">
        <v>21</v>
      </c>
      <c r="S4" s="2" t="s">
        <v>22</v>
      </c>
      <c r="W4" s="2" t="s">
        <v>23</v>
      </c>
    </row>
    <row r="5" spans="1:24" s="2" customFormat="1" ht="13" x14ac:dyDescent="0.3">
      <c r="B5" s="27" t="s">
        <v>44</v>
      </c>
      <c r="F5" s="27" t="s">
        <v>44</v>
      </c>
      <c r="J5" s="27" t="s">
        <v>44</v>
      </c>
      <c r="N5" s="27" t="s">
        <v>44</v>
      </c>
      <c r="R5" s="27" t="s">
        <v>44</v>
      </c>
      <c r="V5" s="27" t="s">
        <v>44</v>
      </c>
    </row>
    <row r="6" spans="1:24" x14ac:dyDescent="0.25">
      <c r="B6" t="s">
        <v>13</v>
      </c>
      <c r="C6" t="s">
        <v>51</v>
      </c>
      <c r="D6" t="s">
        <v>14</v>
      </c>
      <c r="F6" t="s">
        <v>13</v>
      </c>
      <c r="G6" t="s">
        <v>51</v>
      </c>
      <c r="H6" t="s">
        <v>14</v>
      </c>
      <c r="J6" t="s">
        <v>13</v>
      </c>
      <c r="K6" t="s">
        <v>51</v>
      </c>
      <c r="L6" t="s">
        <v>14</v>
      </c>
      <c r="N6" t="s">
        <v>13</v>
      </c>
      <c r="O6" t="s">
        <v>51</v>
      </c>
      <c r="P6" t="s">
        <v>14</v>
      </c>
      <c r="R6" t="s">
        <v>13</v>
      </c>
      <c r="S6" t="s">
        <v>51</v>
      </c>
      <c r="T6" t="s">
        <v>14</v>
      </c>
      <c r="V6" t="s">
        <v>13</v>
      </c>
      <c r="W6" t="s">
        <v>51</v>
      </c>
      <c r="X6" t="s">
        <v>14</v>
      </c>
    </row>
    <row r="7" spans="1:24" x14ac:dyDescent="0.25">
      <c r="A7" t="s">
        <v>31</v>
      </c>
      <c r="B7">
        <v>0</v>
      </c>
      <c r="F7">
        <v>4</v>
      </c>
      <c r="G7">
        <v>0</v>
      </c>
      <c r="H7" s="3">
        <f>G7/F7</f>
        <v>0</v>
      </c>
      <c r="J7">
        <v>43</v>
      </c>
      <c r="K7">
        <v>6</v>
      </c>
      <c r="L7" s="3">
        <f>K7/J7</f>
        <v>0.13953488372093023</v>
      </c>
      <c r="N7">
        <v>53</v>
      </c>
      <c r="O7">
        <v>2</v>
      </c>
      <c r="P7" s="3">
        <f>O7/N7</f>
        <v>3.7735849056603772E-2</v>
      </c>
      <c r="R7">
        <v>0</v>
      </c>
      <c r="V7">
        <v>151</v>
      </c>
      <c r="W7">
        <v>14</v>
      </c>
      <c r="X7" s="3">
        <f>W7/V7</f>
        <v>9.2715231788079472E-2</v>
      </c>
    </row>
    <row r="8" spans="1:24" x14ac:dyDescent="0.25">
      <c r="A8" t="s">
        <v>32</v>
      </c>
      <c r="B8">
        <v>0</v>
      </c>
      <c r="F8">
        <v>0</v>
      </c>
      <c r="J8">
        <v>0</v>
      </c>
      <c r="N8">
        <v>0</v>
      </c>
      <c r="R8">
        <v>0</v>
      </c>
      <c r="V8">
        <v>0</v>
      </c>
    </row>
    <row r="9" spans="1:24" s="42" customFormat="1" x14ac:dyDescent="0.25">
      <c r="A9" s="42" t="s">
        <v>45</v>
      </c>
      <c r="B9" s="42">
        <v>0</v>
      </c>
      <c r="F9" s="42">
        <v>0</v>
      </c>
      <c r="J9" s="42">
        <v>0</v>
      </c>
      <c r="N9" s="42">
        <v>0</v>
      </c>
      <c r="R9" s="42">
        <v>0</v>
      </c>
      <c r="V9" s="42">
        <v>78</v>
      </c>
      <c r="W9" s="42">
        <v>1</v>
      </c>
      <c r="X9" s="43">
        <f>W9/V9</f>
        <v>1.282051282051282E-2</v>
      </c>
    </row>
    <row r="10" spans="1:24" ht="13" x14ac:dyDescent="0.3">
      <c r="A10" s="2" t="s">
        <v>61</v>
      </c>
      <c r="B10">
        <f>SUM(B7:B9)</f>
        <v>0</v>
      </c>
      <c r="D10" s="3"/>
      <c r="F10">
        <f>SUM(F7:F9)</f>
        <v>4</v>
      </c>
      <c r="G10">
        <f>SUM(G7:G9)</f>
        <v>0</v>
      </c>
      <c r="H10" s="3">
        <f>G10/F10</f>
        <v>0</v>
      </c>
      <c r="J10">
        <f>SUM(J7:J9)</f>
        <v>43</v>
      </c>
      <c r="K10">
        <f>SUM(K7:K9)</f>
        <v>6</v>
      </c>
      <c r="L10" s="3">
        <f>K10/J10</f>
        <v>0.13953488372093023</v>
      </c>
      <c r="N10">
        <f>SUM(N7:N9)</f>
        <v>53</v>
      </c>
      <c r="O10">
        <f>SUM(O7:O9)</f>
        <v>2</v>
      </c>
      <c r="P10" s="3">
        <f>O10/N10</f>
        <v>3.7735849056603772E-2</v>
      </c>
      <c r="R10">
        <f>SUM(R7:R9)</f>
        <v>0</v>
      </c>
      <c r="T10" s="3"/>
      <c r="V10">
        <f>SUM(V7:V9)</f>
        <v>229</v>
      </c>
      <c r="W10">
        <f>SUM(W7:W9)</f>
        <v>15</v>
      </c>
      <c r="X10" s="3">
        <f>W10/V10</f>
        <v>6.5502183406113537E-2</v>
      </c>
    </row>
    <row r="11" spans="1:24" ht="13" x14ac:dyDescent="0.3">
      <c r="A11" s="2"/>
    </row>
    <row r="12" spans="1:24" ht="13" x14ac:dyDescent="0.3">
      <c r="A12" s="2"/>
    </row>
    <row r="13" spans="1:24" ht="13" x14ac:dyDescent="0.3">
      <c r="A13" s="2"/>
    </row>
    <row r="14" spans="1:24" ht="13" x14ac:dyDescent="0.3">
      <c r="A14" s="2"/>
    </row>
    <row r="15" spans="1:24" ht="13" x14ac:dyDescent="0.3">
      <c r="A15" s="2"/>
    </row>
    <row r="16" spans="1:24" ht="13" x14ac:dyDescent="0.3">
      <c r="A16" s="2"/>
    </row>
    <row r="17" spans="1:64" ht="13" x14ac:dyDescent="0.3">
      <c r="A17" s="2"/>
    </row>
    <row r="19" spans="1:64" s="2" customFormat="1" ht="13" x14ac:dyDescent="0.3">
      <c r="C19" s="2" t="s">
        <v>12</v>
      </c>
      <c r="G19" s="2" t="s">
        <v>5</v>
      </c>
      <c r="K19" s="2" t="s">
        <v>6</v>
      </c>
      <c r="O19" s="2" t="s">
        <v>7</v>
      </c>
      <c r="S19" s="2" t="s">
        <v>8</v>
      </c>
      <c r="W19" s="2" t="s">
        <v>9</v>
      </c>
      <c r="AA19" s="2" t="s">
        <v>10</v>
      </c>
      <c r="AE19" s="2" t="s">
        <v>11</v>
      </c>
    </row>
    <row r="20" spans="1:64" s="2" customFormat="1" ht="13" x14ac:dyDescent="0.3">
      <c r="B20" s="27" t="s">
        <v>44</v>
      </c>
      <c r="F20" s="27" t="s">
        <v>44</v>
      </c>
      <c r="J20" s="27" t="s">
        <v>44</v>
      </c>
      <c r="N20" s="27" t="s">
        <v>44</v>
      </c>
      <c r="R20" s="27" t="s">
        <v>44</v>
      </c>
      <c r="V20" s="27" t="s">
        <v>44</v>
      </c>
      <c r="Z20" s="27" t="s">
        <v>44</v>
      </c>
      <c r="AD20" s="27" t="s">
        <v>44</v>
      </c>
    </row>
    <row r="21" spans="1:64" x14ac:dyDescent="0.25">
      <c r="B21" t="s">
        <v>13</v>
      </c>
      <c r="C21" t="s">
        <v>51</v>
      </c>
      <c r="D21" t="s">
        <v>14</v>
      </c>
      <c r="F21" t="s">
        <v>13</v>
      </c>
      <c r="G21" t="s">
        <v>51</v>
      </c>
      <c r="H21" t="s">
        <v>14</v>
      </c>
      <c r="J21" t="s">
        <v>13</v>
      </c>
      <c r="K21" t="s">
        <v>51</v>
      </c>
      <c r="L21" t="s">
        <v>14</v>
      </c>
      <c r="N21" t="s">
        <v>13</v>
      </c>
      <c r="O21" t="s">
        <v>51</v>
      </c>
      <c r="P21" t="s">
        <v>14</v>
      </c>
      <c r="R21" t="s">
        <v>13</v>
      </c>
      <c r="S21" t="s">
        <v>51</v>
      </c>
      <c r="T21" t="s">
        <v>14</v>
      </c>
      <c r="V21" t="s">
        <v>13</v>
      </c>
      <c r="W21" t="s">
        <v>51</v>
      </c>
      <c r="X21" t="s">
        <v>14</v>
      </c>
      <c r="Z21" t="s">
        <v>13</v>
      </c>
      <c r="AA21" t="s">
        <v>51</v>
      </c>
      <c r="AB21" t="s">
        <v>14</v>
      </c>
      <c r="AD21" t="s">
        <v>13</v>
      </c>
      <c r="AE21" t="s">
        <v>51</v>
      </c>
      <c r="AF21" t="s">
        <v>14</v>
      </c>
    </row>
    <row r="22" spans="1:64" x14ac:dyDescent="0.25">
      <c r="A22" s="32" t="s">
        <v>65</v>
      </c>
    </row>
    <row r="23" spans="1:64" x14ac:dyDescent="0.25">
      <c r="A23" s="32" t="s">
        <v>66</v>
      </c>
    </row>
    <row r="24" spans="1:64" x14ac:dyDescent="0.25">
      <c r="A24" t="s">
        <v>31</v>
      </c>
      <c r="B24">
        <v>101</v>
      </c>
      <c r="C24">
        <v>1</v>
      </c>
      <c r="D24" s="3">
        <f t="shared" ref="D24:D30" si="0">C24/B24</f>
        <v>9.9009900990099011E-3</v>
      </c>
      <c r="F24">
        <v>123</v>
      </c>
      <c r="G24">
        <v>6</v>
      </c>
      <c r="H24" s="3">
        <f>G24/F24</f>
        <v>4.878048780487805E-2</v>
      </c>
      <c r="J24">
        <v>21</v>
      </c>
      <c r="K24">
        <v>0</v>
      </c>
      <c r="L24" s="3">
        <f>K24/J24</f>
        <v>0</v>
      </c>
      <c r="N24">
        <v>170</v>
      </c>
      <c r="O24">
        <v>10</v>
      </c>
      <c r="P24" s="3">
        <f>O24/N24</f>
        <v>5.8823529411764705E-2</v>
      </c>
      <c r="R24">
        <v>0</v>
      </c>
      <c r="V24">
        <v>0</v>
      </c>
      <c r="Z24">
        <v>0</v>
      </c>
      <c r="AD24">
        <f>SUM(AD19:AD21)</f>
        <v>0</v>
      </c>
    </row>
    <row r="25" spans="1:64" x14ac:dyDescent="0.25">
      <c r="A25" t="s">
        <v>32</v>
      </c>
      <c r="B25">
        <v>23</v>
      </c>
      <c r="C25">
        <v>3</v>
      </c>
      <c r="D25" s="3">
        <f t="shared" si="0"/>
        <v>0.13043478260869565</v>
      </c>
      <c r="F25">
        <v>150</v>
      </c>
      <c r="G25">
        <v>6</v>
      </c>
      <c r="H25" s="3">
        <f>G25/F25</f>
        <v>0.04</v>
      </c>
      <c r="J25">
        <v>106</v>
      </c>
      <c r="K25">
        <v>9</v>
      </c>
      <c r="L25" s="3">
        <f>K25/J25</f>
        <v>8.4905660377358486E-2</v>
      </c>
      <c r="N25">
        <v>251</v>
      </c>
      <c r="O25">
        <v>7</v>
      </c>
      <c r="P25" s="3">
        <f>O25/N25</f>
        <v>2.7888446215139442E-2</v>
      </c>
      <c r="R25">
        <v>50</v>
      </c>
      <c r="S25">
        <v>3</v>
      </c>
      <c r="T25" s="3">
        <f>S25/R25</f>
        <v>0.06</v>
      </c>
      <c r="V25">
        <v>86</v>
      </c>
      <c r="W25">
        <v>4</v>
      </c>
      <c r="X25" s="3">
        <f>W25/V25</f>
        <v>4.6511627906976744E-2</v>
      </c>
      <c r="Z25">
        <v>17</v>
      </c>
      <c r="AA25">
        <v>4</v>
      </c>
      <c r="AB25" s="3">
        <f>AA25/Z25</f>
        <v>0.23529411764705882</v>
      </c>
      <c r="AD25">
        <f>SUM(AD20:AD24)</f>
        <v>0</v>
      </c>
    </row>
    <row r="26" spans="1:64" s="42" customFormat="1" x14ac:dyDescent="0.25">
      <c r="A26" s="42" t="s">
        <v>45</v>
      </c>
      <c r="B26" s="42">
        <v>17</v>
      </c>
      <c r="C26" s="42">
        <v>1</v>
      </c>
      <c r="D26" s="43">
        <f t="shared" si="0"/>
        <v>5.8823529411764705E-2</v>
      </c>
      <c r="F26" s="42">
        <v>0</v>
      </c>
      <c r="J26" s="42">
        <v>0</v>
      </c>
      <c r="N26" s="42">
        <v>0</v>
      </c>
      <c r="R26" s="42">
        <v>0</v>
      </c>
      <c r="V26" s="42">
        <v>0</v>
      </c>
      <c r="Z26" s="42">
        <v>0</v>
      </c>
      <c r="AD26" s="42">
        <f>SUM(AD21:AD25)</f>
        <v>0</v>
      </c>
    </row>
    <row r="27" spans="1:64" s="46" customFormat="1" ht="13" x14ac:dyDescent="0.3">
      <c r="A27" s="46" t="s">
        <v>61</v>
      </c>
      <c r="B27" s="46">
        <f>SUM(B24:B26)</f>
        <v>141</v>
      </c>
      <c r="C27" s="46">
        <f>SUM(C24:C26)</f>
        <v>5</v>
      </c>
      <c r="D27" s="67">
        <f t="shared" si="0"/>
        <v>3.5460992907801421E-2</v>
      </c>
      <c r="F27" s="46">
        <f>SUM(F24:F26)</f>
        <v>273</v>
      </c>
      <c r="G27" s="46">
        <f>SUM(G24:G26)</f>
        <v>12</v>
      </c>
      <c r="H27" s="67">
        <f>G27/F27</f>
        <v>4.3956043956043959E-2</v>
      </c>
      <c r="J27" s="46">
        <f>SUM(J24:J26)</f>
        <v>127</v>
      </c>
      <c r="K27" s="46">
        <f>SUM(K24:K26)</f>
        <v>9</v>
      </c>
      <c r="L27" s="67">
        <f>K27/J27</f>
        <v>7.0866141732283464E-2</v>
      </c>
      <c r="N27" s="46">
        <f>SUM(N24:N26)</f>
        <v>421</v>
      </c>
      <c r="O27" s="46">
        <f>SUM(O24:O26)</f>
        <v>17</v>
      </c>
      <c r="P27" s="67">
        <f>O27/N27</f>
        <v>4.0380047505938245E-2</v>
      </c>
      <c r="R27" s="46">
        <f>SUM(R24:R26)</f>
        <v>50</v>
      </c>
      <c r="S27" s="46">
        <f>SUM(S24:S26)</f>
        <v>3</v>
      </c>
      <c r="T27" s="67">
        <f>S27/R27</f>
        <v>0.06</v>
      </c>
      <c r="V27" s="46">
        <f>SUM(V24:V26)</f>
        <v>86</v>
      </c>
      <c r="W27" s="46">
        <f>SUM(W24:W26)</f>
        <v>4</v>
      </c>
      <c r="X27" s="67">
        <f>W27/V27</f>
        <v>4.6511627906976744E-2</v>
      </c>
      <c r="Z27" s="46">
        <f>SUM(Z24:Z26)</f>
        <v>17</v>
      </c>
      <c r="AA27" s="46">
        <f>SUM(AA24:AA26)</f>
        <v>4</v>
      </c>
      <c r="AB27" s="67">
        <f>AA27/Z27</f>
        <v>0.23529411764705882</v>
      </c>
      <c r="AD27" s="46">
        <f>SUM(AD24:AD26)</f>
        <v>0</v>
      </c>
      <c r="AF27" s="67"/>
    </row>
    <row r="28" spans="1:64" ht="13" x14ac:dyDescent="0.3">
      <c r="A28" s="23" t="s">
        <v>63</v>
      </c>
      <c r="B28">
        <v>107</v>
      </c>
      <c r="C28">
        <v>5</v>
      </c>
      <c r="D28" s="3">
        <f t="shared" si="0"/>
        <v>4.6728971962616821E-2</v>
      </c>
      <c r="F28">
        <v>28</v>
      </c>
      <c r="G28">
        <v>1</v>
      </c>
      <c r="H28" s="3">
        <f>G28/F28</f>
        <v>3.5714285714285712E-2</v>
      </c>
      <c r="J28">
        <v>247</v>
      </c>
      <c r="K28">
        <v>16</v>
      </c>
      <c r="L28" s="3">
        <f>K28/J28</f>
        <v>6.4777327935222673E-2</v>
      </c>
      <c r="N28">
        <v>91</v>
      </c>
      <c r="O28">
        <v>8</v>
      </c>
      <c r="P28" s="3">
        <f>O28/N28</f>
        <v>8.7912087912087919E-2</v>
      </c>
      <c r="R28">
        <v>73</v>
      </c>
      <c r="S28">
        <v>1</v>
      </c>
      <c r="T28" s="3">
        <f>S28/R28</f>
        <v>1.3698630136986301E-2</v>
      </c>
      <c r="V28">
        <v>0</v>
      </c>
      <c r="W28">
        <v>0</v>
      </c>
      <c r="Z28">
        <v>0</v>
      </c>
      <c r="AA28">
        <v>0</v>
      </c>
      <c r="AD28">
        <v>0</v>
      </c>
      <c r="AH28" s="4"/>
      <c r="AM28" s="3"/>
    </row>
    <row r="29" spans="1:64" ht="13" x14ac:dyDescent="0.3">
      <c r="A29" s="2">
        <v>2</v>
      </c>
      <c r="B29">
        <v>147</v>
      </c>
      <c r="C29">
        <v>20</v>
      </c>
      <c r="D29" s="3">
        <f t="shared" si="0"/>
        <v>0.1360544217687075</v>
      </c>
      <c r="F29">
        <v>163</v>
      </c>
      <c r="G29">
        <v>7</v>
      </c>
      <c r="H29" s="3">
        <f>G29/F29</f>
        <v>4.2944785276073622E-2</v>
      </c>
      <c r="J29">
        <v>161</v>
      </c>
      <c r="K29">
        <v>12</v>
      </c>
      <c r="L29" s="3">
        <f>K29/J29</f>
        <v>7.4534161490683232E-2</v>
      </c>
      <c r="N29">
        <v>161</v>
      </c>
      <c r="O29">
        <v>6</v>
      </c>
      <c r="P29" s="3">
        <f>O29/N29</f>
        <v>3.7267080745341616E-2</v>
      </c>
      <c r="R29">
        <v>113</v>
      </c>
      <c r="S29">
        <v>2</v>
      </c>
      <c r="T29" s="3">
        <f>S29/R29</f>
        <v>1.7699115044247787E-2</v>
      </c>
      <c r="V29">
        <v>252</v>
      </c>
      <c r="W29">
        <v>17</v>
      </c>
      <c r="X29" s="3">
        <f>W29/V29</f>
        <v>6.7460317460317457E-2</v>
      </c>
      <c r="Z29">
        <v>119</v>
      </c>
      <c r="AA29">
        <v>8</v>
      </c>
      <c r="AB29" s="3">
        <f>AA29/Z29</f>
        <v>6.7226890756302518E-2</v>
      </c>
      <c r="AD29">
        <v>0</v>
      </c>
      <c r="AH29" s="4"/>
      <c r="AM29" s="3"/>
    </row>
    <row r="30" spans="1:64" ht="13" x14ac:dyDescent="0.3">
      <c r="A30" s="2">
        <v>3</v>
      </c>
      <c r="B30">
        <v>142</v>
      </c>
      <c r="C30">
        <v>31</v>
      </c>
      <c r="D30" s="3">
        <f t="shared" si="0"/>
        <v>0.21830985915492956</v>
      </c>
      <c r="F30">
        <v>217</v>
      </c>
      <c r="G30">
        <v>24</v>
      </c>
      <c r="H30" s="3">
        <f>G30/F30</f>
        <v>0.11059907834101383</v>
      </c>
      <c r="J30">
        <v>100</v>
      </c>
      <c r="K30">
        <v>8</v>
      </c>
      <c r="L30" s="3">
        <f>K30/J30</f>
        <v>0.08</v>
      </c>
      <c r="N30">
        <v>50</v>
      </c>
      <c r="O30">
        <v>5</v>
      </c>
      <c r="P30" s="3">
        <f>O30/N30</f>
        <v>0.1</v>
      </c>
      <c r="R30">
        <v>96</v>
      </c>
      <c r="S30">
        <v>7</v>
      </c>
      <c r="T30" s="3">
        <f>S30/R30</f>
        <v>7.2916666666666671E-2</v>
      </c>
      <c r="V30">
        <v>283</v>
      </c>
      <c r="W30">
        <v>21</v>
      </c>
      <c r="X30" s="3">
        <f>W30/V30</f>
        <v>7.4204946996466431E-2</v>
      </c>
      <c r="Z30">
        <v>61</v>
      </c>
      <c r="AA30">
        <v>3</v>
      </c>
      <c r="AB30" s="3">
        <f>AA30/Z30</f>
        <v>4.9180327868852458E-2</v>
      </c>
      <c r="AD30">
        <v>0</v>
      </c>
      <c r="AH30" s="4"/>
      <c r="AM30" s="3"/>
    </row>
    <row r="31" spans="1:64" ht="13" x14ac:dyDescent="0.3">
      <c r="A31" s="2">
        <v>4</v>
      </c>
      <c r="B31">
        <v>0</v>
      </c>
      <c r="F31">
        <v>0</v>
      </c>
      <c r="J31">
        <v>0</v>
      </c>
      <c r="N31">
        <v>0</v>
      </c>
      <c r="R31">
        <v>0</v>
      </c>
      <c r="V31">
        <v>0</v>
      </c>
      <c r="Z31">
        <v>0</v>
      </c>
      <c r="AD31">
        <v>0</v>
      </c>
      <c r="BL31" s="4"/>
    </row>
    <row r="32" spans="1:64" ht="13" x14ac:dyDescent="0.3">
      <c r="A32" s="2">
        <v>5</v>
      </c>
      <c r="B32">
        <v>0</v>
      </c>
      <c r="F32">
        <v>0</v>
      </c>
      <c r="J32">
        <v>0</v>
      </c>
      <c r="N32">
        <v>36</v>
      </c>
      <c r="O32">
        <v>7</v>
      </c>
      <c r="P32" s="3">
        <f>O32/N32</f>
        <v>0.19444444444444445</v>
      </c>
      <c r="R32">
        <v>28</v>
      </c>
      <c r="S32">
        <v>5</v>
      </c>
      <c r="T32" s="3">
        <f>S32/R32</f>
        <v>0.17857142857142858</v>
      </c>
      <c r="V32">
        <v>0</v>
      </c>
      <c r="Z32">
        <v>0</v>
      </c>
      <c r="AD32">
        <v>0</v>
      </c>
      <c r="AH32" s="4"/>
      <c r="BL32" s="4"/>
    </row>
    <row r="33" spans="1:64" x14ac:dyDescent="0.25">
      <c r="B33">
        <f>SUM(B28:B32)</f>
        <v>396</v>
      </c>
      <c r="C33">
        <f>SUM(C28:C32)</f>
        <v>56</v>
      </c>
      <c r="D33" s="3">
        <f>C33/B33</f>
        <v>0.14141414141414141</v>
      </c>
      <c r="F33">
        <f>SUM(F28:F32)</f>
        <v>408</v>
      </c>
      <c r="G33">
        <f>SUM(G28:G32)</f>
        <v>32</v>
      </c>
      <c r="H33" s="3">
        <f>G33/F33</f>
        <v>7.8431372549019607E-2</v>
      </c>
      <c r="J33">
        <f>SUM(J28:J32)</f>
        <v>508</v>
      </c>
      <c r="K33">
        <f>SUM(K28:K32)</f>
        <v>36</v>
      </c>
      <c r="L33" s="3">
        <f>K33/J33</f>
        <v>7.0866141732283464E-2</v>
      </c>
      <c r="N33">
        <f>SUM(N28:N32)</f>
        <v>338</v>
      </c>
      <c r="O33">
        <f>SUM(O28:O32)</f>
        <v>26</v>
      </c>
      <c r="P33" s="3">
        <f>O33/N33</f>
        <v>7.6923076923076927E-2</v>
      </c>
      <c r="R33">
        <f>SUM(R28:R32)</f>
        <v>310</v>
      </c>
      <c r="S33">
        <f>SUM(S28:S32)</f>
        <v>15</v>
      </c>
      <c r="T33" s="3">
        <f>S33/R33</f>
        <v>4.8387096774193547E-2</v>
      </c>
      <c r="V33">
        <f>SUM(V28:V32)</f>
        <v>535</v>
      </c>
      <c r="W33">
        <f>SUM(W28:W32)</f>
        <v>38</v>
      </c>
      <c r="X33" s="3">
        <f>W33/V33</f>
        <v>7.1028037383177575E-2</v>
      </c>
      <c r="Z33">
        <f>SUM(Z28:Z32)</f>
        <v>180</v>
      </c>
      <c r="AA33">
        <f>SUM(AA28:AA32)</f>
        <v>11</v>
      </c>
      <c r="AB33" s="3">
        <f>AA33/Z33</f>
        <v>6.1111111111111109E-2</v>
      </c>
      <c r="AD33">
        <f>SUM(AD28:AD32)</f>
        <v>0</v>
      </c>
      <c r="AE33">
        <f>SUM(AE28:AE32)</f>
        <v>0</v>
      </c>
      <c r="AF33" s="3" t="e">
        <f>AE33/AD33</f>
        <v>#DIV/0!</v>
      </c>
      <c r="BL33" s="4"/>
    </row>
    <row r="34" spans="1:64" ht="15.5" x14ac:dyDescent="0.35">
      <c r="A34" s="1" t="s">
        <v>71</v>
      </c>
      <c r="BJ34" s="14"/>
      <c r="BL34" s="4"/>
    </row>
    <row r="35" spans="1:64" ht="13" x14ac:dyDescent="0.3">
      <c r="A35" s="2"/>
      <c r="BJ35" s="14"/>
      <c r="BL35" s="4"/>
    </row>
    <row r="36" spans="1:64" ht="13" x14ac:dyDescent="0.3">
      <c r="B36" s="27" t="s">
        <v>44</v>
      </c>
      <c r="C36" s="2"/>
      <c r="D36" s="2"/>
      <c r="AT36" s="4"/>
      <c r="AU36" s="4"/>
      <c r="AV36" s="4"/>
      <c r="AW36" s="4"/>
      <c r="AX36" s="4"/>
      <c r="BJ36" s="14"/>
      <c r="BL36" s="4"/>
    </row>
    <row r="37" spans="1:64" x14ac:dyDescent="0.25">
      <c r="B37" t="s">
        <v>13</v>
      </c>
      <c r="C37" t="s">
        <v>51</v>
      </c>
      <c r="D37" t="s">
        <v>14</v>
      </c>
      <c r="AT37" s="4"/>
      <c r="AU37" s="4"/>
      <c r="AV37" s="4"/>
      <c r="AW37" s="4"/>
      <c r="AX37" s="4"/>
      <c r="BJ37" s="14"/>
      <c r="BL37" s="4"/>
    </row>
    <row r="38" spans="1:64" x14ac:dyDescent="0.25">
      <c r="A38" t="s">
        <v>31</v>
      </c>
      <c r="B38">
        <f t="shared" ref="B38:C40" si="1">B24+F24+J24+N24+R24+V24+Z24+AD24+B7+F7+J7+N7+R7+V7</f>
        <v>666</v>
      </c>
      <c r="C38">
        <f t="shared" si="1"/>
        <v>39</v>
      </c>
      <c r="D38" s="3">
        <f t="shared" ref="D38:D44" si="2">C38/B38</f>
        <v>5.8558558558558557E-2</v>
      </c>
      <c r="AT38" s="4"/>
      <c r="AU38" s="4"/>
      <c r="AV38" s="4"/>
      <c r="AW38" s="4"/>
      <c r="AX38" s="4"/>
      <c r="BJ38" s="14"/>
      <c r="BL38" s="4"/>
    </row>
    <row r="39" spans="1:64" x14ac:dyDescent="0.25">
      <c r="A39" t="s">
        <v>32</v>
      </c>
      <c r="B39">
        <f t="shared" si="1"/>
        <v>683</v>
      </c>
      <c r="C39">
        <f t="shared" si="1"/>
        <v>36</v>
      </c>
      <c r="D39" s="3">
        <f t="shared" si="2"/>
        <v>5.2708638360175697E-2</v>
      </c>
      <c r="AT39" s="4"/>
      <c r="AU39" s="4"/>
      <c r="AV39" s="4"/>
      <c r="AW39" s="4"/>
      <c r="AX39" s="4"/>
      <c r="BJ39" s="14"/>
      <c r="BL39" s="4"/>
    </row>
    <row r="40" spans="1:64" x14ac:dyDescent="0.25">
      <c r="A40" s="42" t="s">
        <v>45</v>
      </c>
      <c r="B40" s="42">
        <f t="shared" si="1"/>
        <v>95</v>
      </c>
      <c r="C40" s="42">
        <f t="shared" si="1"/>
        <v>2</v>
      </c>
      <c r="D40" s="43">
        <f t="shared" si="2"/>
        <v>2.1052631578947368E-2</v>
      </c>
      <c r="AT40" s="4"/>
      <c r="AU40" s="4"/>
      <c r="AV40" s="4"/>
      <c r="AW40" s="4"/>
      <c r="AX40" s="4"/>
      <c r="BJ40" s="14"/>
      <c r="BL40" s="4"/>
    </row>
    <row r="41" spans="1:64" ht="13" x14ac:dyDescent="0.3">
      <c r="A41" s="46" t="s">
        <v>61</v>
      </c>
      <c r="B41" s="46">
        <f>SUM(B38:B40)</f>
        <v>1444</v>
      </c>
      <c r="C41" s="46">
        <f>SUM(C38:C40)</f>
        <v>77</v>
      </c>
      <c r="D41" s="67">
        <f t="shared" si="2"/>
        <v>5.3324099722991687E-2</v>
      </c>
      <c r="AT41" s="4"/>
      <c r="AU41" s="4"/>
      <c r="AV41" s="4"/>
      <c r="AW41" s="4"/>
      <c r="AX41" s="4"/>
      <c r="BJ41" s="14"/>
      <c r="BL41" s="4"/>
    </row>
    <row r="42" spans="1:64" ht="13" x14ac:dyDescent="0.3">
      <c r="A42" s="2">
        <v>1</v>
      </c>
      <c r="B42">
        <f>B28+F28+J28+N28+R28+V28+Z28+AD28</f>
        <v>546</v>
      </c>
      <c r="C42">
        <f>C28+G28+K28+O28+S28+W28+AA28+AE28</f>
        <v>31</v>
      </c>
      <c r="D42" s="3">
        <f t="shared" si="2"/>
        <v>5.6776556776556776E-2</v>
      </c>
      <c r="AT42" s="4"/>
      <c r="AU42" s="4"/>
      <c r="AV42" s="4"/>
      <c r="AW42" s="4"/>
      <c r="AX42" s="4"/>
    </row>
    <row r="43" spans="1:64" ht="13" x14ac:dyDescent="0.3">
      <c r="A43" s="2">
        <v>2</v>
      </c>
      <c r="B43">
        <f t="shared" ref="B43:C46" si="3">B29+F29+J29+N29+R29+V29+Z29+AD29</f>
        <v>1116</v>
      </c>
      <c r="C43">
        <f t="shared" si="3"/>
        <v>72</v>
      </c>
      <c r="D43" s="3">
        <f t="shared" si="2"/>
        <v>6.4516129032258063E-2</v>
      </c>
      <c r="H43" s="3"/>
      <c r="L43" s="3"/>
      <c r="P43" s="3"/>
      <c r="T43" s="3"/>
      <c r="AH43" s="4"/>
      <c r="AM43" s="3"/>
      <c r="AT43" s="4"/>
      <c r="AU43" s="4"/>
      <c r="AV43" s="4"/>
      <c r="AW43" s="4"/>
      <c r="AX43" s="4"/>
    </row>
    <row r="44" spans="1:64" ht="13" x14ac:dyDescent="0.3">
      <c r="A44" s="2">
        <v>3</v>
      </c>
      <c r="B44">
        <f t="shared" si="3"/>
        <v>949</v>
      </c>
      <c r="C44">
        <f t="shared" si="3"/>
        <v>99</v>
      </c>
      <c r="D44" s="3">
        <f t="shared" si="2"/>
        <v>0.10432033719704953</v>
      </c>
      <c r="H44" s="3"/>
      <c r="L44" s="3"/>
      <c r="P44" s="3"/>
      <c r="T44" s="3"/>
      <c r="X44" s="3"/>
      <c r="AB44" s="3"/>
      <c r="AH44" s="4"/>
      <c r="AM44" s="3"/>
      <c r="AT44" s="4"/>
      <c r="AU44" s="4"/>
      <c r="AV44" s="4"/>
      <c r="AW44" s="4"/>
      <c r="AX44" s="4"/>
    </row>
    <row r="45" spans="1:64" ht="13" x14ac:dyDescent="0.3">
      <c r="A45" s="2">
        <v>4</v>
      </c>
      <c r="B45">
        <f t="shared" si="3"/>
        <v>0</v>
      </c>
      <c r="C45" s="48" t="s">
        <v>74</v>
      </c>
      <c r="D45" s="48"/>
      <c r="H45" s="3"/>
      <c r="L45" s="3"/>
      <c r="P45" s="3"/>
      <c r="T45" s="3"/>
      <c r="X45" s="3"/>
      <c r="AB45" s="3"/>
      <c r="AH45" s="4"/>
      <c r="AM45" s="3"/>
      <c r="AT45" s="4"/>
      <c r="AU45" s="4"/>
      <c r="AV45" s="4"/>
      <c r="AW45" s="4"/>
      <c r="AX45" s="4"/>
    </row>
    <row r="46" spans="1:64" ht="13" x14ac:dyDescent="0.3">
      <c r="A46" s="2">
        <v>5</v>
      </c>
      <c r="B46">
        <f t="shared" si="3"/>
        <v>64</v>
      </c>
      <c r="C46">
        <f t="shared" si="3"/>
        <v>12</v>
      </c>
      <c r="D46" s="3">
        <f>C46/B46</f>
        <v>0.1875</v>
      </c>
    </row>
    <row r="47" spans="1:64" x14ac:dyDescent="0.25">
      <c r="P47" s="3"/>
      <c r="T47" s="3"/>
      <c r="AH47" s="4"/>
      <c r="AM47" s="3"/>
    </row>
    <row r="49" spans="1:55" ht="13" x14ac:dyDescent="0.3">
      <c r="A49" s="2"/>
    </row>
    <row r="51" spans="1:55" x14ac:dyDescent="0.25">
      <c r="AV51" s="4"/>
      <c r="AW51" s="4"/>
      <c r="AX51" s="4"/>
      <c r="AY51" s="4"/>
      <c r="AZ51" s="4"/>
      <c r="BA51" s="4"/>
    </row>
    <row r="52" spans="1:55" x14ac:dyDescent="0.25">
      <c r="AV52" s="4"/>
      <c r="AW52" s="4"/>
      <c r="AX52" s="4"/>
      <c r="AY52" s="4"/>
      <c r="AZ52" s="4"/>
      <c r="BA52" s="4"/>
      <c r="BB52" s="3"/>
      <c r="BC52" s="3"/>
    </row>
    <row r="53" spans="1:55" x14ac:dyDescent="0.25">
      <c r="D53" s="3"/>
      <c r="H53" s="3"/>
      <c r="L53" s="3"/>
      <c r="P53" s="3"/>
      <c r="T53" s="3"/>
      <c r="X53" s="3"/>
      <c r="AH53" s="4"/>
      <c r="AM53" s="3"/>
      <c r="AV53" s="4"/>
      <c r="AW53" s="4"/>
      <c r="AX53" s="4"/>
      <c r="AY53" s="4"/>
      <c r="AZ53" s="4"/>
      <c r="BA53" s="4"/>
      <c r="BB53" s="3"/>
      <c r="BC53" s="3"/>
    </row>
    <row r="54" spans="1:55" x14ac:dyDescent="0.25">
      <c r="D54" s="3"/>
      <c r="H54" s="3"/>
      <c r="L54" s="3"/>
      <c r="P54" s="3"/>
      <c r="T54" s="3"/>
      <c r="X54" s="3"/>
      <c r="AB54" s="3"/>
      <c r="AH54" s="4"/>
      <c r="AM54" s="3"/>
      <c r="AV54" s="4"/>
      <c r="AW54" s="4"/>
      <c r="AX54" s="4"/>
      <c r="AY54" s="4"/>
      <c r="AZ54" s="4"/>
      <c r="BA54" s="4"/>
    </row>
    <row r="55" spans="1:55" x14ac:dyDescent="0.25">
      <c r="D55" s="3"/>
      <c r="H55" s="3"/>
      <c r="L55" s="3"/>
      <c r="P55" s="3"/>
      <c r="T55" s="3"/>
      <c r="X55" s="3"/>
      <c r="AB55" s="3"/>
      <c r="AH55" s="4"/>
      <c r="AM55" s="3"/>
      <c r="AV55" s="4"/>
      <c r="AW55" s="4"/>
      <c r="AX55" s="4"/>
      <c r="AY55" s="4"/>
      <c r="AZ55" s="4"/>
      <c r="BA55" s="4"/>
      <c r="BB55" s="3"/>
    </row>
    <row r="56" spans="1:55" x14ac:dyDescent="0.25">
      <c r="D56" s="3"/>
      <c r="H56" s="3"/>
      <c r="L56" s="3"/>
      <c r="P56" s="3"/>
      <c r="AH56" s="4"/>
      <c r="AM56" s="3"/>
      <c r="AP56" s="3"/>
      <c r="AQ56" s="3"/>
      <c r="AR56" s="3"/>
      <c r="AS56" s="3"/>
      <c r="AT56" s="3"/>
      <c r="AU56" s="3"/>
      <c r="AV56" s="3"/>
      <c r="AW56" s="3"/>
      <c r="AX56" s="3"/>
      <c r="AY56" s="3"/>
      <c r="AZ56" s="3"/>
      <c r="BA56" s="3"/>
      <c r="BB56" s="3"/>
      <c r="BC56" s="3"/>
    </row>
    <row r="57" spans="1:55" x14ac:dyDescent="0.25">
      <c r="D57" s="3"/>
      <c r="H57" s="3"/>
      <c r="L57" s="3"/>
      <c r="P57" s="3"/>
      <c r="T57" s="3"/>
      <c r="X57" s="3"/>
      <c r="AB57" s="3"/>
      <c r="AH57" s="4"/>
      <c r="AM57" s="3"/>
    </row>
    <row r="59" spans="1:55" ht="13" x14ac:dyDescent="0.3">
      <c r="A59" s="2"/>
    </row>
    <row r="63" spans="1:55" x14ac:dyDescent="0.25">
      <c r="D63" s="3"/>
      <c r="H63" s="3"/>
      <c r="L63" s="3"/>
      <c r="P63" s="3"/>
      <c r="T63" s="3"/>
      <c r="AH63" s="4"/>
      <c r="AM63" s="3"/>
    </row>
    <row r="64" spans="1:55" x14ac:dyDescent="0.25">
      <c r="D64" s="3"/>
      <c r="H64" s="3"/>
      <c r="L64" s="3"/>
      <c r="P64" s="3"/>
      <c r="T64" s="3"/>
      <c r="X64" s="3"/>
      <c r="AB64" s="3"/>
      <c r="AH64" s="4"/>
      <c r="AM64" s="3"/>
    </row>
    <row r="65" spans="1:39" x14ac:dyDescent="0.25">
      <c r="D65" s="3"/>
      <c r="H65" s="3"/>
      <c r="L65" s="3"/>
      <c r="P65" s="3"/>
      <c r="T65" s="3"/>
      <c r="X65" s="3"/>
      <c r="AB65" s="3"/>
      <c r="AH65" s="4"/>
      <c r="AM65" s="3"/>
    </row>
    <row r="66" spans="1:39" x14ac:dyDescent="0.25">
      <c r="D66" s="3"/>
    </row>
    <row r="67" spans="1:39" x14ac:dyDescent="0.25">
      <c r="D67" s="3"/>
      <c r="L67" s="3"/>
      <c r="P67" s="3"/>
      <c r="T67" s="3"/>
      <c r="X67" s="3"/>
      <c r="AB67" s="3"/>
      <c r="AH67" s="4"/>
      <c r="AM67" s="3"/>
    </row>
    <row r="69" spans="1:39" ht="13" x14ac:dyDescent="0.3">
      <c r="A69" s="2"/>
    </row>
    <row r="73" spans="1:39" x14ac:dyDescent="0.25">
      <c r="H73" s="3"/>
      <c r="L73" s="3"/>
      <c r="P73" s="3"/>
      <c r="T73" s="3"/>
      <c r="X73" s="3"/>
      <c r="AH73" s="4"/>
      <c r="AM73" s="3"/>
    </row>
    <row r="74" spans="1:39" x14ac:dyDescent="0.25">
      <c r="H74" s="3"/>
      <c r="L74" s="3"/>
      <c r="P74" s="3"/>
      <c r="T74" s="3"/>
      <c r="X74" s="3"/>
      <c r="AB74" s="3"/>
      <c r="AH74" s="4"/>
      <c r="AM74" s="3"/>
    </row>
    <row r="75" spans="1:39" x14ac:dyDescent="0.25">
      <c r="H75" s="3"/>
      <c r="L75" s="3"/>
      <c r="P75" s="3"/>
      <c r="T75" s="3"/>
      <c r="X75" s="3"/>
      <c r="AB75" s="3"/>
      <c r="AH75" s="4"/>
      <c r="AM75" s="3"/>
    </row>
    <row r="76" spans="1:39" x14ac:dyDescent="0.25">
      <c r="H76" s="3"/>
      <c r="AH76" s="4"/>
      <c r="AM76" s="3"/>
    </row>
    <row r="77" spans="1:39" x14ac:dyDescent="0.25">
      <c r="H77" s="3"/>
      <c r="L77" s="3"/>
      <c r="P77" s="3"/>
      <c r="T77" s="3"/>
      <c r="X77" s="3"/>
      <c r="AB77" s="3"/>
      <c r="AH77" s="4"/>
      <c r="AM77" s="3"/>
    </row>
    <row r="78" spans="1:39" x14ac:dyDescent="0.25">
      <c r="H78" s="3"/>
      <c r="L78" s="3"/>
      <c r="P78" s="3"/>
      <c r="T78" s="3"/>
      <c r="X78" s="3"/>
      <c r="AB78" s="3"/>
      <c r="AH78" s="4"/>
      <c r="AM78" s="3"/>
    </row>
    <row r="82" spans="4:32" x14ac:dyDescent="0.25">
      <c r="D82" s="3"/>
      <c r="H82" s="3"/>
      <c r="L82" s="3"/>
      <c r="P82" s="3"/>
      <c r="T82" s="3"/>
      <c r="X82" s="3"/>
    </row>
    <row r="83" spans="4:32" x14ac:dyDescent="0.25">
      <c r="D83" s="3"/>
      <c r="H83" s="3"/>
      <c r="L83" s="3"/>
      <c r="P83" s="3"/>
      <c r="T83" s="3"/>
      <c r="X83" s="3"/>
      <c r="AB83" s="3"/>
      <c r="AF83" s="3"/>
    </row>
    <row r="84" spans="4:32" x14ac:dyDescent="0.25">
      <c r="D84" s="3"/>
      <c r="H84" s="3"/>
      <c r="L84" s="3"/>
      <c r="P84" s="3"/>
      <c r="T84" s="3"/>
      <c r="X84" s="3"/>
      <c r="AB84" s="3"/>
      <c r="AF84" s="3"/>
    </row>
    <row r="85" spans="4:32" x14ac:dyDescent="0.25">
      <c r="D85" s="3"/>
      <c r="H85" s="3"/>
      <c r="P85" s="3"/>
    </row>
    <row r="86" spans="4:32" x14ac:dyDescent="0.25">
      <c r="D86" s="3"/>
      <c r="H86" s="3"/>
      <c r="L86" s="3"/>
      <c r="P86" s="3"/>
      <c r="T86" s="3"/>
      <c r="X86" s="3"/>
      <c r="AB86" s="3"/>
    </row>
  </sheetData>
  <phoneticPr fontId="4" type="noConversion"/>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R136"/>
  <sheetViews>
    <sheetView topLeftCell="A19" zoomScale="75" workbookViewId="0">
      <selection activeCell="I30" sqref="I30"/>
    </sheetView>
  </sheetViews>
  <sheetFormatPr defaultRowHeight="12.5" x14ac:dyDescent="0.25"/>
  <cols>
    <col min="1" max="1" width="13.1796875" customWidth="1"/>
    <col min="2" max="2" width="10.26953125" customWidth="1"/>
    <col min="3" max="4" width="13.453125" customWidth="1"/>
    <col min="5" max="5" width="1.1796875" customWidth="1"/>
    <col min="6" max="6" width="10.26953125" customWidth="1"/>
    <col min="7" max="8" width="13.453125" customWidth="1"/>
    <col min="9" max="9" width="1.1796875" customWidth="1"/>
    <col min="10" max="10" width="10.26953125" customWidth="1"/>
    <col min="11" max="12" width="13.453125" customWidth="1"/>
    <col min="13" max="13" width="1.1796875" customWidth="1"/>
    <col min="14" max="14" width="10.26953125" customWidth="1"/>
    <col min="15" max="16" width="13.453125" customWidth="1"/>
    <col min="17" max="17" width="0.81640625" customWidth="1"/>
    <col min="18" max="18" width="10.26953125" customWidth="1"/>
    <col min="19" max="20" width="13.453125" customWidth="1"/>
    <col min="21" max="21" width="1.1796875" customWidth="1"/>
    <col min="22" max="22" width="10.26953125" customWidth="1"/>
    <col min="23" max="24" width="13.453125" customWidth="1"/>
    <col min="25" max="25" width="1.26953125" customWidth="1"/>
    <col min="26" max="26" width="10.26953125" customWidth="1"/>
    <col min="27" max="28" width="13.453125" customWidth="1"/>
    <col min="29" max="29" width="1.7265625" customWidth="1"/>
    <col min="30" max="30" width="10.26953125" customWidth="1"/>
    <col min="31" max="32" width="13.453125" customWidth="1"/>
    <col min="34" max="34" width="9.81640625" customWidth="1"/>
    <col min="35" max="35" width="13.54296875" bestFit="1" customWidth="1"/>
    <col min="36" max="38" width="13.54296875" customWidth="1"/>
    <col min="56" max="56" width="11.26953125" bestFit="1" customWidth="1"/>
    <col min="57" max="57" width="10.26953125" bestFit="1" customWidth="1"/>
    <col min="58" max="58" width="11.26953125" bestFit="1" customWidth="1"/>
    <col min="61" max="61" width="11.81640625" customWidth="1"/>
    <col min="62" max="62" width="9.7265625" bestFit="1" customWidth="1"/>
    <col min="63" max="63" width="9.54296875" customWidth="1"/>
  </cols>
  <sheetData>
    <row r="1" spans="1:69" ht="15.5" x14ac:dyDescent="0.35">
      <c r="A1" s="1" t="s">
        <v>92</v>
      </c>
    </row>
    <row r="2" spans="1:69" s="27" customFormat="1" ht="13" x14ac:dyDescent="0.3">
      <c r="A2" s="2" t="s">
        <v>54</v>
      </c>
    </row>
    <row r="3" spans="1:69" s="27" customFormat="1" ht="13" x14ac:dyDescent="0.3">
      <c r="B3" s="36" t="s">
        <v>57</v>
      </c>
    </row>
    <row r="4" spans="1:69" s="27" customFormat="1" ht="13" x14ac:dyDescent="0.3">
      <c r="B4" s="37" t="s">
        <v>58</v>
      </c>
    </row>
    <row r="5" spans="1:69" s="27" customFormat="1" ht="13" x14ac:dyDescent="0.3">
      <c r="B5" s="38" t="s">
        <v>59</v>
      </c>
    </row>
    <row r="6" spans="1:69" s="27" customFormat="1" x14ac:dyDescent="0.25"/>
    <row r="7" spans="1:69" ht="15.5" x14ac:dyDescent="0.35">
      <c r="A7" s="1" t="s">
        <v>47</v>
      </c>
      <c r="BI7" s="2"/>
    </row>
    <row r="8" spans="1:69" ht="13" x14ac:dyDescent="0.3">
      <c r="A8" s="2"/>
      <c r="BI8" s="2"/>
      <c r="BJ8" s="2"/>
      <c r="BK8" s="2"/>
    </row>
    <row r="9" spans="1:69" ht="13" x14ac:dyDescent="0.3">
      <c r="C9" s="2" t="s">
        <v>0</v>
      </c>
      <c r="G9" s="2" t="s">
        <v>2</v>
      </c>
      <c r="K9" s="2" t="s">
        <v>3</v>
      </c>
      <c r="O9" s="2" t="s">
        <v>4</v>
      </c>
      <c r="S9" s="2" t="s">
        <v>67</v>
      </c>
      <c r="W9" s="2" t="s">
        <v>68</v>
      </c>
      <c r="BI9" s="14"/>
      <c r="BJ9" s="30"/>
      <c r="BK9" s="30"/>
    </row>
    <row r="10" spans="1:69" x14ac:dyDescent="0.25">
      <c r="B10" t="s">
        <v>43</v>
      </c>
      <c r="C10" t="s">
        <v>50</v>
      </c>
      <c r="D10" t="s">
        <v>51</v>
      </c>
      <c r="F10" t="s">
        <v>43</v>
      </c>
      <c r="G10" t="s">
        <v>50</v>
      </c>
      <c r="H10" t="s">
        <v>51</v>
      </c>
      <c r="J10" t="s">
        <v>43</v>
      </c>
      <c r="K10" t="s">
        <v>50</v>
      </c>
      <c r="L10" t="s">
        <v>51</v>
      </c>
      <c r="N10" t="s">
        <v>43</v>
      </c>
      <c r="O10" t="s">
        <v>50</v>
      </c>
      <c r="P10" t="s">
        <v>51</v>
      </c>
      <c r="R10" t="s">
        <v>43</v>
      </c>
      <c r="S10" t="s">
        <v>50</v>
      </c>
      <c r="T10" t="s">
        <v>51</v>
      </c>
      <c r="V10" t="s">
        <v>43</v>
      </c>
      <c r="W10" t="s">
        <v>50</v>
      </c>
      <c r="X10" t="s">
        <v>51</v>
      </c>
      <c r="BI10" s="14"/>
      <c r="BJ10" s="30"/>
      <c r="BK10" s="30"/>
      <c r="BN10" s="6"/>
    </row>
    <row r="11" spans="1:69" x14ac:dyDescent="0.25">
      <c r="A11" s="32" t="s">
        <v>65</v>
      </c>
      <c r="BI11" s="14"/>
      <c r="BJ11" s="30"/>
      <c r="BK11" s="30"/>
      <c r="BN11" s="6"/>
    </row>
    <row r="12" spans="1:69" x14ac:dyDescent="0.25">
      <c r="A12" s="32" t="s">
        <v>66</v>
      </c>
      <c r="BI12" s="14"/>
      <c r="BJ12" s="30"/>
      <c r="BK12" s="30"/>
      <c r="BN12" s="6"/>
    </row>
    <row r="13" spans="1:69" x14ac:dyDescent="0.25">
      <c r="A13" t="s">
        <v>31</v>
      </c>
      <c r="B13" s="11">
        <v>1</v>
      </c>
      <c r="C13" s="4">
        <f>'2002 sampling'!D7</f>
        <v>0</v>
      </c>
      <c r="D13">
        <f>C13*B13</f>
        <v>0</v>
      </c>
      <c r="F13">
        <v>0</v>
      </c>
      <c r="J13">
        <v>51</v>
      </c>
      <c r="K13" s="4">
        <f>'2002 sampling'!L7</f>
        <v>0</v>
      </c>
      <c r="L13" s="5">
        <f>K13*J13</f>
        <v>0</v>
      </c>
      <c r="N13">
        <v>88</v>
      </c>
      <c r="O13" s="4">
        <f>'2002 sampling'!P7</f>
        <v>2.0833333333333332E-2</v>
      </c>
      <c r="P13" s="5">
        <f>O13*N13</f>
        <v>1.8333333333333333</v>
      </c>
      <c r="R13">
        <v>18789</v>
      </c>
      <c r="S13" s="4">
        <f>'2002 sampling'!T7</f>
        <v>4.5248868778280547E-3</v>
      </c>
      <c r="T13" s="5">
        <f>S13*R13</f>
        <v>85.018099547511326</v>
      </c>
      <c r="V13">
        <v>10728</v>
      </c>
      <c r="W13" s="4">
        <f>'2002 sampling'!X7</f>
        <v>3.8235294117647062E-2</v>
      </c>
      <c r="X13" s="5">
        <f>W13*V13</f>
        <v>410.1882352941177</v>
      </c>
      <c r="AA13" s="4"/>
      <c r="AB13" s="5"/>
      <c r="AE13" s="4"/>
      <c r="AF13" s="5"/>
      <c r="AI13" s="4"/>
      <c r="AJ13" s="5"/>
      <c r="AM13" s="4"/>
      <c r="AN13" s="5"/>
      <c r="AQ13" s="4"/>
      <c r="AR13" s="5"/>
      <c r="AU13" s="4"/>
      <c r="AV13" s="5"/>
      <c r="AY13" s="7"/>
      <c r="AZ13" s="5"/>
    </row>
    <row r="14" spans="1:69" ht="13" x14ac:dyDescent="0.3">
      <c r="A14" t="s">
        <v>32</v>
      </c>
      <c r="B14">
        <v>0</v>
      </c>
      <c r="F14">
        <v>0</v>
      </c>
      <c r="J14">
        <v>0</v>
      </c>
      <c r="N14" s="11">
        <v>6</v>
      </c>
      <c r="O14" s="4">
        <f>'2002 sampling'!P8</f>
        <v>0</v>
      </c>
      <c r="P14" s="5">
        <f>O14*N14</f>
        <v>0</v>
      </c>
      <c r="R14">
        <v>38</v>
      </c>
      <c r="S14" s="25">
        <f>'Mean Unmarked Rates'!T28</f>
        <v>0</v>
      </c>
      <c r="T14" s="5">
        <f>S14*R14</f>
        <v>0</v>
      </c>
      <c r="V14">
        <v>291</v>
      </c>
      <c r="W14" s="4">
        <f>'2002 sampling'!X8</f>
        <v>8.5714285714285715E-2</v>
      </c>
      <c r="X14" s="5">
        <f>W14*V14</f>
        <v>24.942857142857143</v>
      </c>
      <c r="AA14" s="4"/>
      <c r="AB14" s="5"/>
      <c r="AE14" s="4"/>
      <c r="AF14" s="5"/>
      <c r="AI14" s="4"/>
      <c r="AJ14" s="5"/>
      <c r="AM14" s="4"/>
      <c r="AN14" s="5"/>
      <c r="AQ14" s="4"/>
      <c r="AR14" s="5"/>
      <c r="AU14" s="4"/>
      <c r="AV14" s="5"/>
      <c r="AY14" s="4"/>
      <c r="AZ14" s="5"/>
      <c r="BD14" s="5"/>
      <c r="BE14" s="3"/>
      <c r="BG14" s="5"/>
      <c r="BH14" s="3"/>
      <c r="BJ14" s="5"/>
      <c r="BK14" s="3"/>
      <c r="BM14" s="5"/>
      <c r="BN14" s="3"/>
      <c r="BP14" s="5"/>
      <c r="BQ14" s="3"/>
    </row>
    <row r="15" spans="1:69" s="42" customFormat="1" x14ac:dyDescent="0.25">
      <c r="A15" s="42" t="s">
        <v>45</v>
      </c>
      <c r="B15" s="42">
        <v>0</v>
      </c>
      <c r="F15" s="42">
        <v>0</v>
      </c>
      <c r="J15" s="42">
        <v>0</v>
      </c>
      <c r="N15" s="42">
        <v>0</v>
      </c>
      <c r="R15" s="42">
        <v>6505</v>
      </c>
      <c r="S15" s="49">
        <f>'2002 sampling'!T9</f>
        <v>2.6737967914438502E-2</v>
      </c>
      <c r="T15" s="50">
        <f>S15*R15</f>
        <v>173.93048128342247</v>
      </c>
      <c r="V15" s="42">
        <v>2785</v>
      </c>
      <c r="W15" s="49">
        <f>'2002 sampling'!X9</f>
        <v>3.5087719298245612E-2</v>
      </c>
      <c r="X15" s="50">
        <f>W15*V15</f>
        <v>97.719298245614027</v>
      </c>
      <c r="AA15" s="49"/>
      <c r="AB15" s="50"/>
      <c r="AE15" s="49"/>
      <c r="AF15" s="50"/>
      <c r="AI15" s="49"/>
      <c r="AJ15" s="50"/>
      <c r="AM15" s="49"/>
      <c r="AN15" s="50"/>
      <c r="AQ15" s="51"/>
      <c r="AR15" s="50"/>
      <c r="AT15" s="47"/>
      <c r="BD15" s="50"/>
      <c r="BE15" s="43"/>
      <c r="BG15" s="50"/>
      <c r="BH15" s="43"/>
      <c r="BJ15" s="50"/>
      <c r="BK15" s="43"/>
      <c r="BM15" s="50"/>
      <c r="BN15" s="43"/>
      <c r="BP15" s="50"/>
      <c r="BQ15" s="43"/>
    </row>
    <row r="16" spans="1:69" s="80" customFormat="1" ht="14" x14ac:dyDescent="0.3">
      <c r="A16" s="80" t="s">
        <v>61</v>
      </c>
      <c r="B16" s="80">
        <f>SUM(B11:B15)</f>
        <v>1</v>
      </c>
      <c r="C16" s="81">
        <f>D16/B16</f>
        <v>0</v>
      </c>
      <c r="D16" s="82">
        <f>SUM(D13:D15)</f>
        <v>0</v>
      </c>
      <c r="F16" s="80">
        <f>SUM(F11:F15)</f>
        <v>0</v>
      </c>
      <c r="G16" s="81"/>
      <c r="J16" s="80">
        <f>SUM(J11:J15)</f>
        <v>51</v>
      </c>
      <c r="K16" s="81">
        <f>L16/J16</f>
        <v>0</v>
      </c>
      <c r="L16" s="82">
        <f>SUM(L13:L15)</f>
        <v>0</v>
      </c>
      <c r="N16" s="80">
        <f>SUM(N11:N15)</f>
        <v>94</v>
      </c>
      <c r="O16" s="81">
        <f>P16/N16</f>
        <v>1.9503546099290781E-2</v>
      </c>
      <c r="P16" s="82">
        <f>SUM(P13:P15)</f>
        <v>1.8333333333333333</v>
      </c>
      <c r="R16" s="80">
        <f>SUM(R11:R15)</f>
        <v>25332</v>
      </c>
      <c r="S16" s="81">
        <f>T16/R16</f>
        <v>1.0222192516616681E-2</v>
      </c>
      <c r="T16" s="82">
        <f>SUM(T13:T15)</f>
        <v>258.94858083093379</v>
      </c>
      <c r="V16" s="80">
        <f>SUM(V11:V15)</f>
        <v>13804</v>
      </c>
      <c r="W16" s="81">
        <f>X16/V16</f>
        <v>3.8601158409344305E-2</v>
      </c>
      <c r="X16" s="82">
        <f>SUM(X13:X15)</f>
        <v>532.8503906825888</v>
      </c>
      <c r="BI16" s="86"/>
      <c r="BJ16" s="87"/>
      <c r="BK16" s="87"/>
      <c r="BN16" s="88"/>
    </row>
    <row r="17" spans="1:63" x14ac:dyDescent="0.25">
      <c r="A17">
        <v>1</v>
      </c>
      <c r="B17">
        <v>5</v>
      </c>
      <c r="C17" s="39">
        <f>'Mean Unmarked Rates'!D13</f>
        <v>7.5644949715784865E-2</v>
      </c>
      <c r="D17" s="5">
        <f>B17*C17</f>
        <v>0.3782247485789243</v>
      </c>
      <c r="F17">
        <v>0</v>
      </c>
      <c r="J17">
        <v>0</v>
      </c>
      <c r="N17">
        <v>0</v>
      </c>
      <c r="R17">
        <v>0</v>
      </c>
      <c r="V17">
        <v>0</v>
      </c>
      <c r="BI17" s="14"/>
      <c r="BJ17" s="30"/>
      <c r="BK17" s="30"/>
    </row>
    <row r="18" spans="1:63" x14ac:dyDescent="0.25">
      <c r="A18">
        <v>2</v>
      </c>
      <c r="B18">
        <v>2</v>
      </c>
      <c r="C18" s="39">
        <f>'Mean Unmarked Rates'!D14</f>
        <v>8.7292161520190023E-2</v>
      </c>
      <c r="D18" s="5">
        <f>B18*C18</f>
        <v>0.17458432304038005</v>
      </c>
      <c r="F18">
        <v>2</v>
      </c>
      <c r="G18" s="39">
        <f>'Mean Unmarked Rates'!D14</f>
        <v>8.7292161520190023E-2</v>
      </c>
      <c r="H18" s="5">
        <f>F18*G18</f>
        <v>0.17458432304038005</v>
      </c>
      <c r="J18">
        <v>0</v>
      </c>
      <c r="N18">
        <v>0</v>
      </c>
      <c r="R18">
        <v>0</v>
      </c>
      <c r="V18">
        <v>0</v>
      </c>
      <c r="BI18" s="14"/>
      <c r="BJ18" s="30"/>
      <c r="BK18" s="30"/>
    </row>
    <row r="19" spans="1:63" ht="13" x14ac:dyDescent="0.3">
      <c r="A19">
        <v>3</v>
      </c>
      <c r="B19">
        <v>0</v>
      </c>
      <c r="F19">
        <v>1</v>
      </c>
      <c r="G19" s="39">
        <f>'Mean Unmarked Rates'!D15</f>
        <v>5.920444033302498E-2</v>
      </c>
      <c r="H19" s="5">
        <f>F19*G19</f>
        <v>5.920444033302498E-2</v>
      </c>
      <c r="J19">
        <v>0</v>
      </c>
      <c r="N19">
        <v>0</v>
      </c>
      <c r="R19">
        <v>0</v>
      </c>
      <c r="V19">
        <v>0</v>
      </c>
      <c r="AO19" s="2"/>
      <c r="AP19" s="2"/>
      <c r="AQ19" s="2"/>
      <c r="AR19" s="2"/>
      <c r="AS19" s="2"/>
      <c r="AT19" s="2"/>
      <c r="AU19" s="2"/>
      <c r="AV19" s="2"/>
      <c r="AW19" s="2"/>
      <c r="AX19" s="2"/>
      <c r="AY19" s="2"/>
      <c r="AZ19" s="2"/>
      <c r="BA19" s="2"/>
      <c r="BB19" s="2"/>
      <c r="BI19" s="14"/>
      <c r="BJ19" s="30"/>
      <c r="BK19" s="30"/>
    </row>
    <row r="20" spans="1:63" ht="13" x14ac:dyDescent="0.3">
      <c r="A20">
        <v>4</v>
      </c>
      <c r="B20">
        <v>0</v>
      </c>
      <c r="F20">
        <v>0</v>
      </c>
      <c r="J20">
        <v>0</v>
      </c>
      <c r="N20">
        <v>8</v>
      </c>
      <c r="O20" s="39">
        <f>'Mean Unmarked Rates'!D16</f>
        <v>8.6901763224181361E-2</v>
      </c>
      <c r="P20" s="5">
        <f>N20*O20</f>
        <v>0.69521410579345089</v>
      </c>
      <c r="R20">
        <v>0</v>
      </c>
      <c r="V20">
        <v>0</v>
      </c>
      <c r="AO20" s="2"/>
      <c r="AP20" s="2"/>
      <c r="AQ20" s="2"/>
      <c r="AR20" s="2"/>
      <c r="AS20" s="2"/>
      <c r="AT20" s="2"/>
      <c r="AU20" s="2"/>
      <c r="AV20" s="2"/>
      <c r="AW20" s="2"/>
      <c r="AX20" s="2"/>
      <c r="AY20" s="2"/>
      <c r="AZ20" s="2"/>
      <c r="BA20" s="2"/>
      <c r="BB20" s="2"/>
      <c r="BD20" s="2"/>
    </row>
    <row r="21" spans="1:63" s="42" customFormat="1" ht="13" x14ac:dyDescent="0.3">
      <c r="A21" s="42">
        <v>5</v>
      </c>
      <c r="B21" s="42">
        <v>0</v>
      </c>
      <c r="F21" s="42">
        <v>0</v>
      </c>
      <c r="J21" s="42">
        <v>18</v>
      </c>
      <c r="K21" s="95">
        <f>'Mean Unmarked Rates'!D17</f>
        <v>6.7307692307692304E-2</v>
      </c>
      <c r="L21" s="50">
        <f>J21*K21</f>
        <v>1.2115384615384615</v>
      </c>
      <c r="N21" s="42">
        <v>26</v>
      </c>
      <c r="O21" s="95">
        <f>'Mean Unmarked Rates'!D17</f>
        <v>6.7307692307692304E-2</v>
      </c>
      <c r="P21" s="50">
        <f>N21*O21</f>
        <v>1.75</v>
      </c>
      <c r="R21" s="42">
        <v>0</v>
      </c>
      <c r="V21" s="42">
        <v>0</v>
      </c>
      <c r="AO21" s="41"/>
      <c r="AP21" s="41"/>
      <c r="AQ21" s="41"/>
      <c r="AR21" s="41"/>
      <c r="AS21" s="41"/>
      <c r="AT21" s="41"/>
      <c r="AU21" s="41"/>
      <c r="AV21" s="41"/>
      <c r="AW21" s="41"/>
      <c r="AX21" s="41"/>
      <c r="AY21" s="41"/>
      <c r="AZ21" s="41"/>
      <c r="BA21" s="41"/>
      <c r="BB21" s="41"/>
      <c r="BD21" s="41"/>
      <c r="BE21" s="41"/>
      <c r="BF21" s="41"/>
      <c r="BG21" s="41"/>
    </row>
    <row r="22" spans="1:63" s="80" customFormat="1" ht="14" x14ac:dyDescent="0.3">
      <c r="A22" s="80" t="s">
        <v>60</v>
      </c>
      <c r="B22" s="80">
        <f>SUM(B17:B21)</f>
        <v>7</v>
      </c>
      <c r="C22" s="81">
        <f>D22/B22</f>
        <v>7.8972724517043486E-2</v>
      </c>
      <c r="D22" s="82">
        <f>SUM(D17:D21)</f>
        <v>0.55280907161930437</v>
      </c>
      <c r="F22" s="80">
        <f>SUM(F17:F21)</f>
        <v>3</v>
      </c>
      <c r="G22" s="81">
        <f>H22/F22</f>
        <v>7.7929587791135013E-2</v>
      </c>
      <c r="H22" s="82">
        <f>SUM(H17:H21)</f>
        <v>0.23378876337340504</v>
      </c>
      <c r="J22" s="80">
        <f>SUM(J17:J21)</f>
        <v>18</v>
      </c>
      <c r="K22" s="81">
        <f>L22/J22</f>
        <v>6.7307692307692304E-2</v>
      </c>
      <c r="L22" s="82">
        <f>SUM(L17:L21)</f>
        <v>1.2115384615384615</v>
      </c>
      <c r="N22" s="80">
        <f>SUM(N17:N21)</f>
        <v>34</v>
      </c>
      <c r="O22" s="81">
        <f>P22/N22</f>
        <v>7.1918061935101502E-2</v>
      </c>
      <c r="P22" s="82">
        <f>SUM(P17:P21)</f>
        <v>2.4452141057934509</v>
      </c>
      <c r="R22" s="80">
        <v>0</v>
      </c>
      <c r="V22" s="80">
        <v>0</v>
      </c>
      <c r="AN22" s="104"/>
      <c r="AO22" s="104"/>
      <c r="AP22" s="104"/>
      <c r="AQ22" s="104"/>
      <c r="AR22" s="104"/>
      <c r="AS22" s="104"/>
      <c r="AT22" s="104"/>
      <c r="AU22" s="104"/>
      <c r="AV22" s="104"/>
      <c r="AW22" s="104"/>
      <c r="AX22" s="104"/>
      <c r="AY22" s="104"/>
      <c r="AZ22" s="104"/>
      <c r="BA22" s="104"/>
      <c r="BB22" s="104"/>
      <c r="BD22" s="83"/>
      <c r="BE22" s="83"/>
      <c r="BF22" s="83"/>
      <c r="BG22" s="105"/>
    </row>
    <row r="23" spans="1:63" s="2" customFormat="1" ht="13" x14ac:dyDescent="0.3">
      <c r="D23" s="8"/>
      <c r="F23" s="8"/>
      <c r="H23" s="8"/>
      <c r="J23" s="8"/>
      <c r="L23" s="8"/>
      <c r="N23" s="8"/>
      <c r="O23" s="25"/>
      <c r="P23" s="8"/>
      <c r="AN23" s="27"/>
      <c r="AO23" s="27"/>
      <c r="AP23" s="27"/>
      <c r="AQ23" s="27"/>
      <c r="AR23" s="27"/>
      <c r="AS23" s="27"/>
      <c r="AT23" s="27"/>
      <c r="AU23" s="27"/>
      <c r="AV23" s="27"/>
      <c r="AW23" s="27"/>
      <c r="AX23" s="27"/>
      <c r="AY23" s="27"/>
      <c r="AZ23" s="27"/>
      <c r="BA23" s="27"/>
      <c r="BB23" s="27"/>
      <c r="BD23" s="29"/>
      <c r="BE23" s="29"/>
      <c r="BF23" s="29"/>
      <c r="BG23" s="28"/>
    </row>
    <row r="24" spans="1:63" s="57" customFormat="1" ht="14" x14ac:dyDescent="0.3">
      <c r="A24" s="57" t="s">
        <v>44</v>
      </c>
      <c r="B24" s="57">
        <f>B16+B22</f>
        <v>8</v>
      </c>
      <c r="C24" s="58">
        <f>D24/B24</f>
        <v>6.9101133952413046E-2</v>
      </c>
      <c r="D24" s="59">
        <f>D16+D22</f>
        <v>0.55280907161930437</v>
      </c>
      <c r="F24" s="57">
        <f>F16+F22</f>
        <v>3</v>
      </c>
      <c r="G24" s="58">
        <f>H24/F24</f>
        <v>7.7929587791135013E-2</v>
      </c>
      <c r="H24" s="59">
        <f>H16+H22</f>
        <v>0.23378876337340504</v>
      </c>
      <c r="J24" s="57">
        <f>J16+J22</f>
        <v>69</v>
      </c>
      <c r="K24" s="58">
        <f>L24/J24</f>
        <v>1.7558528428093644E-2</v>
      </c>
      <c r="L24" s="59">
        <f>L16+L22</f>
        <v>1.2115384615384615</v>
      </c>
      <c r="N24" s="57">
        <f>N16+N22</f>
        <v>128</v>
      </c>
      <c r="O24" s="58">
        <f>P24/N24</f>
        <v>3.3426151868178003E-2</v>
      </c>
      <c r="P24" s="59">
        <f>P16+P22</f>
        <v>4.2785474391267844</v>
      </c>
      <c r="R24" s="57">
        <f>R16+R22</f>
        <v>25332</v>
      </c>
      <c r="S24" s="58">
        <f>T24/R24</f>
        <v>1.0222192516616681E-2</v>
      </c>
      <c r="T24" s="59">
        <f>T16+T22</f>
        <v>258.94858083093379</v>
      </c>
      <c r="V24" s="57">
        <f>V16+V22</f>
        <v>13804</v>
      </c>
      <c r="W24" s="58">
        <f>X24/V24</f>
        <v>3.8601158409344305E-2</v>
      </c>
      <c r="X24" s="59">
        <f>X16+X22</f>
        <v>532.8503906825888</v>
      </c>
      <c r="AN24" s="60"/>
      <c r="AO24" s="60"/>
      <c r="AP24" s="60"/>
      <c r="AQ24" s="60"/>
      <c r="AR24" s="60"/>
      <c r="AS24" s="60"/>
      <c r="AT24" s="60"/>
      <c r="AU24" s="60"/>
      <c r="AV24" s="60"/>
      <c r="AW24" s="60"/>
      <c r="AX24" s="60"/>
      <c r="AY24" s="60"/>
      <c r="AZ24" s="60"/>
      <c r="BA24" s="60"/>
      <c r="BB24" s="60"/>
      <c r="BD24" s="61"/>
      <c r="BE24" s="61"/>
      <c r="BF24" s="61"/>
      <c r="BG24" s="62"/>
    </row>
    <row r="25" spans="1:63" s="2" customFormat="1" ht="13" x14ac:dyDescent="0.3">
      <c r="D25" s="8"/>
      <c r="F25" s="8"/>
      <c r="H25" s="8"/>
      <c r="J25" s="8"/>
      <c r="L25" s="8"/>
      <c r="N25" s="8"/>
      <c r="O25" s="25"/>
      <c r="P25" s="8"/>
      <c r="AN25" s="27"/>
      <c r="AO25" s="27"/>
      <c r="AP25" s="27"/>
      <c r="AQ25" s="27"/>
      <c r="AR25" s="27"/>
      <c r="AS25" s="27"/>
      <c r="AT25" s="27"/>
      <c r="AU25" s="27"/>
      <c r="AV25" s="27"/>
      <c r="AW25" s="27"/>
      <c r="AX25" s="27"/>
      <c r="AY25" s="27"/>
      <c r="AZ25" s="27"/>
      <c r="BA25" s="27"/>
      <c r="BB25" s="27"/>
      <c r="BD25" s="29"/>
      <c r="BE25" s="29"/>
      <c r="BF25" s="29"/>
      <c r="BG25" s="28"/>
    </row>
    <row r="26" spans="1:63" s="2" customFormat="1" ht="15.5" x14ac:dyDescent="0.35">
      <c r="A26" s="1" t="s">
        <v>48</v>
      </c>
      <c r="D26" s="8"/>
      <c r="F26" s="8"/>
      <c r="H26" s="8"/>
      <c r="J26" s="8"/>
      <c r="L26" s="8"/>
      <c r="N26" s="8"/>
      <c r="O26" s="25"/>
      <c r="P26" s="8"/>
      <c r="AN26" s="27"/>
      <c r="AO26" s="27"/>
      <c r="AP26" s="27"/>
      <c r="AQ26" s="27"/>
      <c r="AR26" s="27"/>
      <c r="AS26" s="27"/>
      <c r="AT26" s="27"/>
      <c r="AU26" s="27"/>
      <c r="AV26" s="27"/>
      <c r="AW26" s="27"/>
      <c r="AX26" s="27"/>
      <c r="AY26" s="27"/>
      <c r="AZ26" s="27"/>
      <c r="BA26" s="27"/>
      <c r="BB26" s="27"/>
      <c r="BD26" s="29"/>
      <c r="BE26" s="29"/>
      <c r="BF26" s="29"/>
      <c r="BG26" s="28"/>
    </row>
    <row r="27" spans="1:63" x14ac:dyDescent="0.25">
      <c r="D27" s="5"/>
      <c r="P27" s="5"/>
      <c r="BD27" s="29"/>
      <c r="BE27" s="13"/>
      <c r="BF27" s="13"/>
      <c r="BG27" s="6"/>
    </row>
    <row r="28" spans="1:63" s="2" customFormat="1" ht="13" x14ac:dyDescent="0.3">
      <c r="C28" s="2" t="s">
        <v>12</v>
      </c>
      <c r="G28" s="2" t="s">
        <v>5</v>
      </c>
      <c r="K28" s="2" t="s">
        <v>6</v>
      </c>
      <c r="O28" s="2" t="s">
        <v>7</v>
      </c>
      <c r="S28" s="2" t="s">
        <v>8</v>
      </c>
      <c r="W28" s="2" t="s">
        <v>9</v>
      </c>
      <c r="AA28" s="2" t="s">
        <v>10</v>
      </c>
      <c r="AE28" s="2" t="s">
        <v>11</v>
      </c>
      <c r="BD28" s="24"/>
      <c r="BE28" s="24"/>
      <c r="BF28" s="24"/>
      <c r="BG28" s="22"/>
    </row>
    <row r="29" spans="1:63" ht="13" x14ac:dyDescent="0.3">
      <c r="B29" t="s">
        <v>43</v>
      </c>
      <c r="C29" t="s">
        <v>50</v>
      </c>
      <c r="D29" t="s">
        <v>51</v>
      </c>
      <c r="F29" t="s">
        <v>43</v>
      </c>
      <c r="G29" t="s">
        <v>50</v>
      </c>
      <c r="H29" t="s">
        <v>51</v>
      </c>
      <c r="J29" t="s">
        <v>43</v>
      </c>
      <c r="K29" t="s">
        <v>50</v>
      </c>
      <c r="L29" t="s">
        <v>51</v>
      </c>
      <c r="N29" t="s">
        <v>43</v>
      </c>
      <c r="O29" t="s">
        <v>50</v>
      </c>
      <c r="P29" t="s">
        <v>51</v>
      </c>
      <c r="R29" t="s">
        <v>43</v>
      </c>
      <c r="S29" t="s">
        <v>50</v>
      </c>
      <c r="T29" t="s">
        <v>51</v>
      </c>
      <c r="V29" t="s">
        <v>43</v>
      </c>
      <c r="W29" t="s">
        <v>50</v>
      </c>
      <c r="X29" t="s">
        <v>51</v>
      </c>
      <c r="Z29" t="s">
        <v>43</v>
      </c>
      <c r="AA29" t="s">
        <v>50</v>
      </c>
      <c r="AB29" t="s">
        <v>51</v>
      </c>
      <c r="AD29" t="s">
        <v>43</v>
      </c>
      <c r="AE29" t="s">
        <v>50</v>
      </c>
      <c r="AF29" t="s">
        <v>51</v>
      </c>
      <c r="AK29" s="2"/>
      <c r="AL29" s="2"/>
      <c r="BD29" s="29"/>
      <c r="BE29" s="13"/>
      <c r="BF29" s="13"/>
      <c r="BG29" s="6"/>
    </row>
    <row r="30" spans="1:63" ht="13" x14ac:dyDescent="0.3">
      <c r="A30" s="32" t="s">
        <v>65</v>
      </c>
      <c r="AK30" s="2"/>
      <c r="AL30" s="2"/>
      <c r="BD30" s="29"/>
      <c r="BE30" s="13"/>
      <c r="BF30" s="13"/>
      <c r="BG30" s="6"/>
    </row>
    <row r="31" spans="1:63" ht="13" x14ac:dyDescent="0.3">
      <c r="A31" s="32" t="s">
        <v>66</v>
      </c>
      <c r="AK31" s="2"/>
      <c r="AL31" s="2"/>
      <c r="BD31" s="29"/>
      <c r="BE31" s="13"/>
      <c r="BF31" s="13"/>
      <c r="BG31" s="6"/>
    </row>
    <row r="32" spans="1:63" ht="13" x14ac:dyDescent="0.3">
      <c r="A32" t="s">
        <v>31</v>
      </c>
      <c r="B32">
        <v>14650</v>
      </c>
      <c r="C32" s="4">
        <f>'2002 sampling'!D24</f>
        <v>3.678929765886288E-2</v>
      </c>
      <c r="D32" s="5">
        <f>C32*B32</f>
        <v>538.96321070234114</v>
      </c>
      <c r="F32">
        <v>3108</v>
      </c>
      <c r="G32" s="4">
        <f>'2002 sampling'!H24</f>
        <v>0</v>
      </c>
      <c r="H32" s="5">
        <f>F32*G32</f>
        <v>0</v>
      </c>
      <c r="J32">
        <v>1807</v>
      </c>
      <c r="K32" s="4">
        <f>'2002 sampling'!L24</f>
        <v>1.5915119363395226E-2</v>
      </c>
      <c r="L32" s="5">
        <f>J32*K32</f>
        <v>28.758620689655171</v>
      </c>
      <c r="N32">
        <v>2196</v>
      </c>
      <c r="O32" s="7">
        <f>'Mean Unmarked Rates'!P43</f>
        <v>0</v>
      </c>
      <c r="P32" s="5">
        <f>N32*O32</f>
        <v>0</v>
      </c>
      <c r="R32">
        <v>196</v>
      </c>
      <c r="S32" s="4">
        <f>'2002 sampling'!T24</f>
        <v>0.14285714285714285</v>
      </c>
      <c r="T32" s="5">
        <f>R32*S32</f>
        <v>28</v>
      </c>
      <c r="V32">
        <v>246</v>
      </c>
      <c r="W32" s="7">
        <f>'Mean Unmarked Rates'!X43</f>
        <v>0</v>
      </c>
      <c r="X32" s="5">
        <f>V32*W32</f>
        <v>0</v>
      </c>
      <c r="Z32">
        <v>0</v>
      </c>
      <c r="AD32">
        <v>0</v>
      </c>
      <c r="AK32" s="2"/>
      <c r="AL32" s="2"/>
      <c r="BD32" s="29"/>
      <c r="BE32" s="13"/>
      <c r="BF32" s="13"/>
      <c r="BG32" s="6"/>
    </row>
    <row r="33" spans="1:70" ht="13" x14ac:dyDescent="0.3">
      <c r="A33" t="s">
        <v>32</v>
      </c>
      <c r="B33">
        <v>767</v>
      </c>
      <c r="C33" s="4">
        <f>'2002 sampling'!D25</f>
        <v>1.8867924528301886E-2</v>
      </c>
      <c r="D33" s="5">
        <f>C33*B33</f>
        <v>14.471698113207546</v>
      </c>
      <c r="F33">
        <v>328</v>
      </c>
      <c r="G33" s="4">
        <f>'2002 sampling'!H25</f>
        <v>7.6190476190476197E-2</v>
      </c>
      <c r="H33" s="5">
        <f>F33*G33</f>
        <v>24.990476190476194</v>
      </c>
      <c r="J33">
        <v>12</v>
      </c>
      <c r="K33" s="7">
        <f>'Mean Unmarked Rates'!L44</f>
        <v>0</v>
      </c>
      <c r="L33" s="5">
        <f>J33*K33</f>
        <v>0</v>
      </c>
      <c r="N33">
        <v>8</v>
      </c>
      <c r="O33" s="7">
        <f>'Mean Unmarked Rates'!P44</f>
        <v>0</v>
      </c>
      <c r="P33" s="5">
        <f>N33*O33</f>
        <v>0</v>
      </c>
      <c r="R33">
        <v>0</v>
      </c>
      <c r="V33">
        <v>0</v>
      </c>
      <c r="Z33">
        <v>0</v>
      </c>
      <c r="AD33">
        <v>0</v>
      </c>
      <c r="AK33" s="2"/>
      <c r="AL33" s="2"/>
      <c r="BD33" s="29"/>
      <c r="BE33" s="13"/>
      <c r="BF33" s="13"/>
      <c r="BG33" s="6"/>
    </row>
    <row r="34" spans="1:70" s="42" customFormat="1" ht="13" x14ac:dyDescent="0.3">
      <c r="A34" s="42" t="s">
        <v>62</v>
      </c>
      <c r="B34" s="42">
        <v>4621</v>
      </c>
      <c r="C34" s="49">
        <f>'2002 sampling'!D26</f>
        <v>4.8611111111111112E-2</v>
      </c>
      <c r="D34" s="50">
        <f>C34*B34</f>
        <v>224.63194444444446</v>
      </c>
      <c r="F34" s="42">
        <v>1343</v>
      </c>
      <c r="G34" s="51">
        <f>'Mean Unmarked Rates'!H45</f>
        <v>0</v>
      </c>
      <c r="H34" s="50">
        <f>F34*G34</f>
        <v>0</v>
      </c>
      <c r="J34" s="42">
        <v>253</v>
      </c>
      <c r="K34" s="51">
        <f>'Mean Unmarked Rates'!L45</f>
        <v>0</v>
      </c>
      <c r="L34" s="50">
        <f>J34*K34</f>
        <v>0</v>
      </c>
      <c r="N34" s="42">
        <v>53</v>
      </c>
      <c r="O34" s="51">
        <f>'Mean Unmarked Rates'!P45</f>
        <v>0</v>
      </c>
      <c r="P34" s="50">
        <f>N34*O34</f>
        <v>0</v>
      </c>
      <c r="R34" s="42">
        <v>0</v>
      </c>
      <c r="V34" s="42">
        <v>0</v>
      </c>
      <c r="Z34" s="42">
        <v>0</v>
      </c>
      <c r="AD34" s="42">
        <v>0</v>
      </c>
      <c r="AK34" s="41"/>
      <c r="AL34" s="41"/>
      <c r="BD34" s="52"/>
      <c r="BE34" s="53"/>
      <c r="BF34" s="53"/>
      <c r="BG34" s="54"/>
    </row>
    <row r="35" spans="1:70" s="83" customFormat="1" ht="14" x14ac:dyDescent="0.3">
      <c r="A35" s="79" t="s">
        <v>61</v>
      </c>
      <c r="B35" s="79">
        <f>SUM(B30:B34)</f>
        <v>20038</v>
      </c>
      <c r="C35" s="81">
        <f>D35/B35</f>
        <v>3.8829566486674974E-2</v>
      </c>
      <c r="D35" s="79">
        <f>SUM(D30:D34)</f>
        <v>778.0668532599932</v>
      </c>
      <c r="F35" s="79">
        <f>SUM(F30:F34)</f>
        <v>4779</v>
      </c>
      <c r="G35" s="81">
        <f>H35/F35</f>
        <v>5.2292270748014631E-3</v>
      </c>
      <c r="H35" s="79">
        <f>SUM(H30:H34)</f>
        <v>24.990476190476194</v>
      </c>
      <c r="J35" s="79">
        <f>SUM(J30:J34)</f>
        <v>2072</v>
      </c>
      <c r="K35" s="81">
        <f>L35/J35</f>
        <v>1.3879643189988017E-2</v>
      </c>
      <c r="L35" s="79">
        <f>SUM(L30:L34)</f>
        <v>28.758620689655171</v>
      </c>
      <c r="N35" s="79">
        <f>SUM(N30:N34)</f>
        <v>2257</v>
      </c>
      <c r="O35" s="81">
        <f>P35/N35</f>
        <v>0</v>
      </c>
      <c r="P35" s="79">
        <f>SUM(P30:P34)</f>
        <v>0</v>
      </c>
      <c r="R35" s="79">
        <f>SUM(R30:R34)</f>
        <v>196</v>
      </c>
      <c r="S35" s="81">
        <f>T35/R35</f>
        <v>0.14285714285714285</v>
      </c>
      <c r="T35" s="79">
        <f>SUM(T30:T34)</f>
        <v>28</v>
      </c>
      <c r="V35" s="79">
        <f>SUM(V30:V34)</f>
        <v>246</v>
      </c>
      <c r="W35" s="81">
        <f>X35/V35</f>
        <v>0</v>
      </c>
      <c r="X35" s="79">
        <f>SUM(X30:X34)</f>
        <v>0</v>
      </c>
      <c r="Z35" s="84">
        <f>Z32+Z33+Z34</f>
        <v>0</v>
      </c>
      <c r="AA35" s="81"/>
      <c r="AB35" s="79"/>
      <c r="AD35" s="99">
        <v>0</v>
      </c>
      <c r="AE35" s="79"/>
      <c r="AF35" s="79"/>
      <c r="AK35" s="79"/>
      <c r="AL35" s="79"/>
    </row>
    <row r="36" spans="1:70" ht="13" x14ac:dyDescent="0.3">
      <c r="A36">
        <v>1</v>
      </c>
      <c r="B36">
        <v>5596</v>
      </c>
      <c r="C36" s="4">
        <f>'2002 sampling'!D28</f>
        <v>0.17326732673267325</v>
      </c>
      <c r="D36" s="5">
        <f>B36*C36</f>
        <v>969.6039603960395</v>
      </c>
      <c r="F36">
        <v>3037</v>
      </c>
      <c r="G36" s="4">
        <f>'2002 sampling'!H28</f>
        <v>0.20454545454545456</v>
      </c>
      <c r="H36" s="5">
        <f>F36*G36</f>
        <v>621.2045454545455</v>
      </c>
      <c r="J36">
        <v>5996</v>
      </c>
      <c r="K36" s="4">
        <f>'2002 sampling'!L28</f>
        <v>0.19867549668874171</v>
      </c>
      <c r="L36" s="5">
        <f>J36*K36</f>
        <v>1191.2582781456954</v>
      </c>
      <c r="N36">
        <v>3385</v>
      </c>
      <c r="O36" s="4">
        <f>'2002 sampling'!P28</f>
        <v>0.2807017543859649</v>
      </c>
      <c r="P36" s="5">
        <f>N36*O36</f>
        <v>950.17543859649118</v>
      </c>
      <c r="R36">
        <v>231</v>
      </c>
      <c r="S36" s="4">
        <f>'2002 sampling'!T28</f>
        <v>0</v>
      </c>
      <c r="T36" s="5">
        <f>R36*S36</f>
        <v>0</v>
      </c>
      <c r="V36">
        <v>356</v>
      </c>
      <c r="W36" s="4">
        <f>'2002 sampling'!D42</f>
        <v>0.19693654266958424</v>
      </c>
      <c r="X36" s="5">
        <f>V36*W36</f>
        <v>70.109409190371991</v>
      </c>
      <c r="Z36">
        <v>0</v>
      </c>
      <c r="AD36">
        <v>0</v>
      </c>
      <c r="AJ36" s="2"/>
      <c r="AL36" s="5"/>
      <c r="BD36" s="29"/>
      <c r="BE36" s="13"/>
      <c r="BF36" s="13"/>
      <c r="BG36" s="6"/>
    </row>
    <row r="37" spans="1:70" ht="13" x14ac:dyDescent="0.3">
      <c r="A37">
        <v>2</v>
      </c>
      <c r="B37">
        <v>14210</v>
      </c>
      <c r="C37" s="4">
        <f>'2002 sampling'!D29</f>
        <v>0.10894941634241245</v>
      </c>
      <c r="D37" s="5">
        <f>B37*C37</f>
        <v>1548.1712062256809</v>
      </c>
      <c r="F37">
        <v>6872</v>
      </c>
      <c r="G37" s="4">
        <f>'2002 sampling'!H29</f>
        <v>0.1437908496732026</v>
      </c>
      <c r="H37" s="5">
        <f>F37*G37</f>
        <v>988.13071895424832</v>
      </c>
      <c r="J37">
        <v>14236</v>
      </c>
      <c r="K37" s="4">
        <f>'2002 sampling'!L29</f>
        <v>0.20253164556962025</v>
      </c>
      <c r="L37" s="5">
        <f>J37*K37</f>
        <v>2883.2405063291139</v>
      </c>
      <c r="N37">
        <v>9783</v>
      </c>
      <c r="O37" s="4">
        <f>'2002 sampling'!P29</f>
        <v>0.22388059701492538</v>
      </c>
      <c r="P37" s="5">
        <f>N37*O37</f>
        <v>2190.2238805970151</v>
      </c>
      <c r="R37">
        <v>9364</v>
      </c>
      <c r="S37" s="4">
        <f>'2002 sampling'!T29</f>
        <v>0.18253968253968253</v>
      </c>
      <c r="T37" s="5">
        <f>R37*S37</f>
        <v>1709.3015873015872</v>
      </c>
      <c r="V37">
        <v>7363</v>
      </c>
      <c r="W37" s="4">
        <f>'2002 sampling'!X29</f>
        <v>0.17721518987341772</v>
      </c>
      <c r="X37" s="5">
        <f>V37*W37</f>
        <v>1304.8354430379748</v>
      </c>
      <c r="Z37">
        <v>747</v>
      </c>
      <c r="AA37" s="4">
        <f>'2002 sampling'!AB29</f>
        <v>0.15384615384615385</v>
      </c>
      <c r="AB37" s="5">
        <f>Z37*AA37</f>
        <v>114.92307692307693</v>
      </c>
      <c r="AD37">
        <v>0</v>
      </c>
      <c r="AJ37" s="2"/>
      <c r="AL37" s="5"/>
    </row>
    <row r="38" spans="1:70" ht="13" x14ac:dyDescent="0.3">
      <c r="A38">
        <v>3</v>
      </c>
      <c r="B38">
        <v>2472</v>
      </c>
      <c r="C38" s="4">
        <f>'2002 sampling'!D30</f>
        <v>0.11290322580645161</v>
      </c>
      <c r="D38" s="5">
        <f>B38*C38</f>
        <v>279.09677419354836</v>
      </c>
      <c r="F38">
        <v>1162</v>
      </c>
      <c r="G38" s="4">
        <f>'2002 sampling'!H30</f>
        <v>0.26315789473684209</v>
      </c>
      <c r="H38" s="5">
        <f>F38*G38</f>
        <v>305.78947368421052</v>
      </c>
      <c r="J38">
        <v>3641</v>
      </c>
      <c r="K38" s="4">
        <f>'2002 sampling'!L30</f>
        <v>0.11224489795918367</v>
      </c>
      <c r="L38" s="5">
        <f>J38*K38</f>
        <v>408.68367346938777</v>
      </c>
      <c r="N38">
        <v>2232</v>
      </c>
      <c r="O38" s="4">
        <f>'2002 sampling'!P30</f>
        <v>0.27397260273972601</v>
      </c>
      <c r="P38" s="5">
        <f>N38*O38</f>
        <v>611.50684931506851</v>
      </c>
      <c r="R38">
        <v>1527</v>
      </c>
      <c r="S38" s="4">
        <f>'2002 sampling'!T30</f>
        <v>0.2</v>
      </c>
      <c r="T38" s="5">
        <f>R38*S38</f>
        <v>305.40000000000003</v>
      </c>
      <c r="V38">
        <v>1389</v>
      </c>
      <c r="W38" s="4">
        <f>'2002 sampling'!X30</f>
        <v>0.22222222222222221</v>
      </c>
      <c r="X38" s="5">
        <f>V38*W38</f>
        <v>308.66666666666663</v>
      </c>
      <c r="Z38">
        <v>99</v>
      </c>
      <c r="AA38" s="4">
        <f>'2002 sampling'!AB30</f>
        <v>0.31578947368421051</v>
      </c>
      <c r="AB38" s="5">
        <f>Z38*AA38</f>
        <v>31.263157894736839</v>
      </c>
      <c r="AD38">
        <v>0</v>
      </c>
      <c r="AH38" s="2"/>
      <c r="AJ38" s="2"/>
      <c r="AL38" s="5"/>
    </row>
    <row r="39" spans="1:70" ht="13" x14ac:dyDescent="0.3">
      <c r="A39">
        <v>4</v>
      </c>
      <c r="B39">
        <v>137</v>
      </c>
      <c r="C39" s="4">
        <f>'2002 sampling'!D31</f>
        <v>0.22222222222222221</v>
      </c>
      <c r="D39" s="5">
        <f>B39*C39</f>
        <v>30.444444444444443</v>
      </c>
      <c r="F39">
        <v>62</v>
      </c>
      <c r="G39" s="76">
        <f>'Mean Unmarked Rates'!H50</f>
        <v>0</v>
      </c>
      <c r="H39" s="5">
        <f>F39*G39</f>
        <v>0</v>
      </c>
      <c r="J39">
        <v>46</v>
      </c>
      <c r="K39" s="78">
        <f>'Mean Unmarked Rates'!D16</f>
        <v>8.6901763224181361E-2</v>
      </c>
      <c r="L39" s="5">
        <f>J39*K39</f>
        <v>3.9974811083123427</v>
      </c>
      <c r="N39">
        <v>4</v>
      </c>
      <c r="O39" s="4">
        <f>'2002 sampling'!P31</f>
        <v>0.75</v>
      </c>
      <c r="P39" s="5">
        <f>N39*O39</f>
        <v>3</v>
      </c>
      <c r="R39">
        <v>24</v>
      </c>
      <c r="S39" s="78">
        <f>'Mean Unmarked Rates'!D16</f>
        <v>8.6901763224181361E-2</v>
      </c>
      <c r="T39" s="5">
        <f>R39*S39</f>
        <v>2.0856423173803527</v>
      </c>
      <c r="V39">
        <v>1</v>
      </c>
      <c r="W39" s="78">
        <f>'Mean Unmarked Rates'!D16</f>
        <v>8.6901763224181361E-2</v>
      </c>
      <c r="X39" s="5">
        <f>V39*W39</f>
        <v>8.6901763224181361E-2</v>
      </c>
      <c r="Z39">
        <v>0</v>
      </c>
      <c r="AA39" s="7"/>
      <c r="AD39">
        <v>0</v>
      </c>
      <c r="AH39" s="2"/>
      <c r="AI39" s="23"/>
      <c r="AJ39" s="23"/>
      <c r="AL39" s="5"/>
    </row>
    <row r="40" spans="1:70" s="42" customFormat="1" ht="13" x14ac:dyDescent="0.3">
      <c r="A40" s="42">
        <v>5</v>
      </c>
      <c r="B40" s="42">
        <v>120</v>
      </c>
      <c r="C40" s="49">
        <f>'2002 sampling'!D32</f>
        <v>0.3125</v>
      </c>
      <c r="D40" s="50">
        <f>B40*C40</f>
        <v>37.5</v>
      </c>
      <c r="F40" s="42">
        <v>297</v>
      </c>
      <c r="G40" s="49">
        <f>'2002 sampling'!H32</f>
        <v>0.35087719298245612</v>
      </c>
      <c r="H40" s="50">
        <f>F40*G40</f>
        <v>104.21052631578947</v>
      </c>
      <c r="J40" s="42">
        <v>163</v>
      </c>
      <c r="K40" s="49">
        <f>'2002 sampling'!L32</f>
        <v>0.2807017543859649</v>
      </c>
      <c r="L40" s="50">
        <f>J40*K40</f>
        <v>45.754385964912281</v>
      </c>
      <c r="N40" s="42">
        <v>118</v>
      </c>
      <c r="O40" s="49">
        <f>'2002 sampling'!P32</f>
        <v>0.46808510638297873</v>
      </c>
      <c r="P40" s="50">
        <f>N40*O40</f>
        <v>55.234042553191493</v>
      </c>
      <c r="R40" s="42">
        <v>126</v>
      </c>
      <c r="S40" s="49">
        <f>'2002 sampling'!L32</f>
        <v>0.2807017543859649</v>
      </c>
      <c r="T40" s="50">
        <f>R40*S40</f>
        <v>35.368421052631575</v>
      </c>
      <c r="V40" s="42">
        <v>10</v>
      </c>
      <c r="W40" s="49">
        <f>'2002 sampling'!L32</f>
        <v>0.2807017543859649</v>
      </c>
      <c r="X40" s="50">
        <f>V40*W40</f>
        <v>2.807017543859649</v>
      </c>
      <c r="Z40" s="42">
        <v>8</v>
      </c>
      <c r="AA40" s="49">
        <f>'2002 sampling'!AB32</f>
        <v>0.66666666666666663</v>
      </c>
      <c r="AB40" s="50">
        <f>Z40*AA40</f>
        <v>5.333333333333333</v>
      </c>
      <c r="AD40" s="42">
        <v>0</v>
      </c>
      <c r="AJ40" s="41"/>
      <c r="AL40" s="50"/>
    </row>
    <row r="41" spans="1:70" s="79" customFormat="1" ht="14" x14ac:dyDescent="0.3">
      <c r="A41" s="79" t="s">
        <v>60</v>
      </c>
      <c r="B41" s="79">
        <f>SUM(B36:B40)</f>
        <v>22535</v>
      </c>
      <c r="C41" s="81">
        <f>D41/B41</f>
        <v>0.1271274189154521</v>
      </c>
      <c r="D41" s="79">
        <f>SUM(D36:D40)</f>
        <v>2864.8163852597131</v>
      </c>
      <c r="F41" s="79">
        <f>SUM(F36:F40)</f>
        <v>11430</v>
      </c>
      <c r="G41" s="81">
        <f>H41/F41</f>
        <v>0.17666975191677986</v>
      </c>
      <c r="H41" s="79">
        <f>SUM(H36:H40)</f>
        <v>2019.3352644087938</v>
      </c>
      <c r="J41" s="79">
        <f>SUM(J36:J40)</f>
        <v>24082</v>
      </c>
      <c r="K41" s="81">
        <f>L41/J41</f>
        <v>0.18822914728915463</v>
      </c>
      <c r="L41" s="79">
        <f>SUM(L36:L40)</f>
        <v>4532.9343250174215</v>
      </c>
      <c r="N41" s="79">
        <f>SUM(N36:N40)</f>
        <v>15522</v>
      </c>
      <c r="O41" s="81">
        <f>P41/N41</f>
        <v>0.24546709258225524</v>
      </c>
      <c r="P41" s="79">
        <f>SUM(P36:P40)</f>
        <v>3810.140211061766</v>
      </c>
      <c r="R41" s="79">
        <f>SUM(R36:R40)</f>
        <v>11272</v>
      </c>
      <c r="S41" s="81">
        <f>T41/R41</f>
        <v>0.18205781145063868</v>
      </c>
      <c r="T41" s="79">
        <f>SUM(T36:T40)</f>
        <v>2052.1556506715992</v>
      </c>
      <c r="V41" s="79">
        <f>SUM(V36:V40)</f>
        <v>9119</v>
      </c>
      <c r="W41" s="81">
        <f>X41/V41</f>
        <v>0.18494412086874629</v>
      </c>
      <c r="X41" s="79">
        <f>SUM(X36:X40)</f>
        <v>1686.5054382020974</v>
      </c>
      <c r="Z41" s="79">
        <f>SUM(Z36:Z40)</f>
        <v>854</v>
      </c>
      <c r="AA41" s="81">
        <f>AB41/Z41</f>
        <v>0.17742338191000834</v>
      </c>
      <c r="AB41" s="79">
        <f>SUM(AB36:AB40)</f>
        <v>151.51956815114713</v>
      </c>
      <c r="AD41" s="99">
        <v>0</v>
      </c>
    </row>
    <row r="42" spans="1:70" s="24" customFormat="1" ht="13" x14ac:dyDescent="0.3">
      <c r="G42" s="56"/>
      <c r="S42" s="56"/>
      <c r="W42" s="56"/>
      <c r="AD42" s="70"/>
    </row>
    <row r="43" spans="1:70" s="63" customFormat="1" ht="14" x14ac:dyDescent="0.3">
      <c r="A43" s="63" t="s">
        <v>44</v>
      </c>
      <c r="B43" s="63">
        <f>B35+B41</f>
        <v>42573</v>
      </c>
      <c r="C43" s="58">
        <f>D43/B43</f>
        <v>8.5567924236481019E-2</v>
      </c>
      <c r="D43" s="63">
        <f>D35+D41</f>
        <v>3642.8832385197065</v>
      </c>
      <c r="F43" s="63">
        <f>F35+F41</f>
        <v>16209</v>
      </c>
      <c r="G43" s="58">
        <f>H43/F43</f>
        <v>0.12612287868463631</v>
      </c>
      <c r="H43" s="63">
        <f>H35+H41</f>
        <v>2044.3257405992699</v>
      </c>
      <c r="J43" s="63">
        <f>J35+J41</f>
        <v>26154</v>
      </c>
      <c r="K43" s="58">
        <f>L43/J43</f>
        <v>0.17441664547323837</v>
      </c>
      <c r="L43" s="63">
        <f>L35+L41</f>
        <v>4561.6929457070764</v>
      </c>
      <c r="N43" s="63">
        <f>N35+N41</f>
        <v>17779</v>
      </c>
      <c r="O43" s="58">
        <f>P43/N43</f>
        <v>0.21430565335855595</v>
      </c>
      <c r="P43" s="63">
        <f>P35+P41</f>
        <v>3810.140211061766</v>
      </c>
      <c r="R43" s="63">
        <f>R35+R41</f>
        <v>11468</v>
      </c>
      <c r="S43" s="58">
        <f>T43/R43</f>
        <v>0.18138783141538187</v>
      </c>
      <c r="T43" s="63">
        <f>T35+T41</f>
        <v>2080.1556506715992</v>
      </c>
      <c r="V43" s="63">
        <f>V35+V41</f>
        <v>9365</v>
      </c>
      <c r="W43" s="58">
        <f>X43/V43</f>
        <v>0.18008600514704723</v>
      </c>
      <c r="X43" s="63">
        <f>X35+X41</f>
        <v>1686.5054382020974</v>
      </c>
      <c r="Z43" s="63">
        <f>Z35+Z41</f>
        <v>854</v>
      </c>
      <c r="AA43" s="58">
        <f>AB43/Z43</f>
        <v>0.17742338191000834</v>
      </c>
      <c r="AB43" s="63">
        <f>AB35+AB41</f>
        <v>151.51956815114713</v>
      </c>
      <c r="AD43" s="46">
        <v>0</v>
      </c>
      <c r="AE43" s="58"/>
    </row>
    <row r="44" spans="1:70" ht="13" x14ac:dyDescent="0.3">
      <c r="A44" s="2"/>
      <c r="AD44" s="44"/>
      <c r="BD44" s="2"/>
      <c r="BE44" s="2"/>
      <c r="BF44" s="2"/>
      <c r="BG44" s="2"/>
      <c r="BH44" s="2"/>
      <c r="BI44" s="2"/>
      <c r="BJ44" s="2"/>
      <c r="BK44" s="2"/>
      <c r="BL44" s="2"/>
      <c r="BM44" s="2"/>
      <c r="BN44" s="2"/>
      <c r="BO44" s="2"/>
      <c r="BP44" s="2"/>
      <c r="BQ44" s="2"/>
    </row>
    <row r="45" spans="1:70" ht="13" x14ac:dyDescent="0.3">
      <c r="A45" s="2"/>
      <c r="BD45" s="2"/>
      <c r="BE45" s="2"/>
      <c r="BF45" s="2"/>
      <c r="BG45" s="2"/>
      <c r="BH45" s="2"/>
      <c r="BI45" s="2"/>
      <c r="BJ45" s="2"/>
      <c r="BK45" s="2"/>
      <c r="BL45" s="2"/>
      <c r="BM45" s="2"/>
      <c r="BN45" s="2"/>
      <c r="BO45" s="2"/>
      <c r="BP45" s="2"/>
      <c r="BQ45" s="2"/>
    </row>
    <row r="46" spans="1:70" x14ac:dyDescent="0.25">
      <c r="BD46" s="5"/>
      <c r="BE46" s="5"/>
      <c r="BF46" s="5"/>
      <c r="BG46" s="5"/>
      <c r="BH46" s="5"/>
      <c r="BI46" s="5"/>
      <c r="BJ46" s="5"/>
      <c r="BK46" s="5"/>
      <c r="BL46" s="5"/>
      <c r="BM46" s="5"/>
      <c r="BN46" s="5"/>
      <c r="BO46" s="5"/>
      <c r="BP46" s="5"/>
      <c r="BQ46" s="5"/>
      <c r="BR46" s="5"/>
    </row>
    <row r="47" spans="1:70" ht="15.5" x14ac:dyDescent="0.35">
      <c r="A47" s="1" t="s">
        <v>91</v>
      </c>
      <c r="BD47" s="5"/>
      <c r="BE47" s="5"/>
      <c r="BJ47" s="5"/>
      <c r="BK47" s="5"/>
      <c r="BL47" s="5"/>
      <c r="BM47" s="5"/>
      <c r="BN47" s="5"/>
      <c r="BO47" s="5"/>
      <c r="BP47" s="5"/>
      <c r="BQ47" s="5"/>
      <c r="BR47" s="5"/>
    </row>
    <row r="48" spans="1:70" ht="15.5" x14ac:dyDescent="0.35">
      <c r="A48" s="1"/>
      <c r="BD48" s="5"/>
      <c r="BE48" s="5"/>
      <c r="BJ48" s="5"/>
      <c r="BK48" s="5"/>
      <c r="BL48" s="5"/>
      <c r="BM48" s="5"/>
      <c r="BN48" s="5"/>
      <c r="BO48" s="5"/>
      <c r="BP48" s="5"/>
      <c r="BQ48" s="5"/>
      <c r="BR48" s="5"/>
    </row>
    <row r="49" spans="1:70" ht="13" x14ac:dyDescent="0.3">
      <c r="B49" s="2" t="s">
        <v>44</v>
      </c>
      <c r="C49" s="2" t="s">
        <v>55</v>
      </c>
      <c r="D49" s="2" t="s">
        <v>56</v>
      </c>
      <c r="BD49" s="5"/>
      <c r="BE49" s="5"/>
      <c r="BF49" s="5"/>
      <c r="BJ49" s="5"/>
      <c r="BK49" s="5"/>
      <c r="BL49" s="5"/>
      <c r="BM49" s="5"/>
      <c r="BN49" s="5"/>
      <c r="BO49" s="5"/>
      <c r="BP49" s="5"/>
      <c r="BQ49" s="5"/>
      <c r="BR49" s="5"/>
    </row>
    <row r="50" spans="1:70" ht="13" x14ac:dyDescent="0.3">
      <c r="A50" s="32" t="s">
        <v>65</v>
      </c>
      <c r="B50" s="2"/>
      <c r="C50" s="2"/>
      <c r="D50" s="2"/>
      <c r="BD50" s="5"/>
      <c r="BE50" s="5"/>
      <c r="BF50" s="5"/>
      <c r="BJ50" s="5"/>
      <c r="BK50" s="5"/>
      <c r="BL50" s="5"/>
      <c r="BM50" s="5"/>
      <c r="BN50" s="5"/>
      <c r="BO50" s="5"/>
      <c r="BP50" s="5"/>
      <c r="BQ50" s="5"/>
      <c r="BR50" s="5"/>
    </row>
    <row r="51" spans="1:70" ht="13" x14ac:dyDescent="0.3">
      <c r="A51" s="32" t="s">
        <v>66</v>
      </c>
      <c r="B51" s="2"/>
      <c r="C51" s="2"/>
      <c r="D51" s="2"/>
      <c r="G51" s="65"/>
      <c r="BD51" s="5"/>
      <c r="BE51" s="5"/>
      <c r="BF51" s="5"/>
      <c r="BJ51" s="5"/>
      <c r="BK51" s="5"/>
      <c r="BL51" s="5"/>
      <c r="BM51" s="5"/>
      <c r="BN51" s="5"/>
      <c r="BO51" s="5"/>
      <c r="BP51" s="5"/>
      <c r="BQ51" s="5"/>
      <c r="BR51" s="5"/>
    </row>
    <row r="52" spans="1:70" x14ac:dyDescent="0.25">
      <c r="A52" t="s">
        <v>31</v>
      </c>
      <c r="B52" s="29">
        <f>B13+F13+J13+N13+R13+V13+B32+F32+J32+N32+R32+V32+Z32+AD32</f>
        <v>51860</v>
      </c>
      <c r="C52" s="64">
        <f>D13+H13+L13+P13+T13+X13+D32+H32+L32+P32+T32+X32+AB32+AF32</f>
        <v>1092.7614995669585</v>
      </c>
      <c r="D52" s="3">
        <f>C52/B52</f>
        <v>2.1071374847029666E-2</v>
      </c>
      <c r="BD52" s="5"/>
      <c r="BE52" s="5"/>
      <c r="BF52" s="5"/>
      <c r="BJ52" s="5"/>
      <c r="BK52" s="5"/>
      <c r="BL52" s="5"/>
      <c r="BM52" s="5"/>
      <c r="BN52" s="5"/>
      <c r="BO52" s="5"/>
      <c r="BP52" s="5"/>
      <c r="BQ52" s="5"/>
      <c r="BR52" s="5"/>
    </row>
    <row r="53" spans="1:70" x14ac:dyDescent="0.25">
      <c r="A53" t="s">
        <v>32</v>
      </c>
      <c r="B53" s="29">
        <f>B14+F14+J14+N14+R14+V14+B33+F33+J33+N33+R33+V33+Z33+AD33</f>
        <v>1450</v>
      </c>
      <c r="C53" s="65">
        <f>D14+H14+L14+P14+T14+X14+D33+H33+L33+P33+T33+X33+AB33+AF33</f>
        <v>64.405031446540875</v>
      </c>
      <c r="D53" s="3">
        <f>C53/B53</f>
        <v>4.4417263066579914E-2</v>
      </c>
      <c r="BD53" s="5"/>
      <c r="BE53" s="5"/>
      <c r="BF53" s="5"/>
      <c r="BJ53" s="5"/>
      <c r="BK53" s="5"/>
      <c r="BL53" s="5"/>
      <c r="BM53" s="5"/>
      <c r="BN53" s="5"/>
      <c r="BO53" s="5"/>
      <c r="BP53" s="5"/>
      <c r="BQ53" s="5"/>
      <c r="BR53" s="5"/>
    </row>
    <row r="54" spans="1:70" x14ac:dyDescent="0.25">
      <c r="A54" s="42" t="s">
        <v>62</v>
      </c>
      <c r="B54" s="52">
        <f>B15+F15+J15+N15+R15+V15+B34+F34+J34+N34+R34+V34+Z34+AD34</f>
        <v>15560</v>
      </c>
      <c r="C54" s="66">
        <f>D15+H15+L15+P15+T15+X15+D34+H34+L34+P34+T34+X34+AB34+AF34</f>
        <v>496.28172397348095</v>
      </c>
      <c r="D54" s="43">
        <f>C54/B54</f>
        <v>3.1894712337627314E-2</v>
      </c>
      <c r="BD54" s="5"/>
      <c r="BE54" s="5"/>
      <c r="BF54" s="5"/>
      <c r="BJ54" s="5"/>
      <c r="BK54" s="5"/>
      <c r="BL54" s="5"/>
      <c r="BM54" s="5"/>
      <c r="BN54" s="5"/>
      <c r="BO54" s="5"/>
      <c r="BP54" s="5"/>
      <c r="BQ54" s="5"/>
      <c r="BR54" s="5"/>
    </row>
    <row r="55" spans="1:70" ht="13" x14ac:dyDescent="0.3">
      <c r="A55" s="99" t="s">
        <v>61</v>
      </c>
      <c r="B55" s="106">
        <f>SUM(B50:B54)</f>
        <v>68870</v>
      </c>
      <c r="C55" s="106">
        <f>SUM(C50:C54)</f>
        <v>1653.4482549869804</v>
      </c>
      <c r="D55" s="101">
        <f>C55/B55</f>
        <v>2.4008251125119506E-2</v>
      </c>
      <c r="BD55" s="5"/>
      <c r="BE55" s="5"/>
      <c r="BF55" s="5"/>
      <c r="BJ55" s="5"/>
      <c r="BK55" s="5"/>
      <c r="BL55" s="5"/>
      <c r="BM55" s="5"/>
      <c r="BN55" s="5"/>
      <c r="BO55" s="5"/>
      <c r="BP55" s="5"/>
      <c r="BQ55" s="5"/>
      <c r="BR55" s="5"/>
    </row>
    <row r="56" spans="1:70" x14ac:dyDescent="0.25">
      <c r="A56">
        <v>1</v>
      </c>
      <c r="B56" s="13">
        <f>B17+F17+J17+N17+B36+F36+J36+N36+R36+V36+Z36+AD36</f>
        <v>18606</v>
      </c>
      <c r="C56" s="64">
        <f>D17+H17+L17+P17+D36+H36+L36+P36+T36+X36+AB36+AF36</f>
        <v>3802.7298565317228</v>
      </c>
      <c r="D56" s="3">
        <f>C56/B56</f>
        <v>0.20438191209995285</v>
      </c>
      <c r="BD56" s="5"/>
      <c r="BE56" s="5"/>
      <c r="BF56" s="5"/>
      <c r="BJ56" s="5"/>
      <c r="BK56" s="5"/>
      <c r="BL56" s="5"/>
      <c r="BM56" s="5"/>
      <c r="BN56" s="5"/>
      <c r="BO56" s="5"/>
      <c r="BP56" s="5"/>
      <c r="BQ56" s="5"/>
      <c r="BR56" s="5"/>
    </row>
    <row r="57" spans="1:70" x14ac:dyDescent="0.25">
      <c r="A57">
        <v>2</v>
      </c>
      <c r="B57" s="13">
        <f>B18+F18+J18+N18+B37+F37+J37+N37+R37+V37+Z37+AD37</f>
        <v>62579</v>
      </c>
      <c r="C57" s="64">
        <f>D18+H18+L18+P18+D37+H37+L37+P37+T37+X37+AB37+AF37</f>
        <v>10739.175588014778</v>
      </c>
      <c r="D57" s="3">
        <f t="shared" ref="D57:D63" si="0">C57/B57</f>
        <v>0.17160989450158642</v>
      </c>
      <c r="BD57" s="5"/>
      <c r="BE57" s="5"/>
      <c r="BF57" s="5"/>
      <c r="BG57" s="5"/>
      <c r="BJ57" s="5"/>
      <c r="BK57" s="5"/>
      <c r="BL57" s="5"/>
      <c r="BM57" s="5"/>
      <c r="BN57" s="5"/>
      <c r="BO57" s="5"/>
      <c r="BP57" s="5"/>
      <c r="BQ57" s="5"/>
      <c r="BR57" s="5"/>
    </row>
    <row r="58" spans="1:70" x14ac:dyDescent="0.25">
      <c r="A58">
        <v>3</v>
      </c>
      <c r="B58" s="13">
        <f>B19+F19+J19+N19+B38+F38+J38+N38+R38+V38+Z38+AD38</f>
        <v>12523</v>
      </c>
      <c r="C58" s="64">
        <f>D19+H19+L19+P19+D38+H38+L38+P38+T38+X38+AB38+AF38</f>
        <v>2250.4657996639512</v>
      </c>
      <c r="D58" s="3">
        <f t="shared" si="0"/>
        <v>0.17970660382208345</v>
      </c>
      <c r="K58" s="7"/>
      <c r="L58" s="5"/>
      <c r="BD58" s="5"/>
      <c r="BE58" s="5"/>
      <c r="BF58" s="5"/>
      <c r="BG58" s="5"/>
      <c r="BJ58" s="5"/>
      <c r="BK58" s="5"/>
      <c r="BL58" s="5"/>
      <c r="BM58" s="5"/>
      <c r="BN58" s="5"/>
      <c r="BO58" s="5"/>
      <c r="BP58" s="5"/>
      <c r="BQ58" s="5"/>
      <c r="BR58" s="5"/>
    </row>
    <row r="59" spans="1:70" x14ac:dyDescent="0.25">
      <c r="A59">
        <v>4</v>
      </c>
      <c r="B59" s="13">
        <f>B20+F20+J20+N20+B39+F39+J39+N39+R39+V39+Z39+AD39</f>
        <v>282</v>
      </c>
      <c r="C59" s="64">
        <f>D20+H20+L20+P20+D39+H39+L39+P39+T39+X39+AB39+AF39</f>
        <v>40.309683739154778</v>
      </c>
      <c r="D59" s="3">
        <f t="shared" si="0"/>
        <v>0.14294214091898857</v>
      </c>
      <c r="K59" s="7"/>
      <c r="L59" s="5"/>
      <c r="BD59" s="5"/>
      <c r="BE59" s="5"/>
      <c r="BF59" s="5"/>
      <c r="BG59" s="5"/>
      <c r="BH59" s="5"/>
      <c r="BI59" s="5"/>
      <c r="BJ59" s="5"/>
      <c r="BK59" s="5"/>
      <c r="BL59" s="5"/>
      <c r="BM59" s="5"/>
      <c r="BN59" s="5"/>
      <c r="BO59" s="5"/>
      <c r="BP59" s="5"/>
    </row>
    <row r="60" spans="1:70" s="2" customFormat="1" ht="13" x14ac:dyDescent="0.3">
      <c r="A60" s="42">
        <v>5</v>
      </c>
      <c r="B60" s="53">
        <f>B21+F21+J21+N21+B40+F40+J40+N40+R40+V40+Z40+AD40</f>
        <v>886</v>
      </c>
      <c r="C60" s="98">
        <f>D21+H21+L21+P21+D40+H40+L40+P40+T40+X40+AB40+AF40</f>
        <v>289.16926522525625</v>
      </c>
      <c r="D60" s="43">
        <f t="shared" si="0"/>
        <v>0.32637614585243369</v>
      </c>
      <c r="F60" s="8"/>
      <c r="J60" s="8"/>
      <c r="L60" s="8"/>
      <c r="BC60"/>
      <c r="BD60"/>
      <c r="BE60"/>
      <c r="BF60"/>
      <c r="BG60"/>
      <c r="BH60"/>
      <c r="BI60"/>
      <c r="BJ60"/>
      <c r="BK60"/>
      <c r="BL60"/>
      <c r="BM60"/>
      <c r="BN60"/>
      <c r="BO60"/>
      <c r="BP60"/>
      <c r="BQ60"/>
    </row>
    <row r="61" spans="1:70" ht="13" x14ac:dyDescent="0.3">
      <c r="A61" s="41" t="s">
        <v>60</v>
      </c>
      <c r="B61" s="107">
        <f>SUM(B56:B60)</f>
        <v>94876</v>
      </c>
      <c r="C61" s="107">
        <f>SUM(C56:C60)</f>
        <v>17121.850193174861</v>
      </c>
      <c r="D61" s="97">
        <f t="shared" si="0"/>
        <v>0.18046555707634029</v>
      </c>
      <c r="BC61" s="2"/>
      <c r="BD61" s="2"/>
      <c r="BE61" s="2"/>
      <c r="BF61" s="2"/>
      <c r="BG61" s="2"/>
      <c r="BH61" s="2"/>
      <c r="BI61" s="2"/>
      <c r="BJ61" s="2"/>
      <c r="BK61" s="2"/>
      <c r="BL61" s="2"/>
      <c r="BM61" s="2"/>
      <c r="BN61" s="2"/>
      <c r="BO61" s="2"/>
      <c r="BP61" s="2"/>
      <c r="BQ61" s="2"/>
    </row>
    <row r="62" spans="1:70" ht="13" x14ac:dyDescent="0.3">
      <c r="A62" s="2"/>
    </row>
    <row r="63" spans="1:70" ht="13" x14ac:dyDescent="0.3">
      <c r="A63" s="2" t="s">
        <v>69</v>
      </c>
      <c r="B63" s="40">
        <f>B55+B61</f>
        <v>163746</v>
      </c>
      <c r="C63" s="40">
        <f>C55+C61</f>
        <v>18775.29844816184</v>
      </c>
      <c r="D63" s="55">
        <f t="shared" si="0"/>
        <v>0.11466111201593834</v>
      </c>
    </row>
    <row r="64" spans="1:70" ht="13" x14ac:dyDescent="0.3">
      <c r="C64" s="4"/>
      <c r="D64" s="5"/>
      <c r="G64" s="4"/>
      <c r="H64" s="5"/>
      <c r="K64" s="4"/>
      <c r="L64" s="5"/>
      <c r="O64" s="4"/>
      <c r="P64" s="5"/>
      <c r="S64" s="4"/>
      <c r="T64" s="5"/>
      <c r="W64" s="7"/>
      <c r="X64" s="5"/>
      <c r="AK64" s="2"/>
      <c r="AL64" s="2"/>
    </row>
    <row r="65" spans="1:69" ht="13" x14ac:dyDescent="0.3">
      <c r="C65" s="4"/>
      <c r="D65" s="5"/>
      <c r="G65" s="4"/>
      <c r="H65" s="5"/>
      <c r="K65" s="4"/>
      <c r="L65" s="5"/>
      <c r="O65" s="4"/>
      <c r="P65" s="5"/>
      <c r="S65" s="4"/>
      <c r="T65" s="5"/>
      <c r="W65" s="4"/>
      <c r="X65" s="5"/>
      <c r="AA65" s="4"/>
      <c r="AB65" s="5"/>
      <c r="AJ65" s="2"/>
      <c r="AL65" s="5"/>
    </row>
    <row r="66" spans="1:69" ht="13" x14ac:dyDescent="0.3">
      <c r="C66" s="4"/>
      <c r="D66" s="5"/>
      <c r="G66" s="4"/>
      <c r="H66" s="5"/>
      <c r="K66" s="4"/>
      <c r="L66" s="5"/>
      <c r="O66" s="4"/>
      <c r="P66" s="5"/>
      <c r="S66" s="4"/>
      <c r="T66" s="5"/>
      <c r="W66" s="4"/>
      <c r="X66" s="5"/>
      <c r="AA66" s="4"/>
      <c r="AB66" s="5"/>
      <c r="AH66" s="2"/>
      <c r="AJ66" s="2"/>
      <c r="AL66" s="5"/>
    </row>
    <row r="67" spans="1:69" ht="13" x14ac:dyDescent="0.3">
      <c r="S67" s="7"/>
      <c r="T67" s="5"/>
      <c r="AA67" s="7"/>
      <c r="AB67" s="5"/>
      <c r="AG67" s="2"/>
      <c r="AH67" s="2"/>
      <c r="AI67" s="23"/>
      <c r="AJ67" s="2"/>
      <c r="AL67" s="5"/>
    </row>
    <row r="68" spans="1:69" ht="13" x14ac:dyDescent="0.3">
      <c r="C68" s="7"/>
      <c r="D68" s="5"/>
      <c r="G68" s="7"/>
      <c r="H68" s="5"/>
      <c r="K68" s="7"/>
      <c r="L68" s="5"/>
      <c r="O68" s="4"/>
      <c r="P68" s="5"/>
      <c r="S68" s="4"/>
      <c r="T68" s="5"/>
      <c r="W68" s="7"/>
      <c r="X68" s="5"/>
      <c r="AA68" s="7"/>
      <c r="AB68" s="5"/>
      <c r="AJ68" s="23"/>
      <c r="AL68" s="5"/>
    </row>
    <row r="69" spans="1:69" s="2" customFormat="1" ht="13" x14ac:dyDescent="0.3">
      <c r="B69" s="8"/>
      <c r="D69" s="8"/>
      <c r="F69" s="8"/>
      <c r="H69" s="8"/>
      <c r="J69" s="8"/>
      <c r="L69" s="8"/>
      <c r="N69" s="8"/>
      <c r="O69" s="26"/>
      <c r="P69" s="8"/>
      <c r="R69" s="8"/>
      <c r="S69" s="26"/>
      <c r="T69" s="8"/>
      <c r="V69" s="8"/>
      <c r="W69" s="26"/>
      <c r="X69" s="8"/>
      <c r="Z69" s="8"/>
      <c r="AB69" s="8"/>
      <c r="AG69" s="8"/>
      <c r="AH69" s="24"/>
      <c r="AI69" s="24"/>
      <c r="AK69"/>
      <c r="AL69" s="5"/>
      <c r="BC69"/>
      <c r="BD69"/>
      <c r="BE69"/>
      <c r="BF69"/>
      <c r="BG69"/>
      <c r="BH69"/>
      <c r="BI69"/>
      <c r="BJ69"/>
      <c r="BK69"/>
      <c r="BL69"/>
      <c r="BM69"/>
      <c r="BN69"/>
      <c r="BO69"/>
      <c r="BP69"/>
      <c r="BQ69"/>
    </row>
    <row r="70" spans="1:69" ht="13" x14ac:dyDescent="0.3">
      <c r="BC70" s="2"/>
      <c r="BD70" s="2"/>
      <c r="BE70" s="2"/>
      <c r="BF70" s="2"/>
      <c r="BG70" s="2"/>
      <c r="BH70" s="2"/>
      <c r="BI70" s="2"/>
      <c r="BJ70" s="2"/>
      <c r="BK70" s="2"/>
      <c r="BL70" s="2"/>
      <c r="BM70" s="2"/>
      <c r="BN70" s="2"/>
      <c r="BO70" s="2"/>
      <c r="BP70" s="2"/>
      <c r="BQ70" s="2"/>
    </row>
    <row r="71" spans="1:69" ht="13" x14ac:dyDescent="0.3">
      <c r="A71" s="2"/>
      <c r="AL71" s="5"/>
    </row>
    <row r="74" spans="1:69" x14ac:dyDescent="0.25">
      <c r="C74" s="7"/>
      <c r="D74" s="5"/>
    </row>
    <row r="75" spans="1:69" x14ac:dyDescent="0.25">
      <c r="C75" s="7"/>
      <c r="D75" s="5"/>
      <c r="G75" s="7"/>
      <c r="H75" s="5"/>
    </row>
    <row r="76" spans="1:69" x14ac:dyDescent="0.25">
      <c r="G76" s="7"/>
      <c r="H76" s="5"/>
    </row>
    <row r="77" spans="1:69" x14ac:dyDescent="0.25">
      <c r="O77" s="7"/>
      <c r="P77" s="5"/>
    </row>
    <row r="78" spans="1:69" x14ac:dyDescent="0.25">
      <c r="K78" s="7"/>
      <c r="L78" s="5"/>
      <c r="O78" s="7"/>
      <c r="P78" s="5"/>
    </row>
    <row r="79" spans="1:69" s="2" customFormat="1" ht="13" x14ac:dyDescent="0.3">
      <c r="B79" s="8"/>
      <c r="D79" s="8"/>
      <c r="F79" s="8"/>
      <c r="H79" s="8"/>
      <c r="J79" s="8"/>
      <c r="K79" s="25"/>
      <c r="L79" s="8"/>
      <c r="N79" s="8"/>
      <c r="O79" s="25"/>
      <c r="P79" s="8"/>
      <c r="S79" s="8"/>
      <c r="BC79"/>
      <c r="BD79"/>
      <c r="BE79"/>
      <c r="BF79"/>
      <c r="BG79"/>
      <c r="BH79"/>
      <c r="BI79"/>
      <c r="BJ79"/>
      <c r="BK79"/>
      <c r="BL79"/>
      <c r="BM79"/>
      <c r="BN79"/>
      <c r="BO79"/>
      <c r="BP79"/>
      <c r="BQ79"/>
    </row>
    <row r="80" spans="1:69" ht="13" x14ac:dyDescent="0.3">
      <c r="BC80" s="2"/>
      <c r="BD80" s="2"/>
      <c r="BE80" s="2"/>
      <c r="BF80" s="2"/>
      <c r="BG80" s="2"/>
      <c r="BH80" s="2"/>
      <c r="BI80" s="2"/>
      <c r="BJ80" s="2"/>
      <c r="BK80" s="2"/>
      <c r="BL80" s="2"/>
      <c r="BM80" s="2"/>
      <c r="BN80" s="2"/>
      <c r="BO80" s="2"/>
      <c r="BP80" s="2"/>
      <c r="BQ80" s="2"/>
    </row>
    <row r="82" spans="1:69" ht="13" x14ac:dyDescent="0.3">
      <c r="AK82" s="2"/>
      <c r="AL82" s="2"/>
    </row>
    <row r="83" spans="1:69" ht="13" x14ac:dyDescent="0.3">
      <c r="C83" s="4"/>
      <c r="D83" s="5"/>
      <c r="G83" s="4"/>
      <c r="H83" s="5"/>
      <c r="K83" s="4"/>
      <c r="L83" s="5"/>
      <c r="O83" s="4"/>
      <c r="P83" s="5"/>
      <c r="S83" s="4"/>
      <c r="T83" s="5"/>
      <c r="W83" s="4"/>
      <c r="X83" s="5"/>
      <c r="AJ83" s="2"/>
      <c r="AL83" s="5"/>
    </row>
    <row r="84" spans="1:69" ht="13" x14ac:dyDescent="0.3">
      <c r="C84" s="4"/>
      <c r="D84" s="5"/>
      <c r="G84" s="4"/>
      <c r="H84" s="5"/>
      <c r="K84" s="4"/>
      <c r="L84" s="5"/>
      <c r="O84" s="4"/>
      <c r="P84" s="5"/>
      <c r="S84" s="4"/>
      <c r="T84" s="5"/>
      <c r="W84" s="4"/>
      <c r="X84" s="5"/>
      <c r="AA84" s="4"/>
      <c r="AB84" s="5"/>
      <c r="AJ84" s="2"/>
      <c r="AL84" s="5"/>
    </row>
    <row r="85" spans="1:69" ht="13" x14ac:dyDescent="0.3">
      <c r="C85" s="4"/>
      <c r="D85" s="5"/>
      <c r="G85" s="4"/>
      <c r="H85" s="5"/>
      <c r="K85" s="4"/>
      <c r="L85" s="5"/>
      <c r="O85" s="4"/>
      <c r="P85" s="5"/>
      <c r="S85" s="4"/>
      <c r="T85" s="5"/>
      <c r="W85" s="4"/>
      <c r="X85" s="5"/>
      <c r="AA85" s="4"/>
      <c r="AB85" s="5"/>
      <c r="AH85" s="2"/>
      <c r="AJ85" s="2"/>
      <c r="AL85" s="5"/>
    </row>
    <row r="86" spans="1:69" ht="13" x14ac:dyDescent="0.3">
      <c r="C86" s="4"/>
      <c r="D86" s="5"/>
      <c r="G86" s="7"/>
      <c r="H86" s="5"/>
      <c r="K86" s="7"/>
      <c r="L86" s="5"/>
      <c r="O86" s="4"/>
      <c r="P86" s="5"/>
      <c r="S86" s="7"/>
      <c r="T86" s="5"/>
      <c r="W86" s="7"/>
      <c r="X86" s="5"/>
      <c r="AA86" s="7"/>
      <c r="AH86" s="2"/>
      <c r="AI86" s="23"/>
      <c r="AJ86" s="23"/>
      <c r="AL86" s="5"/>
    </row>
    <row r="87" spans="1:69" ht="13" x14ac:dyDescent="0.3">
      <c r="C87" s="4"/>
      <c r="D87" s="5"/>
      <c r="G87" s="4"/>
      <c r="H87" s="5"/>
      <c r="K87" s="4"/>
      <c r="L87" s="5"/>
      <c r="O87" s="4"/>
      <c r="P87" s="5"/>
      <c r="S87" s="4"/>
      <c r="T87" s="5"/>
      <c r="W87" s="4"/>
      <c r="X87" s="5"/>
      <c r="AA87" s="4"/>
      <c r="AB87" s="5"/>
      <c r="AJ87" s="2"/>
      <c r="AL87" s="5"/>
    </row>
    <row r="88" spans="1:69" s="2" customFormat="1" ht="13" x14ac:dyDescent="0.3">
      <c r="B88" s="8"/>
      <c r="C88" s="26"/>
      <c r="D88" s="8"/>
      <c r="F88" s="8"/>
      <c r="G88" s="26"/>
      <c r="H88" s="8"/>
      <c r="J88" s="8"/>
      <c r="K88" s="26"/>
      <c r="L88" s="8"/>
      <c r="N88" s="8"/>
      <c r="O88" s="26"/>
      <c r="P88" s="8"/>
      <c r="R88" s="8"/>
      <c r="S88" s="26"/>
      <c r="T88" s="8"/>
      <c r="V88" s="8"/>
      <c r="W88" s="26"/>
      <c r="X88" s="8"/>
      <c r="Z88" s="8"/>
      <c r="AA88" s="26"/>
      <c r="AB88" s="8"/>
      <c r="AH88" s="24"/>
      <c r="AI88" s="24"/>
      <c r="AJ88" s="24"/>
      <c r="AK88" s="24"/>
      <c r="AL88" s="24"/>
      <c r="BC88"/>
      <c r="BD88"/>
      <c r="BE88"/>
      <c r="BF88"/>
      <c r="BG88"/>
      <c r="BH88"/>
      <c r="BI88"/>
      <c r="BJ88"/>
      <c r="BK88"/>
      <c r="BL88"/>
      <c r="BM88"/>
      <c r="BN88"/>
      <c r="BO88"/>
      <c r="BP88"/>
      <c r="BQ88"/>
    </row>
    <row r="89" spans="1:69" ht="13" x14ac:dyDescent="0.3">
      <c r="AL89" s="5"/>
      <c r="BC89" s="2"/>
      <c r="BD89" s="2"/>
      <c r="BE89" s="2"/>
      <c r="BF89" s="2"/>
      <c r="BG89" s="2"/>
      <c r="BH89" s="2"/>
      <c r="BI89" s="2"/>
      <c r="BJ89" s="2"/>
      <c r="BK89" s="2"/>
      <c r="BL89" s="2"/>
      <c r="BM89" s="2"/>
      <c r="BN89" s="2"/>
      <c r="BO89" s="2"/>
      <c r="BP89" s="2"/>
      <c r="BQ89" s="2"/>
    </row>
    <row r="90" spans="1:69" ht="13" x14ac:dyDescent="0.3">
      <c r="A90" s="2"/>
    </row>
    <row r="93" spans="1:69" x14ac:dyDescent="0.25">
      <c r="C93" s="7"/>
      <c r="D93" s="5"/>
      <c r="G93" s="7"/>
      <c r="H93" s="5"/>
    </row>
    <row r="94" spans="1:69" x14ac:dyDescent="0.25">
      <c r="G94" s="7"/>
      <c r="H94" s="5"/>
    </row>
    <row r="95" spans="1:69" x14ac:dyDescent="0.25">
      <c r="G95" s="7"/>
      <c r="H95" s="5"/>
    </row>
    <row r="96" spans="1:69" x14ac:dyDescent="0.25">
      <c r="O96" s="7"/>
      <c r="P96" s="5"/>
    </row>
    <row r="97" spans="1:69" x14ac:dyDescent="0.25">
      <c r="K97" s="7"/>
      <c r="L97" s="5"/>
      <c r="O97" s="7"/>
      <c r="P97" s="5"/>
    </row>
    <row r="98" spans="1:69" s="2" customFormat="1" ht="13" x14ac:dyDescent="0.3">
      <c r="B98" s="8"/>
      <c r="D98" s="8"/>
      <c r="F98" s="8"/>
      <c r="H98" s="8"/>
      <c r="J98" s="8"/>
      <c r="L98" s="8"/>
      <c r="N98" s="8"/>
      <c r="P98" s="8"/>
      <c r="S98" s="8"/>
      <c r="BC98"/>
      <c r="BD98"/>
      <c r="BE98"/>
      <c r="BF98"/>
      <c r="BG98"/>
      <c r="BH98"/>
      <c r="BI98"/>
      <c r="BJ98"/>
      <c r="BK98"/>
      <c r="BL98"/>
      <c r="BM98"/>
      <c r="BN98"/>
      <c r="BO98"/>
      <c r="BP98"/>
      <c r="BQ98"/>
    </row>
    <row r="99" spans="1:69" ht="13" x14ac:dyDescent="0.3">
      <c r="BC99" s="2"/>
      <c r="BD99" s="2"/>
      <c r="BE99" s="2"/>
      <c r="BF99" s="2"/>
      <c r="BG99" s="2"/>
      <c r="BH99" s="2"/>
      <c r="BI99" s="2"/>
      <c r="BJ99" s="2"/>
      <c r="BK99" s="2"/>
      <c r="BL99" s="2"/>
      <c r="BM99" s="2"/>
      <c r="BN99" s="2"/>
      <c r="BO99" s="2"/>
      <c r="BP99" s="2"/>
      <c r="BQ99" s="2"/>
    </row>
    <row r="101" spans="1:69" ht="13" x14ac:dyDescent="0.3">
      <c r="AK101" s="2"/>
      <c r="AL101" s="2"/>
    </row>
    <row r="102" spans="1:69" ht="13" x14ac:dyDescent="0.3">
      <c r="C102" s="4"/>
      <c r="D102" s="5"/>
      <c r="G102" s="4"/>
      <c r="H102" s="5"/>
      <c r="K102" s="4"/>
      <c r="L102" s="5"/>
      <c r="O102" s="4"/>
      <c r="P102" s="5"/>
      <c r="S102" s="4"/>
      <c r="T102" s="5"/>
      <c r="W102" s="7"/>
      <c r="X102" s="5"/>
      <c r="AA102" s="7"/>
      <c r="AB102" s="5"/>
      <c r="AJ102" s="2"/>
      <c r="AL102" s="5"/>
    </row>
    <row r="103" spans="1:69" ht="13" x14ac:dyDescent="0.3">
      <c r="C103" s="4"/>
      <c r="D103" s="5"/>
      <c r="G103" s="4"/>
      <c r="H103" s="5"/>
      <c r="K103" s="4"/>
      <c r="L103" s="5"/>
      <c r="O103" s="4"/>
      <c r="P103" s="5"/>
      <c r="S103" s="4"/>
      <c r="T103" s="5"/>
      <c r="W103" s="4"/>
      <c r="X103" s="5"/>
      <c r="AA103" s="4"/>
      <c r="AB103" s="5"/>
      <c r="AJ103" s="2"/>
      <c r="AL103" s="5"/>
    </row>
    <row r="104" spans="1:69" ht="13" x14ac:dyDescent="0.3">
      <c r="C104" s="4"/>
      <c r="D104" s="5"/>
      <c r="G104" s="4"/>
      <c r="H104" s="5"/>
      <c r="K104" s="4"/>
      <c r="L104" s="5"/>
      <c r="O104" s="4"/>
      <c r="P104" s="5"/>
      <c r="S104" s="4"/>
      <c r="T104" s="5"/>
      <c r="W104" s="4"/>
      <c r="X104" s="5"/>
      <c r="AA104" s="4"/>
      <c r="AB104" s="5"/>
      <c r="AH104" s="2"/>
      <c r="AJ104" s="2"/>
      <c r="AL104" s="5"/>
    </row>
    <row r="105" spans="1:69" ht="13" x14ac:dyDescent="0.3">
      <c r="C105" s="7"/>
      <c r="D105" s="5"/>
      <c r="G105" s="7"/>
      <c r="H105" s="5"/>
      <c r="K105" s="7"/>
      <c r="L105" s="5"/>
      <c r="AA105" s="7"/>
      <c r="AB105" s="5"/>
      <c r="AG105" s="2"/>
      <c r="AH105" s="2"/>
      <c r="AI105" s="23"/>
      <c r="AJ105" s="23"/>
      <c r="AL105" s="5"/>
    </row>
    <row r="106" spans="1:69" ht="13" x14ac:dyDescent="0.3">
      <c r="C106" s="4"/>
      <c r="D106" s="5"/>
      <c r="G106" s="7"/>
      <c r="H106" s="5"/>
      <c r="K106" s="4"/>
      <c r="L106" s="5"/>
      <c r="O106" s="4"/>
      <c r="P106" s="5"/>
      <c r="S106" s="4"/>
      <c r="T106" s="5"/>
      <c r="W106" s="4"/>
      <c r="X106" s="5"/>
      <c r="AA106" s="4"/>
      <c r="AB106" s="5"/>
      <c r="AJ106" s="2"/>
      <c r="AL106" s="5"/>
    </row>
    <row r="107" spans="1:69" s="2" customFormat="1" ht="13" x14ac:dyDescent="0.3">
      <c r="B107" s="8"/>
      <c r="C107" s="26"/>
      <c r="D107" s="8"/>
      <c r="F107" s="8"/>
      <c r="H107" s="8"/>
      <c r="J107" s="8"/>
      <c r="K107" s="26"/>
      <c r="L107" s="8"/>
      <c r="N107" s="8"/>
      <c r="O107" s="26"/>
      <c r="P107" s="8"/>
      <c r="R107" s="8"/>
      <c r="S107" s="26"/>
      <c r="T107" s="8"/>
      <c r="V107" s="8"/>
      <c r="W107" s="26"/>
      <c r="X107" s="8"/>
      <c r="Z107" s="8"/>
      <c r="AA107" s="26"/>
      <c r="AB107" s="8"/>
      <c r="AG107" s="8"/>
      <c r="AH107" s="24"/>
      <c r="AI107" s="24"/>
      <c r="AJ107" s="24"/>
      <c r="AK107" s="24"/>
      <c r="AL107" s="24"/>
      <c r="BC107"/>
      <c r="BD107"/>
      <c r="BE107"/>
      <c r="BF107"/>
      <c r="BG107"/>
      <c r="BH107"/>
      <c r="BI107"/>
      <c r="BJ107"/>
      <c r="BK107"/>
      <c r="BL107"/>
      <c r="BM107"/>
      <c r="BN107"/>
      <c r="BO107"/>
      <c r="BP107"/>
      <c r="BQ107"/>
    </row>
    <row r="108" spans="1:69" ht="13" x14ac:dyDescent="0.3">
      <c r="AL108" s="5"/>
      <c r="BC108" s="2"/>
      <c r="BD108" s="2"/>
      <c r="BE108" s="2"/>
      <c r="BF108" s="2"/>
      <c r="BG108" s="2"/>
      <c r="BH108" s="2"/>
      <c r="BI108" s="2"/>
      <c r="BJ108" s="2"/>
      <c r="BK108" s="2"/>
      <c r="BL108" s="2"/>
      <c r="BM108" s="2"/>
      <c r="BN108" s="2"/>
      <c r="BO108" s="2"/>
      <c r="BP108" s="2"/>
      <c r="BQ108" s="2"/>
    </row>
    <row r="109" spans="1:69" ht="13" x14ac:dyDescent="0.3">
      <c r="A109" s="2"/>
    </row>
    <row r="112" spans="1:69" ht="13" x14ac:dyDescent="0.3">
      <c r="C112" s="7"/>
      <c r="D112" s="5"/>
      <c r="G112" s="7"/>
      <c r="H112" s="5"/>
      <c r="AP112" s="2"/>
      <c r="AQ112" s="2"/>
      <c r="AR112" s="2"/>
      <c r="AS112" s="2"/>
      <c r="AT112" s="2"/>
      <c r="AU112" s="2"/>
      <c r="AV112" s="2"/>
      <c r="AW112" s="2"/>
      <c r="AX112" s="2"/>
      <c r="AY112" s="2"/>
    </row>
    <row r="113" spans="2:69" ht="13" x14ac:dyDescent="0.3">
      <c r="C113" s="7"/>
      <c r="D113" s="5"/>
      <c r="G113" s="9"/>
      <c r="K113" s="7"/>
      <c r="L113" s="5"/>
      <c r="AP113" s="2"/>
      <c r="AQ113" s="2"/>
      <c r="AR113" s="2"/>
      <c r="AS113" s="2"/>
      <c r="AT113" s="2"/>
      <c r="AU113" s="2"/>
      <c r="AV113" s="2"/>
      <c r="AW113" s="2"/>
      <c r="AX113" s="2"/>
      <c r="AY113" s="2"/>
    </row>
    <row r="114" spans="2:69" ht="13" x14ac:dyDescent="0.3">
      <c r="C114" s="7"/>
      <c r="D114" s="5"/>
      <c r="G114" s="9"/>
      <c r="K114" s="7"/>
      <c r="L114" s="5"/>
      <c r="AO114" s="23"/>
      <c r="AQ114" s="5"/>
      <c r="AS114" s="5"/>
      <c r="AU114" s="5"/>
      <c r="AW114" s="5"/>
      <c r="AY114" s="5"/>
    </row>
    <row r="115" spans="2:69" ht="13" x14ac:dyDescent="0.3">
      <c r="G115" s="9"/>
      <c r="K115" s="7"/>
      <c r="L115" s="5"/>
      <c r="AO115" s="2"/>
      <c r="AQ115" s="5"/>
      <c r="AS115" s="5"/>
      <c r="AU115" s="5"/>
      <c r="AW115" s="5"/>
      <c r="AY115" s="5"/>
    </row>
    <row r="116" spans="2:69" ht="13" x14ac:dyDescent="0.3">
      <c r="G116" s="7"/>
      <c r="H116" s="5"/>
      <c r="K116" s="7"/>
      <c r="L116" s="5"/>
      <c r="O116" s="7"/>
      <c r="P116" s="5"/>
      <c r="AO116" s="2"/>
      <c r="AQ116" s="5"/>
      <c r="AS116" s="5"/>
      <c r="AU116" s="5"/>
      <c r="AW116" s="5"/>
      <c r="AY116" s="5"/>
    </row>
    <row r="117" spans="2:69" ht="13" x14ac:dyDescent="0.3">
      <c r="O117" s="7"/>
      <c r="P117" s="5"/>
      <c r="AO117" s="2"/>
      <c r="AQ117" s="5"/>
      <c r="AS117" s="5"/>
      <c r="AU117" s="5"/>
      <c r="AW117" s="5"/>
      <c r="AY117" s="5"/>
    </row>
    <row r="118" spans="2:69" s="2" customFormat="1" ht="13" x14ac:dyDescent="0.3">
      <c r="B118" s="8"/>
      <c r="D118" s="8"/>
      <c r="F118" s="8"/>
      <c r="H118" s="8"/>
      <c r="J118" s="8"/>
      <c r="L118" s="8"/>
      <c r="N118" s="8"/>
      <c r="O118" s="25"/>
      <c r="P118" s="8"/>
      <c r="AP118"/>
      <c r="AQ118" s="5"/>
      <c r="AR118"/>
      <c r="AS118" s="5"/>
      <c r="AT118"/>
      <c r="AU118" s="5"/>
      <c r="AV118"/>
      <c r="AW118" s="5"/>
      <c r="AX118"/>
      <c r="AY118" s="5"/>
      <c r="BC118"/>
      <c r="BD118"/>
      <c r="BE118"/>
      <c r="BF118"/>
      <c r="BG118"/>
      <c r="BH118"/>
      <c r="BI118"/>
      <c r="BJ118"/>
      <c r="BK118"/>
      <c r="BL118"/>
      <c r="BM118"/>
      <c r="BN118"/>
      <c r="BO118"/>
      <c r="BP118"/>
      <c r="BQ118"/>
    </row>
    <row r="119" spans="2:69" ht="13" x14ac:dyDescent="0.3">
      <c r="AO119" s="2"/>
      <c r="AQ119" s="5"/>
      <c r="AS119" s="5"/>
      <c r="AU119" s="5"/>
      <c r="AW119" s="5"/>
      <c r="AY119" s="5"/>
      <c r="BC119" s="2"/>
      <c r="BD119" s="2"/>
      <c r="BE119" s="2"/>
      <c r="BF119" s="2"/>
      <c r="BG119" s="2"/>
      <c r="BH119" s="2"/>
      <c r="BI119" s="2"/>
      <c r="BJ119" s="2"/>
      <c r="BK119" s="2"/>
      <c r="BL119" s="2"/>
      <c r="BM119" s="2"/>
      <c r="BN119" s="2"/>
      <c r="BO119" s="2"/>
      <c r="BP119" s="2"/>
      <c r="BQ119" s="2"/>
    </row>
    <row r="121" spans="2:69" ht="13" x14ac:dyDescent="0.3">
      <c r="AK121" s="2"/>
      <c r="AL121" s="2"/>
    </row>
    <row r="122" spans="2:69" ht="13" x14ac:dyDescent="0.3">
      <c r="G122" s="4"/>
      <c r="H122" s="5"/>
      <c r="K122" s="4"/>
      <c r="L122" s="5"/>
      <c r="O122" s="4"/>
      <c r="P122" s="5"/>
      <c r="S122" s="4"/>
      <c r="T122" s="5"/>
      <c r="W122" s="4"/>
      <c r="X122" s="5"/>
      <c r="AA122" s="7"/>
      <c r="AB122" s="5"/>
      <c r="AJ122" s="2"/>
      <c r="AL122" s="5"/>
      <c r="AN122" s="2"/>
      <c r="AQ122" s="5"/>
      <c r="AS122" s="5"/>
      <c r="AU122" s="5"/>
      <c r="AW122" s="5"/>
      <c r="AY122" s="5"/>
    </row>
    <row r="123" spans="2:69" ht="13" x14ac:dyDescent="0.3">
      <c r="G123" s="4"/>
      <c r="H123" s="5"/>
      <c r="K123" s="4"/>
      <c r="L123" s="5"/>
      <c r="O123" s="4"/>
      <c r="P123" s="5"/>
      <c r="S123" s="4"/>
      <c r="T123" s="5"/>
      <c r="W123" s="4"/>
      <c r="X123" s="5"/>
      <c r="AA123" s="4"/>
      <c r="AB123" s="5"/>
      <c r="AJ123" s="2"/>
      <c r="AL123" s="5"/>
      <c r="AN123" s="2"/>
      <c r="AP123" s="5"/>
      <c r="AQ123" s="5"/>
      <c r="AR123" s="5"/>
      <c r="AS123" s="5"/>
      <c r="AT123" s="5"/>
      <c r="AU123" s="5"/>
      <c r="AV123" s="5"/>
      <c r="AW123" s="5"/>
      <c r="AX123" s="5"/>
      <c r="AY123" s="5"/>
    </row>
    <row r="124" spans="2:69" ht="13" x14ac:dyDescent="0.3">
      <c r="G124" s="4"/>
      <c r="H124" s="5"/>
      <c r="K124" s="4"/>
      <c r="L124" s="5"/>
      <c r="O124" s="4"/>
      <c r="P124" s="5"/>
      <c r="S124" s="4"/>
      <c r="T124" s="5"/>
      <c r="W124" s="4"/>
      <c r="X124" s="5"/>
      <c r="AA124" s="4"/>
      <c r="AB124" s="5"/>
      <c r="AH124" s="2"/>
      <c r="AJ124" s="2"/>
      <c r="AL124" s="5"/>
    </row>
    <row r="125" spans="2:69" ht="13" x14ac:dyDescent="0.3">
      <c r="G125" s="4"/>
      <c r="H125" s="5"/>
      <c r="K125" s="7"/>
      <c r="L125" s="5"/>
      <c r="O125" s="7"/>
      <c r="P125" s="5"/>
      <c r="W125" s="7"/>
      <c r="X125" s="5"/>
      <c r="AA125" s="7"/>
      <c r="AB125" s="5"/>
      <c r="AG125" s="2"/>
      <c r="AH125" s="2"/>
      <c r="AI125" s="23"/>
      <c r="AJ125" s="23"/>
      <c r="AL125" s="5"/>
    </row>
    <row r="126" spans="2:69" ht="13" x14ac:dyDescent="0.3">
      <c r="G126" s="4"/>
      <c r="H126" s="5"/>
      <c r="K126" s="4"/>
      <c r="L126" s="5"/>
      <c r="O126" s="4"/>
      <c r="P126" s="5"/>
      <c r="S126" s="4"/>
      <c r="T126" s="5"/>
      <c r="W126" s="4"/>
      <c r="X126" s="5"/>
      <c r="AA126" s="4"/>
      <c r="AB126" s="5"/>
      <c r="AJ126" s="2"/>
      <c r="AL126" s="5"/>
    </row>
    <row r="127" spans="2:69" s="2" customFormat="1" ht="13" x14ac:dyDescent="0.3">
      <c r="B127" s="8"/>
      <c r="F127" s="8"/>
      <c r="H127" s="8"/>
      <c r="J127" s="8"/>
      <c r="L127" s="8"/>
      <c r="N127" s="8"/>
      <c r="P127" s="8"/>
      <c r="R127" s="8"/>
      <c r="T127" s="8"/>
      <c r="V127" s="8"/>
      <c r="X127" s="8"/>
      <c r="Z127" s="8"/>
      <c r="AB127" s="8"/>
      <c r="AG127" s="8"/>
      <c r="AH127" s="24"/>
      <c r="AI127" s="24"/>
      <c r="AJ127" s="24"/>
      <c r="AK127" s="24"/>
      <c r="AL127" s="24"/>
      <c r="BC127"/>
      <c r="BD127"/>
      <c r="BE127"/>
      <c r="BF127"/>
      <c r="BG127"/>
      <c r="BH127"/>
      <c r="BI127"/>
      <c r="BJ127"/>
      <c r="BK127"/>
      <c r="BL127"/>
      <c r="BM127"/>
      <c r="BN127"/>
      <c r="BO127"/>
      <c r="BP127"/>
      <c r="BQ127"/>
    </row>
    <row r="128" spans="2:69" ht="13" x14ac:dyDescent="0.3">
      <c r="AL128" s="5"/>
      <c r="BC128" s="2"/>
      <c r="BD128" s="2"/>
      <c r="BE128" s="2"/>
      <c r="BF128" s="2"/>
      <c r="BG128" s="2"/>
      <c r="BH128" s="2"/>
      <c r="BI128" s="2"/>
      <c r="BJ128" s="2"/>
      <c r="BK128" s="2"/>
      <c r="BL128" s="2"/>
      <c r="BM128" s="2"/>
      <c r="BN128" s="2"/>
      <c r="BO128" s="2"/>
      <c r="BP128" s="2"/>
      <c r="BQ128" s="2"/>
    </row>
    <row r="132" spans="6:6" x14ac:dyDescent="0.25">
      <c r="F132" s="19"/>
    </row>
    <row r="133" spans="6:6" x14ac:dyDescent="0.25">
      <c r="F133" s="19"/>
    </row>
    <row r="134" spans="6:6" x14ac:dyDescent="0.25">
      <c r="F134" s="19"/>
    </row>
    <row r="135" spans="6:6" x14ac:dyDescent="0.25">
      <c r="F135" s="19"/>
    </row>
    <row r="136" spans="6:6" x14ac:dyDescent="0.25">
      <c r="F136" s="19"/>
    </row>
  </sheetData>
  <phoneticPr fontId="4" type="noConversion"/>
  <pageMargins left="0.75" right="0.75" top="1" bottom="1" header="0.5" footer="0.5"/>
  <pageSetup orientation="portrait" horizontalDpi="4294967293" verticalDpi="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C7CA0-2F27-4647-B457-3733FB14C444}">
  <sheetPr>
    <tabColor rgb="FFFFFFCC"/>
    <pageSetUpPr fitToPage="1"/>
  </sheetPr>
  <dimension ref="A1:AF43"/>
  <sheetViews>
    <sheetView tabSelected="1" topLeftCell="A10" zoomScaleNormal="100" workbookViewId="0">
      <pane xSplit="2" topLeftCell="G1" activePane="topRight" state="frozen"/>
      <selection activeCell="R23" sqref="R23"/>
      <selection pane="topRight" activeCell="AB36" sqref="AB36"/>
    </sheetView>
  </sheetViews>
  <sheetFormatPr defaultColWidth="9.1796875" defaultRowHeight="13" x14ac:dyDescent="0.3"/>
  <cols>
    <col min="1" max="1" width="21" style="32" bestFit="1" customWidth="1"/>
    <col min="2" max="2" width="11.7265625" style="34" bestFit="1" customWidth="1"/>
    <col min="3" max="3" width="11.7265625" style="33" bestFit="1" customWidth="1"/>
    <col min="4" max="4" width="12" style="33" bestFit="1" customWidth="1"/>
    <col min="5" max="5" width="12.453125" style="33" bestFit="1" customWidth="1"/>
    <col min="6" max="6" width="10.26953125" style="33" bestFit="1" customWidth="1"/>
    <col min="7" max="7" width="12.7265625" style="33" bestFit="1" customWidth="1"/>
    <col min="8" max="8" width="10.26953125" style="33" bestFit="1" customWidth="1"/>
    <col min="9" max="9" width="8.1796875" style="33" bestFit="1" customWidth="1"/>
    <col min="10" max="10" width="7.54296875" style="33" bestFit="1" customWidth="1"/>
    <col min="11" max="11" width="11.54296875" style="33" bestFit="1" customWidth="1"/>
    <col min="12" max="12" width="11.453125" style="33" bestFit="1" customWidth="1"/>
    <col min="13" max="13" width="8.1796875" style="33" bestFit="1" customWidth="1"/>
    <col min="14" max="14" width="10" style="33" bestFit="1" customWidth="1"/>
    <col min="15" max="15" width="11.54296875" style="33" bestFit="1" customWidth="1"/>
    <col min="16" max="16" width="10.26953125" style="33" bestFit="1" customWidth="1"/>
    <col min="17" max="17" width="8.1796875" style="33" bestFit="1" customWidth="1"/>
    <col min="18" max="18" width="9.26953125" style="33" bestFit="1" customWidth="1"/>
    <col min="19" max="19" width="7.7265625" style="33" bestFit="1" customWidth="1"/>
    <col min="20" max="20" width="7.26953125" style="33" customWidth="1"/>
    <col min="21" max="21" width="5.54296875" style="33" customWidth="1"/>
    <col min="22" max="22" width="5" style="33" bestFit="1" customWidth="1"/>
    <col min="23" max="23" width="8.54296875" style="33" bestFit="1" customWidth="1"/>
    <col min="24" max="24" width="6.7265625" style="33" customWidth="1"/>
    <col min="25" max="25" width="5" style="32" bestFit="1" customWidth="1"/>
    <col min="26" max="26" width="8.26953125" style="32" bestFit="1" customWidth="1"/>
    <col min="27" max="27" width="8.26953125" style="32" customWidth="1"/>
    <col min="28" max="28" width="7" style="32" bestFit="1" customWidth="1"/>
    <col min="29" max="29" width="12" style="32" bestFit="1" customWidth="1"/>
    <col min="30" max="30" width="9.26953125" style="32" bestFit="1" customWidth="1"/>
    <col min="31" max="31" width="2.54296875" style="32" customWidth="1"/>
    <col min="32" max="16384" width="9.1796875" style="32"/>
  </cols>
  <sheetData>
    <row r="1" spans="1:28" x14ac:dyDescent="0.3">
      <c r="A1" s="34" t="s">
        <v>344</v>
      </c>
    </row>
    <row r="2" spans="1:28" x14ac:dyDescent="0.3">
      <c r="C2" s="34" t="s">
        <v>330</v>
      </c>
    </row>
    <row r="3" spans="1:28" x14ac:dyDescent="0.3">
      <c r="C3" s="903" t="s">
        <v>208</v>
      </c>
      <c r="D3" s="904"/>
      <c r="E3" s="904"/>
      <c r="F3" s="905"/>
      <c r="G3" s="903" t="s">
        <v>264</v>
      </c>
      <c r="H3" s="904"/>
      <c r="I3" s="904"/>
      <c r="J3" s="905"/>
      <c r="K3" s="903" t="s">
        <v>261</v>
      </c>
      <c r="L3" s="904"/>
      <c r="M3" s="904"/>
      <c r="N3" s="905"/>
      <c r="O3" s="903" t="s">
        <v>262</v>
      </c>
      <c r="P3" s="904"/>
      <c r="Q3" s="904"/>
      <c r="R3" s="905"/>
      <c r="S3" s="781" t="s">
        <v>339</v>
      </c>
      <c r="T3" s="781"/>
      <c r="U3" s="781"/>
      <c r="V3" s="781"/>
      <c r="W3" s="165"/>
      <c r="X3" s="165"/>
    </row>
    <row r="4" spans="1:28" x14ac:dyDescent="0.3">
      <c r="B4" s="34" t="s">
        <v>134</v>
      </c>
      <c r="C4" s="547" t="s">
        <v>31</v>
      </c>
      <c r="D4" s="202" t="s">
        <v>62</v>
      </c>
      <c r="E4" s="202" t="s">
        <v>260</v>
      </c>
      <c r="F4" s="548" t="s">
        <v>203</v>
      </c>
      <c r="G4" s="547" t="s">
        <v>31</v>
      </c>
      <c r="H4" s="202" t="s">
        <v>62</v>
      </c>
      <c r="I4" s="202" t="s">
        <v>260</v>
      </c>
      <c r="J4" s="548" t="s">
        <v>203</v>
      </c>
      <c r="K4" s="549" t="s">
        <v>31</v>
      </c>
      <c r="L4" s="208" t="s">
        <v>62</v>
      </c>
      <c r="M4" s="208" t="s">
        <v>260</v>
      </c>
      <c r="N4" s="550" t="s">
        <v>203</v>
      </c>
      <c r="O4" s="549" t="s">
        <v>31</v>
      </c>
      <c r="P4" s="208" t="s">
        <v>62</v>
      </c>
      <c r="Q4" s="208" t="s">
        <v>260</v>
      </c>
      <c r="R4" s="550" t="s">
        <v>203</v>
      </c>
      <c r="S4" s="781" t="s">
        <v>335</v>
      </c>
      <c r="T4" s="781" t="s">
        <v>336</v>
      </c>
      <c r="U4" s="781" t="s">
        <v>337</v>
      </c>
      <c r="V4" s="781" t="s">
        <v>338</v>
      </c>
      <c r="W4" s="208"/>
      <c r="X4" s="208"/>
    </row>
    <row r="5" spans="1:28" x14ac:dyDescent="0.3">
      <c r="B5" s="34">
        <v>31</v>
      </c>
      <c r="C5" s="807"/>
      <c r="D5" s="807"/>
      <c r="E5" s="807"/>
      <c r="F5" s="863"/>
      <c r="G5" s="551" t="str">
        <f>'2022 comm sample'!K5</f>
        <v>na</v>
      </c>
      <c r="H5" s="552" t="str">
        <f>'2022 comm sample'!L5</f>
        <v>na</v>
      </c>
      <c r="I5" s="552" t="str">
        <f>'2022 comm sample'!M5</f>
        <v>na</v>
      </c>
      <c r="J5" s="552" t="str">
        <f>'2022 comm sample'!N5</f>
        <v>na</v>
      </c>
      <c r="K5" s="553" t="str">
        <f>IF(C5&gt;0,'2022 comm sample'!C5/'2022 Comm catch'!C5,"na")</f>
        <v>na</v>
      </c>
      <c r="L5" s="554" t="str">
        <f>IF(D5&gt;0,'2022 comm sample'!D5/'2022 Comm catch'!D5,"na")</f>
        <v>na</v>
      </c>
      <c r="M5" s="554" t="str">
        <f>IF(E5&gt;0,'2022 comm sample'!E5/'2022 Comm catch'!E5,"na")</f>
        <v>na</v>
      </c>
      <c r="N5" s="554" t="str">
        <f>IF(F5&gt;0,'2022 comm sample'!F5/'2022 Comm catch'!F5,"na")</f>
        <v>na</v>
      </c>
      <c r="O5" s="555" t="str">
        <f t="shared" ref="O5:R20" si="0">IF(G5&lt;&gt;"na",C5*G5,"na")</f>
        <v>na</v>
      </c>
      <c r="P5" s="556" t="str">
        <f t="shared" si="0"/>
        <v>na</v>
      </c>
      <c r="Q5" s="556" t="str">
        <f t="shared" si="0"/>
        <v>na</v>
      </c>
      <c r="R5" s="557" t="str">
        <f t="shared" si="0"/>
        <v>na</v>
      </c>
      <c r="S5" s="514"/>
      <c r="T5" s="514"/>
      <c r="U5" s="514"/>
      <c r="V5" s="514"/>
      <c r="W5" s="514"/>
      <c r="X5" s="514"/>
    </row>
    <row r="6" spans="1:28" x14ac:dyDescent="0.3">
      <c r="B6" s="34">
        <v>32</v>
      </c>
      <c r="C6" s="895"/>
      <c r="D6" s="807"/>
      <c r="E6" s="807"/>
      <c r="F6" s="863"/>
      <c r="G6" s="551" t="str">
        <f>'2022 comm sample'!K6</f>
        <v>na</v>
      </c>
      <c r="H6" s="552" t="str">
        <f>'2022 comm sample'!L6</f>
        <v>na</v>
      </c>
      <c r="I6" s="552" t="str">
        <f>'2022 comm sample'!M6</f>
        <v>na</v>
      </c>
      <c r="J6" s="552" t="str">
        <f>'2022 comm sample'!N6</f>
        <v>na</v>
      </c>
      <c r="K6" s="558" t="str">
        <f>IF(C6&gt;0,'2022 comm sample'!C6/'2022 Comm catch'!C6,"na")</f>
        <v>na</v>
      </c>
      <c r="L6" s="559" t="str">
        <f>IF(D6&gt;0,'2022 comm sample'!D6/'2022 Comm catch'!D6,"na")</f>
        <v>na</v>
      </c>
      <c r="M6" s="559" t="str">
        <f>IF(E6&gt;0,'2022 comm sample'!E6/'2022 Comm catch'!E6,"na")</f>
        <v>na</v>
      </c>
      <c r="N6" s="559" t="str">
        <f>IF(F6&gt;0,'2022 comm sample'!F6/'2022 Comm catch'!F6,"na")</f>
        <v>na</v>
      </c>
      <c r="O6" s="560" t="str">
        <f t="shared" si="0"/>
        <v>na</v>
      </c>
      <c r="P6" s="514" t="str">
        <f t="shared" si="0"/>
        <v>na</v>
      </c>
      <c r="Q6" s="514" t="str">
        <f t="shared" si="0"/>
        <v>na</v>
      </c>
      <c r="R6" s="563" t="str">
        <f t="shared" si="0"/>
        <v>na</v>
      </c>
      <c r="S6" s="514"/>
      <c r="T6" s="514"/>
      <c r="U6" s="514"/>
      <c r="V6" s="514"/>
      <c r="W6" s="514"/>
      <c r="X6" s="514"/>
    </row>
    <row r="7" spans="1:28" x14ac:dyDescent="0.3">
      <c r="B7" s="34">
        <v>33</v>
      </c>
      <c r="C7" s="895"/>
      <c r="D7" s="807"/>
      <c r="E7" s="807"/>
      <c r="F7" s="863"/>
      <c r="G7" s="551" t="str">
        <f>'2022 comm sample'!K7</f>
        <v>na</v>
      </c>
      <c r="H7" s="552" t="str">
        <f>'2022 comm sample'!L7</f>
        <v>na</v>
      </c>
      <c r="I7" s="552" t="str">
        <f>'2022 comm sample'!M7</f>
        <v>na</v>
      </c>
      <c r="J7" s="552" t="str">
        <f>'2022 comm sample'!N7</f>
        <v>na</v>
      </c>
      <c r="K7" s="558" t="str">
        <f>IF(C7&gt;0,'2022 comm sample'!C7/'2022 Comm catch'!C7,"na")</f>
        <v>na</v>
      </c>
      <c r="L7" s="559" t="str">
        <f>IF(D7&gt;0,'2022 comm sample'!D7/'2022 Comm catch'!D7,"na")</f>
        <v>na</v>
      </c>
      <c r="M7" s="559" t="str">
        <f>IF(E7&gt;0,'2022 comm sample'!E7/'2022 Comm catch'!E7,"na")</f>
        <v>na</v>
      </c>
      <c r="N7" s="559" t="str">
        <f>IF(F7&gt;0,'2022 comm sample'!F7/'2022 Comm catch'!F7,"na")</f>
        <v>na</v>
      </c>
      <c r="O7" s="560" t="str">
        <f t="shared" si="0"/>
        <v>na</v>
      </c>
      <c r="P7" s="514" t="str">
        <f t="shared" si="0"/>
        <v>na</v>
      </c>
      <c r="Q7" s="514" t="str">
        <f t="shared" si="0"/>
        <v>na</v>
      </c>
      <c r="R7" s="563" t="str">
        <f t="shared" si="0"/>
        <v>na</v>
      </c>
      <c r="S7" s="514"/>
      <c r="T7" s="514"/>
      <c r="U7" s="514"/>
      <c r="V7" s="514"/>
      <c r="W7" s="514"/>
      <c r="X7" s="514"/>
    </row>
    <row r="8" spans="1:28" x14ac:dyDescent="0.3">
      <c r="B8" s="34">
        <v>34</v>
      </c>
      <c r="C8" s="895"/>
      <c r="D8" s="807"/>
      <c r="E8" s="864"/>
      <c r="F8" s="864"/>
      <c r="G8" s="551" t="str">
        <f>'2022 comm sample'!K8</f>
        <v>na</v>
      </c>
      <c r="H8" s="552" t="str">
        <f>'2022 comm sample'!L8</f>
        <v>na</v>
      </c>
      <c r="I8" s="552" t="str">
        <f>'2022 comm sample'!M8</f>
        <v>na</v>
      </c>
      <c r="J8" s="552" t="str">
        <f>'2022 comm sample'!N8</f>
        <v>na</v>
      </c>
      <c r="K8" s="558" t="str">
        <f>IF(C8&gt;0,'2022 comm sample'!C8/'2022 Comm catch'!C8,"na")</f>
        <v>na</v>
      </c>
      <c r="L8" s="559" t="str">
        <f>IF(D8&gt;0,'2022 comm sample'!D8/'2022 Comm catch'!D8,"na")</f>
        <v>na</v>
      </c>
      <c r="M8" s="559" t="str">
        <f>IF(E8&gt;0,'2022 comm sample'!E8/'2022 Comm catch'!E8,"na")</f>
        <v>na</v>
      </c>
      <c r="N8" s="559" t="str">
        <f>IF(F8&gt;0,'2022 comm sample'!F8/'2022 Comm catch'!F8,"na")</f>
        <v>na</v>
      </c>
      <c r="O8" s="560" t="str">
        <f t="shared" si="0"/>
        <v>na</v>
      </c>
      <c r="P8" s="514" t="str">
        <f t="shared" si="0"/>
        <v>na</v>
      </c>
      <c r="Q8" s="514" t="str">
        <f t="shared" si="0"/>
        <v>na</v>
      </c>
      <c r="R8" s="563" t="str">
        <f t="shared" si="0"/>
        <v>na</v>
      </c>
      <c r="S8" s="514"/>
      <c r="T8" s="514"/>
      <c r="U8" s="514"/>
      <c r="V8" s="514"/>
      <c r="W8" s="514"/>
      <c r="X8" s="514"/>
    </row>
    <row r="9" spans="1:28" x14ac:dyDescent="0.3">
      <c r="B9" s="34">
        <v>35</v>
      </c>
      <c r="C9" s="862">
        <v>3</v>
      </c>
      <c r="D9" s="807"/>
      <c r="E9" s="864"/>
      <c r="F9" s="864"/>
      <c r="G9" s="551">
        <f>'2022 comm sample'!K9</f>
        <v>0</v>
      </c>
      <c r="H9" s="552" t="str">
        <f>'2022 comm sample'!L9</f>
        <v>na</v>
      </c>
      <c r="I9" s="552" t="str">
        <f>'2022 comm sample'!M9</f>
        <v>na</v>
      </c>
      <c r="J9" s="552" t="str">
        <f>'2022 comm sample'!N9</f>
        <v>na</v>
      </c>
      <c r="K9" s="558">
        <f>IF(C9&gt;0,'2022 comm sample'!C9/'2022 Comm catch'!C9,"na")</f>
        <v>0.66666666666666663</v>
      </c>
      <c r="L9" s="559" t="str">
        <f>IF(D9&gt;0,'2022 comm sample'!D9/'2022 Comm catch'!D9,"na")</f>
        <v>na</v>
      </c>
      <c r="M9" s="559" t="str">
        <f>IF(E9&gt;0,'2022 comm sample'!E9/'2022 Comm catch'!E9,"na")</f>
        <v>na</v>
      </c>
      <c r="N9" s="559" t="str">
        <f>IF(F9&gt;0,'2022 comm sample'!F9/'2022 Comm catch'!F9,"na")</f>
        <v>na</v>
      </c>
      <c r="O9" s="560">
        <f t="shared" si="0"/>
        <v>0</v>
      </c>
      <c r="P9" s="514" t="str">
        <f t="shared" si="0"/>
        <v>na</v>
      </c>
      <c r="Q9" s="514" t="str">
        <f t="shared" si="0"/>
        <v>na</v>
      </c>
      <c r="R9" s="563" t="str">
        <f t="shared" si="0"/>
        <v>na</v>
      </c>
      <c r="S9" s="514"/>
      <c r="T9" s="514"/>
      <c r="U9" s="514"/>
      <c r="V9" s="514"/>
      <c r="W9" s="514"/>
      <c r="X9" s="514"/>
      <c r="AA9" s="585"/>
      <c r="AB9" s="585"/>
    </row>
    <row r="10" spans="1:28" x14ac:dyDescent="0.3">
      <c r="B10" s="34">
        <v>36</v>
      </c>
      <c r="C10" s="862">
        <v>1446</v>
      </c>
      <c r="D10" s="866">
        <v>1430</v>
      </c>
      <c r="E10" s="866">
        <v>460</v>
      </c>
      <c r="F10" s="864"/>
      <c r="G10" s="551">
        <f>'2022 comm sample'!K10</f>
        <v>1.9490254872563718E-2</v>
      </c>
      <c r="H10" s="552">
        <f>'2022 comm sample'!L10</f>
        <v>2.7397260273972601E-2</v>
      </c>
      <c r="I10" s="552">
        <f>'2022 comm sample'!M10</f>
        <v>4.9079754601226995E-2</v>
      </c>
      <c r="J10" s="552" t="str">
        <f>'2022 comm sample'!N10</f>
        <v>na</v>
      </c>
      <c r="K10" s="558">
        <f>IF(C10&gt;0,'2022 comm sample'!C10/'2022 Comm catch'!C10,"na")</f>
        <v>0.4612724757952974</v>
      </c>
      <c r="L10" s="559">
        <f>IF(D10&gt;0,'2022 comm sample'!D10/'2022 Comm catch'!D10,"na")</f>
        <v>0.61258741258741256</v>
      </c>
      <c r="M10" s="559">
        <f>IF(E10&gt;0,'2022 comm sample'!E10/'2022 Comm catch'!E10,"na")</f>
        <v>0.35434782608695653</v>
      </c>
      <c r="N10" s="559" t="str">
        <f>IF(F10&gt;0,'2022 comm sample'!F10/'2022 Comm catch'!F10,"na")</f>
        <v>na</v>
      </c>
      <c r="O10" s="560">
        <f t="shared" si="0"/>
        <v>28.182908545727138</v>
      </c>
      <c r="P10" s="514">
        <f t="shared" si="0"/>
        <v>39.178082191780817</v>
      </c>
      <c r="Q10" s="896">
        <f t="shared" si="0"/>
        <v>22.576687116564418</v>
      </c>
      <c r="R10" s="563" t="str">
        <f t="shared" si="0"/>
        <v>na</v>
      </c>
      <c r="S10" s="514"/>
      <c r="T10" s="514"/>
      <c r="U10" s="848">
        <f>AVERAGE(I9,I11:I15)*E10</f>
        <v>23.578054338661872</v>
      </c>
      <c r="V10" s="514"/>
      <c r="W10" s="514"/>
      <c r="X10" s="514"/>
      <c r="AA10" s="585"/>
      <c r="AB10" s="585"/>
    </row>
    <row r="11" spans="1:28" x14ac:dyDescent="0.3">
      <c r="B11" s="34">
        <v>37</v>
      </c>
      <c r="C11" s="862">
        <v>16565</v>
      </c>
      <c r="D11" s="866">
        <v>12199</v>
      </c>
      <c r="E11" s="866">
        <v>3547</v>
      </c>
      <c r="F11" s="864"/>
      <c r="G11" s="551">
        <f>'2022 comm sample'!K11</f>
        <v>1.4427040395713108E-2</v>
      </c>
      <c r="H11" s="552">
        <f>'2022 comm sample'!L11</f>
        <v>5.2738336713995942E-2</v>
      </c>
      <c r="I11" s="552">
        <f>'2022 comm sample'!M11</f>
        <v>4.7361299052774017E-2</v>
      </c>
      <c r="J11" s="552" t="str">
        <f>'2022 comm sample'!N11</f>
        <v>na</v>
      </c>
      <c r="K11" s="558">
        <f>IF(C11&gt;0,'2022 comm sample'!C11/'2022 Comm catch'!C11,"na")</f>
        <v>0.14645336552973137</v>
      </c>
      <c r="L11" s="559">
        <f>IF(D11&gt;0,'2022 comm sample'!D11/'2022 Comm catch'!D11,"na")</f>
        <v>0.16165259447495697</v>
      </c>
      <c r="M11" s="559">
        <f>IF(E11&gt;0,'2022 comm sample'!E11/'2022 Comm catch'!E11,"na")</f>
        <v>0.20834508034959121</v>
      </c>
      <c r="N11" s="559" t="str">
        <f>IF(F11&gt;0,'2022 comm sample'!F11/'2022 Comm catch'!F11,"na")</f>
        <v>na</v>
      </c>
      <c r="O11" s="560">
        <f t="shared" si="0"/>
        <v>238.98392415498765</v>
      </c>
      <c r="P11" s="896">
        <f t="shared" si="0"/>
        <v>643.35496957403655</v>
      </c>
      <c r="Q11" s="514">
        <f t="shared" si="0"/>
        <v>167.99052774018944</v>
      </c>
      <c r="R11" s="563" t="str">
        <f t="shared" si="0"/>
        <v>na</v>
      </c>
      <c r="S11" s="514"/>
      <c r="T11" s="848">
        <f>AVERAGE(H9:H11,H13:H17)*D11</f>
        <v>669.8005057151662</v>
      </c>
      <c r="U11" s="514"/>
      <c r="V11" s="514"/>
      <c r="W11" s="514"/>
      <c r="X11" s="514"/>
      <c r="AA11" s="585"/>
      <c r="AB11" s="585"/>
    </row>
    <row r="12" spans="1:28" x14ac:dyDescent="0.3">
      <c r="B12" s="34">
        <v>38</v>
      </c>
      <c r="C12" s="862">
        <v>10313</v>
      </c>
      <c r="D12" s="866">
        <v>7197</v>
      </c>
      <c r="E12" s="866">
        <v>3511</v>
      </c>
      <c r="F12" s="866">
        <v>572</v>
      </c>
      <c r="G12" s="551">
        <f>'2022 comm sample'!K12</f>
        <v>2.7387880862718247E-2</v>
      </c>
      <c r="H12" s="552">
        <f>'2022 comm sample'!L12</f>
        <v>1.8235294117647058E-2</v>
      </c>
      <c r="I12" s="552">
        <f>'2022 comm sample'!M12</f>
        <v>2.1331058020477817E-2</v>
      </c>
      <c r="J12" s="552">
        <f>'2022 comm sample'!N12</f>
        <v>7.3089700996677748E-2</v>
      </c>
      <c r="K12" s="558">
        <f>IF(C12&gt;0,'2022 comm sample'!C12/'2022 Comm catch'!C12,"na")</f>
        <v>0.28323475225443617</v>
      </c>
      <c r="L12" s="559">
        <f>IF(D12&gt;0,'2022 comm sample'!D12/'2022 Comm catch'!D12,"na")</f>
        <v>0.23620953174934001</v>
      </c>
      <c r="M12" s="559">
        <f>IF(E12&gt;0,'2022 comm sample'!E12/'2022 Comm catch'!E12,"na")</f>
        <v>0.33380803189974367</v>
      </c>
      <c r="N12" s="559">
        <f>IF(F12&gt;0,'2022 comm sample'!F12/'2022 Comm catch'!F12,"na")</f>
        <v>0.52622377622377625</v>
      </c>
      <c r="O12" s="560">
        <f t="shared" si="0"/>
        <v>282.45121533721328</v>
      </c>
      <c r="P12" s="514">
        <f t="shared" si="0"/>
        <v>131.23941176470586</v>
      </c>
      <c r="Q12" s="514">
        <f t="shared" si="0"/>
        <v>74.893344709897619</v>
      </c>
      <c r="R12" s="563">
        <f t="shared" si="0"/>
        <v>41.807308970099669</v>
      </c>
      <c r="S12" s="514"/>
      <c r="T12" s="514"/>
      <c r="U12" s="514"/>
      <c r="V12" s="514"/>
      <c r="W12" s="514"/>
      <c r="X12" s="514"/>
      <c r="AA12" s="585"/>
      <c r="AB12" s="585"/>
    </row>
    <row r="13" spans="1:28" x14ac:dyDescent="0.3">
      <c r="B13" s="34">
        <v>39</v>
      </c>
      <c r="C13" s="862">
        <v>1502</v>
      </c>
      <c r="D13" s="866">
        <v>1813</v>
      </c>
      <c r="E13" s="866">
        <v>2276</v>
      </c>
      <c r="F13" s="866">
        <v>419</v>
      </c>
      <c r="G13" s="551">
        <f>'2022 comm sample'!K13</f>
        <v>2.1148036253776436E-2</v>
      </c>
      <c r="H13" s="552">
        <f>'2022 comm sample'!L13</f>
        <v>7.8160919540229884E-2</v>
      </c>
      <c r="I13" s="552">
        <f>'2022 comm sample'!M13</f>
        <v>6.6666666666666666E-2</v>
      </c>
      <c r="J13" s="552">
        <f>'2022 comm sample'!N13</f>
        <v>5.0359712230215826E-2</v>
      </c>
      <c r="K13" s="558">
        <f>IF(C13&gt;0,'2022 comm sample'!C13/'2022 Comm catch'!C13,"na")</f>
        <v>0.440745672436751</v>
      </c>
      <c r="L13" s="559">
        <f>IF(D13&gt;0,'2022 comm sample'!D13/'2022 Comm catch'!D13,"na")</f>
        <v>0.23993381136238279</v>
      </c>
      <c r="M13" s="559">
        <f>IF(E13&gt;0,'2022 comm sample'!E13/'2022 Comm catch'!E13,"na")</f>
        <v>0.20430579964850615</v>
      </c>
      <c r="N13" s="559">
        <f>IF(F13&gt;0,'2022 comm sample'!F13/'2022 Comm catch'!F13,"na")</f>
        <v>0.33174224343675418</v>
      </c>
      <c r="O13" s="560">
        <f t="shared" si="0"/>
        <v>31.764350453172206</v>
      </c>
      <c r="P13" s="514">
        <f t="shared" si="0"/>
        <v>141.70574712643679</v>
      </c>
      <c r="Q13" s="514">
        <f t="shared" si="0"/>
        <v>151.73333333333332</v>
      </c>
      <c r="R13" s="563">
        <f t="shared" si="0"/>
        <v>21.100719424460433</v>
      </c>
      <c r="S13" s="514"/>
      <c r="T13" s="514"/>
      <c r="U13" s="514"/>
      <c r="V13" s="514"/>
      <c r="W13" s="514"/>
      <c r="X13" s="514"/>
      <c r="AA13" s="585"/>
      <c r="AB13" s="585"/>
    </row>
    <row r="14" spans="1:28" x14ac:dyDescent="0.3">
      <c r="B14" s="34">
        <v>40</v>
      </c>
      <c r="C14" s="862">
        <v>3028</v>
      </c>
      <c r="D14" s="866">
        <v>1531</v>
      </c>
      <c r="E14" s="866">
        <v>1964</v>
      </c>
      <c r="F14" s="866">
        <v>264</v>
      </c>
      <c r="G14" s="551">
        <f>'2022 comm sample'!K14</f>
        <v>1.7348203221809171E-2</v>
      </c>
      <c r="H14" s="552">
        <f>'2022 comm sample'!L14</f>
        <v>4.2718446601941747E-2</v>
      </c>
      <c r="I14" s="552">
        <f>'2022 comm sample'!M14</f>
        <v>4.5368620037807186E-2</v>
      </c>
      <c r="J14" s="552">
        <f>'2022 comm sample'!N14</f>
        <v>8.9743589743589744E-2</v>
      </c>
      <c r="K14" s="558">
        <f>IF(C14&gt;0,'2022 comm sample'!C14/'2022 Comm catch'!C14,"na")</f>
        <v>0.26651254953764864</v>
      </c>
      <c r="L14" s="559">
        <f>IF(D14&gt;0,'2022 comm sample'!D14/'2022 Comm catch'!D14,"na")</f>
        <v>0.3363814500326584</v>
      </c>
      <c r="M14" s="559">
        <f>IF(E14&gt;0,'2022 comm sample'!E14/'2022 Comm catch'!E14,"na")</f>
        <v>0.26934826883910384</v>
      </c>
      <c r="N14" s="559">
        <f>IF(F14&gt;0,'2022 comm sample'!F14/'2022 Comm catch'!F14,"na")</f>
        <v>0.29545454545454547</v>
      </c>
      <c r="O14" s="560">
        <f t="shared" si="0"/>
        <v>52.530359355638168</v>
      </c>
      <c r="P14" s="514">
        <f t="shared" si="0"/>
        <v>65.40194174757282</v>
      </c>
      <c r="Q14" s="514">
        <f t="shared" si="0"/>
        <v>89.103969754253313</v>
      </c>
      <c r="R14" s="563">
        <f t="shared" si="0"/>
        <v>23.692307692307693</v>
      </c>
      <c r="S14" s="514"/>
      <c r="T14" s="514"/>
      <c r="U14" s="514"/>
      <c r="V14" s="514"/>
      <c r="W14" s="514"/>
      <c r="X14" s="514"/>
      <c r="AA14" s="585"/>
      <c r="AB14" s="585"/>
    </row>
    <row r="15" spans="1:28" x14ac:dyDescent="0.3">
      <c r="A15" s="11"/>
      <c r="B15" s="34">
        <v>41</v>
      </c>
      <c r="C15" s="862">
        <v>419</v>
      </c>
      <c r="D15" s="866">
        <v>608</v>
      </c>
      <c r="E15" s="866">
        <v>953</v>
      </c>
      <c r="F15" s="866">
        <v>305</v>
      </c>
      <c r="G15" s="551">
        <f>'2022 comm sample'!K15</f>
        <v>3.8461538461538464E-2</v>
      </c>
      <c r="H15" s="552">
        <f>'2022 comm sample'!L15</f>
        <v>0.1165644171779141</v>
      </c>
      <c r="I15" s="552">
        <f>'2022 comm sample'!M15</f>
        <v>7.5555555555555556E-2</v>
      </c>
      <c r="J15" s="552">
        <f>'2022 comm sample'!N15</f>
        <v>7.8947368421052627E-2</v>
      </c>
      <c r="K15" s="558">
        <f>IF(C15&gt;0,'2022 comm sample'!C15/'2022 Comm catch'!C15,"na")</f>
        <v>0.12410501193317422</v>
      </c>
      <c r="L15" s="559">
        <f>IF(D15&gt;0,'2022 comm sample'!D15/'2022 Comm catch'!D15,"na")</f>
        <v>0.26809210526315791</v>
      </c>
      <c r="M15" s="559">
        <f>IF(E15&gt;0,'2022 comm sample'!E15/'2022 Comm catch'!E15,"na")</f>
        <v>0.236096537250787</v>
      </c>
      <c r="N15" s="559">
        <f>IF(F15&gt;0,'2022 comm sample'!F15/'2022 Comm catch'!F15,"na")</f>
        <v>0.3737704918032787</v>
      </c>
      <c r="O15" s="560">
        <f t="shared" si="0"/>
        <v>16.115384615384617</v>
      </c>
      <c r="P15" s="514">
        <f t="shared" si="0"/>
        <v>70.871165644171782</v>
      </c>
      <c r="Q15" s="514">
        <f t="shared" si="0"/>
        <v>72.004444444444445</v>
      </c>
      <c r="R15" s="563">
        <f t="shared" si="0"/>
        <v>24.078947368421051</v>
      </c>
      <c r="S15" s="514"/>
      <c r="T15" s="514"/>
      <c r="U15" s="514"/>
      <c r="V15" s="874"/>
      <c r="W15" s="514"/>
      <c r="X15" s="514"/>
      <c r="AA15" s="585"/>
      <c r="AB15" s="585"/>
    </row>
    <row r="16" spans="1:28" x14ac:dyDescent="0.3">
      <c r="A16" s="11"/>
      <c r="B16" s="34">
        <v>42</v>
      </c>
      <c r="C16" s="862">
        <v>1041</v>
      </c>
      <c r="D16" s="866">
        <v>963</v>
      </c>
      <c r="E16" s="866">
        <v>1698</v>
      </c>
      <c r="F16" s="866">
        <v>144</v>
      </c>
      <c r="G16" s="551">
        <f>'2022 comm sample'!K16</f>
        <v>3.1858407079646017E-2</v>
      </c>
      <c r="H16" s="552">
        <f>'2022 comm sample'!L16</f>
        <v>1.1857707509881422E-2</v>
      </c>
      <c r="I16" s="552">
        <f>'2022 comm sample'!M16</f>
        <v>4.195804195804196E-2</v>
      </c>
      <c r="J16" s="552">
        <f>'2022 comm sample'!N16</f>
        <v>0.20689655172413793</v>
      </c>
      <c r="K16" s="558">
        <f>IF(C16&gt;0,'2022 comm sample'!C16/'2022 Comm catch'!C16,"na")</f>
        <v>0.54274735830931797</v>
      </c>
      <c r="L16" s="559">
        <f>IF(D16&gt;0,'2022 comm sample'!D16/'2022 Comm catch'!D16,"na")</f>
        <v>0.26272066458982346</v>
      </c>
      <c r="M16" s="559">
        <f>IF(E16&gt;0,'2022 comm sample'!E16/'2022 Comm catch'!E16,"na")</f>
        <v>0.33686690223792698</v>
      </c>
      <c r="N16" s="559">
        <f>IF(F16&gt;0,'2022 comm sample'!F16/'2022 Comm catch'!F16,"na")</f>
        <v>0.60416666666666663</v>
      </c>
      <c r="O16" s="560">
        <f t="shared" si="0"/>
        <v>33.164601769911506</v>
      </c>
      <c r="P16" s="514">
        <f t="shared" si="0"/>
        <v>11.418972332015809</v>
      </c>
      <c r="Q16" s="514">
        <f t="shared" si="0"/>
        <v>71.244755244755254</v>
      </c>
      <c r="R16" s="563">
        <f t="shared" si="0"/>
        <v>29.793103448275861</v>
      </c>
      <c r="S16" s="514"/>
      <c r="T16" s="514"/>
      <c r="U16" s="514"/>
      <c r="W16" s="514"/>
      <c r="X16" s="514"/>
      <c r="AA16" s="585"/>
      <c r="AB16" s="585"/>
    </row>
    <row r="17" spans="1:32" x14ac:dyDescent="0.3">
      <c r="A17" s="11"/>
      <c r="B17" s="34">
        <v>43</v>
      </c>
      <c r="C17" s="862">
        <v>59</v>
      </c>
      <c r="D17" s="866">
        <v>0</v>
      </c>
      <c r="E17" s="866">
        <v>97</v>
      </c>
      <c r="F17" s="866">
        <v>63</v>
      </c>
      <c r="G17" s="551">
        <f>'2022 comm sample'!K17</f>
        <v>0.11764705882352941</v>
      </c>
      <c r="H17" s="552" t="str">
        <f>'2022 comm sample'!L17</f>
        <v>na</v>
      </c>
      <c r="I17" s="552">
        <f>'2022 comm sample'!M17</f>
        <v>0.12371134020618557</v>
      </c>
      <c r="J17" s="552">
        <f>'2022 comm sample'!N17</f>
        <v>0.23809523809523808</v>
      </c>
      <c r="K17" s="558">
        <f>IF(C17&gt;0,'2022 comm sample'!C17/'2022 Comm catch'!C17,"na")</f>
        <v>0.57627118644067798</v>
      </c>
      <c r="L17" s="559" t="str">
        <f>IF(D17&gt;0,'2022 comm sample'!D17/'2022 Comm catch'!D17,"na")</f>
        <v>na</v>
      </c>
      <c r="M17" s="559">
        <f>IF(E17&gt;0,'2022 comm sample'!E17/'2022 Comm catch'!E17,"na")</f>
        <v>1</v>
      </c>
      <c r="N17" s="559">
        <f>IF(F17&gt;0,'2022 comm sample'!F17/'2022 Comm catch'!F17,"na")</f>
        <v>0.66666666666666663</v>
      </c>
      <c r="O17" s="560">
        <f t="shared" si="0"/>
        <v>6.9411764705882355</v>
      </c>
      <c r="P17" s="514" t="str">
        <f t="shared" si="0"/>
        <v>na</v>
      </c>
      <c r="Q17" s="514">
        <f t="shared" si="0"/>
        <v>12</v>
      </c>
      <c r="R17" s="563">
        <f t="shared" si="0"/>
        <v>15</v>
      </c>
      <c r="S17" s="514"/>
      <c r="T17" s="514"/>
      <c r="U17" s="514"/>
      <c r="V17" s="514"/>
      <c r="W17" s="514"/>
      <c r="X17" s="514"/>
      <c r="AA17" s="585"/>
      <c r="AB17" s="585"/>
    </row>
    <row r="18" spans="1:32" x14ac:dyDescent="0.3">
      <c r="B18" s="34">
        <v>44</v>
      </c>
      <c r="C18" s="862">
        <v>867</v>
      </c>
      <c r="D18" s="866">
        <v>125</v>
      </c>
      <c r="E18" s="866">
        <v>796</v>
      </c>
      <c r="F18" s="866">
        <v>171</v>
      </c>
      <c r="G18" s="551">
        <f>'2022 comm sample'!K18</f>
        <v>8.8888888888888892E-2</v>
      </c>
      <c r="H18" s="552">
        <f>'2022 comm sample'!L18</f>
        <v>0</v>
      </c>
      <c r="I18" s="552">
        <f>'2022 comm sample'!M18</f>
        <v>7.1065989847715741E-2</v>
      </c>
      <c r="J18" s="552">
        <f>'2022 comm sample'!N18</f>
        <v>0.29629629629629628</v>
      </c>
      <c r="K18" s="558">
        <f>IF(C18&gt;0,'2022 comm sample'!C18/'2022 Comm catch'!C18,"na")</f>
        <v>0.31141868512110726</v>
      </c>
      <c r="L18" s="559">
        <f>IF(D18&gt;0,'2022 comm sample'!D18/'2022 Comm catch'!D18,"na")</f>
        <v>0.25600000000000001</v>
      </c>
      <c r="M18" s="559">
        <f>IF(E18&gt;0,'2022 comm sample'!E18/'2022 Comm catch'!E18,"na")</f>
        <v>0.24748743718592964</v>
      </c>
      <c r="N18" s="559">
        <f>IF(F18&gt;0,'2022 comm sample'!F18/'2022 Comm catch'!F18,"na")</f>
        <v>0.63157894736842102</v>
      </c>
      <c r="O18" s="897">
        <f t="shared" si="0"/>
        <v>77.066666666666663</v>
      </c>
      <c r="P18" s="514">
        <f t="shared" si="0"/>
        <v>0</v>
      </c>
      <c r="Q18" s="514">
        <f t="shared" si="0"/>
        <v>56.568527918781733</v>
      </c>
      <c r="R18" s="563">
        <f t="shared" si="0"/>
        <v>50.666666666666664</v>
      </c>
      <c r="S18" s="848">
        <f>AVERAGE(G9:G17)*C18</f>
        <v>27.721691123901376</v>
      </c>
      <c r="T18" s="874"/>
      <c r="U18" s="514"/>
      <c r="V18" s="514"/>
      <c r="W18" s="514"/>
      <c r="X18" s="514"/>
      <c r="AA18" s="585"/>
      <c r="AB18" s="585"/>
    </row>
    <row r="19" spans="1:32" x14ac:dyDescent="0.3">
      <c r="B19" s="34">
        <v>45</v>
      </c>
      <c r="C19" s="873">
        <v>138</v>
      </c>
      <c r="D19" s="807"/>
      <c r="E19" s="864"/>
      <c r="F19" s="892">
        <v>17</v>
      </c>
      <c r="G19" s="551" t="str">
        <f>'2022 comm sample'!K19</f>
        <v>na</v>
      </c>
      <c r="H19" s="552" t="str">
        <f>'2022 comm sample'!L19</f>
        <v>na</v>
      </c>
      <c r="I19" s="552" t="str">
        <f>'2022 comm sample'!M19</f>
        <v>na</v>
      </c>
      <c r="J19" s="552" t="str">
        <f>'2022 comm sample'!N19</f>
        <v>na</v>
      </c>
      <c r="K19" s="558">
        <f>IF(C19&gt;0,'2022 comm sample'!C19/'2022 Comm catch'!C19,"na")</f>
        <v>0</v>
      </c>
      <c r="L19" s="559" t="str">
        <f>IF(D19&gt;0,'2022 comm sample'!D19/'2022 Comm catch'!D19,"na")</f>
        <v>na</v>
      </c>
      <c r="M19" s="559" t="str">
        <f>IF(E19&gt;0,'2022 comm sample'!E19/'2022 Comm catch'!E19,"na")</f>
        <v>na</v>
      </c>
      <c r="N19" s="559">
        <f>IF(F19&gt;0,'2022 comm sample'!F19/'2022 Comm catch'!F19,"na")</f>
        <v>0</v>
      </c>
      <c r="O19" s="560" t="str">
        <f t="shared" si="0"/>
        <v>na</v>
      </c>
      <c r="P19" s="514" t="str">
        <f t="shared" si="0"/>
        <v>na</v>
      </c>
      <c r="Q19" s="514" t="str">
        <f t="shared" si="0"/>
        <v>na</v>
      </c>
      <c r="R19" s="563" t="str">
        <f t="shared" si="0"/>
        <v>na</v>
      </c>
      <c r="S19" s="514"/>
      <c r="T19" s="514"/>
      <c r="U19" s="514"/>
      <c r="V19" s="514"/>
      <c r="W19" s="514"/>
      <c r="X19" s="514"/>
    </row>
    <row r="20" spans="1:32" x14ac:dyDescent="0.3">
      <c r="B20" s="34">
        <v>46</v>
      </c>
      <c r="C20" s="884"/>
      <c r="D20" s="807"/>
      <c r="E20" s="864"/>
      <c r="F20" s="892">
        <v>0</v>
      </c>
      <c r="G20" s="551" t="str">
        <f>'2022 comm sample'!K20</f>
        <v>na</v>
      </c>
      <c r="H20" s="552" t="str">
        <f>'2022 comm sample'!L20</f>
        <v>na</v>
      </c>
      <c r="I20" s="552" t="str">
        <f>'2022 comm sample'!M20</f>
        <v>na</v>
      </c>
      <c r="J20" s="552" t="str">
        <f>'2022 comm sample'!N20</f>
        <v>na</v>
      </c>
      <c r="K20" s="558" t="str">
        <f>IF(C20&gt;0,'2022 comm sample'!C20/'2022 Comm catch'!C20,"na")</f>
        <v>na</v>
      </c>
      <c r="L20" s="559" t="str">
        <f>IF(D20&gt;0,'2022 comm sample'!D20/'2022 Comm catch'!D20,"na")</f>
        <v>na</v>
      </c>
      <c r="M20" s="559" t="str">
        <f>IF(E20&gt;0,'2022 comm sample'!E20/'2022 Comm catch'!E20,"na")</f>
        <v>na</v>
      </c>
      <c r="N20" s="891" t="str">
        <f>IF(F20&gt;0,'2022 comm sample'!F20/'2022 Comm catch'!F20,"na")</f>
        <v>na</v>
      </c>
      <c r="O20" s="560" t="str">
        <f t="shared" si="0"/>
        <v>na</v>
      </c>
      <c r="P20" s="514" t="str">
        <f t="shared" si="0"/>
        <v>na</v>
      </c>
      <c r="Q20" s="514" t="str">
        <f t="shared" si="0"/>
        <v>na</v>
      </c>
      <c r="R20" s="563" t="str">
        <f t="shared" si="0"/>
        <v>na</v>
      </c>
      <c r="S20" s="514"/>
      <c r="T20" s="514"/>
      <c r="U20" s="514"/>
      <c r="V20" s="514"/>
      <c r="W20" s="514"/>
      <c r="X20" s="514"/>
    </row>
    <row r="21" spans="1:32" x14ac:dyDescent="0.3">
      <c r="B21" s="34">
        <v>47</v>
      </c>
      <c r="C21" s="867"/>
      <c r="D21" s="868"/>
      <c r="E21" s="869"/>
      <c r="F21" s="875">
        <v>0</v>
      </c>
      <c r="G21" s="567" t="str">
        <f>'2022 comm sample'!K21</f>
        <v>na</v>
      </c>
      <c r="H21" s="568" t="str">
        <f>'2022 comm sample'!L21</f>
        <v>na</v>
      </c>
      <c r="I21" s="568" t="str">
        <f>'2022 comm sample'!M21</f>
        <v>na</v>
      </c>
      <c r="J21" s="568" t="str">
        <f>'2022 comm sample'!N21</f>
        <v>na</v>
      </c>
      <c r="K21" s="569" t="str">
        <f>IF(C21&gt;0,'2022 comm sample'!C21/'2022 Comm catch'!C21,"na")</f>
        <v>na</v>
      </c>
      <c r="L21" s="570" t="str">
        <f>IF(D21&gt;0,'2022 comm sample'!D21/'2022 Comm catch'!D21,"na")</f>
        <v>na</v>
      </c>
      <c r="M21" s="570" t="str">
        <f>IF(E21&gt;0,'2022 comm sample'!E21/'2022 Comm catch'!E21,"na")</f>
        <v>na</v>
      </c>
      <c r="N21" s="570" t="str">
        <f>IF(F21&gt;0,'2022 comm sample'!F21/'2022 Comm catch'!F21,"na")</f>
        <v>na</v>
      </c>
      <c r="O21" s="560" t="str">
        <f t="shared" ref="O21:R21" si="1">IF(G21&lt;&gt;"na",C21*G21,"na")</f>
        <v>na</v>
      </c>
      <c r="P21" s="514" t="str">
        <f t="shared" si="1"/>
        <v>na</v>
      </c>
      <c r="Q21" s="514" t="str">
        <f t="shared" si="1"/>
        <v>na</v>
      </c>
      <c r="R21" s="563" t="str">
        <f t="shared" si="1"/>
        <v>na</v>
      </c>
      <c r="S21" s="514"/>
      <c r="T21" s="514"/>
      <c r="U21" s="514"/>
      <c r="V21" s="514"/>
      <c r="W21" s="514"/>
      <c r="X21" s="514"/>
    </row>
    <row r="22" spans="1:32" x14ac:dyDescent="0.3">
      <c r="B22" s="34" t="s">
        <v>184</v>
      </c>
      <c r="C22" s="808">
        <f>SUM(C5:C19)</f>
        <v>35381</v>
      </c>
      <c r="D22" s="651">
        <f>SUM(D5:D19)</f>
        <v>25866</v>
      </c>
      <c r="E22" s="651">
        <f>SUM(E5:E19)</f>
        <v>15302</v>
      </c>
      <c r="F22" s="809">
        <f>SUM(F5:F21)</f>
        <v>1955</v>
      </c>
      <c r="G22" s="571">
        <f>'2022 comm sample'!K22</f>
        <v>2.4268379728765169E-2</v>
      </c>
      <c r="H22" s="571">
        <f>'2022 comm sample'!L22</f>
        <v>3.9858728557013119E-2</v>
      </c>
      <c r="I22" s="571">
        <f>'2022 comm sample'!M22</f>
        <v>4.5684058667949029E-2</v>
      </c>
      <c r="J22" s="571">
        <f>'2022 comm sample'!N22</f>
        <v>0.12082853855005754</v>
      </c>
      <c r="K22" s="721">
        <f>IF(C22&gt;0,'2018 comm sample'!C20/'2022 Comm catch'!C22,"na")</f>
        <v>4.8331025126480312E-2</v>
      </c>
      <c r="L22" s="722">
        <f>IF(D22&gt;0,'2018 comm sample'!D20/'2022 Comm catch'!D22,"na")</f>
        <v>8.0066496559189668E-2</v>
      </c>
      <c r="M22" s="722">
        <f>IF(E22&gt;0,'2018 comm sample'!E20/'2022 Comm catch'!E22,"na")</f>
        <v>5.2411449483727619E-2</v>
      </c>
      <c r="N22" s="723">
        <f>IF(F22&gt;0,'2018 comm sample'!F20/'2022 Comm catch'!F22,"na")</f>
        <v>0.43120204603580564</v>
      </c>
      <c r="O22" s="572">
        <f>SUM(O5:O19)</f>
        <v>767.20058736928968</v>
      </c>
      <c r="P22" s="573">
        <f>SUM(P5:P19)</f>
        <v>1103.1702903807204</v>
      </c>
      <c r="Q22" s="573">
        <f>SUM(Q5:Q19)</f>
        <v>718.11559026221948</v>
      </c>
      <c r="R22" s="574">
        <f>SUM(R5:R20)</f>
        <v>206.13905357023137</v>
      </c>
      <c r="S22" s="575"/>
      <c r="T22" s="575"/>
      <c r="U22" s="575"/>
      <c r="V22" s="575"/>
      <c r="W22" s="575"/>
      <c r="X22" s="575"/>
    </row>
    <row r="23" spans="1:32" x14ac:dyDescent="0.3">
      <c r="B23" s="208"/>
      <c r="C23" s="208"/>
      <c r="D23" s="208"/>
      <c r="E23" s="208"/>
      <c r="F23" s="575"/>
      <c r="G23" s="34"/>
      <c r="H23" s="34"/>
      <c r="I23" s="208"/>
      <c r="J23" s="576"/>
      <c r="K23" s="208"/>
      <c r="L23" s="208"/>
      <c r="M23" s="208"/>
      <c r="N23" s="577"/>
      <c r="O23" s="208"/>
      <c r="P23" s="208"/>
      <c r="Q23" s="208"/>
      <c r="R23" s="575"/>
      <c r="S23" s="575"/>
      <c r="T23" s="575"/>
      <c r="U23" s="575"/>
      <c r="V23" s="575"/>
      <c r="W23" s="575"/>
      <c r="X23" s="575"/>
    </row>
    <row r="24" spans="1:32" x14ac:dyDescent="0.3">
      <c r="B24" s="208"/>
      <c r="C24" s="457"/>
      <c r="D24" s="457"/>
      <c r="E24" s="457"/>
      <c r="F24" s="514"/>
      <c r="I24" s="457"/>
      <c r="J24" s="457"/>
      <c r="K24" s="457"/>
      <c r="L24" s="457"/>
      <c r="M24" s="457"/>
      <c r="N24" s="457"/>
      <c r="O24" s="457"/>
      <c r="P24" s="457"/>
      <c r="Q24" s="457"/>
      <c r="R24" s="514"/>
      <c r="S24" s="514"/>
      <c r="T24" s="514"/>
      <c r="U24" s="514"/>
      <c r="V24" s="514"/>
      <c r="W24" s="514"/>
      <c r="X24" s="514"/>
    </row>
    <row r="25" spans="1:32" x14ac:dyDescent="0.3">
      <c r="C25" s="34" t="s">
        <v>123</v>
      </c>
      <c r="H25" s="457"/>
      <c r="I25" s="457"/>
      <c r="J25" s="457"/>
      <c r="Y25" s="33"/>
      <c r="Z25" s="33"/>
      <c r="AA25" s="33"/>
    </row>
    <row r="26" spans="1:32" x14ac:dyDescent="0.3">
      <c r="C26" s="903" t="s">
        <v>263</v>
      </c>
      <c r="D26" s="904"/>
      <c r="E26" s="904"/>
      <c r="F26" s="904"/>
      <c r="G26" s="904"/>
      <c r="H26" s="904"/>
      <c r="I26" s="904"/>
      <c r="J26" s="905"/>
      <c r="K26" s="903" t="s">
        <v>264</v>
      </c>
      <c r="L26" s="904"/>
      <c r="M26" s="904"/>
      <c r="N26" s="904"/>
      <c r="O26" s="905"/>
      <c r="P26" s="903" t="s">
        <v>261</v>
      </c>
      <c r="Q26" s="904"/>
      <c r="R26" s="904"/>
      <c r="S26" s="904"/>
      <c r="T26" s="904"/>
      <c r="U26" s="697" t="s">
        <v>323</v>
      </c>
      <c r="V26" s="698"/>
      <c r="W26" s="698"/>
      <c r="X26" s="698"/>
      <c r="Y26" s="698"/>
      <c r="Z26" s="698"/>
      <c r="AA26" s="698"/>
      <c r="AB26" s="699"/>
      <c r="AC26" s="34" t="s">
        <v>328</v>
      </c>
    </row>
    <row r="27" spans="1:32" x14ac:dyDescent="0.3">
      <c r="B27" s="34" t="s">
        <v>134</v>
      </c>
      <c r="C27" s="547">
        <v>1</v>
      </c>
      <c r="D27" s="202">
        <v>2</v>
      </c>
      <c r="E27" s="202">
        <v>3</v>
      </c>
      <c r="F27" s="202"/>
      <c r="G27" s="202">
        <v>4</v>
      </c>
      <c r="H27" s="202">
        <v>5</v>
      </c>
      <c r="I27" s="202"/>
      <c r="J27" s="548" t="s">
        <v>272</v>
      </c>
      <c r="K27" s="367">
        <v>1</v>
      </c>
      <c r="L27" s="175">
        <v>2</v>
      </c>
      <c r="M27" s="175">
        <v>3</v>
      </c>
      <c r="N27" s="175">
        <v>4</v>
      </c>
      <c r="O27" s="368">
        <v>5</v>
      </c>
      <c r="P27" s="367">
        <v>1</v>
      </c>
      <c r="Q27" s="175">
        <v>2</v>
      </c>
      <c r="R27" s="175">
        <v>3</v>
      </c>
      <c r="S27" s="175">
        <v>4</v>
      </c>
      <c r="T27" s="175">
        <v>5</v>
      </c>
      <c r="U27" s="367">
        <v>1</v>
      </c>
      <c r="V27" s="175">
        <v>2</v>
      </c>
      <c r="W27" s="175">
        <v>3</v>
      </c>
      <c r="X27" s="175"/>
      <c r="Y27" s="175">
        <v>4</v>
      </c>
      <c r="Z27" s="175">
        <v>5</v>
      </c>
      <c r="AA27" s="175"/>
      <c r="AB27" s="368" t="s">
        <v>272</v>
      </c>
      <c r="AC27" s="32" t="str">
        <f>'2013 comm sample'!R24</f>
        <v>Z1-3 Agg</v>
      </c>
      <c r="AD27" s="32" t="str">
        <f>'2013 comm sample'!S24</f>
        <v>Z4-5 Agg</v>
      </c>
      <c r="AE27" s="73"/>
      <c r="AF27" s="73"/>
    </row>
    <row r="28" spans="1:32" x14ac:dyDescent="0.3">
      <c r="A28" s="34"/>
      <c r="B28" s="34">
        <v>32</v>
      </c>
      <c r="C28" s="832"/>
      <c r="D28" s="833"/>
      <c r="E28" s="833"/>
      <c r="F28" s="834"/>
      <c r="G28" s="835"/>
      <c r="H28" s="835"/>
      <c r="I28" s="834"/>
      <c r="J28" s="579"/>
      <c r="K28" s="532" t="str">
        <f>'2022 comm sample'!M28</f>
        <v>na</v>
      </c>
      <c r="L28" s="532" t="str">
        <f>'2022 comm sample'!N28</f>
        <v>na</v>
      </c>
      <c r="M28" s="532" t="str">
        <f>'2022 comm sample'!O28</f>
        <v>na</v>
      </c>
      <c r="N28" s="532" t="str">
        <f>'2022 comm sample'!P28</f>
        <v>na</v>
      </c>
      <c r="O28" s="533" t="str">
        <f>'2022 comm sample'!Q28</f>
        <v>na</v>
      </c>
      <c r="P28" s="559" t="str">
        <f>IF(C28&gt;0,'2022 comm sample'!C28/'2022 Comm catch'!C28,"na")</f>
        <v>na</v>
      </c>
      <c r="Q28" s="559" t="str">
        <f>IF(D28&gt;0,'2022 comm sample'!D28/'2022 Comm catch'!D28,"na")</f>
        <v>na</v>
      </c>
      <c r="R28" s="559" t="str">
        <f>IF(E28&gt;0,'2022 comm sample'!E28/'2022 Comm catch'!E28,"na")</f>
        <v>na</v>
      </c>
      <c r="S28" s="559" t="str">
        <f>IF(G28&gt;0,'2022 comm sample'!F28/'2022 Comm catch'!G28,"na")</f>
        <v>na</v>
      </c>
      <c r="T28" s="559" t="str">
        <f>IF(H28&gt;0,'2022 comm sample'!G28/'2022 Comm catch'!H28,"na")</f>
        <v>na</v>
      </c>
      <c r="U28" s="560">
        <f t="shared" ref="U28:W41" si="2">IF(K28&lt;&gt;"na",C28*K28,0)</f>
        <v>0</v>
      </c>
      <c r="V28" s="514">
        <f t="shared" si="2"/>
        <v>0</v>
      </c>
      <c r="W28" s="514">
        <f t="shared" si="2"/>
        <v>0</v>
      </c>
      <c r="X28" s="705">
        <f t="shared" ref="X28:X40" si="3">SUM(U28:W28)</f>
        <v>0</v>
      </c>
      <c r="Y28" s="514">
        <f t="shared" ref="Y28:Z41" si="4">IF(N28&lt;&gt;"na",G28*N28,0)</f>
        <v>0</v>
      </c>
      <c r="Z28" s="514">
        <f t="shared" si="4"/>
        <v>0</v>
      </c>
      <c r="AA28" s="705">
        <f t="shared" ref="AA28:AA40" si="5">SUM(Y28:Z28)</f>
        <v>0</v>
      </c>
      <c r="AB28" s="580">
        <f>X28+AA28</f>
        <v>0</v>
      </c>
    </row>
    <row r="29" spans="1:32" x14ac:dyDescent="0.3">
      <c r="A29" s="34" t="s">
        <v>324</v>
      </c>
      <c r="B29" s="34">
        <v>33</v>
      </c>
      <c r="C29" s="836"/>
      <c r="D29" s="837"/>
      <c r="E29" s="837"/>
      <c r="F29" s="838"/>
      <c r="G29" s="871">
        <v>0</v>
      </c>
      <c r="H29" s="871">
        <v>0</v>
      </c>
      <c r="I29" s="839">
        <f t="shared" ref="I29:I40" si="6">SUM(G29:H29)</f>
        <v>0</v>
      </c>
      <c r="J29" s="515">
        <f>F29+I29</f>
        <v>0</v>
      </c>
      <c r="K29" s="532" t="str">
        <f>'2022 comm sample'!M29</f>
        <v>na</v>
      </c>
      <c r="L29" s="532" t="str">
        <f>'2022 comm sample'!N29</f>
        <v>na</v>
      </c>
      <c r="M29" s="532" t="str">
        <f>'2022 comm sample'!O29</f>
        <v>na</v>
      </c>
      <c r="N29" s="532" t="str">
        <f>'2022 comm sample'!P29</f>
        <v>na</v>
      </c>
      <c r="O29" s="533" t="str">
        <f>'2022 comm sample'!Q29</f>
        <v>na</v>
      </c>
      <c r="P29" s="559" t="str">
        <f>IF(C29&gt;0,'2022 comm sample'!C29/'2022 Comm catch'!C29,"na")</f>
        <v>na</v>
      </c>
      <c r="Q29" s="559" t="str">
        <f>IF(D29&gt;0,'2022 comm sample'!D29/'2022 Comm catch'!D29,"na")</f>
        <v>na</v>
      </c>
      <c r="R29" s="559" t="str">
        <f>IF(E29&gt;0,'2022 comm sample'!E29/'2022 Comm catch'!E29,"na")</f>
        <v>na</v>
      </c>
      <c r="S29" s="559" t="str">
        <f>IF(G29&gt;0,'2022 comm sample'!F29/'2022 Comm catch'!G29,"na")</f>
        <v>na</v>
      </c>
      <c r="T29" s="559" t="str">
        <f>IF(H29&gt;0,'2022 comm sample'!G29/'2022 Comm catch'!H29,"na")</f>
        <v>na</v>
      </c>
      <c r="U29" s="560">
        <f t="shared" si="2"/>
        <v>0</v>
      </c>
      <c r="V29" s="514">
        <f t="shared" si="2"/>
        <v>0</v>
      </c>
      <c r="W29" s="514">
        <f t="shared" si="2"/>
        <v>0</v>
      </c>
      <c r="X29" s="705">
        <f t="shared" si="3"/>
        <v>0</v>
      </c>
      <c r="Y29" s="514">
        <f t="shared" si="4"/>
        <v>0</v>
      </c>
      <c r="Z29" s="514">
        <f t="shared" si="4"/>
        <v>0</v>
      </c>
      <c r="AA29" s="705">
        <f t="shared" si="5"/>
        <v>0</v>
      </c>
      <c r="AB29" s="580">
        <f t="shared" ref="AB29:AB42" si="7">X29+AA29</f>
        <v>0</v>
      </c>
      <c r="AD29" s="585"/>
    </row>
    <row r="30" spans="1:32" x14ac:dyDescent="0.3">
      <c r="A30" s="34" t="s">
        <v>324</v>
      </c>
      <c r="B30" s="34">
        <v>34</v>
      </c>
      <c r="C30" s="836"/>
      <c r="D30" s="837"/>
      <c r="E30" s="837"/>
      <c r="F30" s="838"/>
      <c r="G30" s="871">
        <v>20</v>
      </c>
      <c r="H30" s="871">
        <v>3</v>
      </c>
      <c r="I30" s="839">
        <f t="shared" si="6"/>
        <v>23</v>
      </c>
      <c r="J30" s="515">
        <f t="shared" ref="J30:J41" si="8">F30+I30</f>
        <v>23</v>
      </c>
      <c r="K30" s="532" t="str">
        <f>'2022 comm sample'!M30</f>
        <v>na</v>
      </c>
      <c r="L30" s="532" t="str">
        <f>'2022 comm sample'!N30</f>
        <v>na</v>
      </c>
      <c r="M30" s="532" t="str">
        <f>'2022 comm sample'!O30</f>
        <v>na</v>
      </c>
      <c r="N30" s="532">
        <f>'2022 comm sample'!P30</f>
        <v>0.75</v>
      </c>
      <c r="O30" s="533">
        <f>'2022 comm sample'!Q30</f>
        <v>1</v>
      </c>
      <c r="P30" s="559" t="str">
        <f>IF(C30&gt;0,'2022 comm sample'!C30/'2022 Comm catch'!C30,"na")</f>
        <v>na</v>
      </c>
      <c r="Q30" s="559" t="str">
        <f>IF(D30&gt;0,'2022 comm sample'!D30/'2022 Comm catch'!D30,"na")</f>
        <v>na</v>
      </c>
      <c r="R30" s="559" t="str">
        <f>IF(E30&gt;0,'2022 comm sample'!E30/'2022 Comm catch'!E30,"na")</f>
        <v>na</v>
      </c>
      <c r="S30" s="559">
        <f>IF(G30&gt;0,'2022 comm sample'!F30/'2022 Comm catch'!G30,"na")</f>
        <v>0.6</v>
      </c>
      <c r="T30" s="559">
        <f>IF(H30&gt;0,'2022 comm sample'!G30/'2022 Comm catch'!H30,"na")</f>
        <v>1</v>
      </c>
      <c r="U30" s="560">
        <f t="shared" si="2"/>
        <v>0</v>
      </c>
      <c r="V30" s="514">
        <f t="shared" si="2"/>
        <v>0</v>
      </c>
      <c r="W30" s="514">
        <f t="shared" si="2"/>
        <v>0</v>
      </c>
      <c r="X30" s="705">
        <f t="shared" si="3"/>
        <v>0</v>
      </c>
      <c r="Y30" s="514">
        <f t="shared" si="4"/>
        <v>15</v>
      </c>
      <c r="Z30" s="514">
        <f t="shared" si="4"/>
        <v>3</v>
      </c>
      <c r="AA30" s="705">
        <f t="shared" si="5"/>
        <v>18</v>
      </c>
      <c r="AB30" s="580">
        <f t="shared" si="7"/>
        <v>18</v>
      </c>
      <c r="AD30" s="585"/>
    </row>
    <row r="31" spans="1:32" x14ac:dyDescent="0.3">
      <c r="A31" s="34" t="s">
        <v>324</v>
      </c>
      <c r="B31" s="34">
        <v>35</v>
      </c>
      <c r="C31" s="836"/>
      <c r="D31" s="837"/>
      <c r="E31" s="837"/>
      <c r="F31" s="838"/>
      <c r="G31" s="871">
        <v>31</v>
      </c>
      <c r="H31" s="871">
        <v>11</v>
      </c>
      <c r="I31" s="839">
        <f t="shared" si="6"/>
        <v>42</v>
      </c>
      <c r="J31" s="515">
        <f t="shared" si="8"/>
        <v>42</v>
      </c>
      <c r="K31" s="532" t="str">
        <f>'2022 comm sample'!M31</f>
        <v>na</v>
      </c>
      <c r="L31" s="532" t="str">
        <f>'2022 comm sample'!N31</f>
        <v>na</v>
      </c>
      <c r="M31" s="532" t="str">
        <f>'2022 comm sample'!O31</f>
        <v>na</v>
      </c>
      <c r="N31" s="532">
        <f>'2022 comm sample'!P31</f>
        <v>0.55555555555555558</v>
      </c>
      <c r="O31" s="533">
        <f>'2022 comm sample'!Q31</f>
        <v>0.66666666666666663</v>
      </c>
      <c r="P31" s="559" t="str">
        <f>IF(C31&gt;0,'2022 comm sample'!C31/'2022 Comm catch'!C31,"na")</f>
        <v>na</v>
      </c>
      <c r="Q31" s="559" t="str">
        <f>IF(D31&gt;0,'2022 comm sample'!D31/'2022 Comm catch'!D31,"na")</f>
        <v>na</v>
      </c>
      <c r="R31" s="559" t="str">
        <f>IF(E31&gt;0,'2022 comm sample'!E31/'2022 Comm catch'!E31,"na")</f>
        <v>na</v>
      </c>
      <c r="S31" s="559">
        <f>IF(G31&gt;0,'2022 comm sample'!F31/'2022 Comm catch'!G31,"na")</f>
        <v>0.29032258064516131</v>
      </c>
      <c r="T31" s="559">
        <f>IF(H31&gt;0,'2022 comm sample'!G31/'2022 Comm catch'!H31,"na")</f>
        <v>0.81818181818181823</v>
      </c>
      <c r="U31" s="560">
        <f t="shared" si="2"/>
        <v>0</v>
      </c>
      <c r="V31" s="514">
        <f t="shared" si="2"/>
        <v>0</v>
      </c>
      <c r="W31" s="514">
        <f t="shared" si="2"/>
        <v>0</v>
      </c>
      <c r="X31" s="705">
        <f t="shared" si="3"/>
        <v>0</v>
      </c>
      <c r="Y31" s="514">
        <f t="shared" si="4"/>
        <v>17.222222222222221</v>
      </c>
      <c r="Z31" s="514">
        <f t="shared" si="4"/>
        <v>7.333333333333333</v>
      </c>
      <c r="AA31" s="705">
        <f t="shared" si="5"/>
        <v>24.555555555555554</v>
      </c>
      <c r="AB31" s="580">
        <f t="shared" si="7"/>
        <v>24.555555555555554</v>
      </c>
      <c r="AD31" s="585"/>
    </row>
    <row r="32" spans="1:32" x14ac:dyDescent="0.3">
      <c r="A32" s="34" t="s">
        <v>324</v>
      </c>
      <c r="B32" s="34">
        <v>36</v>
      </c>
      <c r="C32" s="836"/>
      <c r="D32" s="837"/>
      <c r="E32" s="837"/>
      <c r="F32" s="838"/>
      <c r="G32" s="871">
        <v>632</v>
      </c>
      <c r="H32" s="871">
        <v>232</v>
      </c>
      <c r="I32" s="839">
        <f t="shared" si="6"/>
        <v>864</v>
      </c>
      <c r="J32" s="515">
        <f t="shared" si="8"/>
        <v>864</v>
      </c>
      <c r="K32" s="532" t="str">
        <f>'2022 comm sample'!M32</f>
        <v>na</v>
      </c>
      <c r="L32" s="532" t="str">
        <f>'2022 comm sample'!N32</f>
        <v>na</v>
      </c>
      <c r="M32" s="532" t="str">
        <f>'2022 comm sample'!O32</f>
        <v>na</v>
      </c>
      <c r="N32" s="532">
        <f>'2022 comm sample'!P32</f>
        <v>0.69491525423728817</v>
      </c>
      <c r="O32" s="533">
        <f>'2022 comm sample'!Q32</f>
        <v>0.74193548387096775</v>
      </c>
      <c r="P32" s="559" t="str">
        <f>IF(C32&gt;0,'2022 comm sample'!C32/'2022 Comm catch'!C32,"na")</f>
        <v>na</v>
      </c>
      <c r="Q32" s="559" t="str">
        <f>IF(D32&gt;0,'2022 comm sample'!D32/'2022 Comm catch'!D32,"na")</f>
        <v>na</v>
      </c>
      <c r="R32" s="559" t="str">
        <f>IF(E32&gt;0,'2022 comm sample'!E32/'2022 Comm catch'!E32,"na")</f>
        <v>na</v>
      </c>
      <c r="S32" s="559">
        <f>IF(G32&gt;0,'2022 comm sample'!F32/'2022 Comm catch'!G32,"na")</f>
        <v>0.18670886075949367</v>
      </c>
      <c r="T32" s="559">
        <f>IF(H32&gt;0,'2022 comm sample'!G32/'2022 Comm catch'!H32,"na")</f>
        <v>0.1336206896551724</v>
      </c>
      <c r="U32" s="560">
        <f t="shared" si="2"/>
        <v>0</v>
      </c>
      <c r="V32" s="514">
        <f t="shared" si="2"/>
        <v>0</v>
      </c>
      <c r="W32" s="514">
        <f t="shared" si="2"/>
        <v>0</v>
      </c>
      <c r="X32" s="705">
        <f t="shared" si="3"/>
        <v>0</v>
      </c>
      <c r="Y32" s="514">
        <f t="shared" si="4"/>
        <v>439.18644067796612</v>
      </c>
      <c r="Z32" s="514">
        <f t="shared" si="4"/>
        <v>172.12903225806451</v>
      </c>
      <c r="AA32" s="896">
        <f t="shared" si="5"/>
        <v>611.31547293603057</v>
      </c>
      <c r="AB32" s="580">
        <f t="shared" si="7"/>
        <v>611.31547293603057</v>
      </c>
      <c r="AD32" s="805">
        <f>I32*'2022 comm sample'!S32</f>
        <v>608.85906040268458</v>
      </c>
    </row>
    <row r="33" spans="1:32" x14ac:dyDescent="0.3">
      <c r="A33"/>
      <c r="B33" s="34">
        <v>37</v>
      </c>
      <c r="C33" s="836"/>
      <c r="D33" s="837"/>
      <c r="E33" s="837"/>
      <c r="F33" s="838"/>
      <c r="G33" s="807"/>
      <c r="H33" s="807"/>
      <c r="I33" s="838">
        <f t="shared" si="6"/>
        <v>0</v>
      </c>
      <c r="J33" s="515">
        <f t="shared" si="8"/>
        <v>0</v>
      </c>
      <c r="K33" s="532" t="str">
        <f>'2022 comm sample'!M33</f>
        <v>na</v>
      </c>
      <c r="L33" s="532" t="str">
        <f>'2022 comm sample'!N33</f>
        <v>na</v>
      </c>
      <c r="M33" s="532" t="str">
        <f>'2022 comm sample'!O33</f>
        <v>na</v>
      </c>
      <c r="N33" s="532" t="str">
        <f>'2022 comm sample'!P33</f>
        <v>na</v>
      </c>
      <c r="O33" s="533" t="str">
        <f>'2022 comm sample'!Q33</f>
        <v>na</v>
      </c>
      <c r="P33" s="558" t="str">
        <f>IF(C33&gt;0,'2022 comm sample'!C33/'2022 Comm catch'!C33,"na")</f>
        <v>na</v>
      </c>
      <c r="Q33" s="559" t="str">
        <f>IF(D33&gt;0,'2022 comm sample'!D33/'2022 Comm catch'!D33,"na")</f>
        <v>na</v>
      </c>
      <c r="R33" s="559" t="str">
        <f>IF(E33&gt;0,'2022 comm sample'!E33/'2022 Comm catch'!E33,"na")</f>
        <v>na</v>
      </c>
      <c r="S33" s="559" t="str">
        <f>IF(G33&gt;0,'2022 comm sample'!F33/'2022 Comm catch'!G33,"na")</f>
        <v>na</v>
      </c>
      <c r="T33" s="559" t="str">
        <f>IF(H33&gt;0,'2022 comm sample'!G33/'2022 Comm catch'!H33,"na")</f>
        <v>na</v>
      </c>
      <c r="U33" s="560">
        <f t="shared" si="2"/>
        <v>0</v>
      </c>
      <c r="V33" s="514">
        <f t="shared" si="2"/>
        <v>0</v>
      </c>
      <c r="W33" s="514">
        <f t="shared" si="2"/>
        <v>0</v>
      </c>
      <c r="X33" s="705">
        <f t="shared" si="3"/>
        <v>0</v>
      </c>
      <c r="Y33" s="514">
        <f t="shared" si="4"/>
        <v>0</v>
      </c>
      <c r="Z33" s="514">
        <f t="shared" si="4"/>
        <v>0</v>
      </c>
      <c r="AA33" s="705">
        <f t="shared" si="5"/>
        <v>0</v>
      </c>
      <c r="AB33" s="580">
        <f t="shared" si="7"/>
        <v>0</v>
      </c>
    </row>
    <row r="34" spans="1:32" x14ac:dyDescent="0.3">
      <c r="A34" s="34"/>
      <c r="B34" s="34">
        <v>38</v>
      </c>
      <c r="C34" s="836"/>
      <c r="D34" s="837"/>
      <c r="E34" s="837"/>
      <c r="F34" s="838"/>
      <c r="G34" s="807"/>
      <c r="H34" s="807"/>
      <c r="I34" s="838">
        <f t="shared" si="6"/>
        <v>0</v>
      </c>
      <c r="J34" s="515">
        <f t="shared" si="8"/>
        <v>0</v>
      </c>
      <c r="K34" s="532" t="str">
        <f>'2022 comm sample'!M34</f>
        <v>na</v>
      </c>
      <c r="L34" s="532" t="str">
        <f>'2022 comm sample'!N34</f>
        <v>na</v>
      </c>
      <c r="M34" s="532" t="str">
        <f>'2022 comm sample'!O34</f>
        <v>na</v>
      </c>
      <c r="N34" s="532" t="str">
        <f>'2022 comm sample'!P34</f>
        <v>na</v>
      </c>
      <c r="O34" s="533" t="str">
        <f>'2022 comm sample'!Q34</f>
        <v>na</v>
      </c>
      <c r="P34" s="558" t="str">
        <f>IF(C34&gt;0,'2022 comm sample'!C34/'2022 Comm catch'!C34,"na")</f>
        <v>na</v>
      </c>
      <c r="Q34" s="559" t="str">
        <f>IF(D34&gt;0,'2022 comm sample'!D34/'2022 Comm catch'!D34,"na")</f>
        <v>na</v>
      </c>
      <c r="R34" s="559" t="str">
        <f>IF(E34&gt;0,'2022 comm sample'!E34/'2022 Comm catch'!E34,"na")</f>
        <v>na</v>
      </c>
      <c r="S34" s="559" t="str">
        <f>IF(G34&gt;0,'2022 comm sample'!F34/'2022 Comm catch'!G34,"na")</f>
        <v>na</v>
      </c>
      <c r="T34" s="559" t="str">
        <f>IF(H34&gt;0,'2022 comm sample'!G34/'2022 Comm catch'!H34,"na")</f>
        <v>na</v>
      </c>
      <c r="U34" s="560">
        <f t="shared" si="2"/>
        <v>0</v>
      </c>
      <c r="V34" s="514">
        <f t="shared" si="2"/>
        <v>0</v>
      </c>
      <c r="W34" s="514">
        <f t="shared" si="2"/>
        <v>0</v>
      </c>
      <c r="X34" s="705">
        <f t="shared" si="3"/>
        <v>0</v>
      </c>
      <c r="Y34" s="514">
        <f t="shared" si="4"/>
        <v>0</v>
      </c>
      <c r="Z34" s="514">
        <f t="shared" si="4"/>
        <v>0</v>
      </c>
      <c r="AA34" s="705">
        <f t="shared" si="5"/>
        <v>0</v>
      </c>
      <c r="AB34" s="580">
        <f t="shared" si="7"/>
        <v>0</v>
      </c>
      <c r="AD34" s="585"/>
    </row>
    <row r="35" spans="1:32" x14ac:dyDescent="0.3">
      <c r="A35" s="34" t="s">
        <v>322</v>
      </c>
      <c r="B35" s="34">
        <v>39</v>
      </c>
      <c r="C35" s="836"/>
      <c r="D35" s="837"/>
      <c r="E35" s="837"/>
      <c r="F35" s="838">
        <f t="shared" ref="F35:F40" si="9">SUM(C35:E35)</f>
        <v>0</v>
      </c>
      <c r="G35" s="887">
        <v>589</v>
      </c>
      <c r="H35" s="887">
        <v>453</v>
      </c>
      <c r="I35" s="839">
        <f t="shared" si="6"/>
        <v>1042</v>
      </c>
      <c r="J35" s="737">
        <f t="shared" si="8"/>
        <v>1042</v>
      </c>
      <c r="K35" s="532" t="str">
        <f>'2022 comm sample'!M35</f>
        <v>na</v>
      </c>
      <c r="L35" s="532" t="str">
        <f>'2022 comm sample'!N35</f>
        <v>na</v>
      </c>
      <c r="M35" s="532" t="str">
        <f>'2022 comm sample'!O35</f>
        <v>na</v>
      </c>
      <c r="N35" s="532">
        <f>'2022 comm sample'!P35</f>
        <v>0.42</v>
      </c>
      <c r="O35" s="533">
        <f>'2022 comm sample'!Q35</f>
        <v>0.56382978723404253</v>
      </c>
      <c r="P35" s="558" t="str">
        <f>IF(C35&gt;0,'2022 comm sample'!C35/'2022 Comm catch'!C35,"na")</f>
        <v>na</v>
      </c>
      <c r="Q35" s="559" t="str">
        <f>IF(D35&gt;0,'2022 comm sample'!D35/'2022 Comm catch'!D35,"na")</f>
        <v>na</v>
      </c>
      <c r="R35" s="559" t="str">
        <f>IF(E35&gt;0,'2022 comm sample'!E35/'2022 Comm catch'!E35,"na")</f>
        <v>na</v>
      </c>
      <c r="S35" s="559">
        <f>IF(G35&gt;0,'2022 comm sample'!F35/'2022 Comm catch'!G35,"na")</f>
        <v>0.59422750424448212</v>
      </c>
      <c r="T35" s="559">
        <f>IF(H35&gt;0,'2022 comm sample'!G35/'2022 Comm catch'!H35,"na")</f>
        <v>0.20750551876379691</v>
      </c>
      <c r="U35" s="583">
        <f>IF(K35&lt;&gt;"na",C35*L35,0)</f>
        <v>0</v>
      </c>
      <c r="V35" s="584">
        <f t="shared" si="2"/>
        <v>0</v>
      </c>
      <c r="W35" s="514">
        <f t="shared" si="2"/>
        <v>0</v>
      </c>
      <c r="X35" s="706">
        <f t="shared" si="3"/>
        <v>0</v>
      </c>
      <c r="Y35" s="584">
        <f t="shared" si="4"/>
        <v>247.38</v>
      </c>
      <c r="Z35" s="584">
        <f t="shared" si="4"/>
        <v>255.41489361702128</v>
      </c>
      <c r="AA35" s="705">
        <f t="shared" si="5"/>
        <v>502.79489361702127</v>
      </c>
      <c r="AB35" s="580">
        <f t="shared" si="7"/>
        <v>502.79489361702127</v>
      </c>
      <c r="AC35" s="585"/>
      <c r="AD35" s="585"/>
      <c r="AE35" s="585"/>
      <c r="AF35" s="585"/>
    </row>
    <row r="36" spans="1:32" x14ac:dyDescent="0.3">
      <c r="A36" s="34" t="s">
        <v>326</v>
      </c>
      <c r="B36" s="34">
        <v>40</v>
      </c>
      <c r="C36" s="873">
        <v>76</v>
      </c>
      <c r="D36" s="865">
        <v>452</v>
      </c>
      <c r="E36" s="865">
        <v>254</v>
      </c>
      <c r="F36" s="838">
        <f>SUM(C36:E36)</f>
        <v>782</v>
      </c>
      <c r="G36" s="887">
        <v>85</v>
      </c>
      <c r="H36" s="887">
        <v>62</v>
      </c>
      <c r="I36" s="839">
        <f>SUM(G36:H36)</f>
        <v>147</v>
      </c>
      <c r="J36" s="515">
        <f>F36+I36</f>
        <v>929</v>
      </c>
      <c r="K36" s="532" t="str">
        <f>'2022 comm sample'!M36</f>
        <v>na</v>
      </c>
      <c r="L36" s="532">
        <f>'2022 comm sample'!N36</f>
        <v>0</v>
      </c>
      <c r="M36" s="532" t="str">
        <f>'2022 comm sample'!O36</f>
        <v>na</v>
      </c>
      <c r="N36" s="532">
        <f>'2022 comm sample'!P36</f>
        <v>0.23809523809523808</v>
      </c>
      <c r="O36" s="533">
        <f>'2022 comm sample'!Q36</f>
        <v>0.37931034482758619</v>
      </c>
      <c r="P36" s="558">
        <f>IF(C36&gt;0,'2022 comm sample'!C36/'2022 Comm catch'!C36,"na")</f>
        <v>0</v>
      </c>
      <c r="Q36" s="559">
        <f>IF(D36&gt;0,'2022 comm sample'!D36/'2022 Comm catch'!D36,"na")</f>
        <v>0.10619469026548672</v>
      </c>
      <c r="R36" s="559">
        <f>IF(E36&gt;0,'2022 comm sample'!E36/'2022 Comm catch'!E36,"na")</f>
        <v>0</v>
      </c>
      <c r="S36" s="559">
        <f>IF(G36&gt;0,'2022 comm sample'!F36/'2022 Comm catch'!G36,"na")</f>
        <v>0.49411764705882355</v>
      </c>
      <c r="T36" s="559">
        <f>IF(H36&gt;0,'2022 comm sample'!G36/'2022 Comm catch'!H36,"na")</f>
        <v>0.46774193548387094</v>
      </c>
      <c r="U36" s="583">
        <f>IF(K36&lt;&gt;"na",C36*L36,0)</f>
        <v>0</v>
      </c>
      <c r="V36" s="514">
        <f>IF(L36&lt;&gt;"na",D36*L36,0)</f>
        <v>0</v>
      </c>
      <c r="W36" s="514">
        <f t="shared" si="2"/>
        <v>0</v>
      </c>
      <c r="X36" s="705">
        <f t="shared" si="3"/>
        <v>0</v>
      </c>
      <c r="Y36" s="584">
        <f t="shared" si="4"/>
        <v>20.238095238095237</v>
      </c>
      <c r="Z36" s="584">
        <f t="shared" si="4"/>
        <v>23.517241379310345</v>
      </c>
      <c r="AA36" s="705">
        <f t="shared" si="5"/>
        <v>43.755336617405582</v>
      </c>
      <c r="AB36" s="580">
        <f>X36+AA36</f>
        <v>43.755336617405582</v>
      </c>
      <c r="AC36" s="585"/>
      <c r="AD36" s="585"/>
      <c r="AE36" s="585"/>
      <c r="AF36" s="585"/>
    </row>
    <row r="37" spans="1:32" x14ac:dyDescent="0.3">
      <c r="A37" s="34" t="s">
        <v>326</v>
      </c>
      <c r="B37" s="34">
        <v>41</v>
      </c>
      <c r="C37" s="873">
        <v>0</v>
      </c>
      <c r="D37" s="865">
        <v>1306</v>
      </c>
      <c r="E37" s="865">
        <v>236</v>
      </c>
      <c r="F37" s="838">
        <f t="shared" si="9"/>
        <v>1542</v>
      </c>
      <c r="G37" s="888">
        <v>16</v>
      </c>
      <c r="H37" s="888">
        <v>18</v>
      </c>
      <c r="I37" s="839">
        <f t="shared" si="6"/>
        <v>34</v>
      </c>
      <c r="J37" s="515">
        <f t="shared" si="8"/>
        <v>1576</v>
      </c>
      <c r="K37" s="532" t="str">
        <f>'2022 comm sample'!M37</f>
        <v>na</v>
      </c>
      <c r="L37" s="532">
        <f>'2022 comm sample'!N37</f>
        <v>0</v>
      </c>
      <c r="M37" s="532" t="str">
        <f>'2022 comm sample'!O37</f>
        <v>na</v>
      </c>
      <c r="N37" s="532" t="str">
        <f>'2022 comm sample'!P37</f>
        <v>na</v>
      </c>
      <c r="O37" s="533">
        <f>'2022 comm sample'!Q37</f>
        <v>0.21052631578947367</v>
      </c>
      <c r="P37" s="558" t="str">
        <f>IF(C37&gt;0,'2022 comm sample'!C37/'2022 Comm catch'!C37,"na")</f>
        <v>na</v>
      </c>
      <c r="Q37" s="559">
        <f>IF(D37&gt;0,'2022 comm sample'!D37/'2022 Comm catch'!D37,"na")</f>
        <v>0.18147013782542112</v>
      </c>
      <c r="R37" s="559">
        <f>IF(E37&gt;0,'2022 comm sample'!E37/'2022 Comm catch'!E37,"na")</f>
        <v>0</v>
      </c>
      <c r="S37" s="559">
        <f>IF(G37&gt;0,'2022 comm sample'!F37/'2022 Comm catch'!G37,"na")</f>
        <v>0</v>
      </c>
      <c r="T37" s="559">
        <f>IF(H37&gt;0,'2022 comm sample'!G37/'2022 Comm catch'!H37,"na")</f>
        <v>1.0555555555555556</v>
      </c>
      <c r="U37" s="560">
        <f t="shared" si="2"/>
        <v>0</v>
      </c>
      <c r="V37" s="514">
        <f t="shared" si="2"/>
        <v>0</v>
      </c>
      <c r="W37" s="514">
        <f t="shared" si="2"/>
        <v>0</v>
      </c>
      <c r="X37" s="705">
        <f t="shared" si="3"/>
        <v>0</v>
      </c>
      <c r="Y37" s="514">
        <f t="shared" si="4"/>
        <v>0</v>
      </c>
      <c r="Z37" s="514">
        <f>IF(O37&lt;&gt;"na",H37*O37,0)</f>
        <v>3.7894736842105261</v>
      </c>
      <c r="AA37" s="896">
        <f t="shared" si="5"/>
        <v>3.7894736842105261</v>
      </c>
      <c r="AB37" s="580">
        <f t="shared" si="7"/>
        <v>3.7894736842105261</v>
      </c>
      <c r="AC37" s="585"/>
      <c r="AD37" s="805">
        <f>I37*'2022 comm sample'!S37</f>
        <v>7.1578947368421044</v>
      </c>
      <c r="AE37" s="657"/>
    </row>
    <row r="38" spans="1:32" x14ac:dyDescent="0.3">
      <c r="A38" s="34" t="s">
        <v>326</v>
      </c>
      <c r="B38" s="34">
        <v>42</v>
      </c>
      <c r="C38" s="873">
        <v>0</v>
      </c>
      <c r="D38" s="865">
        <v>336</v>
      </c>
      <c r="E38" s="865">
        <v>353</v>
      </c>
      <c r="F38" s="838">
        <f t="shared" si="9"/>
        <v>689</v>
      </c>
      <c r="G38" s="865">
        <v>0</v>
      </c>
      <c r="H38" s="865">
        <v>0</v>
      </c>
      <c r="I38" s="839">
        <f t="shared" si="6"/>
        <v>0</v>
      </c>
      <c r="J38" s="515">
        <f t="shared" si="8"/>
        <v>689</v>
      </c>
      <c r="K38" s="532">
        <f>'2022 comm sample'!M38</f>
        <v>0</v>
      </c>
      <c r="L38" s="532">
        <f>'2022 comm sample'!N38</f>
        <v>0</v>
      </c>
      <c r="M38" s="532" t="str">
        <f>'2022 comm sample'!O38</f>
        <v>na</v>
      </c>
      <c r="N38" s="532" t="str">
        <f>'2022 comm sample'!P38</f>
        <v>na</v>
      </c>
      <c r="O38" s="533" t="str">
        <f>'2022 comm sample'!Q38</f>
        <v>na</v>
      </c>
      <c r="P38" s="558" t="str">
        <f>IF(C38&gt;0,'2022 comm sample'!C38/'2022 Comm catch'!C38,"na")</f>
        <v>na</v>
      </c>
      <c r="Q38" s="559">
        <f>IF(D38&gt;0,'2022 comm sample'!D38/'2022 Comm catch'!D38,"na")</f>
        <v>0.22916666666666666</v>
      </c>
      <c r="R38" s="559">
        <f>IF(E38&gt;0,'2022 comm sample'!E38/'2022 Comm catch'!E38,"na")</f>
        <v>0</v>
      </c>
      <c r="S38" s="559" t="str">
        <f>IF(G38&gt;0,'2022 comm sample'!F38/'2022 Comm catch'!G38,"na")</f>
        <v>na</v>
      </c>
      <c r="T38" s="559" t="str">
        <f>IF(H38&gt;0,'2022 comm sample'!G38/'2022 Comm catch'!H38,"na")</f>
        <v>na</v>
      </c>
      <c r="U38" s="560">
        <f>IF(K38&lt;&gt;"na",C38*K38,0)</f>
        <v>0</v>
      </c>
      <c r="V38" s="514">
        <f t="shared" si="2"/>
        <v>0</v>
      </c>
      <c r="W38" s="514">
        <f t="shared" si="2"/>
        <v>0</v>
      </c>
      <c r="X38" s="705">
        <f t="shared" si="3"/>
        <v>0</v>
      </c>
      <c r="Y38" s="514">
        <f t="shared" si="4"/>
        <v>0</v>
      </c>
      <c r="Z38" s="514">
        <f t="shared" si="4"/>
        <v>0</v>
      </c>
      <c r="AA38" s="705">
        <f t="shared" si="5"/>
        <v>0</v>
      </c>
      <c r="AB38" s="580">
        <f t="shared" si="7"/>
        <v>0</v>
      </c>
      <c r="AC38" s="585"/>
      <c r="AD38" s="585"/>
    </row>
    <row r="39" spans="1:32" x14ac:dyDescent="0.3">
      <c r="A39" s="34" t="s">
        <v>332</v>
      </c>
      <c r="B39" s="34">
        <v>43</v>
      </c>
      <c r="C39" s="873">
        <v>0</v>
      </c>
      <c r="D39" s="879">
        <v>171</v>
      </c>
      <c r="E39" s="879">
        <v>87</v>
      </c>
      <c r="F39" s="838">
        <f t="shared" si="9"/>
        <v>258</v>
      </c>
      <c r="G39" s="807"/>
      <c r="H39" s="807"/>
      <c r="I39" s="839">
        <f t="shared" si="6"/>
        <v>0</v>
      </c>
      <c r="J39" s="515">
        <f t="shared" si="8"/>
        <v>258</v>
      </c>
      <c r="K39" s="532" t="str">
        <f>'2022 comm sample'!M39</f>
        <v>na</v>
      </c>
      <c r="L39" s="532">
        <f>'2022 comm sample'!N39</f>
        <v>0</v>
      </c>
      <c r="M39" s="532" t="str">
        <f>'2022 comm sample'!O39</f>
        <v>na</v>
      </c>
      <c r="N39" s="532" t="str">
        <f>'2022 comm sample'!P39</f>
        <v>na</v>
      </c>
      <c r="O39" s="532" t="str">
        <f>'2022 comm sample'!Q39</f>
        <v>na</v>
      </c>
      <c r="P39" s="558" t="str">
        <f>IF(C39&gt;0,'2022 comm sample'!C39/'2022 Comm catch'!C39,"na")</f>
        <v>na</v>
      </c>
      <c r="Q39" s="559">
        <f>IF(D39&gt;0,'2022 comm sample'!D39/'2022 Comm catch'!D39,"na")</f>
        <v>7.0175438596491224E-2</v>
      </c>
      <c r="R39" s="559">
        <f>IF(E39&gt;0,'2022 comm sample'!E39/'2022 Comm catch'!E39,"na")</f>
        <v>0</v>
      </c>
      <c r="S39" s="559" t="str">
        <f>IF(G39&gt;0,'2022 comm sample'!F39/'2022 Comm catch'!G39,"na")</f>
        <v>na</v>
      </c>
      <c r="T39" s="559" t="str">
        <f>IF(H39&gt;0,'2022 comm sample'!G39/'2022 Comm catch'!H39,"na")</f>
        <v>na</v>
      </c>
      <c r="U39" s="560">
        <f t="shared" si="2"/>
        <v>0</v>
      </c>
      <c r="V39" s="514">
        <f>IF(L39&lt;&gt;"na",D39*L39,0)</f>
        <v>0</v>
      </c>
      <c r="W39" s="514">
        <f t="shared" si="2"/>
        <v>0</v>
      </c>
      <c r="X39" s="705">
        <f t="shared" si="3"/>
        <v>0</v>
      </c>
      <c r="Y39" s="514">
        <f t="shared" si="4"/>
        <v>0</v>
      </c>
      <c r="Z39" s="514">
        <f t="shared" si="4"/>
        <v>0</v>
      </c>
      <c r="AA39" s="705">
        <f t="shared" si="5"/>
        <v>0</v>
      </c>
      <c r="AB39" s="580">
        <f t="shared" si="7"/>
        <v>0</v>
      </c>
      <c r="AC39" s="793"/>
      <c r="AD39" s="585"/>
    </row>
    <row r="40" spans="1:32" x14ac:dyDescent="0.3">
      <c r="A40" s="34" t="s">
        <v>332</v>
      </c>
      <c r="B40" s="34">
        <v>44</v>
      </c>
      <c r="C40" s="873">
        <v>0</v>
      </c>
      <c r="D40" s="879">
        <v>526</v>
      </c>
      <c r="E40" s="879">
        <v>0</v>
      </c>
      <c r="F40" s="838">
        <f t="shared" si="9"/>
        <v>526</v>
      </c>
      <c r="G40" s="807"/>
      <c r="H40" s="807"/>
      <c r="I40" s="839">
        <f t="shared" si="6"/>
        <v>0</v>
      </c>
      <c r="J40" s="515">
        <f t="shared" si="8"/>
        <v>526</v>
      </c>
      <c r="K40" s="532" t="str">
        <f>'2022 comm sample'!M40</f>
        <v>na</v>
      </c>
      <c r="L40" s="532">
        <f>'2022 comm sample'!N40</f>
        <v>0</v>
      </c>
      <c r="M40" s="532" t="str">
        <f>'2022 comm sample'!O40</f>
        <v>na</v>
      </c>
      <c r="N40" s="532" t="str">
        <f>'2022 comm sample'!P40</f>
        <v>na</v>
      </c>
      <c r="O40" s="533" t="str">
        <f>'2022 comm sample'!Q40</f>
        <v>na</v>
      </c>
      <c r="P40" s="558" t="str">
        <f>IF(C40&gt;0,'2022 comm sample'!C40/'2022 Comm catch'!C40,"na")</f>
        <v>na</v>
      </c>
      <c r="Q40" s="559">
        <f>IF(D40&gt;0,'2022 comm sample'!D40/'2022 Comm catch'!D40,"na")</f>
        <v>8.5551330798479083E-2</v>
      </c>
      <c r="R40" s="559" t="str">
        <f>IF(E40&gt;0,'2022 comm sample'!E40/'2022 Comm catch'!E40,"na")</f>
        <v>na</v>
      </c>
      <c r="S40" s="559" t="str">
        <f>IF(G40&gt;0,'2022 comm sample'!F40/'2022 Comm catch'!G40,"na")</f>
        <v>na</v>
      </c>
      <c r="T40" s="559" t="str">
        <f>IF(H40&gt;0,'2022 comm sample'!G40/'2022 Comm catch'!H40,"na")</f>
        <v>na</v>
      </c>
      <c r="U40" s="560">
        <f t="shared" si="2"/>
        <v>0</v>
      </c>
      <c r="V40" s="514">
        <f t="shared" si="2"/>
        <v>0</v>
      </c>
      <c r="W40" s="514">
        <f t="shared" si="2"/>
        <v>0</v>
      </c>
      <c r="X40" s="705">
        <f t="shared" si="3"/>
        <v>0</v>
      </c>
      <c r="Y40" s="514">
        <f t="shared" si="4"/>
        <v>0</v>
      </c>
      <c r="Z40" s="514">
        <f t="shared" si="4"/>
        <v>0</v>
      </c>
      <c r="AA40" s="705">
        <f t="shared" si="5"/>
        <v>0</v>
      </c>
      <c r="AB40" s="580">
        <f t="shared" si="7"/>
        <v>0</v>
      </c>
      <c r="AC40" s="585"/>
      <c r="AD40" s="585"/>
    </row>
    <row r="41" spans="1:32" x14ac:dyDescent="0.3">
      <c r="B41" s="34">
        <v>45</v>
      </c>
      <c r="C41" s="843"/>
      <c r="D41" s="844"/>
      <c r="E41" s="844"/>
      <c r="F41" s="844"/>
      <c r="G41" s="845"/>
      <c r="H41" s="845"/>
      <c r="I41" s="844"/>
      <c r="J41" s="566">
        <f t="shared" si="8"/>
        <v>0</v>
      </c>
      <c r="K41" s="534" t="str">
        <f>'2022 comm sample'!M41</f>
        <v>na</v>
      </c>
      <c r="L41" s="534" t="str">
        <f>'2022 comm sample'!N41</f>
        <v>na</v>
      </c>
      <c r="M41" s="534" t="str">
        <f>'2022 comm sample'!O41</f>
        <v>na</v>
      </c>
      <c r="N41" s="534" t="str">
        <f>'2022 comm sample'!P41</f>
        <v>na</v>
      </c>
      <c r="O41" s="535" t="str">
        <f>'2022 comm sample'!Q41</f>
        <v>na</v>
      </c>
      <c r="P41" s="569" t="str">
        <f>IF(C41&gt;0,'2022 comm sample'!C41/'2022 Comm catch'!C41,"na")</f>
        <v>na</v>
      </c>
      <c r="Q41" s="570" t="str">
        <f>IF(D41&gt;0,'2022 comm sample'!D41/'2022 Comm catch'!D41,"na")</f>
        <v>na</v>
      </c>
      <c r="R41" s="570" t="str">
        <f>IF(E41&gt;0,'2022 comm sample'!E41/'2022 Comm catch'!E41,"na")</f>
        <v>na</v>
      </c>
      <c r="S41" s="570" t="str">
        <f>IF(G41&gt;0,'2022 comm sample'!F41/'2022 Comm catch'!G41,"na")</f>
        <v>na</v>
      </c>
      <c r="T41" s="559" t="str">
        <f>IF(H41&gt;0,'2022 comm sample'!G41/'2022 Comm catch'!H41,"na")</f>
        <v>na</v>
      </c>
      <c r="U41" s="588">
        <f t="shared" si="2"/>
        <v>0</v>
      </c>
      <c r="V41" s="589">
        <f t="shared" si="2"/>
        <v>0</v>
      </c>
      <c r="W41" s="589">
        <f t="shared" si="2"/>
        <v>0</v>
      </c>
      <c r="X41" s="707"/>
      <c r="Y41" s="589">
        <f t="shared" si="4"/>
        <v>0</v>
      </c>
      <c r="Z41" s="589">
        <f t="shared" si="4"/>
        <v>0</v>
      </c>
      <c r="AA41" s="707"/>
      <c r="AB41" s="590">
        <f t="shared" si="7"/>
        <v>0</v>
      </c>
    </row>
    <row r="42" spans="1:32" x14ac:dyDescent="0.3">
      <c r="B42" s="591" t="s">
        <v>184</v>
      </c>
      <c r="C42" s="846">
        <f>SUM(C28:C41)</f>
        <v>76</v>
      </c>
      <c r="D42" s="847">
        <f>SUM(D28:D41)</f>
        <v>2791</v>
      </c>
      <c r="E42" s="847">
        <f>SUM(E28:E41)</f>
        <v>930</v>
      </c>
      <c r="F42" s="847"/>
      <c r="G42" s="847">
        <f>SUM(G28:G41)</f>
        <v>1373</v>
      </c>
      <c r="H42" s="847">
        <f>SUM(H28:H41)</f>
        <v>779</v>
      </c>
      <c r="I42" s="847"/>
      <c r="J42" s="594">
        <f>SUM(C42:H42)</f>
        <v>5949</v>
      </c>
      <c r="K42" s="595" t="str">
        <f>'2022 comm sample'!M42</f>
        <v>na</v>
      </c>
      <c r="L42" s="595">
        <f>'2022 comm sample'!N42</f>
        <v>0</v>
      </c>
      <c r="M42" s="595" t="str">
        <f>'2022 comm sample'!O42</f>
        <v>na</v>
      </c>
      <c r="N42" s="595">
        <f>'2022 comm sample'!P42</f>
        <v>0.47645951035781542</v>
      </c>
      <c r="O42" s="595">
        <f>'2022 comm sample'!Q42</f>
        <v>0.54054054054054057</v>
      </c>
      <c r="P42" s="596">
        <f>IF(C42&gt;0,'2022 comm sample'!C42/'2022 Comm catch'!C42,"na")</f>
        <v>0</v>
      </c>
      <c r="Q42" s="596">
        <f>IF(D42&gt;0,'2022 comm sample'!D42/'2022 Comm catch'!D42,"na")</f>
        <v>0.15012540308133285</v>
      </c>
      <c r="R42" s="596">
        <f>IF(E42&gt;0,'2022 comm sample'!E42/'2022 Comm catch'!E42,"na")</f>
        <v>0</v>
      </c>
      <c r="S42" s="570">
        <f>IF(G42&gt;0,'2022 comm sample'!F42/'2022 Comm catch'!G42,"na")</f>
        <v>0.38674435542607427</v>
      </c>
      <c r="T42" s="872">
        <f>IF(H42&gt;0,'2022 comm sample'!G42/'2022 Comm catch'!H42,"na")</f>
        <v>0.23748395378690629</v>
      </c>
      <c r="U42" s="588">
        <f t="shared" ref="U42:AA42" si="10">SUM(U28:U41)</f>
        <v>0</v>
      </c>
      <c r="V42" s="589">
        <f t="shared" si="10"/>
        <v>0</v>
      </c>
      <c r="W42" s="589">
        <f t="shared" si="10"/>
        <v>0</v>
      </c>
      <c r="X42" s="589">
        <f t="shared" si="10"/>
        <v>0</v>
      </c>
      <c r="Y42" s="589">
        <f t="shared" si="10"/>
        <v>739.02675813828353</v>
      </c>
      <c r="Z42" s="589">
        <f t="shared" si="10"/>
        <v>465.18397427193997</v>
      </c>
      <c r="AA42" s="589">
        <f t="shared" si="10"/>
        <v>1204.2107324102237</v>
      </c>
      <c r="AB42" s="590">
        <f t="shared" si="7"/>
        <v>1204.2107324102237</v>
      </c>
    </row>
    <row r="43" spans="1:32" x14ac:dyDescent="0.3">
      <c r="B43" s="591"/>
      <c r="C43" s="597"/>
      <c r="D43" s="597"/>
      <c r="E43" s="597"/>
      <c r="F43" s="597"/>
      <c r="G43" s="597"/>
      <c r="J43" s="597"/>
      <c r="K43" s="597"/>
      <c r="L43" s="597"/>
      <c r="M43" s="597"/>
      <c r="N43" s="597"/>
      <c r="O43" s="598"/>
      <c r="P43" s="597"/>
      <c r="Q43" s="597"/>
      <c r="R43" s="597"/>
      <c r="S43" s="597"/>
      <c r="T43" s="599"/>
      <c r="U43" s="597"/>
      <c r="V43" s="597"/>
      <c r="W43" s="597"/>
      <c r="X43" s="597"/>
      <c r="Y43" s="597"/>
      <c r="Z43" s="33"/>
      <c r="AA43" s="33"/>
      <c r="AB43" s="597"/>
      <c r="AC43" s="647"/>
    </row>
  </sheetData>
  <mergeCells count="7">
    <mergeCell ref="C3:F3"/>
    <mergeCell ref="G3:J3"/>
    <mergeCell ref="K3:N3"/>
    <mergeCell ref="O3:R3"/>
    <mergeCell ref="C26:J26"/>
    <mergeCell ref="K26:O26"/>
    <mergeCell ref="P26:T26"/>
  </mergeCells>
  <conditionalFormatting sqref="K5:N5 K7:N21">
    <cfRule type="cellIs" dxfId="199" priority="17" operator="equal">
      <formula>"na"</formula>
    </cfRule>
    <cfRule type="cellIs" dxfId="198" priority="18" operator="greaterThan">
      <formula>1</formula>
    </cfRule>
    <cfRule type="cellIs" dxfId="197" priority="19" operator="lessThan">
      <formula>0.2</formula>
    </cfRule>
    <cfRule type="cellIs" dxfId="196" priority="24" stopIfTrue="1" operator="equal">
      <formula>0</formula>
    </cfRule>
  </conditionalFormatting>
  <conditionalFormatting sqref="P28:R41 T28:T41">
    <cfRule type="cellIs" dxfId="195" priority="20" stopIfTrue="1" operator="equal">
      <formula>"na"</formula>
    </cfRule>
    <cfRule type="cellIs" dxfId="194" priority="21" operator="greaterThan">
      <formula>1</formula>
    </cfRule>
    <cfRule type="cellIs" dxfId="193" priority="22" operator="lessThan">
      <formula>0.2</formula>
    </cfRule>
    <cfRule type="cellIs" dxfId="192" priority="23" stopIfTrue="1" operator="equal">
      <formula>0</formula>
    </cfRule>
  </conditionalFormatting>
  <conditionalFormatting sqref="K6:N6">
    <cfRule type="cellIs" dxfId="191" priority="13" operator="equal">
      <formula>"na"</formula>
    </cfRule>
    <cfRule type="cellIs" dxfId="190" priority="14" operator="greaterThan">
      <formula>1</formula>
    </cfRule>
    <cfRule type="cellIs" dxfId="189" priority="15" operator="lessThan">
      <formula>0.2</formula>
    </cfRule>
    <cfRule type="cellIs" dxfId="188" priority="16" stopIfTrue="1" operator="equal">
      <formula>0</formula>
    </cfRule>
  </conditionalFormatting>
  <conditionalFormatting sqref="T42">
    <cfRule type="cellIs" dxfId="187" priority="1" stopIfTrue="1" operator="equal">
      <formula>"na"</formula>
    </cfRule>
    <cfRule type="cellIs" dxfId="186" priority="2" operator="greaterThan">
      <formula>1</formula>
    </cfRule>
    <cfRule type="cellIs" dxfId="185" priority="3" operator="lessThan">
      <formula>0.2</formula>
    </cfRule>
    <cfRule type="cellIs" dxfId="184" priority="4" stopIfTrue="1" operator="equal">
      <formula>0</formula>
    </cfRule>
  </conditionalFormatting>
  <conditionalFormatting sqref="S28:S41">
    <cfRule type="cellIs" dxfId="183" priority="9" stopIfTrue="1" operator="equal">
      <formula>"na"</formula>
    </cfRule>
    <cfRule type="cellIs" dxfId="182" priority="10" operator="greaterThan">
      <formula>1</formula>
    </cfRule>
    <cfRule type="cellIs" dxfId="181" priority="11" operator="lessThan">
      <formula>0.2</formula>
    </cfRule>
    <cfRule type="cellIs" dxfId="180" priority="12" stopIfTrue="1" operator="equal">
      <formula>0</formula>
    </cfRule>
  </conditionalFormatting>
  <conditionalFormatting sqref="S42">
    <cfRule type="cellIs" dxfId="179" priority="5" stopIfTrue="1" operator="equal">
      <formula>"na"</formula>
    </cfRule>
    <cfRule type="cellIs" dxfId="178" priority="6" operator="greaterThan">
      <formula>1</formula>
    </cfRule>
    <cfRule type="cellIs" dxfId="177" priority="7" operator="lessThan">
      <formula>0.2</formula>
    </cfRule>
    <cfRule type="cellIs" dxfId="176" priority="8" stopIfTrue="1" operator="equal">
      <formula>0</formula>
    </cfRule>
  </conditionalFormatting>
  <pageMargins left="0.75" right="0.75" top="1" bottom="1" header="0.5" footer="0.5"/>
  <pageSetup scale="38" orientation="landscape" r:id="rId1"/>
  <headerFooter alignWithMargins="0"/>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L86"/>
  <sheetViews>
    <sheetView topLeftCell="A13" workbookViewId="0">
      <selection activeCell="I30" sqref="I30"/>
    </sheetView>
  </sheetViews>
  <sheetFormatPr defaultRowHeight="12.5" x14ac:dyDescent="0.25"/>
  <cols>
    <col min="1" max="1" width="11.7265625" customWidth="1"/>
    <col min="3" max="4" width="11.7265625" customWidth="1"/>
    <col min="5" max="5" width="2.26953125" customWidth="1"/>
    <col min="7" max="8" width="11.7265625" customWidth="1"/>
    <col min="9" max="9" width="2.26953125" customWidth="1"/>
    <col min="11" max="12" width="11.7265625" customWidth="1"/>
    <col min="13" max="13" width="2.26953125" customWidth="1"/>
    <col min="15" max="16" width="11.7265625" customWidth="1"/>
    <col min="17" max="17" width="2.26953125" customWidth="1"/>
    <col min="19" max="20" width="11.7265625" customWidth="1"/>
    <col min="21" max="21" width="2.26953125" customWidth="1"/>
    <col min="23" max="24" width="11.7265625" customWidth="1"/>
    <col min="25" max="25" width="2.26953125" customWidth="1"/>
    <col min="27" max="28" width="11.7265625" customWidth="1"/>
    <col min="29" max="29" width="2.26953125" customWidth="1"/>
    <col min="31" max="32" width="11.7265625" customWidth="1"/>
    <col min="33" max="33" width="2.26953125" customWidth="1"/>
    <col min="36" max="36" width="2.81640625" customWidth="1"/>
    <col min="37" max="37" width="11.26953125" customWidth="1"/>
    <col min="40" max="40" width="4.7265625" customWidth="1"/>
    <col min="42" max="42" width="11.81640625" customWidth="1"/>
    <col min="44" max="44" width="10.7265625" customWidth="1"/>
    <col min="61" max="61" width="12.453125" customWidth="1"/>
  </cols>
  <sheetData>
    <row r="1" spans="1:24" ht="15.5" x14ac:dyDescent="0.35">
      <c r="A1" s="1" t="s">
        <v>89</v>
      </c>
    </row>
    <row r="2" spans="1:24" ht="13" x14ac:dyDescent="0.3">
      <c r="A2" s="2"/>
    </row>
    <row r="3" spans="1:24" ht="13" x14ac:dyDescent="0.3">
      <c r="A3" s="2" t="s">
        <v>53</v>
      </c>
    </row>
    <row r="4" spans="1:24" s="2" customFormat="1" ht="13" x14ac:dyDescent="0.3">
      <c r="C4" s="2" t="s">
        <v>35</v>
      </c>
      <c r="G4" s="2" t="s">
        <v>34</v>
      </c>
      <c r="K4" s="2" t="s">
        <v>20</v>
      </c>
      <c r="O4" s="2" t="s">
        <v>21</v>
      </c>
      <c r="S4" s="2" t="s">
        <v>22</v>
      </c>
      <c r="W4" s="2" t="s">
        <v>23</v>
      </c>
    </row>
    <row r="5" spans="1:24" s="2" customFormat="1" ht="13" x14ac:dyDescent="0.3">
      <c r="B5" s="27" t="s">
        <v>44</v>
      </c>
      <c r="F5" s="27" t="s">
        <v>44</v>
      </c>
      <c r="J5" s="27" t="s">
        <v>44</v>
      </c>
      <c r="N5" s="27" t="s">
        <v>44</v>
      </c>
      <c r="R5" s="27" t="s">
        <v>44</v>
      </c>
      <c r="V5" s="27" t="s">
        <v>44</v>
      </c>
    </row>
    <row r="6" spans="1:24" x14ac:dyDescent="0.25">
      <c r="B6" t="s">
        <v>13</v>
      </c>
      <c r="C6" t="s">
        <v>51</v>
      </c>
      <c r="D6" t="s">
        <v>14</v>
      </c>
      <c r="F6" t="s">
        <v>13</v>
      </c>
      <c r="G6" t="s">
        <v>51</v>
      </c>
      <c r="H6" t="s">
        <v>14</v>
      </c>
      <c r="J6" t="s">
        <v>13</v>
      </c>
      <c r="K6" t="s">
        <v>51</v>
      </c>
      <c r="L6" t="s">
        <v>14</v>
      </c>
      <c r="N6" t="s">
        <v>13</v>
      </c>
      <c r="O6" t="s">
        <v>51</v>
      </c>
      <c r="P6" t="s">
        <v>14</v>
      </c>
      <c r="R6" t="s">
        <v>13</v>
      </c>
      <c r="S6" t="s">
        <v>51</v>
      </c>
      <c r="T6" t="s">
        <v>14</v>
      </c>
      <c r="V6" t="s">
        <v>13</v>
      </c>
      <c r="W6" t="s">
        <v>51</v>
      </c>
      <c r="X6" t="s">
        <v>14</v>
      </c>
    </row>
    <row r="7" spans="1:24" x14ac:dyDescent="0.25">
      <c r="A7" t="s">
        <v>31</v>
      </c>
      <c r="B7">
        <v>1</v>
      </c>
      <c r="C7">
        <v>0</v>
      </c>
      <c r="D7" s="3">
        <f>C7/B7</f>
        <v>0</v>
      </c>
      <c r="F7">
        <v>0</v>
      </c>
      <c r="J7">
        <v>16</v>
      </c>
      <c r="K7">
        <v>0</v>
      </c>
      <c r="L7" s="3">
        <f>K7/J7</f>
        <v>0</v>
      </c>
      <c r="N7">
        <v>48</v>
      </c>
      <c r="O7">
        <v>1</v>
      </c>
      <c r="P7" s="3">
        <f>O7/N7</f>
        <v>2.0833333333333332E-2</v>
      </c>
      <c r="R7">
        <v>221</v>
      </c>
      <c r="S7">
        <v>1</v>
      </c>
      <c r="T7" s="3">
        <f>S7/R7</f>
        <v>4.5248868778280547E-3</v>
      </c>
      <c r="V7">
        <v>340</v>
      </c>
      <c r="W7">
        <v>13</v>
      </c>
      <c r="X7" s="3">
        <f>W7/V7</f>
        <v>3.8235294117647062E-2</v>
      </c>
    </row>
    <row r="8" spans="1:24" x14ac:dyDescent="0.25">
      <c r="A8" t="s">
        <v>32</v>
      </c>
      <c r="B8">
        <v>0</v>
      </c>
      <c r="F8">
        <v>0</v>
      </c>
      <c r="J8">
        <v>0</v>
      </c>
      <c r="N8">
        <v>6</v>
      </c>
      <c r="O8">
        <v>0</v>
      </c>
      <c r="P8" s="3">
        <f>O8/N8</f>
        <v>0</v>
      </c>
      <c r="R8">
        <v>0</v>
      </c>
      <c r="T8" s="4"/>
      <c r="V8">
        <v>35</v>
      </c>
      <c r="W8">
        <v>3</v>
      </c>
      <c r="X8" s="3">
        <f>W8/V8</f>
        <v>8.5714285714285715E-2</v>
      </c>
    </row>
    <row r="9" spans="1:24" s="42" customFormat="1" x14ac:dyDescent="0.25">
      <c r="A9" s="42" t="s">
        <v>45</v>
      </c>
      <c r="B9" s="42">
        <v>0</v>
      </c>
      <c r="F9" s="42">
        <v>0</v>
      </c>
      <c r="J9" s="42">
        <v>0</v>
      </c>
      <c r="N9" s="42">
        <v>0</v>
      </c>
      <c r="R9" s="42">
        <v>187</v>
      </c>
      <c r="S9" s="42">
        <v>5</v>
      </c>
      <c r="T9" s="43">
        <f>S9/R9</f>
        <v>2.6737967914438502E-2</v>
      </c>
      <c r="V9" s="42">
        <v>57</v>
      </c>
      <c r="W9" s="42">
        <v>2</v>
      </c>
      <c r="X9" s="43">
        <f>W9/V9</f>
        <v>3.5087719298245612E-2</v>
      </c>
    </row>
    <row r="10" spans="1:24" s="2" customFormat="1" ht="13" x14ac:dyDescent="0.3">
      <c r="A10" s="2" t="s">
        <v>61</v>
      </c>
      <c r="B10" s="2">
        <f>SUM(B7:B9)</f>
        <v>1</v>
      </c>
      <c r="D10" s="55"/>
      <c r="F10" s="2">
        <f>SUM(F7:F9)</f>
        <v>0</v>
      </c>
      <c r="H10" s="55"/>
      <c r="J10" s="2">
        <f>SUM(J7:J9)</f>
        <v>16</v>
      </c>
      <c r="K10" s="2">
        <f>SUM(K7:K9)</f>
        <v>0</v>
      </c>
      <c r="L10" s="55">
        <f>K10/J10</f>
        <v>0</v>
      </c>
      <c r="N10" s="2">
        <f>SUM(N7:N9)</f>
        <v>54</v>
      </c>
      <c r="O10" s="2">
        <f>SUM(O7:O9)</f>
        <v>1</v>
      </c>
      <c r="P10" s="55">
        <f>O10/N10</f>
        <v>1.8518518518518517E-2</v>
      </c>
      <c r="R10" s="2">
        <f>SUM(R7:R9)</f>
        <v>408</v>
      </c>
      <c r="S10" s="2">
        <f>SUM(S7:S9)</f>
        <v>6</v>
      </c>
      <c r="T10" s="55">
        <f>S10/R10</f>
        <v>1.4705882352941176E-2</v>
      </c>
      <c r="V10" s="2">
        <f>SUM(V7:V9)</f>
        <v>432</v>
      </c>
      <c r="W10" s="2">
        <f>SUM(W7:W9)</f>
        <v>18</v>
      </c>
      <c r="X10" s="55">
        <f>W10/V10</f>
        <v>4.1666666666666664E-2</v>
      </c>
    </row>
    <row r="11" spans="1:24" ht="13" x14ac:dyDescent="0.3">
      <c r="A11" s="2"/>
    </row>
    <row r="12" spans="1:24" ht="13" x14ac:dyDescent="0.3">
      <c r="A12" s="2"/>
    </row>
    <row r="13" spans="1:24" ht="13" x14ac:dyDescent="0.3">
      <c r="A13" s="2"/>
    </row>
    <row r="14" spans="1:24" ht="13" x14ac:dyDescent="0.3">
      <c r="A14" s="2"/>
    </row>
    <row r="15" spans="1:24" ht="13" x14ac:dyDescent="0.3">
      <c r="A15" s="2"/>
    </row>
    <row r="16" spans="1:24" ht="13" x14ac:dyDescent="0.3">
      <c r="A16" s="2"/>
    </row>
    <row r="17" spans="1:64" ht="13" x14ac:dyDescent="0.3">
      <c r="A17" s="2"/>
    </row>
    <row r="19" spans="1:64" s="2" customFormat="1" ht="13" x14ac:dyDescent="0.3">
      <c r="C19" s="2" t="s">
        <v>12</v>
      </c>
      <c r="G19" s="2" t="s">
        <v>5</v>
      </c>
      <c r="K19" s="2" t="s">
        <v>6</v>
      </c>
      <c r="O19" s="2" t="s">
        <v>7</v>
      </c>
      <c r="S19" s="2" t="s">
        <v>8</v>
      </c>
      <c r="W19" s="2" t="s">
        <v>9</v>
      </c>
      <c r="AA19" s="2" t="s">
        <v>10</v>
      </c>
      <c r="AE19" s="2" t="s">
        <v>11</v>
      </c>
    </row>
    <row r="20" spans="1:64" s="2" customFormat="1" ht="13" x14ac:dyDescent="0.3">
      <c r="B20" s="27" t="s">
        <v>44</v>
      </c>
      <c r="F20" s="27" t="s">
        <v>44</v>
      </c>
      <c r="J20" s="27" t="s">
        <v>44</v>
      </c>
      <c r="N20" s="27" t="s">
        <v>44</v>
      </c>
      <c r="R20" s="27" t="s">
        <v>44</v>
      </c>
      <c r="V20" s="27" t="s">
        <v>44</v>
      </c>
      <c r="Z20" s="27" t="s">
        <v>44</v>
      </c>
      <c r="AD20" s="27" t="s">
        <v>44</v>
      </c>
    </row>
    <row r="21" spans="1:64" x14ac:dyDescent="0.25">
      <c r="B21" t="s">
        <v>13</v>
      </c>
      <c r="C21" t="s">
        <v>51</v>
      </c>
      <c r="D21" t="s">
        <v>14</v>
      </c>
      <c r="F21" t="s">
        <v>13</v>
      </c>
      <c r="G21" t="s">
        <v>51</v>
      </c>
      <c r="H21" t="s">
        <v>14</v>
      </c>
      <c r="J21" t="s">
        <v>13</v>
      </c>
      <c r="K21" t="s">
        <v>51</v>
      </c>
      <c r="L21" t="s">
        <v>14</v>
      </c>
      <c r="N21" t="s">
        <v>13</v>
      </c>
      <c r="O21" t="s">
        <v>51</v>
      </c>
      <c r="P21" t="s">
        <v>14</v>
      </c>
      <c r="R21" t="s">
        <v>13</v>
      </c>
      <c r="S21" t="s">
        <v>51</v>
      </c>
      <c r="T21" t="s">
        <v>14</v>
      </c>
      <c r="V21" t="s">
        <v>13</v>
      </c>
      <c r="W21" t="s">
        <v>51</v>
      </c>
      <c r="X21" t="s">
        <v>14</v>
      </c>
      <c r="Z21" t="s">
        <v>13</v>
      </c>
      <c r="AA21" t="s">
        <v>51</v>
      </c>
      <c r="AB21" t="s">
        <v>14</v>
      </c>
      <c r="AD21" t="s">
        <v>13</v>
      </c>
      <c r="AE21" t="s">
        <v>51</v>
      </c>
      <c r="AF21" t="s">
        <v>14</v>
      </c>
    </row>
    <row r="22" spans="1:64" x14ac:dyDescent="0.25">
      <c r="A22" s="32" t="s">
        <v>65</v>
      </c>
    </row>
    <row r="23" spans="1:64" x14ac:dyDescent="0.25">
      <c r="A23" s="32" t="s">
        <v>66</v>
      </c>
    </row>
    <row r="24" spans="1:64" x14ac:dyDescent="0.25">
      <c r="A24" t="s">
        <v>31</v>
      </c>
      <c r="B24">
        <v>299</v>
      </c>
      <c r="C24">
        <v>11</v>
      </c>
      <c r="D24" s="3">
        <f t="shared" ref="D24:D33" si="0">C24/B24</f>
        <v>3.678929765886288E-2</v>
      </c>
      <c r="F24">
        <v>126</v>
      </c>
      <c r="G24">
        <v>0</v>
      </c>
      <c r="H24" s="3">
        <f>G24/F24</f>
        <v>0</v>
      </c>
      <c r="J24">
        <v>377</v>
      </c>
      <c r="K24">
        <v>6</v>
      </c>
      <c r="L24" s="3">
        <f>K24/J24</f>
        <v>1.5915119363395226E-2</v>
      </c>
      <c r="R24">
        <v>7</v>
      </c>
      <c r="S24">
        <v>1</v>
      </c>
      <c r="T24" s="3">
        <f>S24/R24</f>
        <v>0.14285714285714285</v>
      </c>
      <c r="V24">
        <v>0</v>
      </c>
      <c r="Z24">
        <v>0</v>
      </c>
      <c r="AD24">
        <v>0</v>
      </c>
    </row>
    <row r="25" spans="1:64" x14ac:dyDescent="0.25">
      <c r="A25" t="s">
        <v>32</v>
      </c>
      <c r="B25">
        <v>53</v>
      </c>
      <c r="C25">
        <v>1</v>
      </c>
      <c r="D25" s="3">
        <f t="shared" si="0"/>
        <v>1.8867924528301886E-2</v>
      </c>
      <c r="F25">
        <v>105</v>
      </c>
      <c r="G25">
        <v>8</v>
      </c>
      <c r="H25" s="3">
        <f>G25/F25</f>
        <v>7.6190476190476197E-2</v>
      </c>
      <c r="R25">
        <v>0</v>
      </c>
      <c r="V25">
        <v>0</v>
      </c>
      <c r="Z25">
        <v>0</v>
      </c>
      <c r="AD25">
        <v>0</v>
      </c>
    </row>
    <row r="26" spans="1:64" s="42" customFormat="1" x14ac:dyDescent="0.25">
      <c r="A26" s="42" t="s">
        <v>45</v>
      </c>
      <c r="B26" s="42">
        <v>144</v>
      </c>
      <c r="C26" s="42">
        <v>7</v>
      </c>
      <c r="D26" s="43">
        <f t="shared" si="0"/>
        <v>4.8611111111111112E-2</v>
      </c>
      <c r="R26" s="42">
        <v>0</v>
      </c>
      <c r="V26" s="42">
        <v>0</v>
      </c>
      <c r="Z26" s="42">
        <v>0</v>
      </c>
      <c r="AD26" s="42">
        <v>0</v>
      </c>
    </row>
    <row r="27" spans="1:64" s="46" customFormat="1" ht="13" x14ac:dyDescent="0.3">
      <c r="A27" s="46" t="s">
        <v>61</v>
      </c>
      <c r="B27" s="46">
        <f>SUM(B24:B26)</f>
        <v>496</v>
      </c>
      <c r="C27" s="46">
        <f>SUM(C24:C26)</f>
        <v>19</v>
      </c>
      <c r="D27" s="67">
        <f t="shared" si="0"/>
        <v>3.8306451612903226E-2</v>
      </c>
      <c r="F27" s="46">
        <f>SUM(F24:F26)</f>
        <v>231</v>
      </c>
      <c r="G27" s="46">
        <f>SUM(G24:G26)</f>
        <v>8</v>
      </c>
      <c r="H27" s="67">
        <f>G27/F27</f>
        <v>3.4632034632034632E-2</v>
      </c>
      <c r="J27" s="46">
        <f>SUM(J24:J26)</f>
        <v>377</v>
      </c>
      <c r="K27" s="46">
        <f>SUM(K24:K26)</f>
        <v>6</v>
      </c>
      <c r="L27" s="67">
        <f>K27/J27</f>
        <v>1.5915119363395226E-2</v>
      </c>
      <c r="N27" s="46">
        <f>SUM(N24:N26)</f>
        <v>0</v>
      </c>
      <c r="O27" s="46">
        <f>SUM(O24:O26)</f>
        <v>0</v>
      </c>
      <c r="P27" s="67" t="e">
        <f t="shared" ref="P27:P33" si="1">O27/N27</f>
        <v>#DIV/0!</v>
      </c>
      <c r="R27" s="46">
        <f>SUM(R24:R26)</f>
        <v>7</v>
      </c>
      <c r="S27" s="46">
        <f>SUM(S24:S26)</f>
        <v>1</v>
      </c>
      <c r="T27" s="67">
        <f>S27/R27</f>
        <v>0.14285714285714285</v>
      </c>
      <c r="V27" s="46">
        <f>SUM(V24:V26)</f>
        <v>0</v>
      </c>
      <c r="X27" s="67"/>
      <c r="Z27" s="46">
        <f>SUM(Z24:Z26)</f>
        <v>0</v>
      </c>
      <c r="AB27" s="67"/>
      <c r="AD27" s="46">
        <f>SUM(AD24:AD26)</f>
        <v>0</v>
      </c>
      <c r="AF27" s="67"/>
    </row>
    <row r="28" spans="1:64" ht="13" x14ac:dyDescent="0.3">
      <c r="A28" s="23" t="s">
        <v>63</v>
      </c>
      <c r="B28">
        <v>202</v>
      </c>
      <c r="C28">
        <v>35</v>
      </c>
      <c r="D28" s="3">
        <f t="shared" si="0"/>
        <v>0.17326732673267325</v>
      </c>
      <c r="F28">
        <v>44</v>
      </c>
      <c r="G28">
        <v>9</v>
      </c>
      <c r="H28" s="3">
        <f>G28/F28</f>
        <v>0.20454545454545456</v>
      </c>
      <c r="J28">
        <v>151</v>
      </c>
      <c r="K28">
        <v>30</v>
      </c>
      <c r="L28" s="3">
        <f>K28/J28</f>
        <v>0.19867549668874171</v>
      </c>
      <c r="N28">
        <v>57</v>
      </c>
      <c r="O28">
        <v>16</v>
      </c>
      <c r="P28" s="3">
        <f t="shared" si="1"/>
        <v>0.2807017543859649</v>
      </c>
      <c r="R28">
        <v>2</v>
      </c>
      <c r="S28">
        <v>0</v>
      </c>
      <c r="T28" s="3">
        <f>S28/R28</f>
        <v>0</v>
      </c>
      <c r="V28">
        <v>1</v>
      </c>
      <c r="W28">
        <v>0</v>
      </c>
      <c r="X28" s="3">
        <f>W28/V28</f>
        <v>0</v>
      </c>
      <c r="Z28">
        <v>0</v>
      </c>
      <c r="AA28">
        <v>0</v>
      </c>
      <c r="AD28">
        <v>0</v>
      </c>
      <c r="AH28" s="4"/>
      <c r="AM28" s="3"/>
    </row>
    <row r="29" spans="1:64" ht="13" x14ac:dyDescent="0.3">
      <c r="A29" s="2">
        <v>2</v>
      </c>
      <c r="B29">
        <v>257</v>
      </c>
      <c r="C29">
        <v>28</v>
      </c>
      <c r="D29" s="3">
        <f t="shared" si="0"/>
        <v>0.10894941634241245</v>
      </c>
      <c r="F29">
        <v>153</v>
      </c>
      <c r="G29">
        <v>22</v>
      </c>
      <c r="H29" s="3">
        <f>G29/F29</f>
        <v>0.1437908496732026</v>
      </c>
      <c r="J29">
        <v>158</v>
      </c>
      <c r="K29">
        <v>32</v>
      </c>
      <c r="L29" s="3">
        <f>K29/J29</f>
        <v>0.20253164556962025</v>
      </c>
      <c r="N29">
        <v>201</v>
      </c>
      <c r="O29">
        <v>45</v>
      </c>
      <c r="P29" s="3">
        <f t="shared" si="1"/>
        <v>0.22388059701492538</v>
      </c>
      <c r="R29">
        <v>126</v>
      </c>
      <c r="S29">
        <v>23</v>
      </c>
      <c r="T29" s="3">
        <f>S29/R29</f>
        <v>0.18253968253968253</v>
      </c>
      <c r="V29">
        <v>158</v>
      </c>
      <c r="W29">
        <v>28</v>
      </c>
      <c r="X29" s="3">
        <f>W29/V29</f>
        <v>0.17721518987341772</v>
      </c>
      <c r="Z29">
        <v>143</v>
      </c>
      <c r="AA29">
        <v>22</v>
      </c>
      <c r="AB29" s="3">
        <f>AA29/Z29</f>
        <v>0.15384615384615385</v>
      </c>
      <c r="AD29">
        <v>0</v>
      </c>
      <c r="AH29" s="4"/>
      <c r="AM29" s="3"/>
    </row>
    <row r="30" spans="1:64" ht="13" x14ac:dyDescent="0.3">
      <c r="A30" s="2">
        <v>3</v>
      </c>
      <c r="B30">
        <v>62</v>
      </c>
      <c r="C30">
        <v>7</v>
      </c>
      <c r="D30" s="3">
        <f t="shared" si="0"/>
        <v>0.11290322580645161</v>
      </c>
      <c r="F30">
        <v>19</v>
      </c>
      <c r="G30">
        <v>5</v>
      </c>
      <c r="H30" s="3">
        <f>G30/F30</f>
        <v>0.26315789473684209</v>
      </c>
      <c r="J30">
        <v>98</v>
      </c>
      <c r="K30">
        <v>11</v>
      </c>
      <c r="L30" s="3">
        <f>K30/J30</f>
        <v>0.11224489795918367</v>
      </c>
      <c r="N30">
        <v>73</v>
      </c>
      <c r="O30">
        <v>20</v>
      </c>
      <c r="P30" s="3">
        <f t="shared" si="1"/>
        <v>0.27397260273972601</v>
      </c>
      <c r="R30">
        <v>25</v>
      </c>
      <c r="S30">
        <v>5</v>
      </c>
      <c r="T30" s="3">
        <f>S30/R30</f>
        <v>0.2</v>
      </c>
      <c r="V30">
        <v>18</v>
      </c>
      <c r="W30">
        <v>4</v>
      </c>
      <c r="X30" s="3">
        <f>W30/V30</f>
        <v>0.22222222222222221</v>
      </c>
      <c r="Z30">
        <v>19</v>
      </c>
      <c r="AA30">
        <v>6</v>
      </c>
      <c r="AB30" s="3">
        <f>AA30/Z30</f>
        <v>0.31578947368421051</v>
      </c>
      <c r="AD30">
        <v>0</v>
      </c>
      <c r="AH30" s="4"/>
      <c r="AM30" s="3"/>
    </row>
    <row r="31" spans="1:64" ht="13" x14ac:dyDescent="0.3">
      <c r="A31" s="2">
        <v>4</v>
      </c>
      <c r="B31">
        <v>18</v>
      </c>
      <c r="C31">
        <v>4</v>
      </c>
      <c r="D31" s="3">
        <f t="shared" si="0"/>
        <v>0.22222222222222221</v>
      </c>
      <c r="F31">
        <v>0</v>
      </c>
      <c r="H31" s="3"/>
      <c r="J31">
        <v>0</v>
      </c>
      <c r="L31" s="3"/>
      <c r="N31">
        <v>4</v>
      </c>
      <c r="O31">
        <v>3</v>
      </c>
      <c r="P31" s="3">
        <f t="shared" si="1"/>
        <v>0.75</v>
      </c>
      <c r="R31">
        <v>0</v>
      </c>
      <c r="S31">
        <v>0</v>
      </c>
      <c r="V31">
        <v>0</v>
      </c>
      <c r="W31">
        <v>0</v>
      </c>
      <c r="Z31">
        <v>0</v>
      </c>
      <c r="AA31">
        <v>0</v>
      </c>
      <c r="AD31">
        <v>0</v>
      </c>
      <c r="BL31" s="4"/>
    </row>
    <row r="32" spans="1:64" ht="13" x14ac:dyDescent="0.3">
      <c r="A32" s="2">
        <v>5</v>
      </c>
      <c r="B32">
        <v>32</v>
      </c>
      <c r="C32">
        <v>10</v>
      </c>
      <c r="D32" s="3">
        <f t="shared" si="0"/>
        <v>0.3125</v>
      </c>
      <c r="F32">
        <v>57</v>
      </c>
      <c r="G32">
        <v>20</v>
      </c>
      <c r="H32" s="3">
        <f>G32/F32</f>
        <v>0.35087719298245612</v>
      </c>
      <c r="J32">
        <v>57</v>
      </c>
      <c r="K32">
        <v>16</v>
      </c>
      <c r="L32" s="3">
        <f>K32/J32</f>
        <v>0.2807017543859649</v>
      </c>
      <c r="N32">
        <v>47</v>
      </c>
      <c r="O32">
        <v>22</v>
      </c>
      <c r="P32" s="3">
        <f t="shared" si="1"/>
        <v>0.46808510638297873</v>
      </c>
      <c r="R32">
        <v>34</v>
      </c>
      <c r="S32">
        <v>14</v>
      </c>
      <c r="T32" s="3">
        <f>S32/R32</f>
        <v>0.41176470588235292</v>
      </c>
      <c r="V32">
        <v>4</v>
      </c>
      <c r="W32">
        <v>1</v>
      </c>
      <c r="X32" s="3">
        <f>W32/V32</f>
        <v>0.25</v>
      </c>
      <c r="Z32">
        <v>3</v>
      </c>
      <c r="AA32">
        <v>2</v>
      </c>
      <c r="AB32" s="3">
        <f>AA32/Z32</f>
        <v>0.66666666666666663</v>
      </c>
      <c r="AD32">
        <v>0</v>
      </c>
      <c r="AH32" s="4"/>
      <c r="BL32" s="4"/>
    </row>
    <row r="33" spans="1:64" x14ac:dyDescent="0.25">
      <c r="B33">
        <f>SUM(B28:B32)</f>
        <v>571</v>
      </c>
      <c r="C33">
        <f>SUM(C28:C32)</f>
        <v>84</v>
      </c>
      <c r="D33" s="3">
        <f t="shared" si="0"/>
        <v>0.14711033274956217</v>
      </c>
      <c r="F33">
        <f>SUM(F28:F32)</f>
        <v>273</v>
      </c>
      <c r="G33">
        <f>SUM(G28:G32)</f>
        <v>56</v>
      </c>
      <c r="H33" s="3">
        <f>G33/F33</f>
        <v>0.20512820512820512</v>
      </c>
      <c r="J33">
        <f>SUM(J28:J32)</f>
        <v>464</v>
      </c>
      <c r="K33">
        <f>SUM(K28:K32)</f>
        <v>89</v>
      </c>
      <c r="L33" s="3">
        <f>K33/J33</f>
        <v>0.19181034482758622</v>
      </c>
      <c r="N33">
        <f>SUM(N28:N32)</f>
        <v>382</v>
      </c>
      <c r="O33">
        <f>SUM(O28:O32)</f>
        <v>106</v>
      </c>
      <c r="P33" s="3">
        <f t="shared" si="1"/>
        <v>0.27748691099476441</v>
      </c>
      <c r="R33">
        <f>SUM(R28:R32)</f>
        <v>187</v>
      </c>
      <c r="S33">
        <f>SUM(S28:S32)</f>
        <v>42</v>
      </c>
      <c r="T33" s="3">
        <f>S33/R33</f>
        <v>0.22459893048128343</v>
      </c>
      <c r="V33">
        <f>SUM(V28:V32)</f>
        <v>181</v>
      </c>
      <c r="W33">
        <f>SUM(W28:W32)</f>
        <v>33</v>
      </c>
      <c r="X33" s="3">
        <f>W33/V33</f>
        <v>0.18232044198895028</v>
      </c>
      <c r="Z33">
        <f>SUM(Z28:Z32)</f>
        <v>165</v>
      </c>
      <c r="AA33">
        <f>SUM(AA28:AA32)</f>
        <v>30</v>
      </c>
      <c r="AB33" s="3">
        <f>AA33/Z33</f>
        <v>0.18181818181818182</v>
      </c>
      <c r="BL33" s="4"/>
    </row>
    <row r="34" spans="1:64" ht="15.5" x14ac:dyDescent="0.35">
      <c r="A34" s="1" t="s">
        <v>90</v>
      </c>
      <c r="BJ34" s="14"/>
      <c r="BL34" s="4"/>
    </row>
    <row r="35" spans="1:64" ht="13" x14ac:dyDescent="0.3">
      <c r="A35" s="2"/>
      <c r="BJ35" s="14"/>
      <c r="BL35" s="4"/>
    </row>
    <row r="36" spans="1:64" ht="13" x14ac:dyDescent="0.3">
      <c r="B36" s="27" t="s">
        <v>44</v>
      </c>
      <c r="C36" s="2"/>
      <c r="D36" s="2"/>
      <c r="AT36" s="4"/>
      <c r="AU36" s="4"/>
      <c r="AV36" s="4"/>
      <c r="AW36" s="4"/>
      <c r="AX36" s="4"/>
      <c r="BJ36" s="14"/>
      <c r="BL36" s="4"/>
    </row>
    <row r="37" spans="1:64" x14ac:dyDescent="0.25">
      <c r="B37" t="s">
        <v>13</v>
      </c>
      <c r="C37" t="s">
        <v>51</v>
      </c>
      <c r="D37" t="s">
        <v>14</v>
      </c>
      <c r="AT37" s="4"/>
      <c r="AU37" s="4"/>
      <c r="AV37" s="4"/>
      <c r="AW37" s="4"/>
      <c r="AX37" s="4"/>
      <c r="BJ37" s="14"/>
      <c r="BL37" s="4"/>
    </row>
    <row r="38" spans="1:64" x14ac:dyDescent="0.25">
      <c r="A38" t="s">
        <v>31</v>
      </c>
      <c r="B38">
        <f t="shared" ref="B38:C40" si="2">B24+F24+J24+N24+R24+V24+Z24+AD24+B7+F7+J7+N7+R7+V7</f>
        <v>1435</v>
      </c>
      <c r="C38">
        <f t="shared" si="2"/>
        <v>33</v>
      </c>
      <c r="D38" s="3">
        <f t="shared" ref="D38:D45" si="3">C38/B38</f>
        <v>2.2996515679442508E-2</v>
      </c>
      <c r="AT38" s="4"/>
      <c r="AU38" s="4"/>
      <c r="AV38" s="4"/>
      <c r="AW38" s="4"/>
      <c r="AX38" s="4"/>
      <c r="BJ38" s="14"/>
      <c r="BL38" s="4"/>
    </row>
    <row r="39" spans="1:64" x14ac:dyDescent="0.25">
      <c r="A39" t="s">
        <v>32</v>
      </c>
      <c r="B39">
        <f t="shared" si="2"/>
        <v>199</v>
      </c>
      <c r="C39">
        <f t="shared" si="2"/>
        <v>12</v>
      </c>
      <c r="D39" s="3">
        <f t="shared" si="3"/>
        <v>6.030150753768844E-2</v>
      </c>
      <c r="AT39" s="4"/>
      <c r="AU39" s="4"/>
      <c r="AV39" s="4"/>
      <c r="AW39" s="4"/>
      <c r="AX39" s="4"/>
      <c r="BJ39" s="14"/>
      <c r="BL39" s="4"/>
    </row>
    <row r="40" spans="1:64" x14ac:dyDescent="0.25">
      <c r="A40" s="42" t="s">
        <v>45</v>
      </c>
      <c r="B40" s="42">
        <f t="shared" si="2"/>
        <v>388</v>
      </c>
      <c r="C40" s="42">
        <f t="shared" si="2"/>
        <v>14</v>
      </c>
      <c r="D40" s="43">
        <f t="shared" si="3"/>
        <v>3.608247422680412E-2</v>
      </c>
      <c r="AT40" s="4"/>
      <c r="AU40" s="4"/>
      <c r="AV40" s="4"/>
      <c r="AW40" s="4"/>
      <c r="AX40" s="4"/>
      <c r="BJ40" s="14"/>
      <c r="BL40" s="4"/>
    </row>
    <row r="41" spans="1:64" ht="13" x14ac:dyDescent="0.3">
      <c r="A41" s="46" t="s">
        <v>61</v>
      </c>
      <c r="B41" s="46">
        <f>SUM(B38:B40)</f>
        <v>2022</v>
      </c>
      <c r="C41" s="46">
        <f>SUM(C38:C40)</f>
        <v>59</v>
      </c>
      <c r="D41" s="67">
        <f t="shared" si="3"/>
        <v>2.9179030662710187E-2</v>
      </c>
      <c r="AT41" s="4"/>
      <c r="AU41" s="4"/>
      <c r="AV41" s="4"/>
      <c r="AW41" s="4"/>
      <c r="AX41" s="4"/>
      <c r="BJ41" s="14"/>
      <c r="BL41" s="4"/>
    </row>
    <row r="42" spans="1:64" ht="13" x14ac:dyDescent="0.3">
      <c r="A42" s="2">
        <v>1</v>
      </c>
      <c r="B42">
        <f>B28+F28+J28+N28+R28+V28+Z28+AD28</f>
        <v>457</v>
      </c>
      <c r="C42">
        <f>C28+G28+K28+O28+S28+W28+AA28+AE28</f>
        <v>90</v>
      </c>
      <c r="D42" s="3">
        <f t="shared" si="3"/>
        <v>0.19693654266958424</v>
      </c>
      <c r="AT42" s="4"/>
      <c r="AU42" s="4"/>
      <c r="AV42" s="4"/>
      <c r="AW42" s="4"/>
      <c r="AX42" s="4"/>
    </row>
    <row r="43" spans="1:64" ht="13" x14ac:dyDescent="0.3">
      <c r="A43" s="2">
        <v>2</v>
      </c>
      <c r="B43">
        <f t="shared" ref="B43:C46" si="4">B29+F29+J29+N29+R29+V29+Z29+AD29</f>
        <v>1196</v>
      </c>
      <c r="C43">
        <f t="shared" si="4"/>
        <v>200</v>
      </c>
      <c r="D43" s="3">
        <f t="shared" si="3"/>
        <v>0.16722408026755853</v>
      </c>
      <c r="H43" s="3"/>
      <c r="L43" s="3"/>
      <c r="P43" s="3"/>
      <c r="T43" s="3"/>
      <c r="AH43" s="4"/>
      <c r="AM43" s="3"/>
      <c r="AT43" s="4"/>
      <c r="AU43" s="4"/>
      <c r="AV43" s="4"/>
      <c r="AW43" s="4"/>
      <c r="AX43" s="4"/>
    </row>
    <row r="44" spans="1:64" ht="13" x14ac:dyDescent="0.3">
      <c r="A44" s="2">
        <v>3</v>
      </c>
      <c r="B44">
        <f t="shared" si="4"/>
        <v>314</v>
      </c>
      <c r="C44">
        <f t="shared" si="4"/>
        <v>58</v>
      </c>
      <c r="D44" s="3">
        <f t="shared" si="3"/>
        <v>0.18471337579617833</v>
      </c>
      <c r="H44" s="3"/>
      <c r="L44" s="3"/>
      <c r="P44" s="3"/>
      <c r="T44" s="3"/>
      <c r="X44" s="3"/>
      <c r="AB44" s="3"/>
      <c r="AH44" s="4"/>
      <c r="AM44" s="3"/>
      <c r="AT44" s="4"/>
      <c r="AU44" s="4"/>
      <c r="AV44" s="4"/>
      <c r="AW44" s="4"/>
      <c r="AX44" s="4"/>
    </row>
    <row r="45" spans="1:64" ht="13" x14ac:dyDescent="0.3">
      <c r="A45" s="2">
        <v>4</v>
      </c>
      <c r="B45">
        <f t="shared" si="4"/>
        <v>22</v>
      </c>
      <c r="C45">
        <f t="shared" si="4"/>
        <v>7</v>
      </c>
      <c r="D45" s="3">
        <f t="shared" si="3"/>
        <v>0.31818181818181818</v>
      </c>
      <c r="H45" s="3"/>
      <c r="L45" s="3"/>
      <c r="P45" s="3"/>
      <c r="T45" s="3"/>
      <c r="X45" s="3"/>
      <c r="AB45" s="3"/>
      <c r="AH45" s="4"/>
      <c r="AM45" s="3"/>
      <c r="AT45" s="4"/>
      <c r="AU45" s="4"/>
      <c r="AV45" s="4"/>
      <c r="AW45" s="4"/>
      <c r="AX45" s="4"/>
    </row>
    <row r="46" spans="1:64" ht="13" x14ac:dyDescent="0.3">
      <c r="A46" s="2">
        <v>5</v>
      </c>
      <c r="B46">
        <f t="shared" si="4"/>
        <v>234</v>
      </c>
      <c r="C46">
        <f t="shared" si="4"/>
        <v>85</v>
      </c>
      <c r="D46" s="3">
        <f>C46/B46</f>
        <v>0.36324786324786323</v>
      </c>
    </row>
    <row r="47" spans="1:64" x14ac:dyDescent="0.25">
      <c r="P47" s="3"/>
      <c r="T47" s="3"/>
      <c r="AH47" s="4"/>
      <c r="AM47" s="3"/>
    </row>
    <row r="49" spans="1:55" ht="13" x14ac:dyDescent="0.3">
      <c r="A49" s="2"/>
    </row>
    <row r="51" spans="1:55" x14ac:dyDescent="0.25">
      <c r="AV51" s="4"/>
      <c r="AW51" s="4"/>
      <c r="AX51" s="4"/>
      <c r="AY51" s="4"/>
      <c r="AZ51" s="4"/>
      <c r="BA51" s="4"/>
    </row>
    <row r="52" spans="1:55" x14ac:dyDescent="0.25">
      <c r="AV52" s="4"/>
      <c r="AW52" s="4"/>
      <c r="AX52" s="4"/>
      <c r="AY52" s="4"/>
      <c r="AZ52" s="4"/>
      <c r="BA52" s="4"/>
      <c r="BB52" s="3"/>
      <c r="BC52" s="3"/>
    </row>
    <row r="53" spans="1:55" x14ac:dyDescent="0.25">
      <c r="D53" s="3"/>
      <c r="H53" s="3"/>
      <c r="L53" s="3"/>
      <c r="P53" s="3"/>
      <c r="T53" s="3"/>
      <c r="X53" s="3"/>
      <c r="AH53" s="4"/>
      <c r="AM53" s="3"/>
      <c r="AV53" s="4"/>
      <c r="AW53" s="4"/>
      <c r="AX53" s="4"/>
      <c r="AY53" s="4"/>
      <c r="AZ53" s="4"/>
      <c r="BA53" s="4"/>
      <c r="BB53" s="3"/>
      <c r="BC53" s="3"/>
    </row>
    <row r="54" spans="1:55" x14ac:dyDescent="0.25">
      <c r="D54" s="3"/>
      <c r="H54" s="3"/>
      <c r="L54" s="3"/>
      <c r="P54" s="3"/>
      <c r="T54" s="3"/>
      <c r="X54" s="3"/>
      <c r="AB54" s="3"/>
      <c r="AH54" s="4"/>
      <c r="AM54" s="3"/>
      <c r="AV54" s="4"/>
      <c r="AW54" s="4"/>
      <c r="AX54" s="4"/>
      <c r="AY54" s="4"/>
      <c r="AZ54" s="4"/>
      <c r="BA54" s="4"/>
    </row>
    <row r="55" spans="1:55" x14ac:dyDescent="0.25">
      <c r="D55" s="3"/>
      <c r="H55" s="3"/>
      <c r="L55" s="3"/>
      <c r="P55" s="3"/>
      <c r="T55" s="3"/>
      <c r="X55" s="3"/>
      <c r="AB55" s="3"/>
      <c r="AH55" s="4"/>
      <c r="AM55" s="3"/>
      <c r="AV55" s="4"/>
      <c r="AW55" s="4"/>
      <c r="AX55" s="4"/>
      <c r="AY55" s="4"/>
      <c r="AZ55" s="4"/>
      <c r="BA55" s="4"/>
      <c r="BB55" s="3"/>
    </row>
    <row r="56" spans="1:55" x14ac:dyDescent="0.25">
      <c r="D56" s="3"/>
      <c r="H56" s="3"/>
      <c r="L56" s="3"/>
      <c r="P56" s="3"/>
      <c r="AH56" s="4"/>
      <c r="AM56" s="3"/>
      <c r="AP56" s="3"/>
      <c r="AQ56" s="3"/>
      <c r="AR56" s="3"/>
      <c r="AS56" s="3"/>
      <c r="AT56" s="3"/>
      <c r="AU56" s="3"/>
      <c r="AV56" s="3"/>
      <c r="AW56" s="3"/>
      <c r="AX56" s="3"/>
      <c r="AY56" s="3"/>
      <c r="AZ56" s="3"/>
      <c r="BA56" s="3"/>
      <c r="BB56" s="3"/>
      <c r="BC56" s="3"/>
    </row>
    <row r="57" spans="1:55" x14ac:dyDescent="0.25">
      <c r="D57" s="3"/>
      <c r="H57" s="3"/>
      <c r="L57" s="3"/>
      <c r="P57" s="3"/>
      <c r="T57" s="3"/>
      <c r="X57" s="3"/>
      <c r="AB57" s="3"/>
      <c r="AH57" s="4"/>
      <c r="AM57" s="3"/>
    </row>
    <row r="59" spans="1:55" ht="13" x14ac:dyDescent="0.3">
      <c r="A59" s="2"/>
    </row>
    <row r="63" spans="1:55" x14ac:dyDescent="0.25">
      <c r="D63" s="3"/>
      <c r="H63" s="3"/>
      <c r="L63" s="3"/>
      <c r="P63" s="3"/>
      <c r="T63" s="3"/>
      <c r="AH63" s="4"/>
      <c r="AM63" s="3"/>
    </row>
    <row r="64" spans="1:55" x14ac:dyDescent="0.25">
      <c r="D64" s="3"/>
      <c r="H64" s="3"/>
      <c r="L64" s="3"/>
      <c r="P64" s="3"/>
      <c r="T64" s="3"/>
      <c r="X64" s="3"/>
      <c r="AB64" s="3"/>
      <c r="AH64" s="4"/>
      <c r="AM64" s="3"/>
    </row>
    <row r="65" spans="1:39" x14ac:dyDescent="0.25">
      <c r="D65" s="3"/>
      <c r="H65" s="3"/>
      <c r="L65" s="3"/>
      <c r="P65" s="3"/>
      <c r="T65" s="3"/>
      <c r="X65" s="3"/>
      <c r="AB65" s="3"/>
      <c r="AH65" s="4"/>
      <c r="AM65" s="3"/>
    </row>
    <row r="66" spans="1:39" x14ac:dyDescent="0.25">
      <c r="D66" s="3"/>
    </row>
    <row r="67" spans="1:39" x14ac:dyDescent="0.25">
      <c r="D67" s="3"/>
      <c r="L67" s="3"/>
      <c r="P67" s="3"/>
      <c r="T67" s="3"/>
      <c r="X67" s="3"/>
      <c r="AB67" s="3"/>
      <c r="AH67" s="4"/>
      <c r="AM67" s="3"/>
    </row>
    <row r="69" spans="1:39" ht="13" x14ac:dyDescent="0.3">
      <c r="A69" s="2"/>
    </row>
    <row r="73" spans="1:39" x14ac:dyDescent="0.25">
      <c r="H73" s="3"/>
      <c r="L73" s="3"/>
      <c r="P73" s="3"/>
      <c r="T73" s="3"/>
      <c r="X73" s="3"/>
      <c r="AH73" s="4"/>
      <c r="AM73" s="3"/>
    </row>
    <row r="74" spans="1:39" x14ac:dyDescent="0.25">
      <c r="H74" s="3"/>
      <c r="L74" s="3"/>
      <c r="P74" s="3"/>
      <c r="T74" s="3"/>
      <c r="X74" s="3"/>
      <c r="AB74" s="3"/>
      <c r="AH74" s="4"/>
      <c r="AM74" s="3"/>
    </row>
    <row r="75" spans="1:39" x14ac:dyDescent="0.25">
      <c r="H75" s="3"/>
      <c r="L75" s="3"/>
      <c r="P75" s="3"/>
      <c r="T75" s="3"/>
      <c r="X75" s="3"/>
      <c r="AB75" s="3"/>
      <c r="AH75" s="4"/>
      <c r="AM75" s="3"/>
    </row>
    <row r="76" spans="1:39" x14ac:dyDescent="0.25">
      <c r="H76" s="3"/>
      <c r="AH76" s="4"/>
      <c r="AM76" s="3"/>
    </row>
    <row r="77" spans="1:39" x14ac:dyDescent="0.25">
      <c r="H77" s="3"/>
      <c r="L77" s="3"/>
      <c r="P77" s="3"/>
      <c r="T77" s="3"/>
      <c r="X77" s="3"/>
      <c r="AB77" s="3"/>
      <c r="AH77" s="4"/>
      <c r="AM77" s="3"/>
    </row>
    <row r="78" spans="1:39" x14ac:dyDescent="0.25">
      <c r="H78" s="3"/>
      <c r="L78" s="3"/>
      <c r="P78" s="3"/>
      <c r="T78" s="3"/>
      <c r="X78" s="3"/>
      <c r="AB78" s="3"/>
      <c r="AH78" s="4"/>
      <c r="AM78" s="3"/>
    </row>
    <row r="82" spans="4:32" x14ac:dyDescent="0.25">
      <c r="D82" s="3"/>
      <c r="H82" s="3"/>
      <c r="L82" s="3"/>
      <c r="P82" s="3"/>
      <c r="T82" s="3"/>
      <c r="X82" s="3"/>
    </row>
    <row r="83" spans="4:32" x14ac:dyDescent="0.25">
      <c r="D83" s="3"/>
      <c r="H83" s="3"/>
      <c r="L83" s="3"/>
      <c r="P83" s="3"/>
      <c r="T83" s="3"/>
      <c r="X83" s="3"/>
      <c r="AB83" s="3"/>
      <c r="AF83" s="3"/>
    </row>
    <row r="84" spans="4:32" x14ac:dyDescent="0.25">
      <c r="D84" s="3"/>
      <c r="H84" s="3"/>
      <c r="L84" s="3"/>
      <c r="P84" s="3"/>
      <c r="T84" s="3"/>
      <c r="X84" s="3"/>
      <c r="AB84" s="3"/>
      <c r="AF84" s="3"/>
    </row>
    <row r="85" spans="4:32" x14ac:dyDescent="0.25">
      <c r="D85" s="3"/>
      <c r="H85" s="3"/>
      <c r="P85" s="3"/>
    </row>
    <row r="86" spans="4:32" x14ac:dyDescent="0.25">
      <c r="D86" s="3"/>
      <c r="H86" s="3"/>
      <c r="L86" s="3"/>
      <c r="P86" s="3"/>
      <c r="T86" s="3"/>
      <c r="X86" s="3"/>
      <c r="AB86" s="3"/>
    </row>
  </sheetData>
  <phoneticPr fontId="4" type="noConversion"/>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R136"/>
  <sheetViews>
    <sheetView topLeftCell="A43" zoomScale="75" workbookViewId="0">
      <selection activeCell="I30" sqref="I30"/>
    </sheetView>
  </sheetViews>
  <sheetFormatPr defaultRowHeight="12.5" x14ac:dyDescent="0.25"/>
  <cols>
    <col min="1" max="1" width="13.1796875" customWidth="1"/>
    <col min="2" max="2" width="10.26953125" customWidth="1"/>
    <col min="3" max="4" width="13.453125" customWidth="1"/>
    <col min="5" max="5" width="1.1796875" customWidth="1"/>
    <col min="6" max="6" width="10.26953125" customWidth="1"/>
    <col min="7" max="8" width="13.453125" customWidth="1"/>
    <col min="9" max="9" width="1.1796875" customWidth="1"/>
    <col min="10" max="10" width="10.26953125" customWidth="1"/>
    <col min="11" max="12" width="13.453125" customWidth="1"/>
    <col min="13" max="13" width="1.1796875" customWidth="1"/>
    <col min="14" max="14" width="10.26953125" customWidth="1"/>
    <col min="15" max="16" width="13.453125" customWidth="1"/>
    <col min="17" max="17" width="0.81640625" customWidth="1"/>
    <col min="18" max="18" width="10.26953125" customWidth="1"/>
    <col min="19" max="20" width="13.453125" customWidth="1"/>
    <col min="21" max="21" width="1.1796875" customWidth="1"/>
    <col min="22" max="22" width="10.26953125" customWidth="1"/>
    <col min="23" max="24" width="13.453125" customWidth="1"/>
    <col min="25" max="25" width="1.26953125" customWidth="1"/>
    <col min="26" max="26" width="10.26953125" customWidth="1"/>
    <col min="27" max="28" width="13.453125" customWidth="1"/>
    <col min="29" max="29" width="1.7265625" customWidth="1"/>
    <col min="30" max="30" width="10.26953125" customWidth="1"/>
    <col min="31" max="32" width="13.453125" customWidth="1"/>
    <col min="34" max="34" width="9.81640625" customWidth="1"/>
    <col min="35" max="35" width="13.54296875" bestFit="1" customWidth="1"/>
    <col min="36" max="38" width="13.54296875" customWidth="1"/>
    <col min="56" max="56" width="11.26953125" bestFit="1" customWidth="1"/>
    <col min="57" max="57" width="10.26953125" bestFit="1" customWidth="1"/>
    <col min="58" max="58" width="11.26953125" bestFit="1" customWidth="1"/>
    <col min="61" max="61" width="11.81640625" customWidth="1"/>
    <col min="62" max="62" width="9.7265625" bestFit="1" customWidth="1"/>
    <col min="63" max="63" width="9.54296875" customWidth="1"/>
  </cols>
  <sheetData>
    <row r="1" spans="1:69" ht="15.5" x14ac:dyDescent="0.35">
      <c r="A1" s="1" t="s">
        <v>88</v>
      </c>
    </row>
    <row r="2" spans="1:69" s="27" customFormat="1" ht="13" x14ac:dyDescent="0.3">
      <c r="A2" s="2" t="s">
        <v>54</v>
      </c>
    </row>
    <row r="3" spans="1:69" s="27" customFormat="1" ht="13" x14ac:dyDescent="0.3">
      <c r="B3" s="36" t="s">
        <v>57</v>
      </c>
    </row>
    <row r="4" spans="1:69" s="27" customFormat="1" ht="13" x14ac:dyDescent="0.3">
      <c r="B4" s="37" t="s">
        <v>75</v>
      </c>
    </row>
    <row r="5" spans="1:69" s="27" customFormat="1" ht="13" x14ac:dyDescent="0.3">
      <c r="B5" s="38" t="s">
        <v>76</v>
      </c>
    </row>
    <row r="6" spans="1:69" s="27" customFormat="1" x14ac:dyDescent="0.25"/>
    <row r="7" spans="1:69" ht="15.5" x14ac:dyDescent="0.35">
      <c r="A7" s="1" t="s">
        <v>47</v>
      </c>
      <c r="BI7" s="2"/>
    </row>
    <row r="8" spans="1:69" ht="13" x14ac:dyDescent="0.3">
      <c r="A8" s="2"/>
      <c r="BI8" s="2"/>
      <c r="BJ8" s="2"/>
      <c r="BK8" s="2"/>
    </row>
    <row r="9" spans="1:69" ht="13" x14ac:dyDescent="0.3">
      <c r="C9" s="2" t="s">
        <v>0</v>
      </c>
      <c r="G9" s="2" t="s">
        <v>2</v>
      </c>
      <c r="K9" s="2" t="s">
        <v>3</v>
      </c>
      <c r="O9" s="2" t="s">
        <v>4</v>
      </c>
      <c r="S9" s="2" t="s">
        <v>67</v>
      </c>
      <c r="W9" s="2" t="s">
        <v>68</v>
      </c>
      <c r="BI9" s="14"/>
      <c r="BJ9" s="30"/>
      <c r="BK9" s="30"/>
    </row>
    <row r="10" spans="1:69" x14ac:dyDescent="0.25">
      <c r="B10" t="s">
        <v>43</v>
      </c>
      <c r="C10" t="s">
        <v>50</v>
      </c>
      <c r="D10" t="s">
        <v>51</v>
      </c>
      <c r="F10" t="s">
        <v>43</v>
      </c>
      <c r="G10" t="s">
        <v>50</v>
      </c>
      <c r="H10" t="s">
        <v>51</v>
      </c>
      <c r="J10" t="s">
        <v>43</v>
      </c>
      <c r="K10" t="s">
        <v>50</v>
      </c>
      <c r="L10" t="s">
        <v>51</v>
      </c>
      <c r="N10" t="s">
        <v>43</v>
      </c>
      <c r="O10" t="s">
        <v>50</v>
      </c>
      <c r="P10" t="s">
        <v>51</v>
      </c>
      <c r="R10" t="s">
        <v>43</v>
      </c>
      <c r="S10" t="s">
        <v>50</v>
      </c>
      <c r="T10" t="s">
        <v>51</v>
      </c>
      <c r="V10" t="s">
        <v>43</v>
      </c>
      <c r="W10" t="s">
        <v>50</v>
      </c>
      <c r="X10" t="s">
        <v>51</v>
      </c>
      <c r="BI10" s="14"/>
      <c r="BJ10" s="30"/>
      <c r="BK10" s="30"/>
      <c r="BN10" s="6"/>
    </row>
    <row r="11" spans="1:69" x14ac:dyDescent="0.25">
      <c r="A11" s="32" t="s">
        <v>65</v>
      </c>
      <c r="BI11" s="14"/>
      <c r="BJ11" s="30"/>
      <c r="BK11" s="30"/>
      <c r="BN11" s="6"/>
    </row>
    <row r="12" spans="1:69" x14ac:dyDescent="0.25">
      <c r="A12" s="32" t="s">
        <v>66</v>
      </c>
      <c r="BI12" s="14"/>
      <c r="BJ12" s="30"/>
      <c r="BK12" s="30"/>
      <c r="BN12" s="6"/>
    </row>
    <row r="13" spans="1:69" x14ac:dyDescent="0.25">
      <c r="A13" t="s">
        <v>31</v>
      </c>
      <c r="B13">
        <v>0</v>
      </c>
      <c r="F13">
        <v>0</v>
      </c>
      <c r="J13">
        <v>2</v>
      </c>
      <c r="K13" s="7">
        <f>'Mean Unmarked Rates'!L27</f>
        <v>0</v>
      </c>
      <c r="L13" s="5">
        <f>K13*J13</f>
        <v>0</v>
      </c>
      <c r="N13">
        <v>1489</v>
      </c>
      <c r="O13" s="4">
        <f>'2003 sampling'!P7</f>
        <v>3.4482758620689655E-2</v>
      </c>
      <c r="P13" s="5">
        <f>O13*N13</f>
        <v>51.344827586206897</v>
      </c>
      <c r="R13">
        <v>17442</v>
      </c>
      <c r="S13" s="4">
        <f>'2003 sampling'!T7</f>
        <v>1.4084507042253521E-2</v>
      </c>
      <c r="T13" s="5">
        <f>S13*R13</f>
        <v>245.66197183098592</v>
      </c>
      <c r="V13">
        <v>38494</v>
      </c>
      <c r="W13" s="4">
        <f>'2003 sampling'!X7</f>
        <v>2.932551319648094E-2</v>
      </c>
      <c r="X13" s="5">
        <f>W13*V13</f>
        <v>1128.8563049853374</v>
      </c>
      <c r="AA13" s="4"/>
      <c r="AB13" s="5"/>
      <c r="AE13" s="4"/>
      <c r="AF13" s="5"/>
      <c r="AI13" s="4"/>
      <c r="AJ13" s="5"/>
      <c r="AM13" s="4"/>
      <c r="AN13" s="5"/>
      <c r="AQ13" s="4"/>
      <c r="AR13" s="5"/>
      <c r="AU13" s="4"/>
      <c r="AV13" s="5"/>
      <c r="AY13" s="7"/>
      <c r="AZ13" s="5"/>
    </row>
    <row r="14" spans="1:69" x14ac:dyDescent="0.25">
      <c r="A14" t="s">
        <v>32</v>
      </c>
      <c r="B14">
        <v>0</v>
      </c>
      <c r="F14">
        <v>0</v>
      </c>
      <c r="J14">
        <v>0</v>
      </c>
      <c r="N14">
        <v>63</v>
      </c>
      <c r="O14" s="7">
        <f>'Mean Unmarked Rates'!P28</f>
        <v>0</v>
      </c>
      <c r="P14" s="5">
        <f>O14*N14</f>
        <v>0</v>
      </c>
      <c r="R14">
        <v>16</v>
      </c>
      <c r="S14" s="4">
        <f>'2003 sampling'!T8</f>
        <v>0</v>
      </c>
      <c r="T14" s="5">
        <f>S14*R14</f>
        <v>0</v>
      </c>
      <c r="V14">
        <v>409</v>
      </c>
      <c r="W14" s="4">
        <f>'2003 sampling'!X8</f>
        <v>0</v>
      </c>
      <c r="X14" s="5">
        <f>W14*V14</f>
        <v>0</v>
      </c>
      <c r="AA14" s="4"/>
      <c r="AB14" s="5"/>
      <c r="AE14" s="4"/>
      <c r="AF14" s="5"/>
      <c r="AI14" s="4"/>
      <c r="AJ14" s="5"/>
      <c r="AM14" s="4"/>
      <c r="AN14" s="5"/>
      <c r="AQ14" s="4"/>
      <c r="AR14" s="5"/>
      <c r="AU14" s="4"/>
      <c r="AV14" s="5"/>
      <c r="AY14" s="4"/>
      <c r="AZ14" s="5"/>
      <c r="BD14" s="5"/>
      <c r="BE14" s="3"/>
      <c r="BG14" s="5"/>
      <c r="BH14" s="3"/>
      <c r="BJ14" s="5"/>
      <c r="BK14" s="3"/>
      <c r="BM14" s="5"/>
      <c r="BN14" s="3"/>
      <c r="BP14" s="5"/>
      <c r="BQ14" s="3"/>
    </row>
    <row r="15" spans="1:69" s="42" customFormat="1" x14ac:dyDescent="0.25">
      <c r="A15" s="42" t="s">
        <v>45</v>
      </c>
      <c r="B15" s="42">
        <v>0</v>
      </c>
      <c r="F15" s="42">
        <v>0</v>
      </c>
      <c r="J15" s="42">
        <v>0</v>
      </c>
      <c r="N15" s="42">
        <v>0</v>
      </c>
      <c r="P15" s="50"/>
      <c r="R15" s="42">
        <v>713</v>
      </c>
      <c r="S15" s="49">
        <f>'2003 sampling'!T9</f>
        <v>0.23076923076923078</v>
      </c>
      <c r="T15" s="50">
        <f>S15*R15</f>
        <v>164.53846153846155</v>
      </c>
      <c r="V15" s="42">
        <v>13035</v>
      </c>
      <c r="W15" s="49">
        <f>'2003 sampling'!X9</f>
        <v>8.4905660377358486E-2</v>
      </c>
      <c r="X15" s="50">
        <f>W15*V15</f>
        <v>1106.7452830188679</v>
      </c>
      <c r="AA15" s="49"/>
      <c r="AB15" s="50"/>
      <c r="AE15" s="49"/>
      <c r="AF15" s="50"/>
      <c r="AI15" s="49"/>
      <c r="AJ15" s="50"/>
      <c r="AM15" s="49"/>
      <c r="AN15" s="50"/>
      <c r="AQ15" s="51"/>
      <c r="AR15" s="50"/>
      <c r="AT15" s="47"/>
      <c r="BD15" s="50"/>
      <c r="BE15" s="43"/>
      <c r="BG15" s="50"/>
      <c r="BH15" s="43"/>
      <c r="BJ15" s="50"/>
      <c r="BK15" s="43"/>
      <c r="BM15" s="50"/>
      <c r="BN15" s="43"/>
      <c r="BP15" s="50"/>
      <c r="BQ15" s="43"/>
    </row>
    <row r="16" spans="1:69" s="80" customFormat="1" ht="14" x14ac:dyDescent="0.3">
      <c r="A16" s="80" t="s">
        <v>61</v>
      </c>
      <c r="B16" s="80">
        <f>SUM(B11:B15)</f>
        <v>0</v>
      </c>
      <c r="C16" s="81"/>
      <c r="D16" s="82"/>
      <c r="F16" s="80">
        <f>SUM(F11:F15)</f>
        <v>0</v>
      </c>
      <c r="G16" s="81"/>
      <c r="J16" s="80">
        <f>SUM(J11:J15)</f>
        <v>2</v>
      </c>
      <c r="K16" s="81">
        <f>L16/J16</f>
        <v>0</v>
      </c>
      <c r="L16" s="82">
        <f>SUM(L13:L15)</f>
        <v>0</v>
      </c>
      <c r="N16" s="80">
        <f>SUM(N11:N15)</f>
        <v>1552</v>
      </c>
      <c r="O16" s="81">
        <f>P16/N16</f>
        <v>3.3083007465339494E-2</v>
      </c>
      <c r="P16" s="82">
        <f>SUM(P13:P15)</f>
        <v>51.344827586206897</v>
      </c>
      <c r="R16" s="80">
        <f>SUM(R11:R15)</f>
        <v>18171</v>
      </c>
      <c r="S16" s="81">
        <f>T16/R16</f>
        <v>2.2574455636423282E-2</v>
      </c>
      <c r="T16" s="82">
        <f>SUM(T13:T15)</f>
        <v>410.20043336944747</v>
      </c>
      <c r="V16" s="80">
        <f>SUM(V11:V15)</f>
        <v>51938</v>
      </c>
      <c r="W16" s="81">
        <f>X16/V16</f>
        <v>4.3043659517197526E-2</v>
      </c>
      <c r="X16" s="82">
        <f>SUM(X13:X15)</f>
        <v>2235.601588004205</v>
      </c>
      <c r="BI16" s="86"/>
      <c r="BJ16" s="87"/>
      <c r="BK16" s="87"/>
      <c r="BN16" s="88"/>
    </row>
    <row r="17" spans="1:63" x14ac:dyDescent="0.25">
      <c r="A17">
        <v>1</v>
      </c>
      <c r="B17">
        <v>10</v>
      </c>
      <c r="C17" s="39">
        <f>'Mean Unmarked Rates'!D13</f>
        <v>7.5644949715784865E-2</v>
      </c>
      <c r="D17" s="5">
        <f>B17*C17</f>
        <v>0.75644949715784859</v>
      </c>
      <c r="F17">
        <v>132</v>
      </c>
      <c r="G17" s="39">
        <f>'Mean Unmarked Rates'!D13</f>
        <v>7.5644949715784865E-2</v>
      </c>
      <c r="H17" s="5">
        <f>G17*F17</f>
        <v>9.9851333624836016</v>
      </c>
      <c r="J17">
        <v>0</v>
      </c>
      <c r="N17">
        <v>0</v>
      </c>
      <c r="R17" s="73">
        <v>0</v>
      </c>
      <c r="V17" s="73">
        <v>0</v>
      </c>
      <c r="BI17" s="14"/>
      <c r="BJ17" s="30"/>
      <c r="BK17" s="30"/>
    </row>
    <row r="18" spans="1:63" x14ac:dyDescent="0.25">
      <c r="A18">
        <v>2</v>
      </c>
      <c r="B18">
        <v>0</v>
      </c>
      <c r="F18">
        <v>17</v>
      </c>
      <c r="G18" s="39">
        <f>'Mean Unmarked Rates'!D14</f>
        <v>8.7292161520190023E-2</v>
      </c>
      <c r="H18" s="5">
        <f>G18*F18</f>
        <v>1.4839667458432304</v>
      </c>
      <c r="J18">
        <v>0</v>
      </c>
      <c r="N18">
        <v>0</v>
      </c>
      <c r="R18" s="73">
        <v>0</v>
      </c>
      <c r="V18" s="73">
        <v>0</v>
      </c>
      <c r="BI18" s="14"/>
      <c r="BJ18" s="30"/>
      <c r="BK18" s="30"/>
    </row>
    <row r="19" spans="1:63" ht="13" x14ac:dyDescent="0.3">
      <c r="A19">
        <v>3</v>
      </c>
      <c r="B19">
        <v>0</v>
      </c>
      <c r="F19">
        <v>3</v>
      </c>
      <c r="G19" s="39">
        <f>'Mean Unmarked Rates'!D15</f>
        <v>5.920444033302498E-2</v>
      </c>
      <c r="H19" s="5">
        <f>G19*F19</f>
        <v>0.17761332099907495</v>
      </c>
      <c r="J19">
        <v>0</v>
      </c>
      <c r="N19">
        <v>0</v>
      </c>
      <c r="R19" s="73">
        <v>0</v>
      </c>
      <c r="V19" s="73">
        <v>0</v>
      </c>
      <c r="AO19" s="2"/>
      <c r="AP19" s="2"/>
      <c r="AQ19" s="2"/>
      <c r="AR19" s="2"/>
      <c r="AS19" s="2"/>
      <c r="AT19" s="2"/>
      <c r="AU19" s="2"/>
      <c r="AV19" s="2"/>
      <c r="AW19" s="2"/>
      <c r="AX19" s="2"/>
      <c r="AY19" s="2"/>
      <c r="AZ19" s="2"/>
      <c r="BA19" s="2"/>
      <c r="BB19" s="2"/>
      <c r="BI19" s="14"/>
      <c r="BJ19" s="30"/>
      <c r="BK19" s="30"/>
    </row>
    <row r="20" spans="1:63" ht="13" x14ac:dyDescent="0.3">
      <c r="A20">
        <v>4</v>
      </c>
      <c r="B20">
        <v>0</v>
      </c>
      <c r="F20">
        <v>0</v>
      </c>
      <c r="J20">
        <v>0</v>
      </c>
      <c r="N20">
        <v>81</v>
      </c>
      <c r="O20" s="39">
        <f>'Mean Unmarked Rates'!D16</f>
        <v>8.6901763224181361E-2</v>
      </c>
      <c r="P20" s="5">
        <f>O20*N20</f>
        <v>7.0390428211586906</v>
      </c>
      <c r="R20" s="73">
        <v>0</v>
      </c>
      <c r="V20" s="73">
        <v>0</v>
      </c>
      <c r="AO20" s="2"/>
      <c r="AP20" s="2"/>
      <c r="AQ20" s="2"/>
      <c r="AR20" s="2"/>
      <c r="AS20" s="2"/>
      <c r="AT20" s="2"/>
      <c r="AU20" s="2"/>
      <c r="AV20" s="2"/>
      <c r="AW20" s="2"/>
      <c r="AX20" s="2"/>
      <c r="AY20" s="2"/>
      <c r="AZ20" s="2"/>
      <c r="BA20" s="2"/>
      <c r="BB20" s="2"/>
      <c r="BD20" s="2"/>
    </row>
    <row r="21" spans="1:63" s="42" customFormat="1" ht="13" x14ac:dyDescent="0.3">
      <c r="A21" s="42">
        <v>5</v>
      </c>
      <c r="B21" s="42">
        <v>0</v>
      </c>
      <c r="F21" s="42">
        <v>0</v>
      </c>
      <c r="J21" s="42">
        <v>1</v>
      </c>
      <c r="K21" s="95">
        <f>'Mean Unmarked Rates'!D17</f>
        <v>6.7307692307692304E-2</v>
      </c>
      <c r="L21" s="50">
        <f>K21*J21</f>
        <v>6.7307692307692304E-2</v>
      </c>
      <c r="N21" s="42">
        <v>71</v>
      </c>
      <c r="O21" s="95">
        <f>'Mean Unmarked Rates'!D17</f>
        <v>6.7307692307692304E-2</v>
      </c>
      <c r="P21" s="50">
        <f>O21*N21</f>
        <v>4.7788461538461533</v>
      </c>
      <c r="R21" s="71">
        <v>0</v>
      </c>
      <c r="V21" s="71">
        <v>0</v>
      </c>
      <c r="AO21" s="41"/>
      <c r="AP21" s="41"/>
      <c r="AQ21" s="41"/>
      <c r="AR21" s="41"/>
      <c r="AS21" s="41"/>
      <c r="AT21" s="41"/>
      <c r="AU21" s="41"/>
      <c r="AV21" s="41"/>
      <c r="AW21" s="41"/>
      <c r="AX21" s="41"/>
      <c r="AY21" s="41"/>
      <c r="AZ21" s="41"/>
      <c r="BA21" s="41"/>
      <c r="BB21" s="41"/>
      <c r="BD21" s="41"/>
      <c r="BE21" s="41"/>
      <c r="BF21" s="41"/>
      <c r="BG21" s="41"/>
    </row>
    <row r="22" spans="1:63" s="80" customFormat="1" ht="14" x14ac:dyDescent="0.3">
      <c r="A22" s="80" t="s">
        <v>60</v>
      </c>
      <c r="B22" s="80">
        <f>SUM(B17:B21)</f>
        <v>10</v>
      </c>
      <c r="C22" s="81">
        <f>D22/B22</f>
        <v>7.5644949715784865E-2</v>
      </c>
      <c r="D22" s="82">
        <f>SUM(D17:D21)</f>
        <v>0.75644949715784859</v>
      </c>
      <c r="F22" s="80">
        <f>SUM(F17:F21)</f>
        <v>152</v>
      </c>
      <c r="G22" s="81">
        <f>H22/F22</f>
        <v>7.6623114666617809E-2</v>
      </c>
      <c r="H22" s="82">
        <f>SUM(H17:H21)</f>
        <v>11.646713429325906</v>
      </c>
      <c r="J22" s="80">
        <f>SUM(J17:J21)</f>
        <v>1</v>
      </c>
      <c r="K22" s="81">
        <f>L22/J22</f>
        <v>6.7307692307692304E-2</v>
      </c>
      <c r="L22" s="82">
        <f>SUM(L17:L21)</f>
        <v>6.7307692307692304E-2</v>
      </c>
      <c r="N22" s="80">
        <f>SUM(N17:N21)</f>
        <v>152</v>
      </c>
      <c r="O22" s="81">
        <f>P22/N22</f>
        <v>7.774926957240029E-2</v>
      </c>
      <c r="P22" s="82">
        <f>SUM(P17:P21)</f>
        <v>11.817888975004845</v>
      </c>
      <c r="R22" s="80">
        <v>0</v>
      </c>
      <c r="V22" s="80">
        <v>0</v>
      </c>
      <c r="AN22" s="104"/>
      <c r="AO22" s="104"/>
      <c r="AP22" s="104"/>
      <c r="AQ22" s="104"/>
      <c r="AR22" s="104"/>
      <c r="AS22" s="104"/>
      <c r="AT22" s="104"/>
      <c r="AU22" s="104"/>
      <c r="AV22" s="104"/>
      <c r="AW22" s="104"/>
      <c r="AX22" s="104"/>
      <c r="AY22" s="104"/>
      <c r="AZ22" s="104"/>
      <c r="BA22" s="104"/>
      <c r="BB22" s="104"/>
      <c r="BD22" s="83"/>
      <c r="BE22" s="83"/>
      <c r="BF22" s="83"/>
      <c r="BG22" s="105"/>
    </row>
    <row r="23" spans="1:63" s="2" customFormat="1" ht="13" x14ac:dyDescent="0.3">
      <c r="D23" s="8"/>
      <c r="F23" s="8"/>
      <c r="H23" s="8"/>
      <c r="J23" s="8"/>
      <c r="L23" s="8"/>
      <c r="N23" s="8"/>
      <c r="O23" s="25"/>
      <c r="P23" s="8"/>
      <c r="AN23" s="27"/>
      <c r="AO23" s="27"/>
      <c r="AP23" s="27"/>
      <c r="AQ23" s="27"/>
      <c r="AR23" s="27"/>
      <c r="AS23" s="27"/>
      <c r="AT23" s="27"/>
      <c r="AU23" s="27"/>
      <c r="AV23" s="27"/>
      <c r="AW23" s="27"/>
      <c r="AX23" s="27"/>
      <c r="AY23" s="27"/>
      <c r="AZ23" s="27"/>
      <c r="BA23" s="27"/>
      <c r="BB23" s="27"/>
      <c r="BD23" s="29"/>
      <c r="BE23" s="29"/>
      <c r="BF23" s="29"/>
      <c r="BG23" s="28"/>
    </row>
    <row r="24" spans="1:63" s="57" customFormat="1" ht="14" x14ac:dyDescent="0.3">
      <c r="A24" s="57" t="s">
        <v>44</v>
      </c>
      <c r="B24" s="57">
        <f>B16+B22</f>
        <v>10</v>
      </c>
      <c r="C24" s="58">
        <f>D24/B24</f>
        <v>7.5644949715784865E-2</v>
      </c>
      <c r="D24" s="59">
        <f>D16+D22</f>
        <v>0.75644949715784859</v>
      </c>
      <c r="F24" s="57">
        <f>F16+F22</f>
        <v>152</v>
      </c>
      <c r="G24" s="58">
        <f>H24/F24</f>
        <v>7.6623114666617809E-2</v>
      </c>
      <c r="H24" s="59">
        <f>H16+H22</f>
        <v>11.646713429325906</v>
      </c>
      <c r="J24" s="57">
        <f>J16+J22</f>
        <v>3</v>
      </c>
      <c r="K24" s="58">
        <f>L24/J24</f>
        <v>2.2435897435897436E-2</v>
      </c>
      <c r="L24" s="59">
        <f>L16+L22</f>
        <v>6.7307692307692304E-2</v>
      </c>
      <c r="N24" s="57">
        <f>N16+N22</f>
        <v>1704</v>
      </c>
      <c r="O24" s="58">
        <f>P24/N24</f>
        <v>3.7067321925593741E-2</v>
      </c>
      <c r="P24" s="59">
        <f>P16+P22</f>
        <v>63.162716561211738</v>
      </c>
      <c r="R24" s="57">
        <f>R16+R22</f>
        <v>18171</v>
      </c>
      <c r="S24" s="58">
        <f>T24/R24</f>
        <v>2.2574455636423282E-2</v>
      </c>
      <c r="T24" s="59">
        <f>T16+T22</f>
        <v>410.20043336944747</v>
      </c>
      <c r="V24" s="57">
        <f>V16+V22</f>
        <v>51938</v>
      </c>
      <c r="W24" s="58">
        <f>X24/V24</f>
        <v>4.3043659517197526E-2</v>
      </c>
      <c r="X24" s="59">
        <f>X16+X22</f>
        <v>2235.601588004205</v>
      </c>
      <c r="AN24" s="60"/>
      <c r="AO24" s="60"/>
      <c r="AP24" s="60"/>
      <c r="AQ24" s="60"/>
      <c r="AR24" s="60"/>
      <c r="AS24" s="60"/>
      <c r="AT24" s="60"/>
      <c r="AU24" s="60"/>
      <c r="AV24" s="60"/>
      <c r="AW24" s="60"/>
      <c r="AX24" s="60"/>
      <c r="AY24" s="60"/>
      <c r="AZ24" s="60"/>
      <c r="BA24" s="60"/>
      <c r="BB24" s="60"/>
      <c r="BD24" s="61"/>
      <c r="BE24" s="61"/>
      <c r="BF24" s="61"/>
      <c r="BG24" s="62"/>
    </row>
    <row r="25" spans="1:63" s="2" customFormat="1" ht="13" x14ac:dyDescent="0.3">
      <c r="D25" s="8"/>
      <c r="F25" s="8"/>
      <c r="H25" s="8"/>
      <c r="J25" s="8"/>
      <c r="L25" s="8"/>
      <c r="N25" s="8"/>
      <c r="O25" s="25"/>
      <c r="P25" s="8"/>
      <c r="AN25" s="27"/>
      <c r="AO25" s="27"/>
      <c r="AP25" s="27"/>
      <c r="AQ25" s="27"/>
      <c r="AR25" s="27"/>
      <c r="AS25" s="27"/>
      <c r="AT25" s="27"/>
      <c r="AU25" s="27"/>
      <c r="AV25" s="27"/>
      <c r="AW25" s="27"/>
      <c r="AX25" s="27"/>
      <c r="AY25" s="27"/>
      <c r="AZ25" s="27"/>
      <c r="BA25" s="27"/>
      <c r="BB25" s="27"/>
      <c r="BD25" s="29"/>
      <c r="BE25" s="29"/>
      <c r="BF25" s="29"/>
      <c r="BG25" s="28"/>
    </row>
    <row r="26" spans="1:63" s="2" customFormat="1" ht="15.5" x14ac:dyDescent="0.35">
      <c r="A26" s="1" t="s">
        <v>48</v>
      </c>
      <c r="D26" s="8"/>
      <c r="F26" s="8"/>
      <c r="H26" s="8"/>
      <c r="J26" s="8"/>
      <c r="L26" s="8"/>
      <c r="N26" s="8"/>
      <c r="O26" s="25"/>
      <c r="P26" s="8"/>
      <c r="AN26" s="27"/>
      <c r="AO26" s="27"/>
      <c r="AP26" s="27"/>
      <c r="AQ26" s="27"/>
      <c r="AR26" s="27"/>
      <c r="AS26" s="27"/>
      <c r="AT26" s="27"/>
      <c r="AU26" s="27"/>
      <c r="AV26" s="27"/>
      <c r="AW26" s="27"/>
      <c r="AX26" s="27"/>
      <c r="AY26" s="27"/>
      <c r="AZ26" s="27"/>
      <c r="BA26" s="27"/>
      <c r="BB26" s="27"/>
      <c r="BD26" s="29"/>
      <c r="BE26" s="29"/>
      <c r="BF26" s="29"/>
      <c r="BG26" s="28"/>
    </row>
    <row r="27" spans="1:63" x14ac:dyDescent="0.25">
      <c r="D27" s="5"/>
      <c r="P27" s="5"/>
      <c r="BD27" s="29"/>
      <c r="BE27" s="13"/>
      <c r="BF27" s="13"/>
      <c r="BG27" s="6"/>
    </row>
    <row r="28" spans="1:63" s="2" customFormat="1" ht="13" x14ac:dyDescent="0.3">
      <c r="C28" s="2" t="s">
        <v>12</v>
      </c>
      <c r="G28" s="2" t="s">
        <v>5</v>
      </c>
      <c r="K28" s="2" t="s">
        <v>6</v>
      </c>
      <c r="O28" s="2" t="s">
        <v>7</v>
      </c>
      <c r="S28" s="2" t="s">
        <v>8</v>
      </c>
      <c r="W28" s="2" t="s">
        <v>9</v>
      </c>
      <c r="AA28" s="2" t="s">
        <v>10</v>
      </c>
      <c r="AE28" s="2" t="s">
        <v>11</v>
      </c>
      <c r="BD28" s="24"/>
      <c r="BE28" s="24"/>
      <c r="BF28" s="24"/>
      <c r="BG28" s="22"/>
    </row>
    <row r="29" spans="1:63" ht="13" x14ac:dyDescent="0.3">
      <c r="B29" t="s">
        <v>43</v>
      </c>
      <c r="C29" t="s">
        <v>50</v>
      </c>
      <c r="D29" t="s">
        <v>51</v>
      </c>
      <c r="F29" t="s">
        <v>43</v>
      </c>
      <c r="G29" t="s">
        <v>50</v>
      </c>
      <c r="H29" t="s">
        <v>51</v>
      </c>
      <c r="J29" t="s">
        <v>43</v>
      </c>
      <c r="K29" t="s">
        <v>50</v>
      </c>
      <c r="L29" t="s">
        <v>51</v>
      </c>
      <c r="N29" t="s">
        <v>43</v>
      </c>
      <c r="O29" t="s">
        <v>50</v>
      </c>
      <c r="P29" t="s">
        <v>51</v>
      </c>
      <c r="R29" t="s">
        <v>43</v>
      </c>
      <c r="S29" t="s">
        <v>50</v>
      </c>
      <c r="T29" t="s">
        <v>51</v>
      </c>
      <c r="V29" t="s">
        <v>43</v>
      </c>
      <c r="W29" t="s">
        <v>50</v>
      </c>
      <c r="X29" t="s">
        <v>51</v>
      </c>
      <c r="Z29" t="s">
        <v>43</v>
      </c>
      <c r="AA29" t="s">
        <v>50</v>
      </c>
      <c r="AB29" t="s">
        <v>51</v>
      </c>
      <c r="AD29" t="s">
        <v>43</v>
      </c>
      <c r="AE29" t="s">
        <v>50</v>
      </c>
      <c r="AF29" t="s">
        <v>51</v>
      </c>
      <c r="AK29" s="2"/>
      <c r="AL29" s="2"/>
      <c r="BD29" s="29"/>
      <c r="BE29" s="13"/>
      <c r="BF29" s="13"/>
      <c r="BG29" s="6"/>
    </row>
    <row r="30" spans="1:63" ht="13" x14ac:dyDescent="0.3">
      <c r="A30" s="32" t="s">
        <v>65</v>
      </c>
      <c r="AK30" s="2"/>
      <c r="AL30" s="2"/>
      <c r="BD30" s="29"/>
      <c r="BE30" s="13"/>
      <c r="BF30" s="13"/>
      <c r="BG30" s="6"/>
    </row>
    <row r="31" spans="1:63" ht="13" x14ac:dyDescent="0.3">
      <c r="A31" s="32" t="s">
        <v>66</v>
      </c>
      <c r="AK31" s="2"/>
      <c r="AL31" s="2"/>
      <c r="BD31" s="29"/>
      <c r="BE31" s="13"/>
      <c r="BF31" s="13"/>
      <c r="BG31" s="6"/>
    </row>
    <row r="32" spans="1:63" ht="13" x14ac:dyDescent="0.3">
      <c r="A32" t="s">
        <v>31</v>
      </c>
      <c r="B32">
        <v>15637</v>
      </c>
      <c r="C32" s="4">
        <f>'2003 sampling'!D24</f>
        <v>8.1218274111675121E-2</v>
      </c>
      <c r="D32" s="5">
        <f>B32*C32</f>
        <v>1270.0101522842638</v>
      </c>
      <c r="F32">
        <v>11846</v>
      </c>
      <c r="G32" s="4">
        <f>'2003 sampling'!H24</f>
        <v>1.0416666666666666E-2</v>
      </c>
      <c r="H32" s="5">
        <f>F32*G32</f>
        <v>123.39583333333333</v>
      </c>
      <c r="J32">
        <v>4203</v>
      </c>
      <c r="K32" s="4">
        <f>'2003 sampling'!L24</f>
        <v>8.3798882681564241E-2</v>
      </c>
      <c r="L32" s="5">
        <f>J32*K32</f>
        <v>352.20670391061452</v>
      </c>
      <c r="N32">
        <v>1753</v>
      </c>
      <c r="O32" s="4">
        <f>'2003 sampling'!P24</f>
        <v>6.6666666666666666E-2</v>
      </c>
      <c r="P32" s="5">
        <f>N32*O32</f>
        <v>116.86666666666666</v>
      </c>
      <c r="R32">
        <v>569</v>
      </c>
      <c r="S32" s="7">
        <f>'Mean Unmarked Rates'!T43</f>
        <v>0</v>
      </c>
      <c r="T32" s="5">
        <f>R32*S32</f>
        <v>0</v>
      </c>
      <c r="V32">
        <v>0</v>
      </c>
      <c r="Z32">
        <v>0</v>
      </c>
      <c r="AD32">
        <v>0</v>
      </c>
      <c r="AK32" s="2"/>
      <c r="AL32" s="2"/>
      <c r="BD32" s="29"/>
      <c r="BE32" s="13"/>
      <c r="BF32" s="13"/>
      <c r="BG32" s="6"/>
    </row>
    <row r="33" spans="1:70" ht="13" x14ac:dyDescent="0.3">
      <c r="A33" t="s">
        <v>32</v>
      </c>
      <c r="B33">
        <v>391</v>
      </c>
      <c r="C33" s="4">
        <f>'2003 sampling'!D25</f>
        <v>0.10256410256410256</v>
      </c>
      <c r="D33" s="5">
        <f t="shared" ref="D33:D40" si="0">B33*C33</f>
        <v>40.102564102564102</v>
      </c>
      <c r="F33">
        <v>1723</v>
      </c>
      <c r="G33" s="4">
        <f>'2003 sampling'!H25</f>
        <v>0.10227272727272728</v>
      </c>
      <c r="H33" s="5">
        <f>F33*G33</f>
        <v>176.21590909090909</v>
      </c>
      <c r="J33">
        <v>714</v>
      </c>
      <c r="K33" s="4">
        <f>'2003 sampling'!L25</f>
        <v>4.4444444444444446E-2</v>
      </c>
      <c r="L33" s="5">
        <f>J33*K33</f>
        <v>31.733333333333334</v>
      </c>
      <c r="N33">
        <v>557</v>
      </c>
      <c r="O33" s="4">
        <f>'2003 sampling'!P25</f>
        <v>5.6338028169014086E-2</v>
      </c>
      <c r="P33" s="5">
        <f>N33*O33</f>
        <v>31.380281690140844</v>
      </c>
      <c r="R33">
        <v>6</v>
      </c>
      <c r="S33" s="7">
        <f>'Mean Unmarked Rates'!T44</f>
        <v>0</v>
      </c>
      <c r="T33" s="5">
        <f>R33*S33</f>
        <v>0</v>
      </c>
      <c r="V33">
        <v>0</v>
      </c>
      <c r="Z33">
        <v>0</v>
      </c>
      <c r="AB33" s="5"/>
      <c r="AD33">
        <v>0</v>
      </c>
      <c r="AK33" s="2"/>
      <c r="AL33" s="2"/>
      <c r="BD33" s="29"/>
      <c r="BE33" s="13"/>
      <c r="BF33" s="13"/>
      <c r="BG33" s="6"/>
    </row>
    <row r="34" spans="1:70" s="42" customFormat="1" ht="13" x14ac:dyDescent="0.3">
      <c r="A34" s="42" t="s">
        <v>62</v>
      </c>
      <c r="B34" s="42">
        <v>1089</v>
      </c>
      <c r="C34" s="51">
        <f>'Mean Unmarked Rates'!D45</f>
        <v>0</v>
      </c>
      <c r="D34" s="50">
        <f t="shared" si="0"/>
        <v>0</v>
      </c>
      <c r="F34" s="42">
        <v>428</v>
      </c>
      <c r="G34" s="49">
        <f>'2003 sampling'!H26</f>
        <v>0.10144927536231885</v>
      </c>
      <c r="H34" s="50">
        <f>F34*G34</f>
        <v>43.420289855072468</v>
      </c>
      <c r="J34" s="42">
        <v>309</v>
      </c>
      <c r="K34" s="51">
        <f>'Mean Unmarked Rates'!L45</f>
        <v>0</v>
      </c>
      <c r="L34" s="50">
        <f>J34*K34</f>
        <v>0</v>
      </c>
      <c r="N34" s="42">
        <v>12</v>
      </c>
      <c r="O34" s="51">
        <f>'Mean Unmarked Rates'!P45</f>
        <v>0</v>
      </c>
      <c r="P34" s="50">
        <f>N34*O34</f>
        <v>0</v>
      </c>
      <c r="R34" s="42">
        <v>12</v>
      </c>
      <c r="S34" s="78">
        <f>'Mean Unmarked Rates'!D11</f>
        <v>5.3181818181818184E-2</v>
      </c>
      <c r="T34" s="50">
        <f>R34*S34</f>
        <v>0.63818181818181818</v>
      </c>
      <c r="V34" s="42">
        <v>0</v>
      </c>
      <c r="Z34" s="42">
        <v>0</v>
      </c>
      <c r="AD34" s="42">
        <v>0</v>
      </c>
      <c r="AK34" s="41"/>
      <c r="AL34" s="41"/>
      <c r="BD34" s="52"/>
      <c r="BE34" s="53"/>
      <c r="BF34" s="53"/>
      <c r="BG34" s="54"/>
    </row>
    <row r="35" spans="1:70" s="93" customFormat="1" ht="14" x14ac:dyDescent="0.3">
      <c r="A35" s="108" t="s">
        <v>61</v>
      </c>
      <c r="B35" s="108">
        <f>SUM(B30:B34)</f>
        <v>17117</v>
      </c>
      <c r="C35" s="90">
        <f>D35/B35</f>
        <v>7.6538687643093295E-2</v>
      </c>
      <c r="D35" s="108">
        <f>SUM(D32:D34)</f>
        <v>1310.112716386828</v>
      </c>
      <c r="F35" s="108">
        <f>SUM(F30:F34)</f>
        <v>13997</v>
      </c>
      <c r="G35" s="90">
        <f>H35/F35</f>
        <v>2.4507539635587258E-2</v>
      </c>
      <c r="H35" s="108">
        <f>SUM(H32:H34)</f>
        <v>343.03203227931488</v>
      </c>
      <c r="J35" s="108">
        <f>SUM(J30:J34)</f>
        <v>5226</v>
      </c>
      <c r="K35" s="90">
        <f>L35/J35</f>
        <v>7.3467286116331396E-2</v>
      </c>
      <c r="L35" s="108">
        <f>SUM(L32:L34)</f>
        <v>383.94003724394787</v>
      </c>
      <c r="N35" s="108">
        <f>SUM(N30:N34)</f>
        <v>2322</v>
      </c>
      <c r="O35" s="90">
        <f>P35/N35</f>
        <v>6.3844508336265079E-2</v>
      </c>
      <c r="P35" s="108">
        <f>SUM(P32:P34)</f>
        <v>148.24694835680751</v>
      </c>
      <c r="R35" s="108">
        <f>SUM(R30:R34)</f>
        <v>587</v>
      </c>
      <c r="S35" s="90">
        <f>T35/R35</f>
        <v>1.0871921945175779E-3</v>
      </c>
      <c r="T35" s="108">
        <f>SUM(T32:T34)</f>
        <v>0.63818181818181818</v>
      </c>
      <c r="V35" s="109">
        <f>SUM(V30:V34)</f>
        <v>0</v>
      </c>
      <c r="W35" s="90"/>
      <c r="X35" s="108"/>
      <c r="Z35" s="109">
        <f>SUM(Z30:Z34)</f>
        <v>0</v>
      </c>
      <c r="AA35" s="90"/>
      <c r="AB35" s="108"/>
      <c r="AD35" s="41">
        <v>0</v>
      </c>
      <c r="AE35" s="108"/>
      <c r="AF35" s="108"/>
      <c r="AK35" s="108"/>
      <c r="AL35" s="108"/>
    </row>
    <row r="36" spans="1:70" ht="13" x14ac:dyDescent="0.3">
      <c r="A36">
        <v>1</v>
      </c>
      <c r="B36">
        <v>7745</v>
      </c>
      <c r="C36" s="4">
        <f>'2003 sampling'!D28</f>
        <v>0.23809523809523808</v>
      </c>
      <c r="D36" s="5">
        <f t="shared" si="0"/>
        <v>1844.047619047619</v>
      </c>
      <c r="F36">
        <v>12279</v>
      </c>
      <c r="G36" s="4">
        <f>'2003 sampling'!H28</f>
        <v>0.21052631578947367</v>
      </c>
      <c r="H36" s="5">
        <f>F36*G36</f>
        <v>2585.0526315789471</v>
      </c>
      <c r="J36">
        <v>10290</v>
      </c>
      <c r="K36" s="4">
        <f>'2003 sampling'!L28</f>
        <v>0.33333333333333331</v>
      </c>
      <c r="L36" s="5">
        <f>J36*K36</f>
        <v>3430</v>
      </c>
      <c r="N36">
        <v>4022</v>
      </c>
      <c r="O36" s="4">
        <f>'2003 sampling'!P28</f>
        <v>0.31</v>
      </c>
      <c r="P36" s="5">
        <f>N36*O36</f>
        <v>1246.82</v>
      </c>
      <c r="R36">
        <v>1134</v>
      </c>
      <c r="S36" s="4">
        <f>'2003 sampling'!T28</f>
        <v>0.12121212121212122</v>
      </c>
      <c r="T36" s="5">
        <f>R36*S36</f>
        <v>137.45454545454547</v>
      </c>
      <c r="V36">
        <v>186</v>
      </c>
      <c r="W36" s="7">
        <f>'Mean Unmarked Rates'!X43</f>
        <v>0</v>
      </c>
      <c r="X36" s="5">
        <f>V36*W36</f>
        <v>0</v>
      </c>
      <c r="Z36">
        <v>21</v>
      </c>
      <c r="AA36" s="78">
        <f>'Mean Unmarked Rates'!D13</f>
        <v>7.5644949715784865E-2</v>
      </c>
      <c r="AB36" s="5">
        <f>Z36*AA36</f>
        <v>1.5885439440314821</v>
      </c>
      <c r="AD36">
        <v>0</v>
      </c>
      <c r="AJ36" s="2"/>
      <c r="AL36" s="5"/>
      <c r="BD36" s="29"/>
      <c r="BE36" s="13"/>
      <c r="BF36" s="13"/>
      <c r="BG36" s="6"/>
    </row>
    <row r="37" spans="1:70" ht="13" x14ac:dyDescent="0.3">
      <c r="A37">
        <v>2</v>
      </c>
      <c r="B37">
        <v>16082</v>
      </c>
      <c r="C37" s="4">
        <f>'2003 sampling'!D29</f>
        <v>0.13023255813953488</v>
      </c>
      <c r="D37" s="5">
        <f t="shared" si="0"/>
        <v>2094.4</v>
      </c>
      <c r="F37">
        <v>21553</v>
      </c>
      <c r="G37" s="4">
        <f>'2003 sampling'!H29</f>
        <v>0.20754716981132076</v>
      </c>
      <c r="H37" s="5">
        <f>F37*G37</f>
        <v>4473.2641509433961</v>
      </c>
      <c r="J37">
        <v>12075</v>
      </c>
      <c r="K37" s="4">
        <f>'2003 sampling'!L29</f>
        <v>0.29807692307692307</v>
      </c>
      <c r="L37" s="5">
        <f>J37*K37</f>
        <v>3599.2788461538462</v>
      </c>
      <c r="N37">
        <v>19763</v>
      </c>
      <c r="O37" s="4">
        <f>'2003 sampling'!P29</f>
        <v>0.30534351145038169</v>
      </c>
      <c r="P37" s="5">
        <f>N37*O37</f>
        <v>6034.5038167938937</v>
      </c>
      <c r="R37">
        <v>14439</v>
      </c>
      <c r="S37" s="4">
        <f>'2003 sampling'!T29</f>
        <v>0.27741935483870966</v>
      </c>
      <c r="T37" s="5">
        <f>R37*S37</f>
        <v>4005.6580645161289</v>
      </c>
      <c r="V37">
        <v>4176</v>
      </c>
      <c r="W37" s="4">
        <f>'2003 sampling'!X29</f>
        <v>0.23571428571428571</v>
      </c>
      <c r="X37" s="5">
        <f>V37*W37</f>
        <v>984.34285714285716</v>
      </c>
      <c r="Z37">
        <v>598</v>
      </c>
      <c r="AA37" s="4">
        <f>'2003 sampling'!AB29</f>
        <v>0.29411764705882354</v>
      </c>
      <c r="AB37" s="5">
        <f>Z37*AA37</f>
        <v>175.88235294117646</v>
      </c>
      <c r="AD37">
        <v>0</v>
      </c>
      <c r="AJ37" s="2"/>
      <c r="AL37" s="5"/>
    </row>
    <row r="38" spans="1:70" ht="13" x14ac:dyDescent="0.3">
      <c r="A38">
        <v>3</v>
      </c>
      <c r="B38">
        <v>2209</v>
      </c>
      <c r="C38" s="4">
        <f>'2003 sampling'!D30</f>
        <v>0.13513513513513514</v>
      </c>
      <c r="D38" s="5">
        <f t="shared" si="0"/>
        <v>298.51351351351354</v>
      </c>
      <c r="F38">
        <v>1937</v>
      </c>
      <c r="G38" s="4">
        <f>'2003 sampling'!H30</f>
        <v>0.5</v>
      </c>
      <c r="H38" s="5">
        <f>F38*G38</f>
        <v>968.5</v>
      </c>
      <c r="J38">
        <v>2379</v>
      </c>
      <c r="K38" s="4">
        <f>'2003 sampling'!L30</f>
        <v>0.36781609195402298</v>
      </c>
      <c r="L38" s="5">
        <f>J38*K38</f>
        <v>875.0344827586207</v>
      </c>
      <c r="N38">
        <v>4480</v>
      </c>
      <c r="O38" s="4">
        <f>'2003 sampling'!P30</f>
        <v>0.33663366336633666</v>
      </c>
      <c r="P38" s="5">
        <f>N38*O38</f>
        <v>1508.1188118811883</v>
      </c>
      <c r="R38">
        <v>5977</v>
      </c>
      <c r="S38" s="4">
        <f>'2003 sampling'!T30</f>
        <v>0.37</v>
      </c>
      <c r="T38" s="5">
        <f>R38*S38</f>
        <v>2211.4899999999998</v>
      </c>
      <c r="V38">
        <v>1053</v>
      </c>
      <c r="W38" s="4">
        <f>'2003 sampling'!X30</f>
        <v>0.33333333333333331</v>
      </c>
      <c r="X38" s="5">
        <f>V38*W38</f>
        <v>351</v>
      </c>
      <c r="Z38">
        <v>303</v>
      </c>
      <c r="AA38" s="4">
        <f>'2003 sampling'!AB30</f>
        <v>0.31428571428571428</v>
      </c>
      <c r="AB38" s="5">
        <f>Z38*AA38</f>
        <v>95.228571428571428</v>
      </c>
      <c r="AD38">
        <v>0</v>
      </c>
      <c r="AH38" s="2"/>
      <c r="AJ38" s="2"/>
      <c r="AL38" s="5"/>
    </row>
    <row r="39" spans="1:70" ht="13" x14ac:dyDescent="0.3">
      <c r="A39">
        <v>4</v>
      </c>
      <c r="B39">
        <v>74</v>
      </c>
      <c r="C39" s="7">
        <f>'Mean Unmarked Rates'!D50</f>
        <v>0</v>
      </c>
      <c r="D39" s="5">
        <f t="shared" si="0"/>
        <v>0</v>
      </c>
      <c r="F39">
        <v>67</v>
      </c>
      <c r="G39" s="76">
        <f>'Mean Unmarked Rates'!H50</f>
        <v>0</v>
      </c>
      <c r="H39" s="5">
        <f>F39*G39</f>
        <v>0</v>
      </c>
      <c r="J39">
        <v>6</v>
      </c>
      <c r="K39" s="78">
        <f>'Mean Unmarked Rates'!D16</f>
        <v>8.6901763224181361E-2</v>
      </c>
      <c r="L39" s="5">
        <f>J39*K39</f>
        <v>0.52141057934508817</v>
      </c>
      <c r="N39">
        <v>0</v>
      </c>
      <c r="R39">
        <v>0</v>
      </c>
      <c r="V39">
        <v>0</v>
      </c>
      <c r="Z39">
        <v>47</v>
      </c>
      <c r="AA39" s="78">
        <f>'Mean Unmarked Rates'!D16</f>
        <v>8.6901763224181361E-2</v>
      </c>
      <c r="AB39" s="5">
        <f>Z39*AA39</f>
        <v>4.0843828715365236</v>
      </c>
      <c r="AD39">
        <v>0</v>
      </c>
      <c r="AH39" s="2"/>
      <c r="AI39" s="23"/>
      <c r="AJ39" s="23"/>
      <c r="AL39" s="5"/>
    </row>
    <row r="40" spans="1:70" s="42" customFormat="1" ht="13" x14ac:dyDescent="0.3">
      <c r="A40" s="42">
        <v>5</v>
      </c>
      <c r="B40" s="42">
        <v>263</v>
      </c>
      <c r="C40" s="49">
        <f>'2003 sampling'!D32</f>
        <v>0.21698113207547171</v>
      </c>
      <c r="D40" s="50">
        <f t="shared" si="0"/>
        <v>57.066037735849058</v>
      </c>
      <c r="F40" s="42">
        <v>51</v>
      </c>
      <c r="G40" s="51">
        <f>'Mean Unmarked Rates'!H51</f>
        <v>0</v>
      </c>
      <c r="H40" s="50">
        <f>F40*G40</f>
        <v>0</v>
      </c>
      <c r="J40" s="42">
        <v>43</v>
      </c>
      <c r="K40" s="49">
        <f>'2003 sampling'!L32</f>
        <v>0.52631578947368418</v>
      </c>
      <c r="L40" s="50">
        <f>J40*K40</f>
        <v>22.631578947368421</v>
      </c>
      <c r="N40" s="42">
        <v>172</v>
      </c>
      <c r="O40" s="49">
        <f>'2003 sampling'!P32</f>
        <v>0.60606060606060608</v>
      </c>
      <c r="P40" s="50">
        <f>N40*O40</f>
        <v>104.24242424242425</v>
      </c>
      <c r="R40" s="42">
        <v>35</v>
      </c>
      <c r="S40" s="49">
        <f>'2003 sampling'!T32</f>
        <v>0.70588235294117652</v>
      </c>
      <c r="T40" s="50">
        <f>R40*S40</f>
        <v>24.705882352941178</v>
      </c>
      <c r="V40" s="42">
        <v>16</v>
      </c>
      <c r="W40" s="49">
        <f>'2003 sampling'!X32</f>
        <v>0.8</v>
      </c>
      <c r="X40" s="50">
        <f>V40*W40</f>
        <v>12.8</v>
      </c>
      <c r="Z40" s="42">
        <v>1</v>
      </c>
      <c r="AA40" s="49">
        <f>'2003 sampling'!AB32</f>
        <v>0</v>
      </c>
      <c r="AB40" s="50">
        <f>Z40*AA40</f>
        <v>0</v>
      </c>
      <c r="AD40" s="42">
        <v>0</v>
      </c>
      <c r="AJ40" s="41"/>
      <c r="AL40" s="50"/>
    </row>
    <row r="41" spans="1:70" s="79" customFormat="1" ht="14" x14ac:dyDescent="0.3">
      <c r="A41" s="79" t="s">
        <v>60</v>
      </c>
      <c r="B41" s="79">
        <f>SUM(B36:B40)</f>
        <v>26373</v>
      </c>
      <c r="C41" s="81">
        <f>D41/B41</f>
        <v>0.16281906382652642</v>
      </c>
      <c r="D41" s="79">
        <f>SUM(D36:D40)</f>
        <v>4294.0271702969812</v>
      </c>
      <c r="F41" s="79">
        <f>SUM(F36:F40)</f>
        <v>35887</v>
      </c>
      <c r="G41" s="81">
        <f>H41/F41</f>
        <v>0.22366920563218834</v>
      </c>
      <c r="H41" s="79">
        <f>SUM(H36:H40)</f>
        <v>8026.8167825223427</v>
      </c>
      <c r="J41" s="79">
        <f>SUM(J36:J40)</f>
        <v>24793</v>
      </c>
      <c r="K41" s="81">
        <f>L41/J41</f>
        <v>0.31974615086674379</v>
      </c>
      <c r="L41" s="79">
        <f>SUM(L36:L40)</f>
        <v>7927.4663184391793</v>
      </c>
      <c r="N41" s="79">
        <f>SUM(N36:N40)</f>
        <v>28437</v>
      </c>
      <c r="O41" s="81">
        <f>P41/N41</f>
        <v>0.31275046780312643</v>
      </c>
      <c r="P41" s="79">
        <f>SUM(P36:P40)</f>
        <v>8893.6850529175063</v>
      </c>
      <c r="R41" s="79">
        <f>SUM(R36:R40)</f>
        <v>21585</v>
      </c>
      <c r="S41" s="81">
        <f>T41/R41</f>
        <v>0.29554359473354719</v>
      </c>
      <c r="T41" s="79">
        <f>SUM(T36:T40)</f>
        <v>6379.3084923236156</v>
      </c>
      <c r="V41" s="79">
        <f>SUM(V36:V40)</f>
        <v>5431</v>
      </c>
      <c r="W41" s="81">
        <f>X41/V41</f>
        <v>0.24823105452823735</v>
      </c>
      <c r="X41" s="79">
        <f>SUM(X36:X40)</f>
        <v>1348.1428571428571</v>
      </c>
      <c r="Z41" s="79">
        <f>SUM(Z36:Z40)</f>
        <v>970</v>
      </c>
      <c r="AA41" s="81">
        <f>AB41/Z41</f>
        <v>0.28534417647970711</v>
      </c>
      <c r="AB41" s="79">
        <f>SUM(AB36:AB40)</f>
        <v>276.78385118531588</v>
      </c>
      <c r="AD41" s="99">
        <v>0</v>
      </c>
    </row>
    <row r="42" spans="1:70" s="24" customFormat="1" ht="13" x14ac:dyDescent="0.3">
      <c r="G42" s="56"/>
      <c r="S42" s="56"/>
      <c r="W42" s="56"/>
      <c r="AD42" s="70"/>
    </row>
    <row r="43" spans="1:70" s="63" customFormat="1" ht="14" x14ac:dyDescent="0.3">
      <c r="A43" s="63" t="s">
        <v>44</v>
      </c>
      <c r="B43" s="63">
        <f>B35+B41</f>
        <v>43490</v>
      </c>
      <c r="C43" s="58">
        <f>D43/B43</f>
        <v>0.12886042507895629</v>
      </c>
      <c r="D43" s="63">
        <f>D35+D41</f>
        <v>5604.139886683809</v>
      </c>
      <c r="F43" s="63">
        <f>F35+F41</f>
        <v>49884</v>
      </c>
      <c r="G43" s="58">
        <f>H43/F43</f>
        <v>0.16778624037370013</v>
      </c>
      <c r="H43" s="63">
        <f>H35+H41</f>
        <v>8369.8488148016568</v>
      </c>
      <c r="J43" s="63">
        <f>J35+J41</f>
        <v>30019</v>
      </c>
      <c r="K43" s="58">
        <f>L43/J43</f>
        <v>0.27687152655595215</v>
      </c>
      <c r="L43" s="63">
        <f>L35+L41</f>
        <v>8311.4063556831279</v>
      </c>
      <c r="N43" s="63">
        <f>N35+N41</f>
        <v>30759</v>
      </c>
      <c r="O43" s="58">
        <f>P43/N43</f>
        <v>0.29396053191827803</v>
      </c>
      <c r="P43" s="63">
        <f>P35+P41</f>
        <v>9041.9320012743137</v>
      </c>
      <c r="R43" s="63">
        <f>R35+R41</f>
        <v>22172</v>
      </c>
      <c r="S43" s="58">
        <f>T43/R43</f>
        <v>0.28774791061436933</v>
      </c>
      <c r="T43" s="63">
        <f>T35+T41</f>
        <v>6379.9466741417973</v>
      </c>
      <c r="V43" s="63">
        <f>V35+V41</f>
        <v>5431</v>
      </c>
      <c r="W43" s="58">
        <f>X43/V43</f>
        <v>0.24823105452823735</v>
      </c>
      <c r="X43" s="63">
        <f>X35+X41</f>
        <v>1348.1428571428571</v>
      </c>
      <c r="Z43" s="63">
        <f>Z35+Z41</f>
        <v>970</v>
      </c>
      <c r="AA43" s="58">
        <f>AB43/Z43</f>
        <v>0.28534417647970711</v>
      </c>
      <c r="AB43" s="63">
        <f>AB35+AB41</f>
        <v>276.78385118531588</v>
      </c>
      <c r="AD43" s="46">
        <v>0</v>
      </c>
      <c r="AE43" s="58"/>
    </row>
    <row r="44" spans="1:70" ht="13" x14ac:dyDescent="0.3">
      <c r="A44" s="2"/>
      <c r="AD44" s="44"/>
      <c r="BD44" s="2"/>
      <c r="BE44" s="2"/>
      <c r="BF44" s="2"/>
      <c r="BG44" s="2"/>
      <c r="BH44" s="2"/>
      <c r="BI44" s="2"/>
      <c r="BJ44" s="2"/>
      <c r="BK44" s="2"/>
      <c r="BL44" s="2"/>
      <c r="BM44" s="2"/>
      <c r="BN44" s="2"/>
      <c r="BO44" s="2"/>
      <c r="BP44" s="2"/>
      <c r="BQ44" s="2"/>
    </row>
    <row r="45" spans="1:70" ht="13" x14ac:dyDescent="0.3">
      <c r="A45" s="2"/>
      <c r="BD45" s="2"/>
      <c r="BE45" s="2"/>
      <c r="BF45" s="2"/>
      <c r="BG45" s="2"/>
      <c r="BH45" s="2"/>
      <c r="BI45" s="2"/>
      <c r="BJ45" s="2"/>
      <c r="BK45" s="2"/>
      <c r="BL45" s="2"/>
      <c r="BM45" s="2"/>
      <c r="BN45" s="2"/>
      <c r="BO45" s="2"/>
      <c r="BP45" s="2"/>
      <c r="BQ45" s="2"/>
    </row>
    <row r="46" spans="1:70" x14ac:dyDescent="0.25">
      <c r="BD46" s="5"/>
      <c r="BE46" s="5"/>
      <c r="BF46" s="5"/>
      <c r="BG46" s="5"/>
      <c r="BH46" s="5"/>
      <c r="BI46" s="5"/>
      <c r="BJ46" s="5"/>
      <c r="BK46" s="5"/>
      <c r="BL46" s="5"/>
      <c r="BM46" s="5"/>
      <c r="BN46" s="5"/>
      <c r="BO46" s="5"/>
      <c r="BP46" s="5"/>
      <c r="BQ46" s="5"/>
      <c r="BR46" s="5"/>
    </row>
    <row r="47" spans="1:70" ht="15.5" x14ac:dyDescent="0.35">
      <c r="A47" s="1" t="s">
        <v>87</v>
      </c>
      <c r="BD47" s="5"/>
      <c r="BE47" s="5"/>
      <c r="BJ47" s="5"/>
      <c r="BK47" s="5"/>
      <c r="BL47" s="5"/>
      <c r="BM47" s="5"/>
      <c r="BN47" s="5"/>
      <c r="BO47" s="5"/>
      <c r="BP47" s="5"/>
      <c r="BQ47" s="5"/>
      <c r="BR47" s="5"/>
    </row>
    <row r="48" spans="1:70" ht="15.5" x14ac:dyDescent="0.35">
      <c r="A48" s="1"/>
      <c r="BD48" s="5"/>
      <c r="BE48" s="5"/>
      <c r="BJ48" s="5"/>
      <c r="BK48" s="5"/>
      <c r="BL48" s="5"/>
      <c r="BM48" s="5"/>
      <c r="BN48" s="5"/>
      <c r="BO48" s="5"/>
      <c r="BP48" s="5"/>
      <c r="BQ48" s="5"/>
      <c r="BR48" s="5"/>
    </row>
    <row r="49" spans="1:70" ht="13" x14ac:dyDescent="0.3">
      <c r="B49" s="2" t="s">
        <v>44</v>
      </c>
      <c r="C49" s="2" t="s">
        <v>55</v>
      </c>
      <c r="D49" s="2" t="s">
        <v>56</v>
      </c>
      <c r="BD49" s="5"/>
      <c r="BE49" s="5"/>
      <c r="BF49" s="5"/>
      <c r="BJ49" s="5"/>
      <c r="BK49" s="5"/>
      <c r="BL49" s="5"/>
      <c r="BM49" s="5"/>
      <c r="BN49" s="5"/>
      <c r="BO49" s="5"/>
      <c r="BP49" s="5"/>
      <c r="BQ49" s="5"/>
      <c r="BR49" s="5"/>
    </row>
    <row r="50" spans="1:70" ht="13" x14ac:dyDescent="0.3">
      <c r="A50" s="32" t="s">
        <v>65</v>
      </c>
      <c r="B50" s="2"/>
      <c r="C50" s="2"/>
      <c r="D50" s="2"/>
      <c r="BD50" s="5"/>
      <c r="BE50" s="5"/>
      <c r="BF50" s="5"/>
      <c r="BJ50" s="5"/>
      <c r="BK50" s="5"/>
      <c r="BL50" s="5"/>
      <c r="BM50" s="5"/>
      <c r="BN50" s="5"/>
      <c r="BO50" s="5"/>
      <c r="BP50" s="5"/>
      <c r="BQ50" s="5"/>
      <c r="BR50" s="5"/>
    </row>
    <row r="51" spans="1:70" ht="13" x14ac:dyDescent="0.3">
      <c r="A51" s="32" t="s">
        <v>66</v>
      </c>
      <c r="B51" s="2"/>
      <c r="C51" s="2"/>
      <c r="D51" s="2"/>
      <c r="BD51" s="5"/>
      <c r="BE51" s="5"/>
      <c r="BF51" s="5"/>
      <c r="BJ51" s="5"/>
      <c r="BK51" s="5"/>
      <c r="BL51" s="5"/>
      <c r="BM51" s="5"/>
      <c r="BN51" s="5"/>
      <c r="BO51" s="5"/>
      <c r="BP51" s="5"/>
      <c r="BQ51" s="5"/>
      <c r="BR51" s="5"/>
    </row>
    <row r="52" spans="1:70" x14ac:dyDescent="0.25">
      <c r="A52" t="s">
        <v>31</v>
      </c>
      <c r="B52" s="29">
        <f>B13+F13+J13+N13+R13+V13+B32+F32+J32+N32+R32+V32+Z32+AD32</f>
        <v>91435</v>
      </c>
      <c r="C52" s="65">
        <f>D13+H13+L13+P13+T13+X13+D32+H32+L32+P32+T32+X32+AB32+AF32</f>
        <v>3288.3424605974087</v>
      </c>
      <c r="D52" s="3">
        <f>C52/B52</f>
        <v>3.5963716963935133E-2</v>
      </c>
      <c r="BD52" s="5"/>
      <c r="BE52" s="5"/>
      <c r="BF52" s="5"/>
      <c r="BJ52" s="5"/>
      <c r="BK52" s="5"/>
      <c r="BL52" s="5"/>
      <c r="BM52" s="5"/>
      <c r="BN52" s="5"/>
      <c r="BO52" s="5"/>
      <c r="BP52" s="5"/>
      <c r="BQ52" s="5"/>
      <c r="BR52" s="5"/>
    </row>
    <row r="53" spans="1:70" x14ac:dyDescent="0.25">
      <c r="A53" t="s">
        <v>32</v>
      </c>
      <c r="B53" s="29">
        <f>B14+F14+J14+N14+R14+V14+B33+F33+J33+N33+R33+V33+Z33+AD33</f>
        <v>3879</v>
      </c>
      <c r="C53" s="65">
        <f>D14+H14+L14+P14+T14+X14+D33+H33+L33+P33+T33+X33+AB33+AF33</f>
        <v>279.43208821694742</v>
      </c>
      <c r="D53" s="3">
        <f>C53/B53</f>
        <v>7.203714571202563E-2</v>
      </c>
      <c r="BD53" s="5"/>
      <c r="BE53" s="5"/>
      <c r="BF53" s="5"/>
      <c r="BJ53" s="5"/>
      <c r="BK53" s="5"/>
      <c r="BL53" s="5"/>
      <c r="BM53" s="5"/>
      <c r="BN53" s="5"/>
      <c r="BO53" s="5"/>
      <c r="BP53" s="5"/>
      <c r="BQ53" s="5"/>
      <c r="BR53" s="5"/>
    </row>
    <row r="54" spans="1:70" x14ac:dyDescent="0.25">
      <c r="A54" s="42" t="s">
        <v>62</v>
      </c>
      <c r="B54" s="52">
        <f>B15+F15+J15+N15+R15+V15+B34+F34+J34+N34+R34+V34+Z34+AD34</f>
        <v>15598</v>
      </c>
      <c r="C54" s="66">
        <f>D15+H15+L15+P15+T15+X15+D34+H34+L34+P34+T34+X34+AB34+AF34</f>
        <v>1315.342216230584</v>
      </c>
      <c r="D54" s="43">
        <f>C54/B54</f>
        <v>8.4327619966058726E-2</v>
      </c>
      <c r="BD54" s="5"/>
      <c r="BE54" s="5"/>
      <c r="BF54" s="5"/>
      <c r="BJ54" s="5"/>
      <c r="BK54" s="5"/>
      <c r="BL54" s="5"/>
      <c r="BM54" s="5"/>
      <c r="BN54" s="5"/>
      <c r="BO54" s="5"/>
      <c r="BP54" s="5"/>
      <c r="BQ54" s="5"/>
      <c r="BR54" s="5"/>
    </row>
    <row r="55" spans="1:70" ht="13" x14ac:dyDescent="0.3">
      <c r="A55" s="99" t="s">
        <v>61</v>
      </c>
      <c r="B55" s="106">
        <f>SUM(B50:B54)</f>
        <v>110912</v>
      </c>
      <c r="C55" s="106">
        <f>SUM(C50:C54)</f>
        <v>4883.1167650449397</v>
      </c>
      <c r="D55" s="101">
        <f>C55/B55</f>
        <v>4.4026947174741593E-2</v>
      </c>
      <c r="BD55" s="5"/>
      <c r="BE55" s="5"/>
      <c r="BF55" s="5"/>
      <c r="BJ55" s="5"/>
      <c r="BK55" s="5"/>
      <c r="BL55" s="5"/>
      <c r="BM55" s="5"/>
      <c r="BN55" s="5"/>
      <c r="BO55" s="5"/>
      <c r="BP55" s="5"/>
      <c r="BQ55" s="5"/>
      <c r="BR55" s="5"/>
    </row>
    <row r="56" spans="1:70" x14ac:dyDescent="0.25">
      <c r="A56">
        <v>1</v>
      </c>
      <c r="B56" s="13">
        <f>B17+F17+J17+N17+B36+F36+J36+N36+R36+V36+Z36+AD36</f>
        <v>35819</v>
      </c>
      <c r="C56" s="64">
        <f>D17+H17+L17+P17+D36+H36+L36+P36+T36+X36+AB36+AF36</f>
        <v>9255.7049228847845</v>
      </c>
      <c r="D56" s="3">
        <f>C56/B56</f>
        <v>0.25840210287514404</v>
      </c>
      <c r="BD56" s="5"/>
      <c r="BE56" s="5"/>
      <c r="BF56" s="5"/>
      <c r="BJ56" s="5"/>
      <c r="BK56" s="5"/>
      <c r="BL56" s="5"/>
      <c r="BM56" s="5"/>
      <c r="BN56" s="5"/>
      <c r="BO56" s="5"/>
      <c r="BP56" s="5"/>
      <c r="BQ56" s="5"/>
      <c r="BR56" s="5"/>
    </row>
    <row r="57" spans="1:70" x14ac:dyDescent="0.25">
      <c r="A57">
        <v>2</v>
      </c>
      <c r="B57" s="13">
        <f>B18+F18+J18+N18+B37+F37+J37+N37+R37+V37+Z37+AD37</f>
        <v>88703</v>
      </c>
      <c r="C57" s="64">
        <f>D18+H18+L18+P18+D37+H37+L37+P37+T37+X37+AB37+AF37</f>
        <v>21368.814055237141</v>
      </c>
      <c r="D57" s="3">
        <f t="shared" ref="D57:D63" si="1">C57/B57</f>
        <v>0.24090294640809376</v>
      </c>
      <c r="BD57" s="5"/>
      <c r="BE57" s="5"/>
      <c r="BF57" s="5"/>
      <c r="BG57" s="5"/>
      <c r="BJ57" s="5"/>
      <c r="BK57" s="5"/>
      <c r="BL57" s="5"/>
      <c r="BM57" s="5"/>
      <c r="BN57" s="5"/>
      <c r="BO57" s="5"/>
      <c r="BP57" s="5"/>
      <c r="BQ57" s="5"/>
      <c r="BR57" s="5"/>
    </row>
    <row r="58" spans="1:70" x14ac:dyDescent="0.25">
      <c r="A58">
        <v>3</v>
      </c>
      <c r="B58" s="13">
        <f>B19+F19+J19+N19+B38+F38+J38+N38+R38+V38+Z38+AD38</f>
        <v>18341</v>
      </c>
      <c r="C58" s="64">
        <f>D19+H19+L19+P19+D38+H38+L38+P38+T38+X38+AB38+AF38</f>
        <v>6308.0629929028928</v>
      </c>
      <c r="D58" s="3">
        <f t="shared" si="1"/>
        <v>0.34393233699923081</v>
      </c>
      <c r="K58" s="7"/>
      <c r="L58" s="5"/>
      <c r="BD58" s="5"/>
      <c r="BE58" s="5"/>
      <c r="BF58" s="5"/>
      <c r="BG58" s="5"/>
      <c r="BJ58" s="5"/>
      <c r="BK58" s="5"/>
      <c r="BL58" s="5"/>
      <c r="BM58" s="5"/>
      <c r="BN58" s="5"/>
      <c r="BO58" s="5"/>
      <c r="BP58" s="5"/>
      <c r="BQ58" s="5"/>
      <c r="BR58" s="5"/>
    </row>
    <row r="59" spans="1:70" x14ac:dyDescent="0.25">
      <c r="A59">
        <v>4</v>
      </c>
      <c r="B59" s="13">
        <f>B20+F20+J20+N20+B39+F39+J39+N39+R39+V39+Z39+AD39</f>
        <v>275</v>
      </c>
      <c r="C59" s="64">
        <f>D20+H20+L20+P20+D39+H39+L39+P39+T39+X39+AB39+AF39</f>
        <v>11.644836272040301</v>
      </c>
      <c r="D59" s="3">
        <f t="shared" si="1"/>
        <v>4.234485917105564E-2</v>
      </c>
      <c r="K59" s="7"/>
      <c r="L59" s="5"/>
      <c r="BD59" s="5"/>
      <c r="BE59" s="5"/>
      <c r="BF59" s="5"/>
      <c r="BG59" s="5"/>
      <c r="BH59" s="5"/>
      <c r="BI59" s="5"/>
      <c r="BJ59" s="5"/>
      <c r="BK59" s="5"/>
      <c r="BL59" s="5"/>
      <c r="BM59" s="5"/>
      <c r="BN59" s="5"/>
      <c r="BO59" s="5"/>
      <c r="BP59" s="5"/>
    </row>
    <row r="60" spans="1:70" s="2" customFormat="1" ht="13" x14ac:dyDescent="0.3">
      <c r="A60" s="42">
        <v>5</v>
      </c>
      <c r="B60" s="53">
        <f>B21+F21+J21+N21+B40+F40+J40+N40+R40+V40+Z40+AD40</f>
        <v>653</v>
      </c>
      <c r="C60" s="98">
        <f>D21+H21+L21+P21+D40+H40+L40+P40+T40+X40+AB40+AF40</f>
        <v>226.29207712473678</v>
      </c>
      <c r="D60" s="43">
        <f t="shared" si="1"/>
        <v>0.34654223143144991</v>
      </c>
      <c r="F60" s="8"/>
      <c r="J60" s="8"/>
      <c r="L60" s="8"/>
      <c r="BC60"/>
      <c r="BD60"/>
      <c r="BE60"/>
      <c r="BF60"/>
      <c r="BG60"/>
      <c r="BH60"/>
      <c r="BI60"/>
      <c r="BJ60"/>
      <c r="BK60"/>
      <c r="BL60"/>
      <c r="BM60"/>
      <c r="BN60"/>
      <c r="BO60"/>
      <c r="BP60"/>
      <c r="BQ60"/>
    </row>
    <row r="61" spans="1:70" ht="13" x14ac:dyDescent="0.3">
      <c r="A61" s="99" t="s">
        <v>60</v>
      </c>
      <c r="B61" s="100">
        <f>SUM(B56:B60)</f>
        <v>143791</v>
      </c>
      <c r="C61" s="100">
        <f>SUM(C56:C60)</f>
        <v>37170.518884421595</v>
      </c>
      <c r="D61" s="101">
        <f t="shared" si="1"/>
        <v>0.25850379289678488</v>
      </c>
      <c r="BC61" s="2"/>
      <c r="BD61" s="2"/>
      <c r="BE61" s="2"/>
      <c r="BF61" s="2"/>
      <c r="BG61" s="2"/>
      <c r="BH61" s="2"/>
      <c r="BI61" s="2"/>
      <c r="BJ61" s="2"/>
      <c r="BK61" s="2"/>
      <c r="BL61" s="2"/>
      <c r="BM61" s="2"/>
      <c r="BN61" s="2"/>
      <c r="BO61" s="2"/>
      <c r="BP61" s="2"/>
      <c r="BQ61" s="2"/>
    </row>
    <row r="62" spans="1:70" ht="13" x14ac:dyDescent="0.3">
      <c r="A62" s="2"/>
    </row>
    <row r="63" spans="1:70" ht="13" x14ac:dyDescent="0.3">
      <c r="A63" s="2" t="s">
        <v>69</v>
      </c>
      <c r="B63" s="40">
        <f>B55+B61</f>
        <v>254703</v>
      </c>
      <c r="C63" s="40">
        <f>C55+C61</f>
        <v>42053.635649466538</v>
      </c>
      <c r="D63" s="55">
        <f t="shared" si="1"/>
        <v>0.16510852109895266</v>
      </c>
    </row>
    <row r="64" spans="1:70" ht="13" x14ac:dyDescent="0.3">
      <c r="C64" s="4"/>
      <c r="D64" s="5"/>
      <c r="G64" s="4"/>
      <c r="H64" s="5"/>
      <c r="K64" s="4"/>
      <c r="L64" s="5"/>
      <c r="O64" s="4"/>
      <c r="P64" s="5"/>
      <c r="S64" s="4"/>
      <c r="T64" s="5"/>
      <c r="W64" s="7"/>
      <c r="X64" s="5"/>
      <c r="AK64" s="2"/>
      <c r="AL64" s="2"/>
    </row>
    <row r="65" spans="1:69" ht="13" x14ac:dyDescent="0.3">
      <c r="C65" s="4"/>
      <c r="D65" s="5"/>
      <c r="G65" s="4"/>
      <c r="H65" s="5"/>
      <c r="K65" s="4"/>
      <c r="L65" s="5"/>
      <c r="O65" s="4"/>
      <c r="P65" s="5"/>
      <c r="S65" s="4"/>
      <c r="T65" s="5"/>
      <c r="W65" s="4"/>
      <c r="X65" s="5"/>
      <c r="AA65" s="4"/>
      <c r="AB65" s="5"/>
      <c r="AJ65" s="2"/>
      <c r="AL65" s="5"/>
    </row>
    <row r="66" spans="1:69" ht="13" x14ac:dyDescent="0.3">
      <c r="C66" s="4"/>
      <c r="D66" s="5"/>
      <c r="G66" s="4"/>
      <c r="H66" s="5"/>
      <c r="K66" s="4"/>
      <c r="L66" s="5"/>
      <c r="O66" s="4"/>
      <c r="P66" s="5"/>
      <c r="S66" s="4"/>
      <c r="T66" s="5"/>
      <c r="W66" s="4"/>
      <c r="X66" s="5"/>
      <c r="AA66" s="4"/>
      <c r="AB66" s="5"/>
      <c r="AH66" s="2"/>
      <c r="AJ66" s="2"/>
      <c r="AL66" s="5"/>
    </row>
    <row r="67" spans="1:69" ht="13" x14ac:dyDescent="0.3">
      <c r="S67" s="7"/>
      <c r="T67" s="5"/>
      <c r="AA67" s="7"/>
      <c r="AB67" s="5"/>
      <c r="AG67" s="2"/>
      <c r="AH67" s="2"/>
      <c r="AI67" s="23"/>
      <c r="AJ67" s="2"/>
      <c r="AL67" s="5"/>
    </row>
    <row r="68" spans="1:69" ht="13" x14ac:dyDescent="0.3">
      <c r="C68" s="7"/>
      <c r="D68" s="5"/>
      <c r="G68" s="7"/>
      <c r="H68" s="5"/>
      <c r="K68" s="7"/>
      <c r="L68" s="5"/>
      <c r="O68" s="4"/>
      <c r="P68" s="5"/>
      <c r="S68" s="4"/>
      <c r="T68" s="5"/>
      <c r="W68" s="7"/>
      <c r="X68" s="5"/>
      <c r="AA68" s="7"/>
      <c r="AB68" s="5"/>
      <c r="AJ68" s="23"/>
      <c r="AL68" s="5"/>
    </row>
    <row r="69" spans="1:69" s="2" customFormat="1" ht="13" x14ac:dyDescent="0.3">
      <c r="B69" s="8"/>
      <c r="D69" s="8"/>
      <c r="F69" s="8"/>
      <c r="H69" s="8"/>
      <c r="J69" s="8"/>
      <c r="L69" s="8"/>
      <c r="N69" s="8"/>
      <c r="O69" s="26"/>
      <c r="P69" s="8"/>
      <c r="R69" s="8"/>
      <c r="S69" s="26"/>
      <c r="T69" s="8"/>
      <c r="V69" s="8"/>
      <c r="W69" s="26"/>
      <c r="X69" s="8"/>
      <c r="Z69" s="8"/>
      <c r="AB69" s="8"/>
      <c r="AG69" s="8"/>
      <c r="AH69" s="24"/>
      <c r="AI69" s="24"/>
      <c r="AK69"/>
      <c r="AL69" s="5"/>
      <c r="BC69"/>
      <c r="BD69"/>
      <c r="BE69"/>
      <c r="BF69"/>
      <c r="BG69"/>
      <c r="BH69"/>
      <c r="BI69"/>
      <c r="BJ69"/>
      <c r="BK69"/>
      <c r="BL69"/>
      <c r="BM69"/>
      <c r="BN69"/>
      <c r="BO69"/>
      <c r="BP69"/>
      <c r="BQ69"/>
    </row>
    <row r="70" spans="1:69" ht="13" x14ac:dyDescent="0.3">
      <c r="BC70" s="2"/>
      <c r="BD70" s="2"/>
      <c r="BE70" s="2"/>
      <c r="BF70" s="2"/>
      <c r="BG70" s="2"/>
      <c r="BH70" s="2"/>
      <c r="BI70" s="2"/>
      <c r="BJ70" s="2"/>
      <c r="BK70" s="2"/>
      <c r="BL70" s="2"/>
      <c r="BM70" s="2"/>
      <c r="BN70" s="2"/>
      <c r="BO70" s="2"/>
      <c r="BP70" s="2"/>
      <c r="BQ70" s="2"/>
    </row>
    <row r="71" spans="1:69" ht="13" x14ac:dyDescent="0.3">
      <c r="A71" s="2"/>
      <c r="AL71" s="5"/>
    </row>
    <row r="74" spans="1:69" x14ac:dyDescent="0.25">
      <c r="C74" s="7"/>
      <c r="D74" s="5"/>
    </row>
    <row r="75" spans="1:69" x14ac:dyDescent="0.25">
      <c r="C75" s="7"/>
      <c r="D75" s="5"/>
      <c r="G75" s="7"/>
      <c r="H75" s="5"/>
    </row>
    <row r="76" spans="1:69" x14ac:dyDescent="0.25">
      <c r="G76" s="7"/>
      <c r="H76" s="5"/>
    </row>
    <row r="77" spans="1:69" x14ac:dyDescent="0.25">
      <c r="O77" s="7"/>
      <c r="P77" s="5"/>
    </row>
    <row r="78" spans="1:69" x14ac:dyDescent="0.25">
      <c r="K78" s="7"/>
      <c r="L78" s="5"/>
      <c r="O78" s="7"/>
      <c r="P78" s="5"/>
    </row>
    <row r="79" spans="1:69" s="2" customFormat="1" ht="13" x14ac:dyDescent="0.3">
      <c r="B79" s="8"/>
      <c r="D79" s="8"/>
      <c r="F79" s="8"/>
      <c r="H79" s="8"/>
      <c r="J79" s="8"/>
      <c r="K79" s="25"/>
      <c r="L79" s="8"/>
      <c r="N79" s="8"/>
      <c r="O79" s="25"/>
      <c r="P79" s="8"/>
      <c r="S79" s="8"/>
      <c r="BC79"/>
      <c r="BD79"/>
      <c r="BE79"/>
      <c r="BF79"/>
      <c r="BG79"/>
      <c r="BH79"/>
      <c r="BI79"/>
      <c r="BJ79"/>
      <c r="BK79"/>
      <c r="BL79"/>
      <c r="BM79"/>
      <c r="BN79"/>
      <c r="BO79"/>
      <c r="BP79"/>
      <c r="BQ79"/>
    </row>
    <row r="80" spans="1:69" ht="13" x14ac:dyDescent="0.3">
      <c r="BC80" s="2"/>
      <c r="BD80" s="2"/>
      <c r="BE80" s="2"/>
      <c r="BF80" s="2"/>
      <c r="BG80" s="2"/>
      <c r="BH80" s="2"/>
      <c r="BI80" s="2"/>
      <c r="BJ80" s="2"/>
      <c r="BK80" s="2"/>
      <c r="BL80" s="2"/>
      <c r="BM80" s="2"/>
      <c r="BN80" s="2"/>
      <c r="BO80" s="2"/>
      <c r="BP80" s="2"/>
      <c r="BQ80" s="2"/>
    </row>
    <row r="82" spans="1:69" ht="13" x14ac:dyDescent="0.3">
      <c r="AK82" s="2"/>
      <c r="AL82" s="2"/>
    </row>
    <row r="83" spans="1:69" ht="13" x14ac:dyDescent="0.3">
      <c r="C83" s="4"/>
      <c r="D83" s="5"/>
      <c r="G83" s="4"/>
      <c r="H83" s="5"/>
      <c r="K83" s="4"/>
      <c r="L83" s="5"/>
      <c r="O83" s="4"/>
      <c r="P83" s="5"/>
      <c r="S83" s="4"/>
      <c r="T83" s="5"/>
      <c r="W83" s="4"/>
      <c r="X83" s="5"/>
      <c r="AJ83" s="2"/>
      <c r="AL83" s="5"/>
    </row>
    <row r="84" spans="1:69" ht="13" x14ac:dyDescent="0.3">
      <c r="C84" s="4"/>
      <c r="D84" s="5"/>
      <c r="G84" s="4"/>
      <c r="H84" s="5"/>
      <c r="K84" s="4"/>
      <c r="L84" s="5"/>
      <c r="O84" s="4"/>
      <c r="P84" s="5"/>
      <c r="S84" s="4"/>
      <c r="T84" s="5"/>
      <c r="W84" s="4"/>
      <c r="X84" s="5"/>
      <c r="AA84" s="4"/>
      <c r="AB84" s="5"/>
      <c r="AJ84" s="2"/>
      <c r="AL84" s="5"/>
    </row>
    <row r="85" spans="1:69" ht="13" x14ac:dyDescent="0.3">
      <c r="C85" s="4"/>
      <c r="D85" s="5"/>
      <c r="G85" s="4"/>
      <c r="H85" s="5"/>
      <c r="K85" s="4"/>
      <c r="L85" s="5"/>
      <c r="O85" s="4"/>
      <c r="P85" s="5"/>
      <c r="S85" s="4"/>
      <c r="T85" s="5"/>
      <c r="W85" s="4"/>
      <c r="X85" s="5"/>
      <c r="AA85" s="4"/>
      <c r="AB85" s="5"/>
      <c r="AH85" s="2"/>
      <c r="AJ85" s="2"/>
      <c r="AL85" s="5"/>
    </row>
    <row r="86" spans="1:69" ht="13" x14ac:dyDescent="0.3">
      <c r="C86" s="4"/>
      <c r="D86" s="5"/>
      <c r="G86" s="7"/>
      <c r="H86" s="5"/>
      <c r="K86" s="7"/>
      <c r="L86" s="5"/>
      <c r="O86" s="4"/>
      <c r="P86" s="5"/>
      <c r="S86" s="7"/>
      <c r="T86" s="5"/>
      <c r="W86" s="7"/>
      <c r="X86" s="5"/>
      <c r="AA86" s="7"/>
      <c r="AH86" s="2"/>
      <c r="AI86" s="23"/>
      <c r="AJ86" s="23"/>
      <c r="AL86" s="5"/>
    </row>
    <row r="87" spans="1:69" ht="13" x14ac:dyDescent="0.3">
      <c r="C87" s="4"/>
      <c r="D87" s="5"/>
      <c r="G87" s="4"/>
      <c r="H87" s="5"/>
      <c r="K87" s="4"/>
      <c r="L87" s="5"/>
      <c r="O87" s="4"/>
      <c r="P87" s="5"/>
      <c r="S87" s="4"/>
      <c r="T87" s="5"/>
      <c r="W87" s="4"/>
      <c r="X87" s="5"/>
      <c r="AA87" s="4"/>
      <c r="AB87" s="5"/>
      <c r="AJ87" s="2"/>
      <c r="AL87" s="5"/>
    </row>
    <row r="88" spans="1:69" s="2" customFormat="1" ht="13" x14ac:dyDescent="0.3">
      <c r="B88" s="8"/>
      <c r="C88" s="26"/>
      <c r="D88" s="8"/>
      <c r="F88" s="8"/>
      <c r="G88" s="26"/>
      <c r="H88" s="8"/>
      <c r="J88" s="8"/>
      <c r="K88" s="26"/>
      <c r="L88" s="8"/>
      <c r="N88" s="8"/>
      <c r="O88" s="26"/>
      <c r="P88" s="8"/>
      <c r="R88" s="8"/>
      <c r="S88" s="26"/>
      <c r="T88" s="8"/>
      <c r="V88" s="8"/>
      <c r="W88" s="26"/>
      <c r="X88" s="8"/>
      <c r="Z88" s="8"/>
      <c r="AA88" s="26"/>
      <c r="AB88" s="8"/>
      <c r="AH88" s="24"/>
      <c r="AI88" s="24"/>
      <c r="AJ88" s="24"/>
      <c r="AK88" s="24"/>
      <c r="AL88" s="24"/>
      <c r="BC88"/>
      <c r="BD88"/>
      <c r="BE88"/>
      <c r="BF88"/>
      <c r="BG88"/>
      <c r="BH88"/>
      <c r="BI88"/>
      <c r="BJ88"/>
      <c r="BK88"/>
      <c r="BL88"/>
      <c r="BM88"/>
      <c r="BN88"/>
      <c r="BO88"/>
      <c r="BP88"/>
      <c r="BQ88"/>
    </row>
    <row r="89" spans="1:69" ht="13" x14ac:dyDescent="0.3">
      <c r="AL89" s="5"/>
      <c r="BC89" s="2"/>
      <c r="BD89" s="2"/>
      <c r="BE89" s="2"/>
      <c r="BF89" s="2"/>
      <c r="BG89" s="2"/>
      <c r="BH89" s="2"/>
      <c r="BI89" s="2"/>
      <c r="BJ89" s="2"/>
      <c r="BK89" s="2"/>
      <c r="BL89" s="2"/>
      <c r="BM89" s="2"/>
      <c r="BN89" s="2"/>
      <c r="BO89" s="2"/>
      <c r="BP89" s="2"/>
      <c r="BQ89" s="2"/>
    </row>
    <row r="90" spans="1:69" ht="13" x14ac:dyDescent="0.3">
      <c r="A90" s="2"/>
    </row>
    <row r="93" spans="1:69" x14ac:dyDescent="0.25">
      <c r="C93" s="7"/>
      <c r="D93" s="5"/>
      <c r="G93" s="7"/>
      <c r="H93" s="5"/>
    </row>
    <row r="94" spans="1:69" x14ac:dyDescent="0.25">
      <c r="G94" s="7"/>
      <c r="H94" s="5"/>
    </row>
    <row r="95" spans="1:69" x14ac:dyDescent="0.25">
      <c r="G95" s="7"/>
      <c r="H95" s="5"/>
    </row>
    <row r="96" spans="1:69" x14ac:dyDescent="0.25">
      <c r="O96" s="7"/>
      <c r="P96" s="5"/>
    </row>
    <row r="97" spans="1:69" x14ac:dyDescent="0.25">
      <c r="K97" s="7"/>
      <c r="L97" s="5"/>
      <c r="O97" s="7"/>
      <c r="P97" s="5"/>
    </row>
    <row r="98" spans="1:69" s="2" customFormat="1" ht="13" x14ac:dyDescent="0.3">
      <c r="B98" s="8"/>
      <c r="D98" s="8"/>
      <c r="F98" s="8"/>
      <c r="H98" s="8"/>
      <c r="J98" s="8"/>
      <c r="L98" s="8"/>
      <c r="N98" s="8"/>
      <c r="P98" s="8"/>
      <c r="S98" s="8"/>
      <c r="BC98"/>
      <c r="BD98"/>
      <c r="BE98"/>
      <c r="BF98"/>
      <c r="BG98"/>
      <c r="BH98"/>
      <c r="BI98"/>
      <c r="BJ98"/>
      <c r="BK98"/>
      <c r="BL98"/>
      <c r="BM98"/>
      <c r="BN98"/>
      <c r="BO98"/>
      <c r="BP98"/>
      <c r="BQ98"/>
    </row>
    <row r="99" spans="1:69" ht="13" x14ac:dyDescent="0.3">
      <c r="BC99" s="2"/>
      <c r="BD99" s="2"/>
      <c r="BE99" s="2"/>
      <c r="BF99" s="2"/>
      <c r="BG99" s="2"/>
      <c r="BH99" s="2"/>
      <c r="BI99" s="2"/>
      <c r="BJ99" s="2"/>
      <c r="BK99" s="2"/>
      <c r="BL99" s="2"/>
      <c r="BM99" s="2"/>
      <c r="BN99" s="2"/>
      <c r="BO99" s="2"/>
      <c r="BP99" s="2"/>
      <c r="BQ99" s="2"/>
    </row>
    <row r="101" spans="1:69" ht="13" x14ac:dyDescent="0.3">
      <c r="AK101" s="2"/>
      <c r="AL101" s="2"/>
    </row>
    <row r="102" spans="1:69" ht="13" x14ac:dyDescent="0.3">
      <c r="C102" s="4"/>
      <c r="D102" s="5"/>
      <c r="G102" s="4"/>
      <c r="H102" s="5"/>
      <c r="K102" s="4"/>
      <c r="L102" s="5"/>
      <c r="O102" s="4"/>
      <c r="P102" s="5"/>
      <c r="S102" s="4"/>
      <c r="T102" s="5"/>
      <c r="W102" s="7"/>
      <c r="X102" s="5"/>
      <c r="AA102" s="7"/>
      <c r="AB102" s="5"/>
      <c r="AJ102" s="2"/>
      <c r="AL102" s="5"/>
    </row>
    <row r="103" spans="1:69" ht="13" x14ac:dyDescent="0.3">
      <c r="C103" s="4"/>
      <c r="D103" s="5"/>
      <c r="G103" s="4"/>
      <c r="H103" s="5"/>
      <c r="K103" s="4"/>
      <c r="L103" s="5"/>
      <c r="O103" s="4"/>
      <c r="P103" s="5"/>
      <c r="S103" s="4"/>
      <c r="T103" s="5"/>
      <c r="W103" s="4"/>
      <c r="X103" s="5"/>
      <c r="AA103" s="4"/>
      <c r="AB103" s="5"/>
      <c r="AJ103" s="2"/>
      <c r="AL103" s="5"/>
    </row>
    <row r="104" spans="1:69" ht="13" x14ac:dyDescent="0.3">
      <c r="C104" s="4"/>
      <c r="D104" s="5"/>
      <c r="G104" s="4"/>
      <c r="H104" s="5"/>
      <c r="K104" s="4"/>
      <c r="L104" s="5"/>
      <c r="O104" s="4"/>
      <c r="P104" s="5"/>
      <c r="S104" s="4"/>
      <c r="T104" s="5"/>
      <c r="W104" s="4"/>
      <c r="X104" s="5"/>
      <c r="AA104" s="4"/>
      <c r="AB104" s="5"/>
      <c r="AH104" s="2"/>
      <c r="AJ104" s="2"/>
      <c r="AL104" s="5"/>
    </row>
    <row r="105" spans="1:69" ht="13" x14ac:dyDescent="0.3">
      <c r="C105" s="7"/>
      <c r="D105" s="5"/>
      <c r="G105" s="7"/>
      <c r="H105" s="5"/>
      <c r="K105" s="7"/>
      <c r="L105" s="5"/>
      <c r="AA105" s="7"/>
      <c r="AB105" s="5"/>
      <c r="AG105" s="2"/>
      <c r="AH105" s="2"/>
      <c r="AI105" s="23"/>
      <c r="AJ105" s="23"/>
      <c r="AL105" s="5"/>
    </row>
    <row r="106" spans="1:69" ht="13" x14ac:dyDescent="0.3">
      <c r="C106" s="4"/>
      <c r="D106" s="5"/>
      <c r="G106" s="7"/>
      <c r="H106" s="5"/>
      <c r="K106" s="4"/>
      <c r="L106" s="5"/>
      <c r="O106" s="4"/>
      <c r="P106" s="5"/>
      <c r="S106" s="4"/>
      <c r="T106" s="5"/>
      <c r="W106" s="4"/>
      <c r="X106" s="5"/>
      <c r="AA106" s="4"/>
      <c r="AB106" s="5"/>
      <c r="AJ106" s="2"/>
      <c r="AL106" s="5"/>
    </row>
    <row r="107" spans="1:69" s="2" customFormat="1" ht="13" x14ac:dyDescent="0.3">
      <c r="B107" s="8"/>
      <c r="C107" s="26"/>
      <c r="D107" s="8"/>
      <c r="F107" s="8"/>
      <c r="H107" s="8"/>
      <c r="J107" s="8"/>
      <c r="K107" s="26"/>
      <c r="L107" s="8"/>
      <c r="N107" s="8"/>
      <c r="O107" s="26"/>
      <c r="P107" s="8"/>
      <c r="R107" s="8"/>
      <c r="S107" s="26"/>
      <c r="T107" s="8"/>
      <c r="V107" s="8"/>
      <c r="W107" s="26"/>
      <c r="X107" s="8"/>
      <c r="Z107" s="8"/>
      <c r="AA107" s="26"/>
      <c r="AB107" s="8"/>
      <c r="AG107" s="8"/>
      <c r="AH107" s="24"/>
      <c r="AI107" s="24"/>
      <c r="AJ107" s="24"/>
      <c r="AK107" s="24"/>
      <c r="AL107" s="24"/>
      <c r="BC107"/>
      <c r="BD107"/>
      <c r="BE107"/>
      <c r="BF107"/>
      <c r="BG107"/>
      <c r="BH107"/>
      <c r="BI107"/>
      <c r="BJ107"/>
      <c r="BK107"/>
      <c r="BL107"/>
      <c r="BM107"/>
      <c r="BN107"/>
      <c r="BO107"/>
      <c r="BP107"/>
      <c r="BQ107"/>
    </row>
    <row r="108" spans="1:69" ht="13" x14ac:dyDescent="0.3">
      <c r="AL108" s="5"/>
      <c r="BC108" s="2"/>
      <c r="BD108" s="2"/>
      <c r="BE108" s="2"/>
      <c r="BF108" s="2"/>
      <c r="BG108" s="2"/>
      <c r="BH108" s="2"/>
      <c r="BI108" s="2"/>
      <c r="BJ108" s="2"/>
      <c r="BK108" s="2"/>
      <c r="BL108" s="2"/>
      <c r="BM108" s="2"/>
      <c r="BN108" s="2"/>
      <c r="BO108" s="2"/>
      <c r="BP108" s="2"/>
      <c r="BQ108" s="2"/>
    </row>
    <row r="109" spans="1:69" ht="13" x14ac:dyDescent="0.3">
      <c r="A109" s="2"/>
    </row>
    <row r="112" spans="1:69" ht="13" x14ac:dyDescent="0.3">
      <c r="C112" s="7"/>
      <c r="D112" s="5"/>
      <c r="G112" s="7"/>
      <c r="H112" s="5"/>
      <c r="AP112" s="2"/>
      <c r="AQ112" s="2"/>
      <c r="AR112" s="2"/>
      <c r="AS112" s="2"/>
      <c r="AT112" s="2"/>
      <c r="AU112" s="2"/>
      <c r="AV112" s="2"/>
      <c r="AW112" s="2"/>
      <c r="AX112" s="2"/>
      <c r="AY112" s="2"/>
    </row>
    <row r="113" spans="2:69" ht="13" x14ac:dyDescent="0.3">
      <c r="C113" s="7"/>
      <c r="D113" s="5"/>
      <c r="G113" s="9"/>
      <c r="K113" s="7"/>
      <c r="L113" s="5"/>
      <c r="AP113" s="2"/>
      <c r="AQ113" s="2"/>
      <c r="AR113" s="2"/>
      <c r="AS113" s="2"/>
      <c r="AT113" s="2"/>
      <c r="AU113" s="2"/>
      <c r="AV113" s="2"/>
      <c r="AW113" s="2"/>
      <c r="AX113" s="2"/>
      <c r="AY113" s="2"/>
    </row>
    <row r="114" spans="2:69" ht="13" x14ac:dyDescent="0.3">
      <c r="C114" s="7"/>
      <c r="D114" s="5"/>
      <c r="G114" s="9"/>
      <c r="K114" s="7"/>
      <c r="L114" s="5"/>
      <c r="AO114" s="23"/>
      <c r="AQ114" s="5"/>
      <c r="AS114" s="5"/>
      <c r="AU114" s="5"/>
      <c r="AW114" s="5"/>
      <c r="AY114" s="5"/>
    </row>
    <row r="115" spans="2:69" ht="13" x14ac:dyDescent="0.3">
      <c r="G115" s="9"/>
      <c r="K115" s="7"/>
      <c r="L115" s="5"/>
      <c r="AO115" s="2"/>
      <c r="AQ115" s="5"/>
      <c r="AS115" s="5"/>
      <c r="AU115" s="5"/>
      <c r="AW115" s="5"/>
      <c r="AY115" s="5"/>
    </row>
    <row r="116" spans="2:69" ht="13" x14ac:dyDescent="0.3">
      <c r="G116" s="7"/>
      <c r="H116" s="5"/>
      <c r="K116" s="7"/>
      <c r="L116" s="5"/>
      <c r="O116" s="7"/>
      <c r="P116" s="5"/>
      <c r="AO116" s="2"/>
      <c r="AQ116" s="5"/>
      <c r="AS116" s="5"/>
      <c r="AU116" s="5"/>
      <c r="AW116" s="5"/>
      <c r="AY116" s="5"/>
    </row>
    <row r="117" spans="2:69" ht="13" x14ac:dyDescent="0.3">
      <c r="O117" s="7"/>
      <c r="P117" s="5"/>
      <c r="AO117" s="2"/>
      <c r="AQ117" s="5"/>
      <c r="AS117" s="5"/>
      <c r="AU117" s="5"/>
      <c r="AW117" s="5"/>
      <c r="AY117" s="5"/>
    </row>
    <row r="118" spans="2:69" s="2" customFormat="1" ht="13" x14ac:dyDescent="0.3">
      <c r="B118" s="8"/>
      <c r="D118" s="8"/>
      <c r="F118" s="8"/>
      <c r="H118" s="8"/>
      <c r="J118" s="8"/>
      <c r="L118" s="8"/>
      <c r="N118" s="8"/>
      <c r="O118" s="25"/>
      <c r="P118" s="8"/>
      <c r="AP118"/>
      <c r="AQ118" s="5"/>
      <c r="AR118"/>
      <c r="AS118" s="5"/>
      <c r="AT118"/>
      <c r="AU118" s="5"/>
      <c r="AV118"/>
      <c r="AW118" s="5"/>
      <c r="AX118"/>
      <c r="AY118" s="5"/>
      <c r="BC118"/>
      <c r="BD118"/>
      <c r="BE118"/>
      <c r="BF118"/>
      <c r="BG118"/>
      <c r="BH118"/>
      <c r="BI118"/>
      <c r="BJ118"/>
      <c r="BK118"/>
      <c r="BL118"/>
      <c r="BM118"/>
      <c r="BN118"/>
      <c r="BO118"/>
      <c r="BP118"/>
      <c r="BQ118"/>
    </row>
    <row r="119" spans="2:69" ht="13" x14ac:dyDescent="0.3">
      <c r="AO119" s="2"/>
      <c r="AQ119" s="5"/>
      <c r="AS119" s="5"/>
      <c r="AU119" s="5"/>
      <c r="AW119" s="5"/>
      <c r="AY119" s="5"/>
      <c r="BC119" s="2"/>
      <c r="BD119" s="2"/>
      <c r="BE119" s="2"/>
      <c r="BF119" s="2"/>
      <c r="BG119" s="2"/>
      <c r="BH119" s="2"/>
      <c r="BI119" s="2"/>
      <c r="BJ119" s="2"/>
      <c r="BK119" s="2"/>
      <c r="BL119" s="2"/>
      <c r="BM119" s="2"/>
      <c r="BN119" s="2"/>
      <c r="BO119" s="2"/>
      <c r="BP119" s="2"/>
      <c r="BQ119" s="2"/>
    </row>
    <row r="121" spans="2:69" ht="13" x14ac:dyDescent="0.3">
      <c r="AK121" s="2"/>
      <c r="AL121" s="2"/>
    </row>
    <row r="122" spans="2:69" ht="13" x14ac:dyDescent="0.3">
      <c r="G122" s="4"/>
      <c r="H122" s="5"/>
      <c r="K122" s="4"/>
      <c r="L122" s="5"/>
      <c r="O122" s="4"/>
      <c r="P122" s="5"/>
      <c r="S122" s="4"/>
      <c r="T122" s="5"/>
      <c r="W122" s="4"/>
      <c r="X122" s="5"/>
      <c r="AA122" s="7"/>
      <c r="AB122" s="5"/>
      <c r="AJ122" s="2"/>
      <c r="AL122" s="5"/>
      <c r="AN122" s="2"/>
      <c r="AQ122" s="5"/>
      <c r="AS122" s="5"/>
      <c r="AU122" s="5"/>
      <c r="AW122" s="5"/>
      <c r="AY122" s="5"/>
    </row>
    <row r="123" spans="2:69" ht="13" x14ac:dyDescent="0.3">
      <c r="G123" s="4"/>
      <c r="H123" s="5"/>
      <c r="K123" s="4"/>
      <c r="L123" s="5"/>
      <c r="O123" s="4"/>
      <c r="P123" s="5"/>
      <c r="S123" s="4"/>
      <c r="T123" s="5"/>
      <c r="W123" s="4"/>
      <c r="X123" s="5"/>
      <c r="AA123" s="4"/>
      <c r="AB123" s="5"/>
      <c r="AJ123" s="2"/>
      <c r="AL123" s="5"/>
      <c r="AN123" s="2"/>
      <c r="AP123" s="5"/>
      <c r="AQ123" s="5"/>
      <c r="AR123" s="5"/>
      <c r="AS123" s="5"/>
      <c r="AT123" s="5"/>
      <c r="AU123" s="5"/>
      <c r="AV123" s="5"/>
      <c r="AW123" s="5"/>
      <c r="AX123" s="5"/>
      <c r="AY123" s="5"/>
    </row>
    <row r="124" spans="2:69" ht="13" x14ac:dyDescent="0.3">
      <c r="G124" s="4"/>
      <c r="H124" s="5"/>
      <c r="K124" s="4"/>
      <c r="L124" s="5"/>
      <c r="O124" s="4"/>
      <c r="P124" s="5"/>
      <c r="S124" s="4"/>
      <c r="T124" s="5"/>
      <c r="W124" s="4"/>
      <c r="X124" s="5"/>
      <c r="AA124" s="4"/>
      <c r="AB124" s="5"/>
      <c r="AH124" s="2"/>
      <c r="AJ124" s="2"/>
      <c r="AL124" s="5"/>
    </row>
    <row r="125" spans="2:69" ht="13" x14ac:dyDescent="0.3">
      <c r="G125" s="4"/>
      <c r="H125" s="5"/>
      <c r="K125" s="7"/>
      <c r="L125" s="5"/>
      <c r="O125" s="7"/>
      <c r="P125" s="5"/>
      <c r="W125" s="7"/>
      <c r="X125" s="5"/>
      <c r="AA125" s="7"/>
      <c r="AB125" s="5"/>
      <c r="AG125" s="2"/>
      <c r="AH125" s="2"/>
      <c r="AI125" s="23"/>
      <c r="AJ125" s="23"/>
      <c r="AL125" s="5"/>
    </row>
    <row r="126" spans="2:69" ht="13" x14ac:dyDescent="0.3">
      <c r="G126" s="4"/>
      <c r="H126" s="5"/>
      <c r="K126" s="4"/>
      <c r="L126" s="5"/>
      <c r="O126" s="4"/>
      <c r="P126" s="5"/>
      <c r="S126" s="4"/>
      <c r="T126" s="5"/>
      <c r="W126" s="4"/>
      <c r="X126" s="5"/>
      <c r="AA126" s="4"/>
      <c r="AB126" s="5"/>
      <c r="AJ126" s="2"/>
      <c r="AL126" s="5"/>
    </row>
    <row r="127" spans="2:69" s="2" customFormat="1" ht="13" x14ac:dyDescent="0.3">
      <c r="B127" s="8"/>
      <c r="F127" s="8"/>
      <c r="H127" s="8"/>
      <c r="J127" s="8"/>
      <c r="L127" s="8"/>
      <c r="N127" s="8"/>
      <c r="P127" s="8"/>
      <c r="R127" s="8"/>
      <c r="T127" s="8"/>
      <c r="V127" s="8"/>
      <c r="X127" s="8"/>
      <c r="Z127" s="8"/>
      <c r="AB127" s="8"/>
      <c r="AG127" s="8"/>
      <c r="AH127" s="24"/>
      <c r="AI127" s="24"/>
      <c r="AJ127" s="24"/>
      <c r="AK127" s="24"/>
      <c r="AL127" s="24"/>
      <c r="BC127"/>
      <c r="BD127"/>
      <c r="BE127"/>
      <c r="BF127"/>
      <c r="BG127"/>
      <c r="BH127"/>
      <c r="BI127"/>
      <c r="BJ127"/>
      <c r="BK127"/>
      <c r="BL127"/>
      <c r="BM127"/>
      <c r="BN127"/>
      <c r="BO127"/>
      <c r="BP127"/>
      <c r="BQ127"/>
    </row>
    <row r="128" spans="2:69" ht="13" x14ac:dyDescent="0.3">
      <c r="AL128" s="5"/>
      <c r="BC128" s="2"/>
      <c r="BD128" s="2"/>
      <c r="BE128" s="2"/>
      <c r="BF128" s="2"/>
      <c r="BG128" s="2"/>
      <c r="BH128" s="2"/>
      <c r="BI128" s="2"/>
      <c r="BJ128" s="2"/>
      <c r="BK128" s="2"/>
      <c r="BL128" s="2"/>
      <c r="BM128" s="2"/>
      <c r="BN128" s="2"/>
      <c r="BO128" s="2"/>
      <c r="BP128" s="2"/>
      <c r="BQ128" s="2"/>
    </row>
    <row r="132" spans="6:6" x14ac:dyDescent="0.25">
      <c r="F132" s="19"/>
    </row>
    <row r="133" spans="6:6" x14ac:dyDescent="0.25">
      <c r="F133" s="19"/>
    </row>
    <row r="134" spans="6:6" x14ac:dyDescent="0.25">
      <c r="F134" s="19"/>
    </row>
    <row r="135" spans="6:6" x14ac:dyDescent="0.25">
      <c r="F135" s="19"/>
    </row>
    <row r="136" spans="6:6" x14ac:dyDescent="0.25">
      <c r="F136" s="19"/>
    </row>
  </sheetData>
  <phoneticPr fontId="4" type="noConversion"/>
  <pageMargins left="0.75" right="0.75" top="1" bottom="1" header="0.5" footer="0.5"/>
  <pageSetup orientation="portrait" horizontalDpi="4294967293" verticalDpi="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L86"/>
  <sheetViews>
    <sheetView topLeftCell="A22" workbookViewId="0">
      <selection activeCell="I30" sqref="I30"/>
    </sheetView>
  </sheetViews>
  <sheetFormatPr defaultRowHeight="12.5" x14ac:dyDescent="0.25"/>
  <cols>
    <col min="1" max="1" width="11.7265625" customWidth="1"/>
    <col min="3" max="4" width="11.7265625" customWidth="1"/>
    <col min="5" max="5" width="2.26953125" customWidth="1"/>
    <col min="7" max="8" width="11.7265625" customWidth="1"/>
    <col min="9" max="9" width="2.26953125" customWidth="1"/>
    <col min="11" max="12" width="11.7265625" customWidth="1"/>
    <col min="13" max="13" width="2.26953125" customWidth="1"/>
    <col min="15" max="16" width="11.7265625" customWidth="1"/>
    <col min="17" max="17" width="2.26953125" customWidth="1"/>
    <col min="19" max="20" width="11.7265625" customWidth="1"/>
    <col min="21" max="21" width="2.26953125" customWidth="1"/>
    <col min="23" max="24" width="11.7265625" customWidth="1"/>
    <col min="25" max="25" width="2.26953125" customWidth="1"/>
    <col min="27" max="28" width="11.7265625" customWidth="1"/>
    <col min="29" max="29" width="2.26953125" customWidth="1"/>
    <col min="31" max="32" width="11.7265625" customWidth="1"/>
    <col min="33" max="33" width="2.26953125" customWidth="1"/>
    <col min="36" max="36" width="2.81640625" customWidth="1"/>
    <col min="37" max="37" width="11.26953125" customWidth="1"/>
    <col min="40" max="40" width="4.7265625" customWidth="1"/>
    <col min="42" max="42" width="11.81640625" customWidth="1"/>
    <col min="44" max="44" width="10.7265625" customWidth="1"/>
    <col min="61" max="61" width="12.453125" customWidth="1"/>
  </cols>
  <sheetData>
    <row r="1" spans="1:24" ht="15.5" x14ac:dyDescent="0.35">
      <c r="A1" s="1" t="s">
        <v>85</v>
      </c>
    </row>
    <row r="2" spans="1:24" ht="13" x14ac:dyDescent="0.3">
      <c r="A2" s="2"/>
    </row>
    <row r="3" spans="1:24" ht="13" x14ac:dyDescent="0.3">
      <c r="A3" s="2" t="s">
        <v>53</v>
      </c>
    </row>
    <row r="4" spans="1:24" s="2" customFormat="1" ht="13" x14ac:dyDescent="0.3">
      <c r="C4" s="2" t="s">
        <v>35</v>
      </c>
      <c r="G4" s="2" t="s">
        <v>34</v>
      </c>
      <c r="K4" s="2" t="s">
        <v>20</v>
      </c>
      <c r="O4" s="2" t="s">
        <v>21</v>
      </c>
      <c r="S4" s="2" t="s">
        <v>22</v>
      </c>
      <c r="W4" s="2" t="s">
        <v>23</v>
      </c>
    </row>
    <row r="5" spans="1:24" s="2" customFormat="1" ht="13" x14ac:dyDescent="0.3">
      <c r="B5" s="27" t="s">
        <v>44</v>
      </c>
      <c r="F5" s="27" t="s">
        <v>44</v>
      </c>
      <c r="J5" s="27" t="s">
        <v>44</v>
      </c>
      <c r="N5" s="27" t="s">
        <v>44</v>
      </c>
      <c r="R5" s="27" t="s">
        <v>44</v>
      </c>
      <c r="V5" s="27" t="s">
        <v>44</v>
      </c>
    </row>
    <row r="6" spans="1:24" x14ac:dyDescent="0.25">
      <c r="B6" t="s">
        <v>13</v>
      </c>
      <c r="C6" t="s">
        <v>51</v>
      </c>
      <c r="D6" t="s">
        <v>14</v>
      </c>
      <c r="F6" t="s">
        <v>13</v>
      </c>
      <c r="G6" t="s">
        <v>51</v>
      </c>
      <c r="H6" t="s">
        <v>14</v>
      </c>
      <c r="J6" t="s">
        <v>13</v>
      </c>
      <c r="K6" t="s">
        <v>51</v>
      </c>
      <c r="L6" t="s">
        <v>14</v>
      </c>
      <c r="N6" t="s">
        <v>13</v>
      </c>
      <c r="O6" t="s">
        <v>51</v>
      </c>
      <c r="P6" t="s">
        <v>14</v>
      </c>
      <c r="R6" t="s">
        <v>13</v>
      </c>
      <c r="S6" t="s">
        <v>51</v>
      </c>
      <c r="T6" t="s">
        <v>14</v>
      </c>
      <c r="V6" t="s">
        <v>13</v>
      </c>
      <c r="W6" t="s">
        <v>51</v>
      </c>
      <c r="X6" t="s">
        <v>14</v>
      </c>
    </row>
    <row r="7" spans="1:24" x14ac:dyDescent="0.25">
      <c r="A7" t="s">
        <v>31</v>
      </c>
      <c r="B7">
        <v>0</v>
      </c>
      <c r="F7">
        <v>0</v>
      </c>
      <c r="J7">
        <v>0</v>
      </c>
      <c r="N7">
        <v>87</v>
      </c>
      <c r="O7">
        <v>3</v>
      </c>
      <c r="P7" s="3">
        <f>O7/N7</f>
        <v>3.4482758620689655E-2</v>
      </c>
      <c r="R7">
        <v>71</v>
      </c>
      <c r="S7">
        <v>1</v>
      </c>
      <c r="T7" s="3">
        <f>S7/R7</f>
        <v>1.4084507042253521E-2</v>
      </c>
      <c r="V7">
        <v>341</v>
      </c>
      <c r="W7">
        <v>10</v>
      </c>
      <c r="X7" s="3">
        <f>W7/V7</f>
        <v>2.932551319648094E-2</v>
      </c>
    </row>
    <row r="8" spans="1:24" x14ac:dyDescent="0.25">
      <c r="A8" t="s">
        <v>32</v>
      </c>
      <c r="B8">
        <v>0</v>
      </c>
      <c r="F8">
        <v>0</v>
      </c>
      <c r="J8">
        <v>0</v>
      </c>
      <c r="N8">
        <v>0</v>
      </c>
      <c r="R8">
        <v>5</v>
      </c>
      <c r="S8">
        <v>0</v>
      </c>
      <c r="T8" s="3">
        <f>S8/R8</f>
        <v>0</v>
      </c>
      <c r="V8">
        <v>48</v>
      </c>
      <c r="W8">
        <v>0</v>
      </c>
      <c r="X8" s="3">
        <f>W8/V8</f>
        <v>0</v>
      </c>
    </row>
    <row r="9" spans="1:24" s="42" customFormat="1" x14ac:dyDescent="0.25">
      <c r="A9" s="42" t="s">
        <v>45</v>
      </c>
      <c r="B9" s="42">
        <v>0</v>
      </c>
      <c r="F9" s="42">
        <v>0</v>
      </c>
      <c r="J9" s="42">
        <v>0</v>
      </c>
      <c r="N9" s="42">
        <v>0</v>
      </c>
      <c r="R9" s="42">
        <v>13</v>
      </c>
      <c r="S9" s="42">
        <v>3</v>
      </c>
      <c r="T9" s="43">
        <f>S9/R9</f>
        <v>0.23076923076923078</v>
      </c>
      <c r="V9" s="42">
        <v>106</v>
      </c>
      <c r="W9" s="42">
        <v>9</v>
      </c>
      <c r="X9" s="43">
        <f>W9/V9</f>
        <v>8.4905660377358486E-2</v>
      </c>
    </row>
    <row r="10" spans="1:24" s="2" customFormat="1" ht="13" x14ac:dyDescent="0.3">
      <c r="A10" s="2" t="s">
        <v>61</v>
      </c>
      <c r="B10" s="2">
        <f>SUM(B7:B9)</f>
        <v>0</v>
      </c>
      <c r="D10" s="55"/>
      <c r="F10" s="2">
        <f>SUM(F7:F9)</f>
        <v>0</v>
      </c>
      <c r="G10" s="2">
        <f>SUM(G7:G9)</f>
        <v>0</v>
      </c>
      <c r="H10" s="55" t="e">
        <f>G10/F10</f>
        <v>#DIV/0!</v>
      </c>
      <c r="J10" s="2">
        <f>SUM(J7:J9)</f>
        <v>0</v>
      </c>
      <c r="K10" s="2">
        <f>SUM(K7:K9)</f>
        <v>0</v>
      </c>
      <c r="L10" s="55" t="e">
        <f>K10/J10</f>
        <v>#DIV/0!</v>
      </c>
      <c r="N10" s="2">
        <f>SUM(N7:N9)</f>
        <v>87</v>
      </c>
      <c r="O10" s="2">
        <f>SUM(O7:O9)</f>
        <v>3</v>
      </c>
      <c r="P10" s="55">
        <f>O10/N10</f>
        <v>3.4482758620689655E-2</v>
      </c>
      <c r="R10" s="2">
        <f>SUM(R7:R9)</f>
        <v>89</v>
      </c>
      <c r="S10" s="2">
        <f>SUM(S7:S9)</f>
        <v>4</v>
      </c>
      <c r="T10" s="55">
        <f>S10/R10</f>
        <v>4.49438202247191E-2</v>
      </c>
      <c r="V10" s="2">
        <f>SUM(V7:V9)</f>
        <v>495</v>
      </c>
      <c r="W10" s="2">
        <f>SUM(W7:W9)</f>
        <v>19</v>
      </c>
      <c r="X10" s="55">
        <f>W10/V10</f>
        <v>3.8383838383838381E-2</v>
      </c>
    </row>
    <row r="11" spans="1:24" ht="13" x14ac:dyDescent="0.3">
      <c r="A11" s="2"/>
    </row>
    <row r="12" spans="1:24" ht="13" x14ac:dyDescent="0.3">
      <c r="A12" s="2"/>
    </row>
    <row r="13" spans="1:24" ht="13" x14ac:dyDescent="0.3">
      <c r="A13" s="2"/>
    </row>
    <row r="14" spans="1:24" ht="13" x14ac:dyDescent="0.3">
      <c r="A14" s="2"/>
    </row>
    <row r="15" spans="1:24" ht="13" x14ac:dyDescent="0.3">
      <c r="A15" s="2"/>
    </row>
    <row r="16" spans="1:24" ht="13" x14ac:dyDescent="0.3">
      <c r="A16" s="2"/>
    </row>
    <row r="17" spans="1:64" ht="13" x14ac:dyDescent="0.3">
      <c r="A17" s="2"/>
    </row>
    <row r="19" spans="1:64" s="2" customFormat="1" ht="13" x14ac:dyDescent="0.3">
      <c r="C19" s="2" t="s">
        <v>12</v>
      </c>
      <c r="G19" s="2" t="s">
        <v>5</v>
      </c>
      <c r="K19" s="2" t="s">
        <v>6</v>
      </c>
      <c r="O19" s="2" t="s">
        <v>7</v>
      </c>
      <c r="S19" s="2" t="s">
        <v>8</v>
      </c>
      <c r="W19" s="2" t="s">
        <v>9</v>
      </c>
      <c r="AA19" s="2" t="s">
        <v>10</v>
      </c>
      <c r="AE19" s="2" t="s">
        <v>11</v>
      </c>
    </row>
    <row r="20" spans="1:64" s="2" customFormat="1" ht="13" x14ac:dyDescent="0.3">
      <c r="B20" s="27" t="s">
        <v>44</v>
      </c>
      <c r="F20" s="27" t="s">
        <v>44</v>
      </c>
      <c r="J20" s="27" t="s">
        <v>44</v>
      </c>
      <c r="N20" s="27" t="s">
        <v>44</v>
      </c>
      <c r="R20" s="27" t="s">
        <v>44</v>
      </c>
      <c r="V20" s="27" t="s">
        <v>44</v>
      </c>
      <c r="Z20" s="27" t="s">
        <v>44</v>
      </c>
      <c r="AD20" s="27" t="s">
        <v>44</v>
      </c>
    </row>
    <row r="21" spans="1:64" x14ac:dyDescent="0.25">
      <c r="B21" t="s">
        <v>13</v>
      </c>
      <c r="C21" t="s">
        <v>51</v>
      </c>
      <c r="D21" t="s">
        <v>14</v>
      </c>
      <c r="F21" t="s">
        <v>13</v>
      </c>
      <c r="G21" t="s">
        <v>51</v>
      </c>
      <c r="H21" t="s">
        <v>14</v>
      </c>
      <c r="J21" t="s">
        <v>13</v>
      </c>
      <c r="K21" t="s">
        <v>51</v>
      </c>
      <c r="L21" t="s">
        <v>14</v>
      </c>
      <c r="N21" t="s">
        <v>13</v>
      </c>
      <c r="O21" t="s">
        <v>51</v>
      </c>
      <c r="P21" t="s">
        <v>14</v>
      </c>
      <c r="R21" t="s">
        <v>13</v>
      </c>
      <c r="S21" t="s">
        <v>51</v>
      </c>
      <c r="T21" t="s">
        <v>14</v>
      </c>
      <c r="V21" t="s">
        <v>13</v>
      </c>
      <c r="W21" t="s">
        <v>51</v>
      </c>
      <c r="X21" t="s">
        <v>14</v>
      </c>
      <c r="Z21" t="s">
        <v>13</v>
      </c>
      <c r="AA21" t="s">
        <v>51</v>
      </c>
      <c r="AB21" t="s">
        <v>14</v>
      </c>
      <c r="AD21" t="s">
        <v>13</v>
      </c>
      <c r="AE21" t="s">
        <v>51</v>
      </c>
      <c r="AF21" t="s">
        <v>14</v>
      </c>
    </row>
    <row r="22" spans="1:64" x14ac:dyDescent="0.25">
      <c r="A22" s="32" t="s">
        <v>65</v>
      </c>
    </row>
    <row r="23" spans="1:64" x14ac:dyDescent="0.25">
      <c r="A23" s="32" t="s">
        <v>66</v>
      </c>
    </row>
    <row r="24" spans="1:64" x14ac:dyDescent="0.25">
      <c r="A24" t="s">
        <v>31</v>
      </c>
      <c r="B24">
        <v>197</v>
      </c>
      <c r="C24">
        <v>16</v>
      </c>
      <c r="D24" s="3">
        <f>C24/B24</f>
        <v>8.1218274111675121E-2</v>
      </c>
      <c r="F24">
        <v>96</v>
      </c>
      <c r="G24">
        <v>1</v>
      </c>
      <c r="H24" s="3">
        <f t="shared" ref="H24:H30" si="0">G24/F24</f>
        <v>1.0416666666666666E-2</v>
      </c>
      <c r="J24">
        <v>179</v>
      </c>
      <c r="K24">
        <v>15</v>
      </c>
      <c r="L24" s="3">
        <f>K24/J24</f>
        <v>8.3798882681564241E-2</v>
      </c>
      <c r="N24">
        <v>15</v>
      </c>
      <c r="O24">
        <v>1</v>
      </c>
      <c r="P24" s="3">
        <f>O24/N24</f>
        <v>6.6666666666666666E-2</v>
      </c>
      <c r="R24">
        <v>0</v>
      </c>
      <c r="V24">
        <v>0</v>
      </c>
      <c r="Z24">
        <v>0</v>
      </c>
      <c r="AD24">
        <v>0</v>
      </c>
    </row>
    <row r="25" spans="1:64" x14ac:dyDescent="0.25">
      <c r="A25" t="s">
        <v>32</v>
      </c>
      <c r="B25">
        <v>39</v>
      </c>
      <c r="C25">
        <v>4</v>
      </c>
      <c r="D25" s="3">
        <f>C25/B25</f>
        <v>0.10256410256410256</v>
      </c>
      <c r="F25">
        <v>88</v>
      </c>
      <c r="G25">
        <v>9</v>
      </c>
      <c r="H25" s="3">
        <f t="shared" si="0"/>
        <v>0.10227272727272728</v>
      </c>
      <c r="J25">
        <v>90</v>
      </c>
      <c r="K25">
        <v>4</v>
      </c>
      <c r="L25" s="3">
        <f>K25/J25</f>
        <v>4.4444444444444446E-2</v>
      </c>
      <c r="N25">
        <v>71</v>
      </c>
      <c r="O25">
        <v>4</v>
      </c>
      <c r="P25" s="3">
        <f>O25/N25</f>
        <v>5.6338028169014086E-2</v>
      </c>
      <c r="R25">
        <v>0</v>
      </c>
      <c r="V25">
        <v>0</v>
      </c>
      <c r="Z25">
        <v>0</v>
      </c>
      <c r="AD25">
        <v>0</v>
      </c>
    </row>
    <row r="26" spans="1:64" s="42" customFormat="1" x14ac:dyDescent="0.25">
      <c r="A26" s="42" t="s">
        <v>45</v>
      </c>
      <c r="B26" s="42">
        <v>0</v>
      </c>
      <c r="D26" s="43"/>
      <c r="F26" s="42">
        <v>69</v>
      </c>
      <c r="G26" s="42">
        <v>7</v>
      </c>
      <c r="H26" s="43">
        <f t="shared" si="0"/>
        <v>0.10144927536231885</v>
      </c>
      <c r="J26" s="42">
        <v>0</v>
      </c>
      <c r="L26" s="43"/>
      <c r="N26" s="42">
        <v>0</v>
      </c>
      <c r="R26" s="42">
        <v>0</v>
      </c>
      <c r="V26" s="42">
        <v>0</v>
      </c>
      <c r="Z26" s="42">
        <v>0</v>
      </c>
      <c r="AD26" s="42">
        <v>0</v>
      </c>
    </row>
    <row r="27" spans="1:64" s="46" customFormat="1" ht="13" x14ac:dyDescent="0.3">
      <c r="A27" s="46" t="s">
        <v>61</v>
      </c>
      <c r="B27" s="46">
        <f>SUM(B24:B26)</f>
        <v>236</v>
      </c>
      <c r="C27" s="46">
        <f>SUM(C24:C26)</f>
        <v>20</v>
      </c>
      <c r="D27" s="67">
        <f>C27/B27</f>
        <v>8.4745762711864403E-2</v>
      </c>
      <c r="F27" s="46">
        <f>SUM(F24:F26)</f>
        <v>253</v>
      </c>
      <c r="G27" s="46">
        <f>SUM(G24:G26)</f>
        <v>17</v>
      </c>
      <c r="H27" s="67">
        <f t="shared" si="0"/>
        <v>6.7193675889328064E-2</v>
      </c>
      <c r="J27" s="46">
        <f>SUM(J24:J26)</f>
        <v>269</v>
      </c>
      <c r="K27" s="46">
        <f>SUM(K24:K26)</f>
        <v>19</v>
      </c>
      <c r="L27" s="67">
        <f>K27/J27</f>
        <v>7.0631970260223054E-2</v>
      </c>
      <c r="N27" s="46">
        <f>SUM(N24:N26)</f>
        <v>86</v>
      </c>
      <c r="O27" s="46">
        <f>SUM(O24:O26)</f>
        <v>5</v>
      </c>
      <c r="P27" s="67">
        <f>O27/N27</f>
        <v>5.8139534883720929E-2</v>
      </c>
      <c r="R27" s="46">
        <f>SUM(R24:R26)</f>
        <v>0</v>
      </c>
      <c r="T27" s="67"/>
      <c r="V27" s="46">
        <f>SUM(V24:V26)</f>
        <v>0</v>
      </c>
      <c r="X27" s="67"/>
      <c r="Z27" s="46">
        <f>SUM(Z24:Z26)</f>
        <v>0</v>
      </c>
      <c r="AB27" s="67"/>
      <c r="AD27" s="46">
        <f>SUM(AD24:AD26)</f>
        <v>0</v>
      </c>
      <c r="AF27" s="67"/>
    </row>
    <row r="28" spans="1:64" ht="13" x14ac:dyDescent="0.3">
      <c r="A28" s="23" t="s">
        <v>63</v>
      </c>
      <c r="B28">
        <v>63</v>
      </c>
      <c r="C28">
        <v>15</v>
      </c>
      <c r="D28" s="3">
        <f>C28/B28</f>
        <v>0.23809523809523808</v>
      </c>
      <c r="F28">
        <v>304</v>
      </c>
      <c r="G28">
        <v>64</v>
      </c>
      <c r="H28" s="3">
        <f t="shared" si="0"/>
        <v>0.21052631578947367</v>
      </c>
      <c r="J28">
        <v>192</v>
      </c>
      <c r="K28">
        <v>64</v>
      </c>
      <c r="L28" s="3">
        <f>K28/J28</f>
        <v>0.33333333333333331</v>
      </c>
      <c r="N28">
        <v>100</v>
      </c>
      <c r="O28">
        <v>31</v>
      </c>
      <c r="P28" s="3">
        <f>O28/N28</f>
        <v>0.31</v>
      </c>
      <c r="R28">
        <v>33</v>
      </c>
      <c r="S28">
        <v>4</v>
      </c>
      <c r="T28" s="3">
        <f>S28/R28</f>
        <v>0.12121212121212122</v>
      </c>
      <c r="V28">
        <v>0</v>
      </c>
      <c r="W28">
        <v>0</v>
      </c>
      <c r="Z28">
        <v>0</v>
      </c>
      <c r="AA28">
        <v>0</v>
      </c>
      <c r="AD28">
        <v>0</v>
      </c>
      <c r="AH28" s="4"/>
      <c r="AM28" s="3"/>
    </row>
    <row r="29" spans="1:64" ht="13" x14ac:dyDescent="0.3">
      <c r="A29" s="2">
        <v>2</v>
      </c>
      <c r="B29">
        <v>215</v>
      </c>
      <c r="C29">
        <v>28</v>
      </c>
      <c r="D29" s="3">
        <f>C29/B29</f>
        <v>0.13023255813953488</v>
      </c>
      <c r="F29">
        <v>318</v>
      </c>
      <c r="G29">
        <v>66</v>
      </c>
      <c r="H29" s="3">
        <f t="shared" si="0"/>
        <v>0.20754716981132076</v>
      </c>
      <c r="J29">
        <v>208</v>
      </c>
      <c r="K29">
        <v>62</v>
      </c>
      <c r="L29" s="3">
        <f>K29/J29</f>
        <v>0.29807692307692307</v>
      </c>
      <c r="N29">
        <v>393</v>
      </c>
      <c r="O29">
        <v>120</v>
      </c>
      <c r="P29" s="3">
        <f>O29/N29</f>
        <v>0.30534351145038169</v>
      </c>
      <c r="R29">
        <v>155</v>
      </c>
      <c r="S29">
        <v>43</v>
      </c>
      <c r="T29" s="3">
        <f>S29/R29</f>
        <v>0.27741935483870966</v>
      </c>
      <c r="V29">
        <v>280</v>
      </c>
      <c r="W29">
        <v>66</v>
      </c>
      <c r="X29" s="3">
        <f>W29/V29</f>
        <v>0.23571428571428571</v>
      </c>
      <c r="Z29">
        <v>34</v>
      </c>
      <c r="AA29">
        <v>10</v>
      </c>
      <c r="AB29" s="3">
        <f>AA29/Z29</f>
        <v>0.29411764705882354</v>
      </c>
      <c r="AD29">
        <v>0</v>
      </c>
      <c r="AH29" s="4"/>
      <c r="AM29" s="3"/>
    </row>
    <row r="30" spans="1:64" ht="13" x14ac:dyDescent="0.3">
      <c r="A30" s="2">
        <v>3</v>
      </c>
      <c r="B30">
        <v>37</v>
      </c>
      <c r="C30">
        <v>5</v>
      </c>
      <c r="D30" s="3">
        <f>C30/B30</f>
        <v>0.13513513513513514</v>
      </c>
      <c r="F30">
        <v>44</v>
      </c>
      <c r="G30">
        <v>22</v>
      </c>
      <c r="H30" s="3">
        <f t="shared" si="0"/>
        <v>0.5</v>
      </c>
      <c r="J30">
        <v>87</v>
      </c>
      <c r="K30">
        <v>32</v>
      </c>
      <c r="L30" s="3">
        <f>K30/J30</f>
        <v>0.36781609195402298</v>
      </c>
      <c r="N30">
        <v>101</v>
      </c>
      <c r="O30">
        <v>34</v>
      </c>
      <c r="P30" s="3">
        <f>O30/N30</f>
        <v>0.33663366336633666</v>
      </c>
      <c r="R30">
        <v>100</v>
      </c>
      <c r="S30">
        <v>37</v>
      </c>
      <c r="T30" s="3">
        <f>S30/R30</f>
        <v>0.37</v>
      </c>
      <c r="V30">
        <v>87</v>
      </c>
      <c r="W30">
        <v>29</v>
      </c>
      <c r="X30" s="3">
        <f>W30/V30</f>
        <v>0.33333333333333331</v>
      </c>
      <c r="Z30">
        <v>35</v>
      </c>
      <c r="AA30">
        <v>11</v>
      </c>
      <c r="AB30" s="3">
        <f>AA30/Z30</f>
        <v>0.31428571428571428</v>
      </c>
      <c r="AD30">
        <v>0</v>
      </c>
      <c r="AH30" s="4"/>
      <c r="AM30" s="3"/>
    </row>
    <row r="31" spans="1:64" ht="13" x14ac:dyDescent="0.3">
      <c r="A31" s="2">
        <v>4</v>
      </c>
      <c r="B31">
        <v>0</v>
      </c>
      <c r="D31" s="3"/>
      <c r="F31">
        <v>0</v>
      </c>
      <c r="J31">
        <v>0</v>
      </c>
      <c r="N31">
        <v>0</v>
      </c>
      <c r="R31">
        <v>0</v>
      </c>
      <c r="V31">
        <v>0</v>
      </c>
      <c r="Z31">
        <v>0</v>
      </c>
      <c r="AD31">
        <v>0</v>
      </c>
      <c r="BL31" s="4"/>
    </row>
    <row r="32" spans="1:64" ht="13" x14ac:dyDescent="0.3">
      <c r="A32" s="2">
        <v>5</v>
      </c>
      <c r="B32">
        <v>106</v>
      </c>
      <c r="C32">
        <v>23</v>
      </c>
      <c r="D32" s="3">
        <f>C32/B32</f>
        <v>0.21698113207547171</v>
      </c>
      <c r="F32">
        <v>0</v>
      </c>
      <c r="G32">
        <v>0</v>
      </c>
      <c r="J32">
        <v>19</v>
      </c>
      <c r="K32">
        <v>10</v>
      </c>
      <c r="L32" s="3">
        <f>K32/J32</f>
        <v>0.52631578947368418</v>
      </c>
      <c r="N32">
        <v>33</v>
      </c>
      <c r="O32">
        <v>20</v>
      </c>
      <c r="P32" s="3">
        <f>O32/N32</f>
        <v>0.60606060606060608</v>
      </c>
      <c r="R32">
        <v>17</v>
      </c>
      <c r="S32">
        <v>12</v>
      </c>
      <c r="T32" s="3">
        <f>S32/R32</f>
        <v>0.70588235294117652</v>
      </c>
      <c r="V32">
        <v>10</v>
      </c>
      <c r="W32">
        <v>8</v>
      </c>
      <c r="X32" s="3">
        <f>W32/V32</f>
        <v>0.8</v>
      </c>
      <c r="Z32">
        <v>1</v>
      </c>
      <c r="AA32">
        <v>0</v>
      </c>
      <c r="AB32" s="3">
        <f>AA32/Z32</f>
        <v>0</v>
      </c>
      <c r="AD32">
        <v>0</v>
      </c>
      <c r="AH32" s="4"/>
      <c r="BL32" s="4"/>
    </row>
    <row r="33" spans="1:64" x14ac:dyDescent="0.25">
      <c r="B33">
        <f>SUM(B28:B32)</f>
        <v>421</v>
      </c>
      <c r="C33">
        <f>SUM(C28:C32)</f>
        <v>71</v>
      </c>
      <c r="D33" s="3">
        <f>C33/B33</f>
        <v>0.16864608076009502</v>
      </c>
      <c r="F33">
        <f>SUM(F28:F32)</f>
        <v>666</v>
      </c>
      <c r="G33">
        <f>SUM(G28:G32)</f>
        <v>152</v>
      </c>
      <c r="H33" s="3">
        <f>G33/F33</f>
        <v>0.22822822822822822</v>
      </c>
      <c r="J33">
        <f>SUM(J28:J32)</f>
        <v>506</v>
      </c>
      <c r="K33">
        <f>SUM(K28:K32)</f>
        <v>168</v>
      </c>
      <c r="L33" s="3">
        <f>K33/J33</f>
        <v>0.33201581027667987</v>
      </c>
      <c r="N33">
        <f>SUM(N28:N32)</f>
        <v>627</v>
      </c>
      <c r="O33">
        <f>SUM(O28:O32)</f>
        <v>205</v>
      </c>
      <c r="P33" s="3">
        <f>O33/N33</f>
        <v>0.32695374800637961</v>
      </c>
      <c r="R33">
        <f>SUM(R28:R32)</f>
        <v>305</v>
      </c>
      <c r="S33">
        <f>SUM(S28:S32)</f>
        <v>96</v>
      </c>
      <c r="T33" s="3">
        <f>S33/R33</f>
        <v>0.31475409836065577</v>
      </c>
      <c r="V33">
        <f>SUM(V28:V32)</f>
        <v>377</v>
      </c>
      <c r="W33">
        <f>SUM(W28:W32)</f>
        <v>103</v>
      </c>
      <c r="X33" s="3">
        <f>W33/V33</f>
        <v>0.27320954907161804</v>
      </c>
      <c r="Z33">
        <f>SUM(Z28:Z32)</f>
        <v>70</v>
      </c>
      <c r="AA33">
        <f>SUM(AA28:AA32)</f>
        <v>21</v>
      </c>
      <c r="AB33" s="3">
        <f>AA33/Z33</f>
        <v>0.3</v>
      </c>
      <c r="BL33" s="4"/>
    </row>
    <row r="34" spans="1:64" ht="15.5" x14ac:dyDescent="0.35">
      <c r="A34" s="1" t="s">
        <v>86</v>
      </c>
      <c r="BJ34" s="14"/>
      <c r="BL34" s="4"/>
    </row>
    <row r="35" spans="1:64" ht="13" x14ac:dyDescent="0.3">
      <c r="A35" s="2"/>
      <c r="BJ35" s="14"/>
      <c r="BL35" s="4"/>
    </row>
    <row r="36" spans="1:64" ht="13" x14ac:dyDescent="0.3">
      <c r="B36" s="27" t="s">
        <v>44</v>
      </c>
      <c r="C36" s="2"/>
      <c r="D36" s="2"/>
      <c r="AT36" s="4"/>
      <c r="AU36" s="4"/>
      <c r="AV36" s="4"/>
      <c r="AW36" s="4"/>
      <c r="AX36" s="4"/>
      <c r="BJ36" s="14"/>
      <c r="BL36" s="4"/>
    </row>
    <row r="37" spans="1:64" x14ac:dyDescent="0.25">
      <c r="B37" t="s">
        <v>13</v>
      </c>
      <c r="C37" t="s">
        <v>51</v>
      </c>
      <c r="D37" t="s">
        <v>14</v>
      </c>
      <c r="AT37" s="4"/>
      <c r="AU37" s="4"/>
      <c r="AV37" s="4"/>
      <c r="AW37" s="4"/>
      <c r="AX37" s="4"/>
      <c r="BJ37" s="14"/>
      <c r="BL37" s="4"/>
    </row>
    <row r="38" spans="1:64" x14ac:dyDescent="0.25">
      <c r="A38" t="s">
        <v>31</v>
      </c>
      <c r="B38">
        <f t="shared" ref="B38:C40" si="1">B24+F24+J24+N24+R24+V24+Z24+AD24+B7+F7+J7+N7+R7+V7</f>
        <v>986</v>
      </c>
      <c r="C38">
        <f t="shared" si="1"/>
        <v>47</v>
      </c>
      <c r="D38" s="3">
        <f t="shared" ref="D38:D44" si="2">C38/B38</f>
        <v>4.766734279918864E-2</v>
      </c>
      <c r="AT38" s="4"/>
      <c r="AU38" s="4"/>
      <c r="AV38" s="4"/>
      <c r="AW38" s="4"/>
      <c r="AX38" s="4"/>
      <c r="BJ38" s="14"/>
      <c r="BL38" s="4"/>
    </row>
    <row r="39" spans="1:64" x14ac:dyDescent="0.25">
      <c r="A39" t="s">
        <v>32</v>
      </c>
      <c r="B39">
        <f t="shared" si="1"/>
        <v>341</v>
      </c>
      <c r="C39">
        <f t="shared" si="1"/>
        <v>21</v>
      </c>
      <c r="D39" s="3">
        <f t="shared" si="2"/>
        <v>6.1583577712609971E-2</v>
      </c>
      <c r="AT39" s="4"/>
      <c r="AU39" s="4"/>
      <c r="AV39" s="4"/>
      <c r="AW39" s="4"/>
      <c r="AX39" s="4"/>
      <c r="BJ39" s="14"/>
      <c r="BL39" s="4"/>
    </row>
    <row r="40" spans="1:64" x14ac:dyDescent="0.25">
      <c r="A40" s="44" t="s">
        <v>45</v>
      </c>
      <c r="B40" s="44">
        <f t="shared" si="1"/>
        <v>188</v>
      </c>
      <c r="C40" s="44">
        <f t="shared" si="1"/>
        <v>19</v>
      </c>
      <c r="D40" s="45">
        <f t="shared" si="2"/>
        <v>0.10106382978723404</v>
      </c>
      <c r="AT40" s="4"/>
      <c r="AU40" s="4"/>
      <c r="AV40" s="4"/>
      <c r="AW40" s="4"/>
      <c r="AX40" s="4"/>
      <c r="BJ40" s="14"/>
      <c r="BL40" s="4"/>
    </row>
    <row r="41" spans="1:64" ht="13" x14ac:dyDescent="0.3">
      <c r="A41" s="46" t="s">
        <v>61</v>
      </c>
      <c r="B41" s="46">
        <f>SUM(B38:B40)</f>
        <v>1515</v>
      </c>
      <c r="C41" s="46">
        <f>SUM(C38:C40)</f>
        <v>87</v>
      </c>
      <c r="D41" s="67">
        <f t="shared" si="2"/>
        <v>5.7425742574257428E-2</v>
      </c>
      <c r="AT41" s="4"/>
      <c r="AU41" s="4"/>
      <c r="AV41" s="4"/>
      <c r="AW41" s="4"/>
      <c r="AX41" s="4"/>
      <c r="BJ41" s="14"/>
      <c r="BL41" s="4"/>
    </row>
    <row r="42" spans="1:64" ht="13" x14ac:dyDescent="0.3">
      <c r="A42" s="2">
        <v>1</v>
      </c>
      <c r="B42">
        <f>B28+F28+J28+N28+R28+V28+Z28+AD28</f>
        <v>692</v>
      </c>
      <c r="C42">
        <f>C28+G28+K28+O28+S28+W28+AA28+AE28</f>
        <v>178</v>
      </c>
      <c r="D42" s="3">
        <f t="shared" si="2"/>
        <v>0.25722543352601157</v>
      </c>
      <c r="AT42" s="4"/>
      <c r="AU42" s="4"/>
      <c r="AV42" s="4"/>
      <c r="AW42" s="4"/>
      <c r="AX42" s="4"/>
    </row>
    <row r="43" spans="1:64" ht="13" x14ac:dyDescent="0.3">
      <c r="A43" s="2">
        <v>2</v>
      </c>
      <c r="B43">
        <f t="shared" ref="B43:C46" si="3">B29+F29+J29+N29+R29+V29+Z29+AD29</f>
        <v>1603</v>
      </c>
      <c r="C43">
        <f t="shared" si="3"/>
        <v>395</v>
      </c>
      <c r="D43" s="3">
        <f t="shared" si="2"/>
        <v>0.2464129756706176</v>
      </c>
      <c r="H43" s="3"/>
      <c r="L43" s="3"/>
      <c r="P43" s="3"/>
      <c r="T43" s="3"/>
      <c r="AH43" s="4"/>
      <c r="AM43" s="3"/>
      <c r="AT43" s="4"/>
      <c r="AU43" s="4"/>
      <c r="AV43" s="4"/>
      <c r="AW43" s="4"/>
      <c r="AX43" s="4"/>
    </row>
    <row r="44" spans="1:64" ht="13" x14ac:dyDescent="0.3">
      <c r="A44" s="2">
        <v>3</v>
      </c>
      <c r="B44">
        <f t="shared" si="3"/>
        <v>491</v>
      </c>
      <c r="C44">
        <f t="shared" si="3"/>
        <v>170</v>
      </c>
      <c r="D44" s="3">
        <f t="shared" si="2"/>
        <v>0.34623217922606925</v>
      </c>
      <c r="H44" s="3"/>
      <c r="L44" s="3"/>
      <c r="P44" s="3"/>
      <c r="T44" s="3"/>
      <c r="X44" s="3"/>
      <c r="AB44" s="3"/>
      <c r="AH44" s="4"/>
      <c r="AM44" s="3"/>
      <c r="AT44" s="4"/>
      <c r="AU44" s="4"/>
      <c r="AV44" s="4"/>
      <c r="AW44" s="4"/>
      <c r="AX44" s="4"/>
    </row>
    <row r="45" spans="1:64" ht="13" x14ac:dyDescent="0.3">
      <c r="A45" s="2">
        <v>4</v>
      </c>
      <c r="B45">
        <f t="shared" si="3"/>
        <v>0</v>
      </c>
      <c r="C45">
        <f>C31+G31+K31+O31+S31+W31+AA31+AE31</f>
        <v>0</v>
      </c>
      <c r="D45" s="3"/>
      <c r="H45" s="3"/>
      <c r="L45" s="3"/>
      <c r="P45" s="3"/>
      <c r="T45" s="3"/>
      <c r="X45" s="3"/>
      <c r="AB45" s="3"/>
      <c r="AH45" s="4"/>
      <c r="AM45" s="3"/>
      <c r="AT45" s="4"/>
      <c r="AU45" s="4"/>
      <c r="AV45" s="4"/>
      <c r="AW45" s="4"/>
      <c r="AX45" s="4"/>
    </row>
    <row r="46" spans="1:64" ht="13" x14ac:dyDescent="0.3">
      <c r="A46" s="2">
        <v>5</v>
      </c>
      <c r="B46">
        <f t="shared" si="3"/>
        <v>186</v>
      </c>
      <c r="C46">
        <f t="shared" si="3"/>
        <v>73</v>
      </c>
      <c r="D46" s="3">
        <f>C46/B46</f>
        <v>0.39247311827956988</v>
      </c>
    </row>
    <row r="47" spans="1:64" x14ac:dyDescent="0.25">
      <c r="P47" s="3"/>
      <c r="T47" s="3"/>
      <c r="AH47" s="4"/>
      <c r="AM47" s="3"/>
    </row>
    <row r="49" spans="1:55" ht="13" x14ac:dyDescent="0.3">
      <c r="A49" s="2"/>
    </row>
    <row r="51" spans="1:55" x14ac:dyDescent="0.25">
      <c r="AV51" s="4"/>
      <c r="AW51" s="4"/>
      <c r="AX51" s="4"/>
      <c r="AY51" s="4"/>
      <c r="AZ51" s="4"/>
      <c r="BA51" s="4"/>
    </row>
    <row r="52" spans="1:55" x14ac:dyDescent="0.25">
      <c r="AV52" s="4"/>
      <c r="AW52" s="4"/>
      <c r="AX52" s="4"/>
      <c r="AY52" s="4"/>
      <c r="AZ52" s="4"/>
      <c r="BA52" s="4"/>
      <c r="BB52" s="3"/>
      <c r="BC52" s="3"/>
    </row>
    <row r="53" spans="1:55" x14ac:dyDescent="0.25">
      <c r="D53" s="3"/>
      <c r="H53" s="3"/>
      <c r="L53" s="3"/>
      <c r="P53" s="3"/>
      <c r="T53" s="3"/>
      <c r="X53" s="3"/>
      <c r="AH53" s="4"/>
      <c r="AM53" s="3"/>
      <c r="AV53" s="4"/>
      <c r="AW53" s="4"/>
      <c r="AX53" s="4"/>
      <c r="AY53" s="4"/>
      <c r="AZ53" s="4"/>
      <c r="BA53" s="4"/>
      <c r="BB53" s="3"/>
      <c r="BC53" s="3"/>
    </row>
    <row r="54" spans="1:55" x14ac:dyDescent="0.25">
      <c r="D54" s="3"/>
      <c r="H54" s="3"/>
      <c r="L54" s="3"/>
      <c r="P54" s="3"/>
      <c r="T54" s="3"/>
      <c r="X54" s="3"/>
      <c r="AB54" s="3"/>
      <c r="AH54" s="4"/>
      <c r="AM54" s="3"/>
      <c r="AV54" s="4"/>
      <c r="AW54" s="4"/>
      <c r="AX54" s="4"/>
      <c r="AY54" s="4"/>
      <c r="AZ54" s="4"/>
      <c r="BA54" s="4"/>
    </row>
    <row r="55" spans="1:55" x14ac:dyDescent="0.25">
      <c r="D55" s="3"/>
      <c r="H55" s="3"/>
      <c r="L55" s="3"/>
      <c r="P55" s="3"/>
      <c r="T55" s="3"/>
      <c r="X55" s="3"/>
      <c r="AB55" s="3"/>
      <c r="AH55" s="4"/>
      <c r="AM55" s="3"/>
      <c r="AV55" s="4"/>
      <c r="AW55" s="4"/>
      <c r="AX55" s="4"/>
      <c r="AY55" s="4"/>
      <c r="AZ55" s="4"/>
      <c r="BA55" s="4"/>
      <c r="BB55" s="3"/>
    </row>
    <row r="56" spans="1:55" x14ac:dyDescent="0.25">
      <c r="D56" s="3"/>
      <c r="H56" s="3"/>
      <c r="L56" s="3"/>
      <c r="P56" s="3"/>
      <c r="AH56" s="4"/>
      <c r="AM56" s="3"/>
      <c r="AP56" s="3"/>
      <c r="AQ56" s="3"/>
      <c r="AR56" s="3"/>
      <c r="AS56" s="3"/>
      <c r="AT56" s="3"/>
      <c r="AU56" s="3"/>
      <c r="AV56" s="3"/>
      <c r="AW56" s="3"/>
      <c r="AX56" s="3"/>
      <c r="AY56" s="3"/>
      <c r="AZ56" s="3"/>
      <c r="BA56" s="3"/>
      <c r="BB56" s="3"/>
      <c r="BC56" s="3"/>
    </row>
    <row r="57" spans="1:55" x14ac:dyDescent="0.25">
      <c r="D57" s="3"/>
      <c r="H57" s="3"/>
      <c r="L57" s="3"/>
      <c r="P57" s="3"/>
      <c r="T57" s="3"/>
      <c r="X57" s="3"/>
      <c r="AB57" s="3"/>
      <c r="AH57" s="4"/>
      <c r="AM57" s="3"/>
    </row>
    <row r="59" spans="1:55" ht="13" x14ac:dyDescent="0.3">
      <c r="A59" s="2"/>
    </row>
    <row r="63" spans="1:55" x14ac:dyDescent="0.25">
      <c r="D63" s="3"/>
      <c r="H63" s="3"/>
      <c r="L63" s="3"/>
      <c r="P63" s="3"/>
      <c r="T63" s="3"/>
      <c r="AH63" s="4"/>
      <c r="AM63" s="3"/>
    </row>
    <row r="64" spans="1:55" x14ac:dyDescent="0.25">
      <c r="D64" s="3"/>
      <c r="H64" s="3"/>
      <c r="L64" s="3"/>
      <c r="P64" s="3"/>
      <c r="T64" s="3"/>
      <c r="X64" s="3"/>
      <c r="AB64" s="3"/>
      <c r="AH64" s="4"/>
      <c r="AM64" s="3"/>
    </row>
    <row r="65" spans="1:39" x14ac:dyDescent="0.25">
      <c r="D65" s="3"/>
      <c r="H65" s="3"/>
      <c r="L65" s="3"/>
      <c r="P65" s="3"/>
      <c r="T65" s="3"/>
      <c r="X65" s="3"/>
      <c r="AB65" s="3"/>
      <c r="AH65" s="4"/>
      <c r="AM65" s="3"/>
    </row>
    <row r="66" spans="1:39" x14ac:dyDescent="0.25">
      <c r="D66" s="3"/>
    </row>
    <row r="67" spans="1:39" x14ac:dyDescent="0.25">
      <c r="D67" s="3"/>
      <c r="L67" s="3"/>
      <c r="P67" s="3"/>
      <c r="T67" s="3"/>
      <c r="X67" s="3"/>
      <c r="AB67" s="3"/>
      <c r="AH67" s="4"/>
      <c r="AM67" s="3"/>
    </row>
    <row r="69" spans="1:39" ht="13" x14ac:dyDescent="0.3">
      <c r="A69" s="2"/>
    </row>
    <row r="73" spans="1:39" x14ac:dyDescent="0.25">
      <c r="H73" s="3"/>
      <c r="L73" s="3"/>
      <c r="P73" s="3"/>
      <c r="T73" s="3"/>
      <c r="X73" s="3"/>
      <c r="AH73" s="4"/>
      <c r="AM73" s="3"/>
    </row>
    <row r="74" spans="1:39" x14ac:dyDescent="0.25">
      <c r="H74" s="3"/>
      <c r="L74" s="3"/>
      <c r="P74" s="3"/>
      <c r="T74" s="3"/>
      <c r="X74" s="3"/>
      <c r="AB74" s="3"/>
      <c r="AH74" s="4"/>
      <c r="AM74" s="3"/>
    </row>
    <row r="75" spans="1:39" x14ac:dyDescent="0.25">
      <c r="H75" s="3"/>
      <c r="L75" s="3"/>
      <c r="P75" s="3"/>
      <c r="T75" s="3"/>
      <c r="X75" s="3"/>
      <c r="AB75" s="3"/>
      <c r="AH75" s="4"/>
      <c r="AM75" s="3"/>
    </row>
    <row r="76" spans="1:39" x14ac:dyDescent="0.25">
      <c r="H76" s="3"/>
      <c r="AH76" s="4"/>
      <c r="AM76" s="3"/>
    </row>
    <row r="77" spans="1:39" x14ac:dyDescent="0.25">
      <c r="H77" s="3"/>
      <c r="L77" s="3"/>
      <c r="P77" s="3"/>
      <c r="T77" s="3"/>
      <c r="X77" s="3"/>
      <c r="AB77" s="3"/>
      <c r="AH77" s="4"/>
      <c r="AM77" s="3"/>
    </row>
    <row r="78" spans="1:39" x14ac:dyDescent="0.25">
      <c r="H78" s="3"/>
      <c r="L78" s="3"/>
      <c r="P78" s="3"/>
      <c r="T78" s="3"/>
      <c r="X78" s="3"/>
      <c r="AB78" s="3"/>
      <c r="AH78" s="4"/>
      <c r="AM78" s="3"/>
    </row>
    <row r="82" spans="4:32" x14ac:dyDescent="0.25">
      <c r="D82" s="3"/>
      <c r="H82" s="3"/>
      <c r="L82" s="3"/>
      <c r="P82" s="3"/>
      <c r="T82" s="3"/>
      <c r="X82" s="3"/>
    </row>
    <row r="83" spans="4:32" x14ac:dyDescent="0.25">
      <c r="D83" s="3"/>
      <c r="H83" s="3"/>
      <c r="L83" s="3"/>
      <c r="P83" s="3"/>
      <c r="T83" s="3"/>
      <c r="X83" s="3"/>
      <c r="AB83" s="3"/>
      <c r="AF83" s="3"/>
    </row>
    <row r="84" spans="4:32" x14ac:dyDescent="0.25">
      <c r="D84" s="3"/>
      <c r="H84" s="3"/>
      <c r="L84" s="3"/>
      <c r="P84" s="3"/>
      <c r="T84" s="3"/>
      <c r="X84" s="3"/>
      <c r="AB84" s="3"/>
      <c r="AF84" s="3"/>
    </row>
    <row r="85" spans="4:32" x14ac:dyDescent="0.25">
      <c r="D85" s="3"/>
      <c r="H85" s="3"/>
      <c r="P85" s="3"/>
    </row>
    <row r="86" spans="4:32" x14ac:dyDescent="0.25">
      <c r="D86" s="3"/>
      <c r="H86" s="3"/>
      <c r="L86" s="3"/>
      <c r="P86" s="3"/>
      <c r="T86" s="3"/>
      <c r="X86" s="3"/>
      <c r="AB86" s="3"/>
    </row>
  </sheetData>
  <phoneticPr fontId="4" type="noConversion"/>
  <pageMargins left="0.75" right="0.75" top="1" bottom="1" header="0.5" footer="0.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R136"/>
  <sheetViews>
    <sheetView topLeftCell="A34" zoomScale="75" workbookViewId="0">
      <selection activeCell="I30" sqref="I30"/>
    </sheetView>
  </sheetViews>
  <sheetFormatPr defaultRowHeight="12.5" x14ac:dyDescent="0.25"/>
  <cols>
    <col min="1" max="1" width="13.1796875" customWidth="1"/>
    <col min="2" max="2" width="10.26953125" customWidth="1"/>
    <col min="3" max="4" width="13.453125" customWidth="1"/>
    <col min="5" max="5" width="1.1796875" customWidth="1"/>
    <col min="6" max="6" width="10.26953125" customWidth="1"/>
    <col min="7" max="8" width="13.453125" customWidth="1"/>
    <col min="9" max="9" width="1.1796875" customWidth="1"/>
    <col min="10" max="10" width="10.26953125" customWidth="1"/>
    <col min="11" max="12" width="13.453125" customWidth="1"/>
    <col min="13" max="13" width="1.1796875" customWidth="1"/>
    <col min="14" max="14" width="10.26953125" customWidth="1"/>
    <col min="15" max="16" width="13.453125" customWidth="1"/>
    <col min="17" max="17" width="0.81640625" customWidth="1"/>
    <col min="18" max="18" width="10.26953125" customWidth="1"/>
    <col min="19" max="20" width="13.453125" customWidth="1"/>
    <col min="21" max="21" width="1.1796875" customWidth="1"/>
    <col min="22" max="22" width="10.26953125" customWidth="1"/>
    <col min="23" max="24" width="13.453125" customWidth="1"/>
    <col min="25" max="25" width="1.26953125" customWidth="1"/>
    <col min="26" max="26" width="10.26953125" customWidth="1"/>
    <col min="27" max="28" width="13.453125" customWidth="1"/>
    <col min="29" max="29" width="1.7265625" customWidth="1"/>
    <col min="30" max="30" width="10.26953125" customWidth="1"/>
    <col min="31" max="32" width="13.453125" customWidth="1"/>
    <col min="34" max="34" width="9.81640625" customWidth="1"/>
    <col min="35" max="35" width="13.54296875" bestFit="1" customWidth="1"/>
    <col min="36" max="38" width="13.54296875" customWidth="1"/>
    <col min="56" max="56" width="11.26953125" bestFit="1" customWidth="1"/>
    <col min="57" max="57" width="10.26953125" bestFit="1" customWidth="1"/>
    <col min="58" max="58" width="11.26953125" bestFit="1" customWidth="1"/>
    <col min="61" max="61" width="11.81640625" customWidth="1"/>
    <col min="62" max="62" width="9.7265625" bestFit="1" customWidth="1"/>
    <col min="63" max="63" width="9.54296875" customWidth="1"/>
  </cols>
  <sheetData>
    <row r="1" spans="1:69" ht="15.5" x14ac:dyDescent="0.35">
      <c r="A1" s="1" t="s">
        <v>84</v>
      </c>
    </row>
    <row r="2" spans="1:69" s="27" customFormat="1" ht="13" x14ac:dyDescent="0.3">
      <c r="A2" s="2" t="s">
        <v>54</v>
      </c>
    </row>
    <row r="3" spans="1:69" s="27" customFormat="1" ht="13" x14ac:dyDescent="0.3">
      <c r="B3" s="36" t="s">
        <v>57</v>
      </c>
    </row>
    <row r="4" spans="1:69" s="72" customFormat="1" ht="13" x14ac:dyDescent="0.3">
      <c r="B4" s="37" t="s">
        <v>75</v>
      </c>
    </row>
    <row r="5" spans="1:69" s="27" customFormat="1" ht="13" x14ac:dyDescent="0.3">
      <c r="B5" s="38" t="s">
        <v>76</v>
      </c>
    </row>
    <row r="6" spans="1:69" s="27" customFormat="1" x14ac:dyDescent="0.25"/>
    <row r="7" spans="1:69" ht="15.5" x14ac:dyDescent="0.35">
      <c r="A7" s="1" t="s">
        <v>47</v>
      </c>
      <c r="BI7" s="2"/>
    </row>
    <row r="8" spans="1:69" ht="13" x14ac:dyDescent="0.3">
      <c r="A8" s="2"/>
      <c r="BI8" s="2"/>
      <c r="BJ8" s="2"/>
      <c r="BK8" s="2"/>
    </row>
    <row r="9" spans="1:69" ht="13" x14ac:dyDescent="0.3">
      <c r="C9" s="2" t="s">
        <v>0</v>
      </c>
      <c r="G9" s="2" t="s">
        <v>2</v>
      </c>
      <c r="K9" s="2" t="s">
        <v>3</v>
      </c>
      <c r="O9" s="2" t="s">
        <v>4</v>
      </c>
      <c r="S9" s="2" t="s">
        <v>67</v>
      </c>
      <c r="W9" s="2" t="s">
        <v>68</v>
      </c>
      <c r="BI9" s="14"/>
      <c r="BJ9" s="30"/>
      <c r="BK9" s="30"/>
    </row>
    <row r="10" spans="1:69" x14ac:dyDescent="0.25">
      <c r="B10" t="s">
        <v>43</v>
      </c>
      <c r="C10" t="s">
        <v>50</v>
      </c>
      <c r="D10" t="s">
        <v>51</v>
      </c>
      <c r="F10" t="s">
        <v>43</v>
      </c>
      <c r="G10" t="s">
        <v>50</v>
      </c>
      <c r="H10" t="s">
        <v>51</v>
      </c>
      <c r="J10" t="s">
        <v>43</v>
      </c>
      <c r="K10" t="s">
        <v>50</v>
      </c>
      <c r="L10" t="s">
        <v>51</v>
      </c>
      <c r="N10" t="s">
        <v>43</v>
      </c>
      <c r="O10" t="s">
        <v>50</v>
      </c>
      <c r="P10" t="s">
        <v>51</v>
      </c>
      <c r="R10" t="s">
        <v>43</v>
      </c>
      <c r="S10" t="s">
        <v>50</v>
      </c>
      <c r="T10" t="s">
        <v>51</v>
      </c>
      <c r="V10" t="s">
        <v>43</v>
      </c>
      <c r="W10" t="s">
        <v>50</v>
      </c>
      <c r="X10" t="s">
        <v>51</v>
      </c>
      <c r="BI10" s="14"/>
      <c r="BJ10" s="30"/>
      <c r="BK10" s="30"/>
      <c r="BN10" s="6"/>
    </row>
    <row r="11" spans="1:69" x14ac:dyDescent="0.25">
      <c r="A11" s="32" t="s">
        <v>65</v>
      </c>
      <c r="BI11" s="14"/>
      <c r="BJ11" s="30"/>
      <c r="BK11" s="30"/>
      <c r="BN11" s="6"/>
    </row>
    <row r="12" spans="1:69" x14ac:dyDescent="0.25">
      <c r="A12" s="32" t="s">
        <v>66</v>
      </c>
      <c r="BI12" s="14"/>
      <c r="BJ12" s="30"/>
      <c r="BK12" s="30"/>
      <c r="BN12" s="6"/>
    </row>
    <row r="13" spans="1:69" x14ac:dyDescent="0.25">
      <c r="A13" t="s">
        <v>31</v>
      </c>
      <c r="B13">
        <v>0</v>
      </c>
      <c r="F13">
        <v>3</v>
      </c>
      <c r="G13" s="4">
        <f>'2004 sampling'!H7</f>
        <v>0</v>
      </c>
      <c r="H13">
        <f>F13*G13</f>
        <v>0</v>
      </c>
      <c r="J13">
        <v>1</v>
      </c>
      <c r="K13" s="10">
        <f>'Mean Unmarked Rates'!L27</f>
        <v>0</v>
      </c>
      <c r="L13" s="5">
        <f>K13*J13</f>
        <v>0</v>
      </c>
      <c r="N13">
        <v>279</v>
      </c>
      <c r="O13" s="4">
        <f>'2004 sampling'!P7</f>
        <v>0.10526315789473684</v>
      </c>
      <c r="P13" s="5">
        <f>O13*N13</f>
        <v>29.368421052631579</v>
      </c>
      <c r="R13">
        <v>3175</v>
      </c>
      <c r="S13" s="4">
        <f>'2004 sampling'!T7</f>
        <v>1.7857142857142856E-2</v>
      </c>
      <c r="T13" s="5">
        <f>S13*R13</f>
        <v>56.696428571428569</v>
      </c>
      <c r="V13">
        <v>15480</v>
      </c>
      <c r="W13" s="4">
        <f>'2004 sampling'!X7</f>
        <v>3.0303030303030304E-2</v>
      </c>
      <c r="X13" s="5">
        <f>W13*V13</f>
        <v>469.09090909090912</v>
      </c>
      <c r="AA13" s="4"/>
      <c r="AB13" s="5"/>
      <c r="AE13" s="4"/>
      <c r="AF13" s="5"/>
      <c r="AI13" s="4"/>
      <c r="AJ13" s="5"/>
      <c r="AM13" s="4"/>
      <c r="AN13" s="5"/>
      <c r="AQ13" s="4"/>
      <c r="AR13" s="5"/>
      <c r="AU13" s="4"/>
      <c r="AV13" s="5"/>
      <c r="AY13" s="7"/>
      <c r="AZ13" s="5"/>
    </row>
    <row r="14" spans="1:69" x14ac:dyDescent="0.25">
      <c r="A14" t="s">
        <v>32</v>
      </c>
      <c r="B14">
        <v>0</v>
      </c>
      <c r="F14">
        <v>0</v>
      </c>
      <c r="J14">
        <v>0</v>
      </c>
      <c r="N14">
        <v>63</v>
      </c>
      <c r="O14" s="4">
        <f>'2004 sampling'!P8</f>
        <v>0</v>
      </c>
      <c r="P14" s="5">
        <f>O14*N14</f>
        <v>0</v>
      </c>
      <c r="R14">
        <v>90</v>
      </c>
      <c r="S14" s="4">
        <f>'2004 sampling'!T8</f>
        <v>6.6666666666666666E-2</v>
      </c>
      <c r="T14" s="5">
        <f>S14*R14</f>
        <v>6</v>
      </c>
      <c r="V14">
        <v>108</v>
      </c>
      <c r="W14" s="4">
        <f>'2004 sampling'!X8</f>
        <v>0.1</v>
      </c>
      <c r="X14" s="5">
        <f>W14*V14</f>
        <v>10.8</v>
      </c>
      <c r="AA14" s="4"/>
      <c r="AB14" s="5"/>
      <c r="AE14" s="4"/>
      <c r="AF14" s="5"/>
      <c r="AI14" s="4"/>
      <c r="AJ14" s="5"/>
      <c r="AM14" s="4"/>
      <c r="AN14" s="5"/>
      <c r="AQ14" s="4"/>
      <c r="AR14" s="5"/>
      <c r="AU14" s="4"/>
      <c r="AV14" s="5"/>
      <c r="AY14" s="4"/>
      <c r="AZ14" s="5"/>
      <c r="BD14" s="5"/>
      <c r="BE14" s="3"/>
      <c r="BG14" s="5"/>
      <c r="BH14" s="3"/>
      <c r="BJ14" s="5"/>
      <c r="BK14" s="3"/>
      <c r="BM14" s="5"/>
      <c r="BN14" s="3"/>
      <c r="BP14" s="5"/>
      <c r="BQ14" s="3"/>
    </row>
    <row r="15" spans="1:69" s="42" customFormat="1" x14ac:dyDescent="0.25">
      <c r="A15" s="42" t="s">
        <v>45</v>
      </c>
      <c r="B15" s="42">
        <v>0</v>
      </c>
      <c r="F15" s="42">
        <v>0</v>
      </c>
      <c r="J15" s="42">
        <v>0</v>
      </c>
      <c r="N15" s="42">
        <v>0</v>
      </c>
      <c r="R15" s="42">
        <v>686</v>
      </c>
      <c r="S15" s="49">
        <f>'2004 sampling'!T9</f>
        <v>0</v>
      </c>
      <c r="T15" s="50">
        <f>S15*R15</f>
        <v>0</v>
      </c>
      <c r="V15" s="42">
        <v>3093</v>
      </c>
      <c r="W15" s="49">
        <f>'2004 sampling'!X9</f>
        <v>3.3112582781456956E-2</v>
      </c>
      <c r="X15" s="50">
        <f>W15*V15</f>
        <v>102.41721854304636</v>
      </c>
      <c r="AA15" s="49"/>
      <c r="AB15" s="50"/>
      <c r="AE15" s="49"/>
      <c r="AF15" s="50"/>
      <c r="AI15" s="49"/>
      <c r="AJ15" s="50"/>
      <c r="AM15" s="49"/>
      <c r="AN15" s="50"/>
      <c r="AQ15" s="51"/>
      <c r="AR15" s="50"/>
      <c r="AT15" s="47"/>
      <c r="BD15" s="50"/>
      <c r="BE15" s="43"/>
      <c r="BG15" s="50"/>
      <c r="BH15" s="43"/>
      <c r="BJ15" s="50"/>
      <c r="BK15" s="43"/>
      <c r="BM15" s="50"/>
      <c r="BN15" s="43"/>
      <c r="BP15" s="50"/>
      <c r="BQ15" s="43"/>
    </row>
    <row r="16" spans="1:69" s="80" customFormat="1" ht="14" x14ac:dyDescent="0.3">
      <c r="A16" s="80" t="s">
        <v>61</v>
      </c>
      <c r="B16" s="80">
        <f>SUM(B11:B15)</f>
        <v>0</v>
      </c>
      <c r="C16" s="81"/>
      <c r="D16" s="82"/>
      <c r="F16" s="80">
        <f>SUM(F11:F15)</f>
        <v>3</v>
      </c>
      <c r="G16" s="81">
        <f>H16/F16</f>
        <v>0</v>
      </c>
      <c r="H16" s="80">
        <f>SUM(H13:H15)</f>
        <v>0</v>
      </c>
      <c r="J16" s="80">
        <f>SUM(J11:J15)</f>
        <v>1</v>
      </c>
      <c r="K16" s="81">
        <f>L16/J16</f>
        <v>0</v>
      </c>
      <c r="L16" s="82">
        <f>SUM(L13:L15)</f>
        <v>0</v>
      </c>
      <c r="N16" s="80">
        <f>SUM(N11:N15)</f>
        <v>342</v>
      </c>
      <c r="O16" s="81">
        <f>P16/N16</f>
        <v>8.5872576177285317E-2</v>
      </c>
      <c r="P16" s="82">
        <f>SUM(P13:P15)</f>
        <v>29.368421052631579</v>
      </c>
      <c r="R16" s="80">
        <f>SUM(R11:R15)</f>
        <v>3951</v>
      </c>
      <c r="S16" s="81">
        <f>T16/R16</f>
        <v>1.5868496221571392E-2</v>
      </c>
      <c r="T16" s="82">
        <f>SUM(T13:T15)</f>
        <v>62.696428571428569</v>
      </c>
      <c r="V16" s="80">
        <f>SUM(V11:V15)</f>
        <v>18681</v>
      </c>
      <c r="W16" s="81">
        <f>X16/V16</f>
        <v>3.1171143281085351E-2</v>
      </c>
      <c r="X16" s="82">
        <f>SUM(X13:X15)</f>
        <v>582.30812763395545</v>
      </c>
      <c r="BI16" s="86"/>
      <c r="BJ16" s="87"/>
      <c r="BK16" s="87"/>
      <c r="BN16" s="88"/>
    </row>
    <row r="17" spans="1:63" x14ac:dyDescent="0.25">
      <c r="A17">
        <v>1</v>
      </c>
      <c r="B17">
        <v>7</v>
      </c>
      <c r="C17" s="39">
        <f>'Mean Unmarked Rates'!D13</f>
        <v>7.5644949715784865E-2</v>
      </c>
      <c r="D17" s="5">
        <f>B17*C17</f>
        <v>0.52951464801049408</v>
      </c>
      <c r="F17">
        <v>20</v>
      </c>
      <c r="G17" s="39">
        <f>'Mean Unmarked Rates'!D13</f>
        <v>7.5644949715784865E-2</v>
      </c>
      <c r="H17" s="5">
        <f>F17*G17</f>
        <v>1.5128989943156972</v>
      </c>
      <c r="J17">
        <v>0</v>
      </c>
      <c r="N17">
        <v>0</v>
      </c>
      <c r="R17" s="73">
        <v>0</v>
      </c>
      <c r="V17" s="73">
        <v>0</v>
      </c>
      <c r="BI17" s="14"/>
      <c r="BJ17" s="30"/>
      <c r="BK17" s="30"/>
    </row>
    <row r="18" spans="1:63" x14ac:dyDescent="0.25">
      <c r="A18">
        <v>2</v>
      </c>
      <c r="B18">
        <v>4</v>
      </c>
      <c r="C18" s="39">
        <f>'Mean Unmarked Rates'!D14</f>
        <v>8.7292161520190023E-2</v>
      </c>
      <c r="D18" s="5">
        <f>B18*C18</f>
        <v>0.34916864608076009</v>
      </c>
      <c r="F18">
        <v>0</v>
      </c>
      <c r="G18" s="74"/>
      <c r="J18">
        <v>2</v>
      </c>
      <c r="K18" s="39">
        <f>'Mean Unmarked Rates'!D14</f>
        <v>8.7292161520190023E-2</v>
      </c>
      <c r="L18" s="5">
        <f>J18*K18</f>
        <v>0.17458432304038005</v>
      </c>
      <c r="N18">
        <v>0</v>
      </c>
      <c r="R18" s="73">
        <v>0</v>
      </c>
      <c r="V18" s="73">
        <v>0</v>
      </c>
      <c r="BI18" s="14"/>
      <c r="BJ18" s="30"/>
      <c r="BK18" s="30"/>
    </row>
    <row r="19" spans="1:63" ht="13" x14ac:dyDescent="0.3">
      <c r="A19">
        <v>3</v>
      </c>
      <c r="B19">
        <v>0</v>
      </c>
      <c r="F19">
        <v>0</v>
      </c>
      <c r="G19" s="74"/>
      <c r="J19">
        <v>3</v>
      </c>
      <c r="K19" s="39">
        <f>'Mean Unmarked Rates'!D15</f>
        <v>5.920444033302498E-2</v>
      </c>
      <c r="L19" s="5">
        <f>J19*K19</f>
        <v>0.17761332099907495</v>
      </c>
      <c r="N19">
        <v>0</v>
      </c>
      <c r="R19" s="73">
        <v>0</v>
      </c>
      <c r="V19" s="73">
        <v>0</v>
      </c>
      <c r="AO19" s="2"/>
      <c r="AP19" s="2"/>
      <c r="AQ19" s="2"/>
      <c r="AR19" s="2"/>
      <c r="AS19" s="2"/>
      <c r="AT19" s="2"/>
      <c r="AU19" s="2"/>
      <c r="AV19" s="2"/>
      <c r="AW19" s="2"/>
      <c r="AX19" s="2"/>
      <c r="AY19" s="2"/>
      <c r="AZ19" s="2"/>
      <c r="BA19" s="2"/>
      <c r="BB19" s="2"/>
      <c r="BI19" s="14"/>
      <c r="BJ19" s="30"/>
      <c r="BK19" s="30"/>
    </row>
    <row r="20" spans="1:63" ht="13" x14ac:dyDescent="0.3">
      <c r="A20">
        <v>4</v>
      </c>
      <c r="B20">
        <v>0</v>
      </c>
      <c r="F20">
        <v>1</v>
      </c>
      <c r="G20" s="39">
        <f>'Mean Unmarked Rates'!D16</f>
        <v>8.6901763224181361E-2</v>
      </c>
      <c r="H20" s="5">
        <f>F20*G20</f>
        <v>8.6901763224181361E-2</v>
      </c>
      <c r="J20">
        <v>3</v>
      </c>
      <c r="K20" s="39">
        <f>'Mean Unmarked Rates'!D16</f>
        <v>8.6901763224181361E-2</v>
      </c>
      <c r="L20" s="5">
        <f>J20*K20</f>
        <v>0.26070528967254408</v>
      </c>
      <c r="N20">
        <v>5</v>
      </c>
      <c r="O20" s="39">
        <f>'Mean Unmarked Rates'!D16</f>
        <v>8.6901763224181361E-2</v>
      </c>
      <c r="P20" s="5">
        <f>N20*O20</f>
        <v>0.4345088161209068</v>
      </c>
      <c r="R20" s="73">
        <v>0</v>
      </c>
      <c r="V20" s="73">
        <v>0</v>
      </c>
      <c r="AO20" s="2"/>
      <c r="AP20" s="2"/>
      <c r="AQ20" s="2"/>
      <c r="AR20" s="2"/>
      <c r="AS20" s="2"/>
      <c r="AT20" s="2"/>
      <c r="AU20" s="2"/>
      <c r="AV20" s="2"/>
      <c r="AW20" s="2"/>
      <c r="AX20" s="2"/>
      <c r="AY20" s="2"/>
      <c r="AZ20" s="2"/>
      <c r="BA20" s="2"/>
      <c r="BB20" s="2"/>
      <c r="BD20" s="2"/>
    </row>
    <row r="21" spans="1:63" s="42" customFormat="1" ht="13" x14ac:dyDescent="0.3">
      <c r="A21" s="42">
        <v>5</v>
      </c>
      <c r="B21" s="42">
        <v>0</v>
      </c>
      <c r="F21" s="42">
        <v>0</v>
      </c>
      <c r="J21" s="42">
        <v>0</v>
      </c>
      <c r="N21" s="42">
        <v>2</v>
      </c>
      <c r="O21" s="95">
        <f>'Mean Unmarked Rates'!D17</f>
        <v>6.7307692307692304E-2</v>
      </c>
      <c r="P21" s="50">
        <f>N21*O21</f>
        <v>0.13461538461538461</v>
      </c>
      <c r="R21" s="71">
        <v>0</v>
      </c>
      <c r="V21" s="71">
        <v>0</v>
      </c>
      <c r="AO21" s="41"/>
      <c r="AP21" s="41"/>
      <c r="AQ21" s="41"/>
      <c r="AR21" s="41"/>
      <c r="AS21" s="41"/>
      <c r="AT21" s="41"/>
      <c r="AU21" s="41"/>
      <c r="AV21" s="41"/>
      <c r="AW21" s="41"/>
      <c r="AX21" s="41"/>
      <c r="AY21" s="41"/>
      <c r="AZ21" s="41"/>
      <c r="BA21" s="41"/>
      <c r="BB21" s="41"/>
      <c r="BD21" s="41"/>
      <c r="BE21" s="41"/>
      <c r="BF21" s="41"/>
      <c r="BG21" s="41"/>
    </row>
    <row r="22" spans="1:63" s="80" customFormat="1" ht="14" x14ac:dyDescent="0.3">
      <c r="A22" s="80" t="s">
        <v>60</v>
      </c>
      <c r="B22" s="80">
        <f>SUM(B17:B21)</f>
        <v>11</v>
      </c>
      <c r="C22" s="81">
        <f>D22/B22</f>
        <v>7.9880299462841281E-2</v>
      </c>
      <c r="D22" s="82">
        <f>SUM(D17:D21)</f>
        <v>0.87868329409125412</v>
      </c>
      <c r="F22" s="80">
        <f>SUM(F17:F21)</f>
        <v>21</v>
      </c>
      <c r="G22" s="81">
        <f>H22/F22</f>
        <v>7.6180988454279924E-2</v>
      </c>
      <c r="H22" s="82">
        <f>SUM(H17:H21)</f>
        <v>1.5998007575398785</v>
      </c>
      <c r="J22" s="80">
        <f>SUM(J17:J21)</f>
        <v>8</v>
      </c>
      <c r="K22" s="81">
        <f>L22/J22</f>
        <v>7.6612866713999889E-2</v>
      </c>
      <c r="L22" s="82">
        <f>SUM(L17:L21)</f>
        <v>0.61290293371199911</v>
      </c>
      <c r="N22" s="80">
        <f>SUM(N17:N21)</f>
        <v>7</v>
      </c>
      <c r="O22" s="81">
        <f>P22/N22</f>
        <v>8.1303457248041638E-2</v>
      </c>
      <c r="P22" s="82">
        <f>SUM(P17:P21)</f>
        <v>0.56912420073629144</v>
      </c>
      <c r="R22" s="80">
        <f>SUM(R17:R21)</f>
        <v>0</v>
      </c>
      <c r="S22" s="81"/>
      <c r="T22" s="82"/>
      <c r="V22" s="80">
        <f>SUM(V17:V21)</f>
        <v>0</v>
      </c>
      <c r="AN22" s="104"/>
      <c r="AO22" s="104"/>
      <c r="AP22" s="104"/>
      <c r="AQ22" s="104"/>
      <c r="AR22" s="104"/>
      <c r="AS22" s="104"/>
      <c r="AT22" s="104"/>
      <c r="AU22" s="104"/>
      <c r="AV22" s="104"/>
      <c r="AW22" s="104"/>
      <c r="AX22" s="104"/>
      <c r="AY22" s="104"/>
      <c r="AZ22" s="104"/>
      <c r="BA22" s="104"/>
      <c r="BB22" s="104"/>
      <c r="BD22" s="83"/>
      <c r="BE22" s="83"/>
      <c r="BF22" s="83"/>
      <c r="BG22" s="105"/>
    </row>
    <row r="23" spans="1:63" s="2" customFormat="1" ht="13" x14ac:dyDescent="0.3">
      <c r="D23" s="8"/>
      <c r="F23" s="8"/>
      <c r="H23" s="8"/>
      <c r="J23" s="8"/>
      <c r="L23" s="8"/>
      <c r="N23" s="8"/>
      <c r="O23" s="25"/>
      <c r="P23" s="8"/>
      <c r="AN23" s="27"/>
      <c r="AO23" s="27"/>
      <c r="AP23" s="27"/>
      <c r="AQ23" s="27"/>
      <c r="AR23" s="27"/>
      <c r="AS23" s="27"/>
      <c r="AT23" s="27"/>
      <c r="AU23" s="27"/>
      <c r="AV23" s="27"/>
      <c r="AW23" s="27"/>
      <c r="AX23" s="27"/>
      <c r="AY23" s="27"/>
      <c r="AZ23" s="27"/>
      <c r="BA23" s="27"/>
      <c r="BB23" s="27"/>
      <c r="BD23" s="29"/>
      <c r="BE23" s="29"/>
      <c r="BF23" s="29"/>
      <c r="BG23" s="28"/>
    </row>
    <row r="24" spans="1:63" s="57" customFormat="1" ht="14" x14ac:dyDescent="0.3">
      <c r="A24" s="57" t="s">
        <v>44</v>
      </c>
      <c r="B24" s="57">
        <f>B16+B22</f>
        <v>11</v>
      </c>
      <c r="C24" s="58">
        <f>D24/B24</f>
        <v>7.9880299462841281E-2</v>
      </c>
      <c r="D24" s="59">
        <f>D16+D22</f>
        <v>0.87868329409125412</v>
      </c>
      <c r="F24" s="57">
        <f>F16+F22</f>
        <v>24</v>
      </c>
      <c r="G24" s="58">
        <f>H24/F24</f>
        <v>6.6658364897494937E-2</v>
      </c>
      <c r="H24" s="59">
        <f>H16+H22</f>
        <v>1.5998007575398785</v>
      </c>
      <c r="J24" s="57">
        <f>J16+J22</f>
        <v>9</v>
      </c>
      <c r="K24" s="58">
        <f>L24/J24</f>
        <v>6.8100325967999906E-2</v>
      </c>
      <c r="L24" s="59">
        <f>L16+L22</f>
        <v>0.61290293371199911</v>
      </c>
      <c r="N24" s="57">
        <f>N16+N22</f>
        <v>349</v>
      </c>
      <c r="O24" s="58">
        <f>P24/N24</f>
        <v>8.5780931958074125E-2</v>
      </c>
      <c r="P24" s="59">
        <f>P16+P22</f>
        <v>29.937545253367869</v>
      </c>
      <c r="R24" s="57">
        <f>R16+R22</f>
        <v>3951</v>
      </c>
      <c r="S24" s="58">
        <f>T24/R24</f>
        <v>1.5868496221571392E-2</v>
      </c>
      <c r="T24" s="59">
        <f>T16+T22</f>
        <v>62.696428571428569</v>
      </c>
      <c r="V24" s="57">
        <f>V16+V22</f>
        <v>18681</v>
      </c>
      <c r="W24" s="58">
        <f>X24/V24</f>
        <v>3.1171143281085351E-2</v>
      </c>
      <c r="X24" s="59">
        <f>X16+X22</f>
        <v>582.30812763395545</v>
      </c>
      <c r="AN24" s="60"/>
      <c r="AO24" s="60"/>
      <c r="AP24" s="60"/>
      <c r="AQ24" s="60"/>
      <c r="AR24" s="60"/>
      <c r="AS24" s="60"/>
      <c r="AT24" s="60"/>
      <c r="AU24" s="60"/>
      <c r="AV24" s="60"/>
      <c r="AW24" s="60"/>
      <c r="AX24" s="60"/>
      <c r="AY24" s="60"/>
      <c r="AZ24" s="60"/>
      <c r="BA24" s="60"/>
      <c r="BB24" s="60"/>
      <c r="BD24" s="61"/>
      <c r="BE24" s="61"/>
      <c r="BF24" s="61"/>
      <c r="BG24" s="62"/>
    </row>
    <row r="25" spans="1:63" s="2" customFormat="1" ht="13" x14ac:dyDescent="0.3">
      <c r="D25" s="8"/>
      <c r="F25" s="8"/>
      <c r="H25" s="8"/>
      <c r="J25" s="8"/>
      <c r="L25" s="8"/>
      <c r="N25" s="8"/>
      <c r="O25" s="25"/>
      <c r="P25" s="8"/>
      <c r="AN25" s="27"/>
      <c r="AO25" s="27"/>
      <c r="AP25" s="27"/>
      <c r="AQ25" s="27"/>
      <c r="AR25" s="27"/>
      <c r="AS25" s="27"/>
      <c r="AT25" s="27"/>
      <c r="AU25" s="27"/>
      <c r="AV25" s="27"/>
      <c r="AW25" s="27"/>
      <c r="AX25" s="27"/>
      <c r="AY25" s="27"/>
      <c r="AZ25" s="27"/>
      <c r="BA25" s="27"/>
      <c r="BB25" s="27"/>
      <c r="BD25" s="29"/>
      <c r="BE25" s="29"/>
      <c r="BF25" s="29"/>
      <c r="BG25" s="28"/>
    </row>
    <row r="26" spans="1:63" s="2" customFormat="1" ht="15.5" x14ac:dyDescent="0.35">
      <c r="A26" s="1" t="s">
        <v>48</v>
      </c>
      <c r="D26" s="8"/>
      <c r="F26" s="8"/>
      <c r="H26" s="8"/>
      <c r="J26" s="8"/>
      <c r="L26" s="8"/>
      <c r="N26" s="8"/>
      <c r="O26" s="25"/>
      <c r="P26" s="8"/>
      <c r="AN26" s="27"/>
      <c r="AO26" s="27"/>
      <c r="AP26" s="27"/>
      <c r="AQ26" s="27"/>
      <c r="AR26" s="27"/>
      <c r="AS26" s="27"/>
      <c r="AT26" s="27"/>
      <c r="AU26" s="27"/>
      <c r="AV26" s="27"/>
      <c r="AW26" s="27"/>
      <c r="AX26" s="27"/>
      <c r="AY26" s="27"/>
      <c r="AZ26" s="27"/>
      <c r="BA26" s="27"/>
      <c r="BB26" s="27"/>
      <c r="BD26" s="29"/>
      <c r="BE26" s="29"/>
      <c r="BF26" s="29"/>
      <c r="BG26" s="28"/>
    </row>
    <row r="27" spans="1:63" x14ac:dyDescent="0.25">
      <c r="D27" s="5"/>
      <c r="P27" s="5"/>
      <c r="BD27" s="29"/>
      <c r="BE27" s="13"/>
      <c r="BF27" s="13"/>
      <c r="BG27" s="6"/>
    </row>
    <row r="28" spans="1:63" s="2" customFormat="1" ht="13" x14ac:dyDescent="0.3">
      <c r="C28" s="2" t="s">
        <v>12</v>
      </c>
      <c r="G28" s="2" t="s">
        <v>5</v>
      </c>
      <c r="K28" s="2" t="s">
        <v>6</v>
      </c>
      <c r="O28" s="2" t="s">
        <v>7</v>
      </c>
      <c r="S28" s="2" t="s">
        <v>8</v>
      </c>
      <c r="W28" s="2" t="s">
        <v>9</v>
      </c>
      <c r="AA28" s="2" t="s">
        <v>10</v>
      </c>
      <c r="AE28" s="2" t="s">
        <v>11</v>
      </c>
      <c r="BD28" s="24"/>
      <c r="BE28" s="24"/>
      <c r="BF28" s="24"/>
      <c r="BG28" s="22"/>
    </row>
    <row r="29" spans="1:63" ht="13" x14ac:dyDescent="0.3">
      <c r="B29" t="s">
        <v>43</v>
      </c>
      <c r="C29" t="s">
        <v>50</v>
      </c>
      <c r="D29" t="s">
        <v>51</v>
      </c>
      <c r="F29" t="s">
        <v>43</v>
      </c>
      <c r="G29" t="s">
        <v>50</v>
      </c>
      <c r="H29" t="s">
        <v>51</v>
      </c>
      <c r="J29" t="s">
        <v>43</v>
      </c>
      <c r="K29" t="s">
        <v>50</v>
      </c>
      <c r="L29" t="s">
        <v>51</v>
      </c>
      <c r="N29" t="s">
        <v>43</v>
      </c>
      <c r="O29" t="s">
        <v>50</v>
      </c>
      <c r="P29" t="s">
        <v>51</v>
      </c>
      <c r="R29" t="s">
        <v>43</v>
      </c>
      <c r="S29" t="s">
        <v>50</v>
      </c>
      <c r="T29" t="s">
        <v>51</v>
      </c>
      <c r="V29" t="s">
        <v>43</v>
      </c>
      <c r="W29" t="s">
        <v>50</v>
      </c>
      <c r="X29" t="s">
        <v>51</v>
      </c>
      <c r="Z29" t="s">
        <v>43</v>
      </c>
      <c r="AA29" t="s">
        <v>50</v>
      </c>
      <c r="AB29" t="s">
        <v>51</v>
      </c>
      <c r="AD29" t="s">
        <v>43</v>
      </c>
      <c r="AE29" t="s">
        <v>50</v>
      </c>
      <c r="AF29" t="s">
        <v>51</v>
      </c>
      <c r="AK29" s="2"/>
      <c r="AL29" s="2"/>
      <c r="BD29" s="29"/>
      <c r="BE29" s="13"/>
      <c r="BF29" s="13"/>
      <c r="BG29" s="6"/>
    </row>
    <row r="30" spans="1:63" ht="13" x14ac:dyDescent="0.3">
      <c r="A30" s="32" t="s">
        <v>65</v>
      </c>
      <c r="AK30" s="2"/>
      <c r="AL30" s="2"/>
      <c r="BD30" s="29"/>
      <c r="BE30" s="13"/>
      <c r="BF30" s="13"/>
      <c r="BG30" s="6"/>
    </row>
    <row r="31" spans="1:63" ht="13" x14ac:dyDescent="0.3">
      <c r="A31" s="32" t="s">
        <v>66</v>
      </c>
      <c r="AK31" s="2"/>
      <c r="AL31" s="2"/>
      <c r="BD31" s="29"/>
      <c r="BE31" s="13"/>
      <c r="BF31" s="13"/>
      <c r="BG31" s="6"/>
    </row>
    <row r="32" spans="1:63" ht="13" x14ac:dyDescent="0.3">
      <c r="A32" t="s">
        <v>31</v>
      </c>
      <c r="B32">
        <v>13180</v>
      </c>
      <c r="C32" s="4">
        <f>'2004 sampling'!D24</f>
        <v>2.4229074889867842E-2</v>
      </c>
      <c r="D32" s="5">
        <f>C32*B32</f>
        <v>319.33920704845815</v>
      </c>
      <c r="F32">
        <v>992</v>
      </c>
      <c r="G32" s="4">
        <f>'2004 sampling'!H24</f>
        <v>4.878048780487805E-2</v>
      </c>
      <c r="H32" s="5">
        <f>F32*G32</f>
        <v>48.390243902439025</v>
      </c>
      <c r="J32">
        <v>658</v>
      </c>
      <c r="K32" s="4">
        <f>'2004 sampling'!L24</f>
        <v>6.6666666666666666E-2</v>
      </c>
      <c r="L32" s="5">
        <f>J32*K32</f>
        <v>43.866666666666667</v>
      </c>
      <c r="N32">
        <v>246</v>
      </c>
      <c r="O32" s="10">
        <f>'Mean Unmarked Rates'!P43</f>
        <v>0</v>
      </c>
      <c r="P32" s="5">
        <f>N32*O32</f>
        <v>0</v>
      </c>
      <c r="R32">
        <v>278</v>
      </c>
      <c r="S32" s="4">
        <f>'2004 sampling'!T24</f>
        <v>5.5555555555555552E-2</v>
      </c>
      <c r="T32" s="5">
        <f>R32*S32</f>
        <v>15.444444444444443</v>
      </c>
      <c r="V32">
        <v>275</v>
      </c>
      <c r="W32" s="4">
        <f>'2004 sampling'!X24</f>
        <v>0.13414634146341464</v>
      </c>
      <c r="X32" s="5">
        <f>V32*W32</f>
        <v>36.890243902439025</v>
      </c>
      <c r="Z32">
        <v>46</v>
      </c>
      <c r="AA32" s="4">
        <f>'2004 sampling'!AB24</f>
        <v>0</v>
      </c>
      <c r="AB32" s="5">
        <f>Z32*AA32</f>
        <v>0</v>
      </c>
      <c r="AK32" s="2"/>
      <c r="AL32" s="2"/>
      <c r="BD32" s="29"/>
      <c r="BE32" s="13"/>
      <c r="BF32" s="13"/>
      <c r="BG32" s="6"/>
    </row>
    <row r="33" spans="1:70" ht="13" x14ac:dyDescent="0.3">
      <c r="A33" t="s">
        <v>32</v>
      </c>
      <c r="B33">
        <v>774</v>
      </c>
      <c r="C33" s="4">
        <f>'2004 sampling'!D25</f>
        <v>0.1125</v>
      </c>
      <c r="D33" s="5">
        <f>C33*B33</f>
        <v>87.075000000000003</v>
      </c>
      <c r="F33">
        <v>254</v>
      </c>
      <c r="G33" s="4">
        <f>'2004 sampling'!H25</f>
        <v>0.125</v>
      </c>
      <c r="H33" s="5">
        <f>F33*G33</f>
        <v>31.75</v>
      </c>
      <c r="J33">
        <v>65</v>
      </c>
      <c r="K33" s="4">
        <f>'2004 sampling'!L25</f>
        <v>0.2</v>
      </c>
      <c r="L33" s="5">
        <f>J33*K33</f>
        <v>13</v>
      </c>
      <c r="N33">
        <v>0</v>
      </c>
      <c r="O33" s="10"/>
      <c r="R33">
        <v>1</v>
      </c>
      <c r="S33" s="7">
        <f>'Mean Unmarked Rates'!T44</f>
        <v>0</v>
      </c>
      <c r="T33" s="5">
        <f>R33*S33</f>
        <v>0</v>
      </c>
      <c r="V33">
        <v>0</v>
      </c>
      <c r="Z33">
        <v>0</v>
      </c>
      <c r="AK33" s="2"/>
      <c r="AL33" s="2"/>
      <c r="BD33" s="29"/>
      <c r="BE33" s="13"/>
      <c r="BF33" s="13"/>
      <c r="BG33" s="6"/>
    </row>
    <row r="34" spans="1:70" s="42" customFormat="1" ht="13" x14ac:dyDescent="0.3">
      <c r="A34" s="42" t="s">
        <v>62</v>
      </c>
      <c r="B34" s="42">
        <v>5321</v>
      </c>
      <c r="C34" s="49">
        <f>'2004 sampling'!D26</f>
        <v>3.1578947368421054E-2</v>
      </c>
      <c r="D34" s="50">
        <f>C34*B34</f>
        <v>168.03157894736842</v>
      </c>
      <c r="F34" s="42">
        <v>922</v>
      </c>
      <c r="G34" s="4">
        <f>'2004 sampling'!H26</f>
        <v>4.5977011494252873E-2</v>
      </c>
      <c r="H34" s="50">
        <f>F34*G34</f>
        <v>42.390804597701148</v>
      </c>
      <c r="J34" s="42">
        <v>112</v>
      </c>
      <c r="K34" s="4">
        <f>'2004 sampling'!L26</f>
        <v>3.7037037037037035E-2</v>
      </c>
      <c r="L34" s="50">
        <f>J34*K34</f>
        <v>4.1481481481481479</v>
      </c>
      <c r="N34" s="42">
        <v>26</v>
      </c>
      <c r="O34" s="10">
        <f>'Mean Unmarked Rates'!P45</f>
        <v>0</v>
      </c>
      <c r="P34" s="50">
        <f>N34*O34</f>
        <v>0</v>
      </c>
      <c r="R34" s="42">
        <v>36</v>
      </c>
      <c r="S34" s="77">
        <f>'Mean Unmarked Rates'!D11</f>
        <v>5.3181818181818184E-2</v>
      </c>
      <c r="T34" s="50">
        <f>R34*S34</f>
        <v>1.9145454545454546</v>
      </c>
      <c r="V34" s="42">
        <v>0</v>
      </c>
      <c r="Z34" s="42">
        <v>0</v>
      </c>
      <c r="AK34" s="41"/>
      <c r="AL34" s="41"/>
      <c r="BD34" s="52"/>
      <c r="BE34" s="53"/>
      <c r="BF34" s="53"/>
      <c r="BG34" s="54"/>
    </row>
    <row r="35" spans="1:70" s="93" customFormat="1" ht="14" x14ac:dyDescent="0.3">
      <c r="A35" s="108" t="s">
        <v>61</v>
      </c>
      <c r="B35" s="108">
        <f>SUM(B30:B34)</f>
        <v>19275</v>
      </c>
      <c r="C35" s="90">
        <f>D35/B35</f>
        <v>2.9802634811716033E-2</v>
      </c>
      <c r="D35" s="108">
        <f>SUM(D32:D34)</f>
        <v>574.44578599582655</v>
      </c>
      <c r="F35" s="108">
        <f>SUM(F30:F34)</f>
        <v>2168</v>
      </c>
      <c r="G35" s="90">
        <f>H35/F35</f>
        <v>5.6518011300802661E-2</v>
      </c>
      <c r="H35" s="108">
        <f>SUM(H32:H34)</f>
        <v>122.53104850014017</v>
      </c>
      <c r="J35" s="108">
        <f>SUM(J30:J34)</f>
        <v>835</v>
      </c>
      <c r="K35" s="90">
        <f>L35/J35</f>
        <v>7.3071634508760253E-2</v>
      </c>
      <c r="L35" s="108">
        <f>SUM(L32:L34)</f>
        <v>61.014814814814812</v>
      </c>
      <c r="N35" s="108">
        <f>SUM(N30:N34)</f>
        <v>272</v>
      </c>
      <c r="O35" s="90">
        <f>P35/N35</f>
        <v>0</v>
      </c>
      <c r="P35" s="108">
        <f>SUM(P32:P34)</f>
        <v>0</v>
      </c>
      <c r="R35" s="108">
        <f>SUM(R30:R34)</f>
        <v>315</v>
      </c>
      <c r="S35" s="90">
        <f>T35/R35</f>
        <v>5.5107904441237768E-2</v>
      </c>
      <c r="T35" s="108">
        <f>SUM(T32:T34)</f>
        <v>17.358989898989897</v>
      </c>
      <c r="V35" s="108">
        <f>SUM(V30:V34)</f>
        <v>275</v>
      </c>
      <c r="W35" s="90">
        <f>X35/V35</f>
        <v>0.13414634146341464</v>
      </c>
      <c r="X35" s="108">
        <f>SUM(X32:X34)</f>
        <v>36.890243902439025</v>
      </c>
      <c r="Z35" s="108">
        <f>SUM(Z30:Z34)</f>
        <v>46</v>
      </c>
      <c r="AA35" s="90">
        <f>AB35/Z35</f>
        <v>0</v>
      </c>
      <c r="AB35" s="109">
        <f>SUM(AB32:AB34)</f>
        <v>0</v>
      </c>
      <c r="AD35" s="41">
        <v>0</v>
      </c>
      <c r="AE35" s="108"/>
      <c r="AF35" s="108"/>
      <c r="AK35" s="108"/>
      <c r="AL35" s="108"/>
    </row>
    <row r="36" spans="1:70" ht="13" x14ac:dyDescent="0.3">
      <c r="A36">
        <v>1</v>
      </c>
      <c r="B36">
        <v>0</v>
      </c>
      <c r="F36">
        <v>895</v>
      </c>
      <c r="G36" s="4">
        <f>'2004 sampling'!H28</f>
        <v>0.15294117647058825</v>
      </c>
      <c r="H36" s="69">
        <f>F36*G36</f>
        <v>136.88235294117649</v>
      </c>
      <c r="J36">
        <v>7300</v>
      </c>
      <c r="K36" s="4">
        <f>'2004 sampling'!L28</f>
        <v>0.28923076923076924</v>
      </c>
      <c r="L36" s="69">
        <f>J36*K36</f>
        <v>2111.3846153846152</v>
      </c>
      <c r="N36">
        <v>1605</v>
      </c>
      <c r="O36" s="4">
        <f>'2004 sampling'!P28</f>
        <v>0.41489361702127658</v>
      </c>
      <c r="P36" s="69">
        <f>N36*O36</f>
        <v>665.90425531914889</v>
      </c>
      <c r="R36">
        <v>3031</v>
      </c>
      <c r="S36" s="4">
        <f>'2004 sampling'!T28</f>
        <v>0.29411764705882354</v>
      </c>
      <c r="T36" s="5">
        <f>R36*S36</f>
        <v>891.47058823529414</v>
      </c>
      <c r="V36">
        <v>396</v>
      </c>
      <c r="W36" s="4">
        <f>'2004 sampling'!X28</f>
        <v>0.26775956284153007</v>
      </c>
      <c r="X36" s="5">
        <f>V36*W36</f>
        <v>106.03278688524591</v>
      </c>
      <c r="Z36">
        <v>69</v>
      </c>
      <c r="AA36" s="76">
        <f>'Mean Unmarked Rates'!AB43</f>
        <v>0</v>
      </c>
      <c r="AB36" s="5">
        <f>Z36*AA36</f>
        <v>0</v>
      </c>
      <c r="AD36">
        <v>0</v>
      </c>
      <c r="AJ36" s="2"/>
      <c r="AL36" s="5"/>
      <c r="BD36" s="29"/>
      <c r="BE36" s="13"/>
      <c r="BF36" s="13"/>
      <c r="BG36" s="6"/>
    </row>
    <row r="37" spans="1:70" ht="13" x14ac:dyDescent="0.3">
      <c r="A37">
        <v>2</v>
      </c>
      <c r="B37">
        <v>0</v>
      </c>
      <c r="F37">
        <v>6451</v>
      </c>
      <c r="G37" s="4">
        <f>'2004 sampling'!H29</f>
        <v>0.23287671232876711</v>
      </c>
      <c r="H37" s="69">
        <f>F37*G37</f>
        <v>1502.2876712328766</v>
      </c>
      <c r="J37">
        <v>8947</v>
      </c>
      <c r="K37" s="4">
        <f>'2004 sampling'!L29</f>
        <v>0.3201581027667984</v>
      </c>
      <c r="L37" s="69">
        <f>J37*K37</f>
        <v>2864.4545454545455</v>
      </c>
      <c r="N37">
        <v>1850</v>
      </c>
      <c r="O37" s="4">
        <f>'2004 sampling'!P29</f>
        <v>0.33333333333333331</v>
      </c>
      <c r="P37" s="69">
        <f>N37*O37</f>
        <v>616.66666666666663</v>
      </c>
      <c r="R37">
        <v>9112</v>
      </c>
      <c r="S37" s="4">
        <f>'2004 sampling'!T29</f>
        <v>0.32225913621262459</v>
      </c>
      <c r="T37" s="5">
        <f>R37*S37</f>
        <v>2936.4252491694351</v>
      </c>
      <c r="V37">
        <v>6735</v>
      </c>
      <c r="W37" s="4">
        <f>'2004 sampling'!X29</f>
        <v>0.29499999999999998</v>
      </c>
      <c r="X37" s="5">
        <f>V37*W37</f>
        <v>1986.8249999999998</v>
      </c>
      <c r="Z37">
        <v>2259</v>
      </c>
      <c r="AA37" s="4">
        <f>'2004 sampling'!AB29</f>
        <v>0.28104575163398693</v>
      </c>
      <c r="AB37" s="5">
        <f>Z37*AA37</f>
        <v>634.88235294117646</v>
      </c>
      <c r="AD37">
        <v>0</v>
      </c>
      <c r="AJ37" s="2"/>
      <c r="AL37" s="5"/>
    </row>
    <row r="38" spans="1:70" ht="13" x14ac:dyDescent="0.3">
      <c r="A38">
        <v>3</v>
      </c>
      <c r="B38">
        <v>0</v>
      </c>
      <c r="F38">
        <v>1434</v>
      </c>
      <c r="G38" s="4">
        <f>'2004 sampling'!H30</f>
        <v>0.27472527472527475</v>
      </c>
      <c r="H38" s="69">
        <f>F38*G38</f>
        <v>393.95604395604397</v>
      </c>
      <c r="J38">
        <v>1583</v>
      </c>
      <c r="K38" s="4">
        <f>'2004 sampling'!L30</f>
        <v>0.34848484848484851</v>
      </c>
      <c r="L38" s="69">
        <f>J38*K38</f>
        <v>551.65151515151524</v>
      </c>
      <c r="N38">
        <v>1317</v>
      </c>
      <c r="O38" s="4">
        <f>'2004 sampling'!P30</f>
        <v>0.32142857142857145</v>
      </c>
      <c r="P38" s="69">
        <f>N38*O38</f>
        <v>423.32142857142861</v>
      </c>
      <c r="R38">
        <v>4522</v>
      </c>
      <c r="S38" s="4">
        <f>'2004 sampling'!T30</f>
        <v>0.45652173913043476</v>
      </c>
      <c r="T38" s="5">
        <f>R38*S38</f>
        <v>2064.391304347826</v>
      </c>
      <c r="V38">
        <v>3011</v>
      </c>
      <c r="W38" s="4">
        <f>'2004 sampling'!X30</f>
        <v>0.28125</v>
      </c>
      <c r="X38" s="5">
        <f>V38*W38</f>
        <v>846.84375</v>
      </c>
      <c r="Z38">
        <v>1057</v>
      </c>
      <c r="AA38" s="4">
        <f>'2004 sampling'!AB30</f>
        <v>0.33333333333333331</v>
      </c>
      <c r="AB38" s="5">
        <f>Z38*AA38</f>
        <v>352.33333333333331</v>
      </c>
      <c r="AD38">
        <v>0</v>
      </c>
      <c r="AH38" s="2"/>
      <c r="AJ38" s="2"/>
      <c r="AL38" s="5"/>
    </row>
    <row r="39" spans="1:70" ht="13" x14ac:dyDescent="0.3">
      <c r="A39">
        <v>4</v>
      </c>
      <c r="B39">
        <v>0</v>
      </c>
      <c r="F39">
        <v>85</v>
      </c>
      <c r="G39" s="4">
        <f>'2004 sampling'!H31</f>
        <v>0.45454545454545453</v>
      </c>
      <c r="H39" s="69">
        <f>F39*G39</f>
        <v>38.636363636363633</v>
      </c>
      <c r="J39">
        <v>45</v>
      </c>
      <c r="K39" s="78">
        <f>'Mean Unmarked Rates'!D16</f>
        <v>8.6901763224181361E-2</v>
      </c>
      <c r="L39" s="69">
        <f>J39*K39</f>
        <v>3.9105793450881614</v>
      </c>
      <c r="N39">
        <v>47</v>
      </c>
      <c r="O39" s="39">
        <f>'Mean Unmarked Rates'!D16</f>
        <v>8.6901763224181361E-2</v>
      </c>
      <c r="P39" s="69">
        <f>N39*O39</f>
        <v>4.0843828715365236</v>
      </c>
      <c r="R39">
        <v>0</v>
      </c>
      <c r="V39">
        <v>37</v>
      </c>
      <c r="W39" s="78">
        <f>'Mean Unmarked Rates'!D16</f>
        <v>8.6901763224181361E-2</v>
      </c>
      <c r="X39" s="5">
        <f>V39*W39</f>
        <v>3.2153652392947105</v>
      </c>
      <c r="Z39">
        <v>28</v>
      </c>
      <c r="AA39" s="78">
        <f>'Mean Unmarked Rates'!D16</f>
        <v>8.6901763224181361E-2</v>
      </c>
      <c r="AB39" s="5">
        <f>Z39*AA39</f>
        <v>2.4332493702770783</v>
      </c>
      <c r="AD39">
        <v>0</v>
      </c>
      <c r="AH39" s="2"/>
      <c r="AI39" s="23"/>
      <c r="AJ39" s="23"/>
      <c r="AL39" s="5"/>
    </row>
    <row r="40" spans="1:70" s="42" customFormat="1" ht="13" x14ac:dyDescent="0.3">
      <c r="A40" s="42">
        <v>5</v>
      </c>
      <c r="B40" s="42">
        <v>0</v>
      </c>
      <c r="F40" s="42">
        <v>110</v>
      </c>
      <c r="G40" s="49">
        <f>'2004 sampling'!H32</f>
        <v>0.35294117647058826</v>
      </c>
      <c r="H40" s="50">
        <f>F40*G40</f>
        <v>38.82352941176471</v>
      </c>
      <c r="J40" s="42">
        <v>219</v>
      </c>
      <c r="K40" s="49">
        <f>'2004 sampling'!L32</f>
        <v>0.7</v>
      </c>
      <c r="L40" s="50">
        <f>J40*K40</f>
        <v>153.29999999999998</v>
      </c>
      <c r="N40" s="42">
        <v>64</v>
      </c>
      <c r="O40" s="49">
        <f>'2004 sampling'!P32</f>
        <v>0.76</v>
      </c>
      <c r="P40" s="50">
        <f>N40*O40</f>
        <v>48.64</v>
      </c>
      <c r="R40" s="42">
        <v>23</v>
      </c>
      <c r="S40" s="49">
        <f>'2004 sampling'!T32</f>
        <v>0.73684210526315785</v>
      </c>
      <c r="T40" s="50">
        <f>R40*S40</f>
        <v>16.94736842105263</v>
      </c>
      <c r="V40" s="42">
        <v>7</v>
      </c>
      <c r="W40" s="49">
        <f>'2004 sampling'!X32</f>
        <v>0.73333333333333328</v>
      </c>
      <c r="X40" s="50">
        <f>V40*W40</f>
        <v>5.1333333333333329</v>
      </c>
      <c r="Z40" s="42">
        <v>5</v>
      </c>
      <c r="AA40" s="49">
        <f>'2004 sampling'!AB32</f>
        <v>0</v>
      </c>
      <c r="AB40" s="50">
        <f>Z40*AA40</f>
        <v>0</v>
      </c>
      <c r="AD40" s="42">
        <v>0</v>
      </c>
      <c r="AJ40" s="41"/>
      <c r="AL40" s="50"/>
    </row>
    <row r="41" spans="1:70" s="79" customFormat="1" ht="14" x14ac:dyDescent="0.3">
      <c r="A41" s="79" t="s">
        <v>60</v>
      </c>
      <c r="B41" s="80">
        <f>SUM(B36:B40)</f>
        <v>0</v>
      </c>
      <c r="C41" s="81"/>
      <c r="D41" s="82"/>
      <c r="F41" s="80">
        <f>SUM(F36:F40)</f>
        <v>8975</v>
      </c>
      <c r="G41" s="81">
        <f>H41/F41</f>
        <v>0.23516278118977446</v>
      </c>
      <c r="H41" s="82">
        <f>SUM(H36:H40)</f>
        <v>2110.5859611782257</v>
      </c>
      <c r="J41" s="80">
        <f>SUM(J36:J40)</f>
        <v>18094</v>
      </c>
      <c r="K41" s="81">
        <f>L41/J41</f>
        <v>0.31417603931335053</v>
      </c>
      <c r="L41" s="82">
        <f>SUM(L36:L40)</f>
        <v>5684.7012553357645</v>
      </c>
      <c r="N41" s="80">
        <f>SUM(N36:N40)</f>
        <v>4883</v>
      </c>
      <c r="O41" s="81">
        <f>P41/N41</f>
        <v>0.36015087721252931</v>
      </c>
      <c r="P41" s="82">
        <f>SUM(P36:P40)</f>
        <v>1758.6167334287807</v>
      </c>
      <c r="R41" s="80">
        <f>SUM(R36:R40)</f>
        <v>16688</v>
      </c>
      <c r="S41" s="81">
        <f>T41/R41</f>
        <v>0.35410082155882117</v>
      </c>
      <c r="T41" s="82">
        <f>SUM(T36:T40)</f>
        <v>5909.2345101736073</v>
      </c>
      <c r="V41" s="80">
        <f>SUM(V36:V40)</f>
        <v>10186</v>
      </c>
      <c r="W41" s="81">
        <f>X41/V41</f>
        <v>0.28942177846631395</v>
      </c>
      <c r="X41" s="82">
        <f>SUM(X36:X40)</f>
        <v>2948.0502354578739</v>
      </c>
      <c r="Z41" s="80">
        <f>SUM(Z36:Z40)</f>
        <v>3418</v>
      </c>
      <c r="AA41" s="81">
        <f>AB41/Z41</f>
        <v>0.28954035565968017</v>
      </c>
      <c r="AB41" s="82">
        <f>SUM(AB36:AB40)</f>
        <v>989.64893564478689</v>
      </c>
      <c r="AD41" s="99">
        <v>0</v>
      </c>
    </row>
    <row r="42" spans="1:70" s="24" customFormat="1" ht="13" x14ac:dyDescent="0.3">
      <c r="G42" s="56"/>
      <c r="S42" s="56"/>
      <c r="W42" s="56"/>
      <c r="AD42" s="70"/>
    </row>
    <row r="43" spans="1:70" s="63" customFormat="1" ht="14" x14ac:dyDescent="0.3">
      <c r="A43" s="63" t="s">
        <v>44</v>
      </c>
      <c r="B43" s="63">
        <f>B35+B41</f>
        <v>19275</v>
      </c>
      <c r="C43" s="58">
        <f>D43/B43</f>
        <v>2.9802634811716033E-2</v>
      </c>
      <c r="D43" s="63">
        <f>D35+D41</f>
        <v>574.44578599582655</v>
      </c>
      <c r="F43" s="63">
        <f>F35+F41</f>
        <v>11143</v>
      </c>
      <c r="G43" s="58">
        <f>H43/F43</f>
        <v>0.20040536746642429</v>
      </c>
      <c r="H43" s="63">
        <f>H35+H41</f>
        <v>2233.1170096783658</v>
      </c>
      <c r="J43" s="63">
        <f>J35+J41</f>
        <v>18929</v>
      </c>
      <c r="K43" s="58">
        <f>L43/J43</f>
        <v>0.30354039147078976</v>
      </c>
      <c r="L43" s="63">
        <f>L35+L41</f>
        <v>5745.7160701505791</v>
      </c>
      <c r="N43" s="63">
        <f>N35+N41</f>
        <v>5155</v>
      </c>
      <c r="O43" s="58">
        <f>P43/N43</f>
        <v>0.34114776594156754</v>
      </c>
      <c r="P43" s="63">
        <f>P35+P41</f>
        <v>1758.6167334287807</v>
      </c>
      <c r="R43" s="63">
        <f>R35+R41</f>
        <v>17003</v>
      </c>
      <c r="S43" s="58">
        <f>T43/R43</f>
        <v>0.34856163618611996</v>
      </c>
      <c r="T43" s="63">
        <f>T35+T41</f>
        <v>5926.5935000725976</v>
      </c>
      <c r="V43" s="63">
        <f>V35+V41</f>
        <v>10461</v>
      </c>
      <c r="W43" s="58">
        <f>X43/V43</f>
        <v>0.28533987949147432</v>
      </c>
      <c r="X43" s="63">
        <f>X35+X41</f>
        <v>2984.940479360313</v>
      </c>
      <c r="Z43" s="63">
        <f>Z35+Z41</f>
        <v>3464</v>
      </c>
      <c r="AA43" s="58">
        <f>AB43/Z43</f>
        <v>0.28569542022078143</v>
      </c>
      <c r="AB43" s="63">
        <f>AB35+AB41</f>
        <v>989.64893564478689</v>
      </c>
      <c r="AD43" s="46">
        <v>0</v>
      </c>
      <c r="AE43" s="58"/>
    </row>
    <row r="44" spans="1:70" ht="13" x14ac:dyDescent="0.3">
      <c r="A44" s="2"/>
      <c r="AD44" s="44"/>
      <c r="BD44" s="2"/>
      <c r="BE44" s="2"/>
      <c r="BF44" s="2"/>
      <c r="BG44" s="2"/>
      <c r="BH44" s="2"/>
      <c r="BI44" s="2"/>
      <c r="BJ44" s="2"/>
      <c r="BK44" s="2"/>
      <c r="BL44" s="2"/>
      <c r="BM44" s="2"/>
      <c r="BN44" s="2"/>
      <c r="BO44" s="2"/>
      <c r="BP44" s="2"/>
      <c r="BQ44" s="2"/>
    </row>
    <row r="45" spans="1:70" ht="13" x14ac:dyDescent="0.3">
      <c r="A45" s="2"/>
      <c r="BD45" s="2"/>
      <c r="BE45" s="2"/>
      <c r="BF45" s="2"/>
      <c r="BG45" s="2"/>
      <c r="BH45" s="2"/>
      <c r="BI45" s="2"/>
      <c r="BJ45" s="2"/>
      <c r="BK45" s="2"/>
      <c r="BL45" s="2"/>
      <c r="BM45" s="2"/>
      <c r="BN45" s="2"/>
      <c r="BO45" s="2"/>
      <c r="BP45" s="2"/>
      <c r="BQ45" s="2"/>
    </row>
    <row r="46" spans="1:70" x14ac:dyDescent="0.25">
      <c r="BD46" s="5"/>
      <c r="BE46" s="5"/>
      <c r="BF46" s="5"/>
      <c r="BG46" s="5"/>
      <c r="BH46" s="5"/>
      <c r="BI46" s="5"/>
      <c r="BJ46" s="5"/>
      <c r="BK46" s="5"/>
      <c r="BL46" s="5"/>
      <c r="BM46" s="5"/>
      <c r="BN46" s="5"/>
      <c r="BO46" s="5"/>
      <c r="BP46" s="5"/>
      <c r="BQ46" s="5"/>
      <c r="BR46" s="5"/>
    </row>
    <row r="47" spans="1:70" ht="15.5" x14ac:dyDescent="0.35">
      <c r="A47" s="1" t="s">
        <v>83</v>
      </c>
      <c r="BD47" s="5"/>
      <c r="BE47" s="5"/>
      <c r="BJ47" s="5"/>
      <c r="BK47" s="5"/>
      <c r="BL47" s="5"/>
      <c r="BM47" s="5"/>
      <c r="BN47" s="5"/>
      <c r="BO47" s="5"/>
      <c r="BP47" s="5"/>
      <c r="BQ47" s="5"/>
      <c r="BR47" s="5"/>
    </row>
    <row r="48" spans="1:70" ht="15.5" x14ac:dyDescent="0.35">
      <c r="A48" s="1"/>
      <c r="BD48" s="5"/>
      <c r="BE48" s="5"/>
      <c r="BJ48" s="5"/>
      <c r="BK48" s="5"/>
      <c r="BL48" s="5"/>
      <c r="BM48" s="5"/>
      <c r="BN48" s="5"/>
      <c r="BO48" s="5"/>
      <c r="BP48" s="5"/>
      <c r="BQ48" s="5"/>
      <c r="BR48" s="5"/>
    </row>
    <row r="49" spans="1:70" ht="13" x14ac:dyDescent="0.3">
      <c r="B49" s="2" t="s">
        <v>44</v>
      </c>
      <c r="C49" s="2" t="s">
        <v>55</v>
      </c>
      <c r="D49" s="2" t="s">
        <v>56</v>
      </c>
      <c r="BD49" s="5"/>
      <c r="BE49" s="5"/>
      <c r="BF49" s="5"/>
      <c r="BJ49" s="5"/>
      <c r="BK49" s="5"/>
      <c r="BL49" s="5"/>
      <c r="BM49" s="5"/>
      <c r="BN49" s="5"/>
      <c r="BO49" s="5"/>
      <c r="BP49" s="5"/>
      <c r="BQ49" s="5"/>
      <c r="BR49" s="5"/>
    </row>
    <row r="50" spans="1:70" ht="13" x14ac:dyDescent="0.3">
      <c r="A50" s="32" t="s">
        <v>65</v>
      </c>
      <c r="B50" s="2"/>
      <c r="C50" s="2"/>
      <c r="D50" s="2"/>
      <c r="BD50" s="5"/>
      <c r="BE50" s="5"/>
      <c r="BF50" s="5"/>
      <c r="BJ50" s="5"/>
      <c r="BK50" s="5"/>
      <c r="BL50" s="5"/>
      <c r="BM50" s="5"/>
      <c r="BN50" s="5"/>
      <c r="BO50" s="5"/>
      <c r="BP50" s="5"/>
      <c r="BQ50" s="5"/>
      <c r="BR50" s="5"/>
    </row>
    <row r="51" spans="1:70" ht="13" x14ac:dyDescent="0.3">
      <c r="A51" s="32" t="s">
        <v>66</v>
      </c>
      <c r="B51" s="2"/>
      <c r="C51" s="2"/>
      <c r="D51" s="2"/>
      <c r="BD51" s="5"/>
      <c r="BE51" s="5"/>
      <c r="BF51" s="5"/>
      <c r="BJ51" s="5"/>
      <c r="BK51" s="5"/>
      <c r="BL51" s="5"/>
      <c r="BM51" s="5"/>
      <c r="BN51" s="5"/>
      <c r="BO51" s="5"/>
      <c r="BP51" s="5"/>
      <c r="BQ51" s="5"/>
      <c r="BR51" s="5"/>
    </row>
    <row r="52" spans="1:70" x14ac:dyDescent="0.25">
      <c r="A52" t="s">
        <v>31</v>
      </c>
      <c r="B52" s="29">
        <f>B13+F13+J13+N13+R13+V13+B32+F32+J32+N32+R32+V32+Z32+AD32</f>
        <v>34613</v>
      </c>
      <c r="C52" s="65">
        <f>D13+H13+L13+P13+T13+X13+D32+H32+L32+P32+T32+X32+AB32+AF32</f>
        <v>1019.0865646794166</v>
      </c>
      <c r="D52" s="3">
        <f>C52/B52</f>
        <v>2.9442306782983752E-2</v>
      </c>
      <c r="BD52" s="5"/>
      <c r="BE52" s="5"/>
      <c r="BF52" s="5"/>
      <c r="BJ52" s="5"/>
      <c r="BK52" s="5"/>
      <c r="BL52" s="5"/>
      <c r="BM52" s="5"/>
      <c r="BN52" s="5"/>
      <c r="BO52" s="5"/>
      <c r="BP52" s="5"/>
      <c r="BQ52" s="5"/>
      <c r="BR52" s="5"/>
    </row>
    <row r="53" spans="1:70" x14ac:dyDescent="0.25">
      <c r="A53" t="s">
        <v>32</v>
      </c>
      <c r="B53" s="29">
        <f>B14+F14+J14+N14+R14+V14+B33+F33+J33+N33+R33+V33+Z33+AD33</f>
        <v>1355</v>
      </c>
      <c r="C53" s="65">
        <f>D14+H14+L14+P14+T14+X14+D33+H33+L33+P33+T33+X33+AB33+AF33</f>
        <v>148.625</v>
      </c>
      <c r="D53" s="3">
        <f>C53/B53</f>
        <v>0.10968634686346863</v>
      </c>
      <c r="BD53" s="5"/>
      <c r="BE53" s="5"/>
      <c r="BF53" s="5"/>
      <c r="BJ53" s="5"/>
      <c r="BK53" s="5"/>
      <c r="BL53" s="5"/>
      <c r="BM53" s="5"/>
      <c r="BN53" s="5"/>
      <c r="BO53" s="5"/>
      <c r="BP53" s="5"/>
      <c r="BQ53" s="5"/>
      <c r="BR53" s="5"/>
    </row>
    <row r="54" spans="1:70" x14ac:dyDescent="0.25">
      <c r="A54" s="42" t="s">
        <v>62</v>
      </c>
      <c r="B54" s="52">
        <f>B15+F15+J15+N15+R15+V15+B34+F34+J34+N34+R34+V34+Z34+AD34</f>
        <v>10196</v>
      </c>
      <c r="C54" s="66">
        <f>D15+H15+L15+P15+T15+X15+D34+H34+L34+P34+T34+X34+AB34+AF34</f>
        <v>318.90229569080958</v>
      </c>
      <c r="D54" s="43">
        <f>C54/B54</f>
        <v>3.1277196517341073E-2</v>
      </c>
      <c r="BD54" s="5"/>
      <c r="BE54" s="5"/>
      <c r="BF54" s="5"/>
      <c r="BJ54" s="5"/>
      <c r="BK54" s="5"/>
      <c r="BL54" s="5"/>
      <c r="BM54" s="5"/>
      <c r="BN54" s="5"/>
      <c r="BO54" s="5"/>
      <c r="BP54" s="5"/>
      <c r="BQ54" s="5"/>
      <c r="BR54" s="5"/>
    </row>
    <row r="55" spans="1:70" ht="13" x14ac:dyDescent="0.3">
      <c r="A55" s="2" t="s">
        <v>61</v>
      </c>
      <c r="B55" s="24">
        <f>SUM(B50:B54)</f>
        <v>46164</v>
      </c>
      <c r="C55" s="24">
        <f>SUM(C50:C54)</f>
        <v>1486.6138603702261</v>
      </c>
      <c r="D55" s="67">
        <f>C55/B55</f>
        <v>3.2202882340573308E-2</v>
      </c>
      <c r="BD55" s="5"/>
      <c r="BE55" s="5"/>
      <c r="BF55" s="5"/>
      <c r="BJ55" s="5"/>
      <c r="BK55" s="5"/>
      <c r="BL55" s="5"/>
      <c r="BM55" s="5"/>
      <c r="BN55" s="5"/>
      <c r="BO55" s="5"/>
      <c r="BP55" s="5"/>
      <c r="BQ55" s="5"/>
      <c r="BR55" s="5"/>
    </row>
    <row r="56" spans="1:70" x14ac:dyDescent="0.25">
      <c r="A56">
        <v>1</v>
      </c>
      <c r="B56" s="13">
        <f>B17+F17+J17+N17+B36+F36+J36+N36+R36+V36+Z36+AD36</f>
        <v>13323</v>
      </c>
      <c r="C56" s="64">
        <f>D17+H17+L17+P17+D36+H36+L36+P36+T36+X36+AB36+AF36</f>
        <v>3913.717012407807</v>
      </c>
      <c r="D56" s="3">
        <f>C56/B56</f>
        <v>0.29375643716939182</v>
      </c>
      <c r="BD56" s="5"/>
      <c r="BE56" s="5"/>
      <c r="BF56" s="5"/>
      <c r="BJ56" s="5"/>
      <c r="BK56" s="5"/>
      <c r="BL56" s="5"/>
      <c r="BM56" s="5"/>
      <c r="BN56" s="5"/>
      <c r="BO56" s="5"/>
      <c r="BP56" s="5"/>
      <c r="BQ56" s="5"/>
      <c r="BR56" s="5"/>
    </row>
    <row r="57" spans="1:70" x14ac:dyDescent="0.25">
      <c r="A57">
        <v>2</v>
      </c>
      <c r="B57" s="13">
        <f>B18+F18+J18+N18+B37+F37+J37+N37+R37+V37+Z37+AD37</f>
        <v>35360</v>
      </c>
      <c r="C57" s="64">
        <f>D18+H18+L18+P18+D37+H37+L37+P37+T37+X37+AB37+AF37</f>
        <v>10542.065238433823</v>
      </c>
      <c r="D57" s="3">
        <f t="shared" ref="D57:D63" si="0">C57/B57</f>
        <v>0.29813532914122803</v>
      </c>
      <c r="BD57" s="5"/>
      <c r="BE57" s="5"/>
      <c r="BF57" s="5"/>
      <c r="BG57" s="5"/>
      <c r="BJ57" s="5"/>
      <c r="BK57" s="5"/>
      <c r="BL57" s="5"/>
      <c r="BM57" s="5"/>
      <c r="BN57" s="5"/>
      <c r="BO57" s="5"/>
      <c r="BP57" s="5"/>
      <c r="BQ57" s="5"/>
      <c r="BR57" s="5"/>
    </row>
    <row r="58" spans="1:70" x14ac:dyDescent="0.25">
      <c r="A58">
        <v>3</v>
      </c>
      <c r="B58" s="13">
        <f>B19+F19+J19+N19+B38+F38+J38+N38+R38+V38+Z38+AD38</f>
        <v>12927</v>
      </c>
      <c r="C58" s="64">
        <f>D19+H19+L19+P19+D38+H38+L38+P38+T38+X38+AB38+AF38</f>
        <v>4632.6749886811458</v>
      </c>
      <c r="D58" s="3">
        <f t="shared" si="0"/>
        <v>0.35837201119216722</v>
      </c>
      <c r="K58" s="7"/>
      <c r="L58" s="5"/>
      <c r="BD58" s="5"/>
      <c r="BE58" s="5"/>
      <c r="BF58" s="5"/>
      <c r="BG58" s="5"/>
      <c r="BJ58" s="5"/>
      <c r="BK58" s="5"/>
      <c r="BL58" s="5"/>
      <c r="BM58" s="5"/>
      <c r="BN58" s="5"/>
      <c r="BO58" s="5"/>
      <c r="BP58" s="5"/>
      <c r="BQ58" s="5"/>
      <c r="BR58" s="5"/>
    </row>
    <row r="59" spans="1:70" x14ac:dyDescent="0.25">
      <c r="A59">
        <v>4</v>
      </c>
      <c r="B59" s="13">
        <f>B20+F20+J20+N20+B39+F39+J39+N39+R39+V39+Z39+AD39</f>
        <v>251</v>
      </c>
      <c r="C59" s="64">
        <f>D20+H20+L20+P20+D39+H39+L39+P39+T39+X39+AB39+AF39</f>
        <v>53.062056331577736</v>
      </c>
      <c r="D59" s="3">
        <f t="shared" si="0"/>
        <v>0.21140261486684356</v>
      </c>
      <c r="K59" s="7"/>
      <c r="L59" s="5"/>
      <c r="BD59" s="5"/>
      <c r="BE59" s="5"/>
      <c r="BF59" s="5"/>
      <c r="BG59" s="5"/>
      <c r="BH59" s="5"/>
      <c r="BI59" s="5"/>
      <c r="BJ59" s="5"/>
      <c r="BK59" s="5"/>
      <c r="BL59" s="5"/>
      <c r="BM59" s="5"/>
      <c r="BN59" s="5"/>
      <c r="BO59" s="5"/>
      <c r="BP59" s="5"/>
    </row>
    <row r="60" spans="1:70" s="2" customFormat="1" ht="13" x14ac:dyDescent="0.3">
      <c r="A60">
        <v>5</v>
      </c>
      <c r="B60" s="13">
        <f>B21+F21+J21+N21+B40+F40+J40+N40+R40+V40+Z40+AD40</f>
        <v>430</v>
      </c>
      <c r="C60" s="64">
        <f>D21+H21+L21+P21+D40+H40+L40+P40+T40+X40+AB40+AF40</f>
        <v>262.97884655076598</v>
      </c>
      <c r="D60" s="3">
        <f t="shared" si="0"/>
        <v>0.61157871290875809</v>
      </c>
      <c r="F60" s="8"/>
      <c r="J60" s="8"/>
      <c r="L60" s="8"/>
      <c r="BC60"/>
      <c r="BD60"/>
      <c r="BE60"/>
      <c r="BF60"/>
      <c r="BG60"/>
      <c r="BH60"/>
      <c r="BI60"/>
      <c r="BJ60"/>
      <c r="BK60"/>
      <c r="BL60"/>
      <c r="BM60"/>
      <c r="BN60"/>
      <c r="BO60"/>
      <c r="BP60"/>
      <c r="BQ60"/>
    </row>
    <row r="61" spans="1:70" ht="13" x14ac:dyDescent="0.3">
      <c r="A61" s="2" t="s">
        <v>60</v>
      </c>
      <c r="B61" s="40">
        <f>SUM(B56:B60)</f>
        <v>62291</v>
      </c>
      <c r="C61" s="40">
        <f>SUM(C56:C60)</f>
        <v>19404.498142405122</v>
      </c>
      <c r="D61" s="55">
        <f t="shared" si="0"/>
        <v>0.31151367199764207</v>
      </c>
      <c r="BC61" s="2"/>
      <c r="BD61" s="2"/>
      <c r="BE61" s="2"/>
      <c r="BF61" s="2"/>
      <c r="BG61" s="2"/>
      <c r="BH61" s="2"/>
      <c r="BI61" s="2"/>
      <c r="BJ61" s="2"/>
      <c r="BK61" s="2"/>
      <c r="BL61" s="2"/>
      <c r="BM61" s="2"/>
      <c r="BN61" s="2"/>
      <c r="BO61" s="2"/>
      <c r="BP61" s="2"/>
      <c r="BQ61" s="2"/>
    </row>
    <row r="62" spans="1:70" ht="13" x14ac:dyDescent="0.3">
      <c r="A62" s="2"/>
    </row>
    <row r="63" spans="1:70" ht="13" x14ac:dyDescent="0.3">
      <c r="A63" s="2" t="s">
        <v>69</v>
      </c>
      <c r="B63" s="40">
        <f>B55+B61</f>
        <v>108455</v>
      </c>
      <c r="C63" s="40">
        <f>C55+C61</f>
        <v>20891.11200277535</v>
      </c>
      <c r="D63" s="55">
        <f t="shared" si="0"/>
        <v>0.19262470151468672</v>
      </c>
    </row>
    <row r="64" spans="1:70" ht="13" x14ac:dyDescent="0.3">
      <c r="C64" s="4"/>
      <c r="D64" s="5"/>
      <c r="G64" s="4"/>
      <c r="H64" s="5"/>
      <c r="K64" s="4"/>
      <c r="L64" s="5"/>
      <c r="O64" s="4"/>
      <c r="P64" s="5"/>
      <c r="S64" s="4"/>
      <c r="T64" s="5"/>
      <c r="W64" s="7"/>
      <c r="X64" s="5"/>
      <c r="AK64" s="2"/>
      <c r="AL64" s="2"/>
    </row>
    <row r="65" spans="1:69" ht="13" x14ac:dyDescent="0.3">
      <c r="C65" s="4"/>
      <c r="D65" s="5"/>
      <c r="G65" s="4"/>
      <c r="H65" s="5"/>
      <c r="K65" s="4"/>
      <c r="L65" s="5"/>
      <c r="O65" s="4"/>
      <c r="P65" s="5"/>
      <c r="S65" s="4"/>
      <c r="T65" s="5"/>
      <c r="W65" s="4"/>
      <c r="X65" s="5"/>
      <c r="AA65" s="4"/>
      <c r="AB65" s="5"/>
      <c r="AJ65" s="2"/>
      <c r="AL65" s="5"/>
    </row>
    <row r="66" spans="1:69" ht="13" x14ac:dyDescent="0.3">
      <c r="C66" s="4"/>
      <c r="D66" s="5"/>
      <c r="G66" s="4"/>
      <c r="H66" s="5"/>
      <c r="K66" s="4"/>
      <c r="L66" s="5"/>
      <c r="O66" s="4"/>
      <c r="P66" s="5"/>
      <c r="S66" s="4"/>
      <c r="T66" s="5"/>
      <c r="W66" s="4"/>
      <c r="X66" s="5"/>
      <c r="AA66" s="4"/>
      <c r="AB66" s="5"/>
      <c r="AH66" s="2"/>
      <c r="AJ66" s="2"/>
      <c r="AL66" s="5"/>
    </row>
    <row r="67" spans="1:69" ht="13" x14ac:dyDescent="0.3">
      <c r="S67" s="7"/>
      <c r="T67" s="5"/>
      <c r="AA67" s="7"/>
      <c r="AB67" s="5"/>
      <c r="AG67" s="2"/>
      <c r="AH67" s="2"/>
      <c r="AI67" s="23"/>
      <c r="AJ67" s="2"/>
      <c r="AL67" s="5"/>
    </row>
    <row r="68" spans="1:69" ht="13" x14ac:dyDescent="0.3">
      <c r="C68" s="7"/>
      <c r="D68" s="5"/>
      <c r="G68" s="7"/>
      <c r="H68" s="5"/>
      <c r="K68" s="7"/>
      <c r="L68" s="5"/>
      <c r="O68" s="4"/>
      <c r="P68" s="5"/>
      <c r="S68" s="4"/>
      <c r="T68" s="5"/>
      <c r="W68" s="7"/>
      <c r="X68" s="5"/>
      <c r="AA68" s="7"/>
      <c r="AB68" s="5"/>
      <c r="AJ68" s="23"/>
      <c r="AL68" s="5"/>
    </row>
    <row r="69" spans="1:69" s="2" customFormat="1" ht="13" x14ac:dyDescent="0.3">
      <c r="B69" s="8"/>
      <c r="D69" s="8"/>
      <c r="F69" s="8"/>
      <c r="H69" s="8"/>
      <c r="J69" s="8"/>
      <c r="L69" s="8"/>
      <c r="N69" s="8"/>
      <c r="O69" s="26"/>
      <c r="P69" s="8"/>
      <c r="R69" s="8"/>
      <c r="S69" s="26"/>
      <c r="T69" s="8"/>
      <c r="V69" s="8"/>
      <c r="W69" s="26"/>
      <c r="X69" s="8"/>
      <c r="Z69" s="8"/>
      <c r="AB69" s="8"/>
      <c r="AG69" s="8"/>
      <c r="AH69" s="24"/>
      <c r="AI69" s="24"/>
      <c r="AK69"/>
      <c r="AL69" s="5"/>
      <c r="BC69"/>
      <c r="BD69"/>
      <c r="BE69"/>
      <c r="BF69"/>
      <c r="BG69"/>
      <c r="BH69"/>
      <c r="BI69"/>
      <c r="BJ69"/>
      <c r="BK69"/>
      <c r="BL69"/>
      <c r="BM69"/>
      <c r="BN69"/>
      <c r="BO69"/>
      <c r="BP69"/>
      <c r="BQ69"/>
    </row>
    <row r="70" spans="1:69" ht="13" x14ac:dyDescent="0.3">
      <c r="BC70" s="2"/>
      <c r="BD70" s="2"/>
      <c r="BE70" s="2"/>
      <c r="BF70" s="2"/>
      <c r="BG70" s="2"/>
      <c r="BH70" s="2"/>
      <c r="BI70" s="2"/>
      <c r="BJ70" s="2"/>
      <c r="BK70" s="2"/>
      <c r="BL70" s="2"/>
      <c r="BM70" s="2"/>
      <c r="BN70" s="2"/>
      <c r="BO70" s="2"/>
      <c r="BP70" s="2"/>
      <c r="BQ70" s="2"/>
    </row>
    <row r="71" spans="1:69" ht="13" x14ac:dyDescent="0.3">
      <c r="A71" s="2"/>
      <c r="AL71" s="5"/>
    </row>
    <row r="74" spans="1:69" x14ac:dyDescent="0.25">
      <c r="C74" s="7"/>
      <c r="D74" s="5"/>
    </row>
    <row r="75" spans="1:69" x14ac:dyDescent="0.25">
      <c r="C75" s="7"/>
      <c r="D75" s="5"/>
      <c r="G75" s="7"/>
      <c r="H75" s="5"/>
    </row>
    <row r="76" spans="1:69" x14ac:dyDescent="0.25">
      <c r="G76" s="7"/>
      <c r="H76" s="5"/>
    </row>
    <row r="77" spans="1:69" x14ac:dyDescent="0.25">
      <c r="O77" s="7"/>
      <c r="P77" s="5"/>
    </row>
    <row r="78" spans="1:69" x14ac:dyDescent="0.25">
      <c r="K78" s="7"/>
      <c r="L78" s="5"/>
      <c r="O78" s="7"/>
      <c r="P78" s="5"/>
    </row>
    <row r="79" spans="1:69" s="2" customFormat="1" ht="13" x14ac:dyDescent="0.3">
      <c r="B79" s="8"/>
      <c r="D79" s="8"/>
      <c r="F79" s="8"/>
      <c r="H79" s="8"/>
      <c r="J79" s="8"/>
      <c r="K79" s="25"/>
      <c r="L79" s="8"/>
      <c r="N79" s="8"/>
      <c r="O79" s="25"/>
      <c r="P79" s="8"/>
      <c r="S79" s="8"/>
      <c r="BC79"/>
      <c r="BD79"/>
      <c r="BE79"/>
      <c r="BF79"/>
      <c r="BG79"/>
      <c r="BH79"/>
      <c r="BI79"/>
      <c r="BJ79"/>
      <c r="BK79"/>
      <c r="BL79"/>
      <c r="BM79"/>
      <c r="BN79"/>
      <c r="BO79"/>
      <c r="BP79"/>
      <c r="BQ79"/>
    </row>
    <row r="80" spans="1:69" ht="13" x14ac:dyDescent="0.3">
      <c r="BC80" s="2"/>
      <c r="BD80" s="2"/>
      <c r="BE80" s="2"/>
      <c r="BF80" s="2"/>
      <c r="BG80" s="2"/>
      <c r="BH80" s="2"/>
      <c r="BI80" s="2"/>
      <c r="BJ80" s="2"/>
      <c r="BK80" s="2"/>
      <c r="BL80" s="2"/>
      <c r="BM80" s="2"/>
      <c r="BN80" s="2"/>
      <c r="BO80" s="2"/>
      <c r="BP80" s="2"/>
      <c r="BQ80" s="2"/>
    </row>
    <row r="82" spans="1:69" ht="13" x14ac:dyDescent="0.3">
      <c r="AK82" s="2"/>
      <c r="AL82" s="2"/>
    </row>
    <row r="83" spans="1:69" ht="13" x14ac:dyDescent="0.3">
      <c r="C83" s="4"/>
      <c r="D83" s="5"/>
      <c r="G83" s="4"/>
      <c r="H83" s="5"/>
      <c r="K83" s="4"/>
      <c r="L83" s="5"/>
      <c r="O83" s="4"/>
      <c r="P83" s="5"/>
      <c r="S83" s="4"/>
      <c r="T83" s="5"/>
      <c r="W83" s="4"/>
      <c r="X83" s="5"/>
      <c r="AJ83" s="2"/>
      <c r="AL83" s="5"/>
    </row>
    <row r="84" spans="1:69" ht="13" x14ac:dyDescent="0.3">
      <c r="C84" s="4"/>
      <c r="D84" s="5"/>
      <c r="G84" s="4"/>
      <c r="H84" s="5"/>
      <c r="K84" s="4"/>
      <c r="L84" s="5"/>
      <c r="O84" s="4"/>
      <c r="P84" s="5"/>
      <c r="S84" s="4"/>
      <c r="T84" s="5"/>
      <c r="W84" s="4"/>
      <c r="X84" s="5"/>
      <c r="AA84" s="4"/>
      <c r="AB84" s="5"/>
      <c r="AJ84" s="2"/>
      <c r="AL84" s="5"/>
    </row>
    <row r="85" spans="1:69" ht="13" x14ac:dyDescent="0.3">
      <c r="C85" s="4"/>
      <c r="D85" s="5"/>
      <c r="G85" s="4"/>
      <c r="H85" s="5"/>
      <c r="K85" s="4"/>
      <c r="L85" s="5"/>
      <c r="O85" s="4"/>
      <c r="P85" s="5"/>
      <c r="S85" s="4"/>
      <c r="T85" s="5"/>
      <c r="W85" s="4"/>
      <c r="X85" s="5"/>
      <c r="AA85" s="4"/>
      <c r="AB85" s="5"/>
      <c r="AH85" s="2"/>
      <c r="AJ85" s="2"/>
      <c r="AL85" s="5"/>
    </row>
    <row r="86" spans="1:69" ht="13" x14ac:dyDescent="0.3">
      <c r="C86" s="4"/>
      <c r="D86" s="5"/>
      <c r="G86" s="7"/>
      <c r="H86" s="5"/>
      <c r="K86" s="7"/>
      <c r="L86" s="5"/>
      <c r="O86" s="4"/>
      <c r="P86" s="5"/>
      <c r="S86" s="7"/>
      <c r="T86" s="5"/>
      <c r="W86" s="7"/>
      <c r="X86" s="5"/>
      <c r="AA86" s="7"/>
      <c r="AH86" s="2"/>
      <c r="AI86" s="23"/>
      <c r="AJ86" s="23"/>
      <c r="AL86" s="5"/>
    </row>
    <row r="87" spans="1:69" ht="13" x14ac:dyDescent="0.3">
      <c r="C87" s="4"/>
      <c r="D87" s="5"/>
      <c r="G87" s="4"/>
      <c r="H87" s="5"/>
      <c r="K87" s="4"/>
      <c r="L87" s="5"/>
      <c r="O87" s="4"/>
      <c r="P87" s="5"/>
      <c r="S87" s="4"/>
      <c r="T87" s="5"/>
      <c r="W87" s="4"/>
      <c r="X87" s="5"/>
      <c r="AA87" s="4"/>
      <c r="AB87" s="5"/>
      <c r="AJ87" s="2"/>
      <c r="AL87" s="5"/>
    </row>
    <row r="88" spans="1:69" s="2" customFormat="1" ht="13" x14ac:dyDescent="0.3">
      <c r="B88" s="8"/>
      <c r="C88" s="26"/>
      <c r="D88" s="8"/>
      <c r="F88" s="8"/>
      <c r="G88" s="26"/>
      <c r="H88" s="8"/>
      <c r="J88" s="8"/>
      <c r="K88" s="26"/>
      <c r="L88" s="8"/>
      <c r="N88" s="8"/>
      <c r="O88" s="26"/>
      <c r="P88" s="8"/>
      <c r="R88" s="8"/>
      <c r="S88" s="26"/>
      <c r="T88" s="8"/>
      <c r="V88" s="8"/>
      <c r="W88" s="26"/>
      <c r="X88" s="8"/>
      <c r="Z88" s="8"/>
      <c r="AA88" s="26"/>
      <c r="AB88" s="8"/>
      <c r="AH88" s="24"/>
      <c r="AI88" s="24"/>
      <c r="AJ88" s="24"/>
      <c r="AK88" s="24"/>
      <c r="AL88" s="24"/>
      <c r="BC88"/>
      <c r="BD88"/>
      <c r="BE88"/>
      <c r="BF88"/>
      <c r="BG88"/>
      <c r="BH88"/>
      <c r="BI88"/>
      <c r="BJ88"/>
      <c r="BK88"/>
      <c r="BL88"/>
      <c r="BM88"/>
      <c r="BN88"/>
      <c r="BO88"/>
      <c r="BP88"/>
      <c r="BQ88"/>
    </row>
    <row r="89" spans="1:69" ht="13" x14ac:dyDescent="0.3">
      <c r="AL89" s="5"/>
      <c r="BC89" s="2"/>
      <c r="BD89" s="2"/>
      <c r="BE89" s="2"/>
      <c r="BF89" s="2"/>
      <c r="BG89" s="2"/>
      <c r="BH89" s="2"/>
      <c r="BI89" s="2"/>
      <c r="BJ89" s="2"/>
      <c r="BK89" s="2"/>
      <c r="BL89" s="2"/>
      <c r="BM89" s="2"/>
      <c r="BN89" s="2"/>
      <c r="BO89" s="2"/>
      <c r="BP89" s="2"/>
      <c r="BQ89" s="2"/>
    </row>
    <row r="90" spans="1:69" ht="13" x14ac:dyDescent="0.3">
      <c r="A90" s="2"/>
    </row>
    <row r="93" spans="1:69" x14ac:dyDescent="0.25">
      <c r="C93" s="7"/>
      <c r="D93" s="5"/>
      <c r="G93" s="7"/>
      <c r="H93" s="5"/>
    </row>
    <row r="94" spans="1:69" x14ac:dyDescent="0.25">
      <c r="G94" s="7"/>
      <c r="H94" s="5"/>
    </row>
    <row r="95" spans="1:69" x14ac:dyDescent="0.25">
      <c r="G95" s="7"/>
      <c r="H95" s="5"/>
    </row>
    <row r="96" spans="1:69" x14ac:dyDescent="0.25">
      <c r="O96" s="7"/>
      <c r="P96" s="5"/>
    </row>
    <row r="97" spans="1:69" x14ac:dyDescent="0.25">
      <c r="K97" s="7"/>
      <c r="L97" s="5"/>
      <c r="O97" s="7"/>
      <c r="P97" s="5"/>
    </row>
    <row r="98" spans="1:69" s="2" customFormat="1" ht="13" x14ac:dyDescent="0.3">
      <c r="B98" s="8"/>
      <c r="D98" s="8"/>
      <c r="F98" s="8"/>
      <c r="H98" s="8"/>
      <c r="J98" s="8"/>
      <c r="L98" s="8"/>
      <c r="N98" s="8"/>
      <c r="P98" s="8"/>
      <c r="S98" s="8"/>
      <c r="BC98"/>
      <c r="BD98"/>
      <c r="BE98"/>
      <c r="BF98"/>
      <c r="BG98"/>
      <c r="BH98"/>
      <c r="BI98"/>
      <c r="BJ98"/>
      <c r="BK98"/>
      <c r="BL98"/>
      <c r="BM98"/>
      <c r="BN98"/>
      <c r="BO98"/>
      <c r="BP98"/>
      <c r="BQ98"/>
    </row>
    <row r="99" spans="1:69" ht="13" x14ac:dyDescent="0.3">
      <c r="BC99" s="2"/>
      <c r="BD99" s="2"/>
      <c r="BE99" s="2"/>
      <c r="BF99" s="2"/>
      <c r="BG99" s="2"/>
      <c r="BH99" s="2"/>
      <c r="BI99" s="2"/>
      <c r="BJ99" s="2"/>
      <c r="BK99" s="2"/>
      <c r="BL99" s="2"/>
      <c r="BM99" s="2"/>
      <c r="BN99" s="2"/>
      <c r="BO99" s="2"/>
      <c r="BP99" s="2"/>
      <c r="BQ99" s="2"/>
    </row>
    <row r="101" spans="1:69" ht="13" x14ac:dyDescent="0.3">
      <c r="AK101" s="2"/>
      <c r="AL101" s="2"/>
    </row>
    <row r="102" spans="1:69" ht="13" x14ac:dyDescent="0.3">
      <c r="C102" s="4"/>
      <c r="D102" s="5"/>
      <c r="G102" s="4"/>
      <c r="H102" s="5"/>
      <c r="K102" s="4"/>
      <c r="L102" s="5"/>
      <c r="O102" s="4"/>
      <c r="P102" s="5"/>
      <c r="S102" s="4"/>
      <c r="T102" s="5"/>
      <c r="W102" s="7"/>
      <c r="X102" s="5"/>
      <c r="AA102" s="7"/>
      <c r="AB102" s="5"/>
      <c r="AJ102" s="2"/>
      <c r="AL102" s="5"/>
    </row>
    <row r="103" spans="1:69" ht="13" x14ac:dyDescent="0.3">
      <c r="C103" s="4"/>
      <c r="D103" s="5"/>
      <c r="G103" s="4"/>
      <c r="H103" s="5"/>
      <c r="K103" s="4"/>
      <c r="L103" s="5"/>
      <c r="O103" s="4"/>
      <c r="P103" s="5"/>
      <c r="S103" s="4"/>
      <c r="T103" s="5"/>
      <c r="W103" s="4"/>
      <c r="X103" s="5"/>
      <c r="AA103" s="4"/>
      <c r="AB103" s="5"/>
      <c r="AJ103" s="2"/>
      <c r="AL103" s="5"/>
    </row>
    <row r="104" spans="1:69" ht="13" x14ac:dyDescent="0.3">
      <c r="C104" s="4"/>
      <c r="D104" s="5"/>
      <c r="G104" s="4"/>
      <c r="H104" s="5"/>
      <c r="K104" s="4"/>
      <c r="L104" s="5"/>
      <c r="O104" s="4"/>
      <c r="P104" s="5"/>
      <c r="S104" s="4"/>
      <c r="T104" s="5"/>
      <c r="W104" s="4"/>
      <c r="X104" s="5"/>
      <c r="AA104" s="4"/>
      <c r="AB104" s="5"/>
      <c r="AH104" s="2"/>
      <c r="AJ104" s="2"/>
      <c r="AL104" s="5"/>
    </row>
    <row r="105" spans="1:69" ht="13" x14ac:dyDescent="0.3">
      <c r="C105" s="7"/>
      <c r="D105" s="5"/>
      <c r="G105" s="7"/>
      <c r="H105" s="5"/>
      <c r="K105" s="7"/>
      <c r="L105" s="5"/>
      <c r="AA105" s="7"/>
      <c r="AB105" s="5"/>
      <c r="AG105" s="2"/>
      <c r="AH105" s="2"/>
      <c r="AI105" s="23"/>
      <c r="AJ105" s="23"/>
      <c r="AL105" s="5"/>
    </row>
    <row r="106" spans="1:69" ht="13" x14ac:dyDescent="0.3">
      <c r="C106" s="4"/>
      <c r="D106" s="5"/>
      <c r="G106" s="7"/>
      <c r="H106" s="5"/>
      <c r="K106" s="4"/>
      <c r="L106" s="5"/>
      <c r="O106" s="4"/>
      <c r="P106" s="5"/>
      <c r="S106" s="4"/>
      <c r="T106" s="5"/>
      <c r="W106" s="4"/>
      <c r="X106" s="5"/>
      <c r="AA106" s="4"/>
      <c r="AB106" s="5"/>
      <c r="AJ106" s="2"/>
      <c r="AL106" s="5"/>
    </row>
    <row r="107" spans="1:69" s="2" customFormat="1" ht="13" x14ac:dyDescent="0.3">
      <c r="B107" s="8"/>
      <c r="C107" s="26"/>
      <c r="D107" s="8"/>
      <c r="F107" s="8"/>
      <c r="H107" s="8"/>
      <c r="J107" s="8"/>
      <c r="K107" s="26"/>
      <c r="L107" s="8"/>
      <c r="N107" s="8"/>
      <c r="O107" s="26"/>
      <c r="P107" s="8"/>
      <c r="R107" s="8"/>
      <c r="S107" s="26"/>
      <c r="T107" s="8"/>
      <c r="V107" s="8"/>
      <c r="W107" s="26"/>
      <c r="X107" s="8"/>
      <c r="Z107" s="8"/>
      <c r="AA107" s="26"/>
      <c r="AB107" s="8"/>
      <c r="AG107" s="8"/>
      <c r="AH107" s="24"/>
      <c r="AI107" s="24"/>
      <c r="AJ107" s="24"/>
      <c r="AK107" s="24"/>
      <c r="AL107" s="24"/>
      <c r="BC107"/>
      <c r="BD107"/>
      <c r="BE107"/>
      <c r="BF107"/>
      <c r="BG107"/>
      <c r="BH107"/>
      <c r="BI107"/>
      <c r="BJ107"/>
      <c r="BK107"/>
      <c r="BL107"/>
      <c r="BM107"/>
      <c r="BN107"/>
      <c r="BO107"/>
      <c r="BP107"/>
      <c r="BQ107"/>
    </row>
    <row r="108" spans="1:69" ht="13" x14ac:dyDescent="0.3">
      <c r="AL108" s="5"/>
      <c r="BC108" s="2"/>
      <c r="BD108" s="2"/>
      <c r="BE108" s="2"/>
      <c r="BF108" s="2"/>
      <c r="BG108" s="2"/>
      <c r="BH108" s="2"/>
      <c r="BI108" s="2"/>
      <c r="BJ108" s="2"/>
      <c r="BK108" s="2"/>
      <c r="BL108" s="2"/>
      <c r="BM108" s="2"/>
      <c r="BN108" s="2"/>
      <c r="BO108" s="2"/>
      <c r="BP108" s="2"/>
      <c r="BQ108" s="2"/>
    </row>
    <row r="109" spans="1:69" ht="13" x14ac:dyDescent="0.3">
      <c r="A109" s="2"/>
    </row>
    <row r="112" spans="1:69" ht="13" x14ac:dyDescent="0.3">
      <c r="C112" s="7"/>
      <c r="D112" s="5"/>
      <c r="G112" s="7"/>
      <c r="H112" s="5"/>
      <c r="AP112" s="2"/>
      <c r="AQ112" s="2"/>
      <c r="AR112" s="2"/>
      <c r="AS112" s="2"/>
      <c r="AT112" s="2"/>
      <c r="AU112" s="2"/>
      <c r="AV112" s="2"/>
      <c r="AW112" s="2"/>
      <c r="AX112" s="2"/>
      <c r="AY112" s="2"/>
    </row>
    <row r="113" spans="2:69" ht="13" x14ac:dyDescent="0.3">
      <c r="C113" s="7"/>
      <c r="D113" s="5"/>
      <c r="G113" s="9"/>
      <c r="K113" s="7"/>
      <c r="L113" s="5"/>
      <c r="AP113" s="2"/>
      <c r="AQ113" s="2"/>
      <c r="AR113" s="2"/>
      <c r="AS113" s="2"/>
      <c r="AT113" s="2"/>
      <c r="AU113" s="2"/>
      <c r="AV113" s="2"/>
      <c r="AW113" s="2"/>
      <c r="AX113" s="2"/>
      <c r="AY113" s="2"/>
    </row>
    <row r="114" spans="2:69" ht="13" x14ac:dyDescent="0.3">
      <c r="C114" s="7"/>
      <c r="D114" s="5"/>
      <c r="G114" s="9"/>
      <c r="K114" s="7"/>
      <c r="L114" s="5"/>
      <c r="AO114" s="23"/>
      <c r="AQ114" s="5"/>
      <c r="AS114" s="5"/>
      <c r="AU114" s="5"/>
      <c r="AW114" s="5"/>
      <c r="AY114" s="5"/>
    </row>
    <row r="115" spans="2:69" ht="13" x14ac:dyDescent="0.3">
      <c r="G115" s="9"/>
      <c r="K115" s="7"/>
      <c r="L115" s="5"/>
      <c r="AO115" s="2"/>
      <c r="AQ115" s="5"/>
      <c r="AS115" s="5"/>
      <c r="AU115" s="5"/>
      <c r="AW115" s="5"/>
      <c r="AY115" s="5"/>
    </row>
    <row r="116" spans="2:69" ht="13" x14ac:dyDescent="0.3">
      <c r="G116" s="7"/>
      <c r="H116" s="5"/>
      <c r="K116" s="7"/>
      <c r="L116" s="5"/>
      <c r="O116" s="7"/>
      <c r="P116" s="5"/>
      <c r="AO116" s="2"/>
      <c r="AQ116" s="5"/>
      <c r="AS116" s="5"/>
      <c r="AU116" s="5"/>
      <c r="AW116" s="5"/>
      <c r="AY116" s="5"/>
    </row>
    <row r="117" spans="2:69" ht="13" x14ac:dyDescent="0.3">
      <c r="O117" s="7"/>
      <c r="P117" s="5"/>
      <c r="AO117" s="2"/>
      <c r="AQ117" s="5"/>
      <c r="AS117" s="5"/>
      <c r="AU117" s="5"/>
      <c r="AW117" s="5"/>
      <c r="AY117" s="5"/>
    </row>
    <row r="118" spans="2:69" s="2" customFormat="1" ht="13" x14ac:dyDescent="0.3">
      <c r="B118" s="8"/>
      <c r="D118" s="8"/>
      <c r="F118" s="8"/>
      <c r="H118" s="8"/>
      <c r="J118" s="8"/>
      <c r="L118" s="8"/>
      <c r="N118" s="8"/>
      <c r="O118" s="25"/>
      <c r="P118" s="8"/>
      <c r="AP118"/>
      <c r="AQ118" s="5"/>
      <c r="AR118"/>
      <c r="AS118" s="5"/>
      <c r="AT118"/>
      <c r="AU118" s="5"/>
      <c r="AV118"/>
      <c r="AW118" s="5"/>
      <c r="AX118"/>
      <c r="AY118" s="5"/>
      <c r="BC118"/>
      <c r="BD118"/>
      <c r="BE118"/>
      <c r="BF118"/>
      <c r="BG118"/>
      <c r="BH118"/>
      <c r="BI118"/>
      <c r="BJ118"/>
      <c r="BK118"/>
      <c r="BL118"/>
      <c r="BM118"/>
      <c r="BN118"/>
      <c r="BO118"/>
      <c r="BP118"/>
      <c r="BQ118"/>
    </row>
    <row r="119" spans="2:69" ht="13" x14ac:dyDescent="0.3">
      <c r="AO119" s="2"/>
      <c r="AQ119" s="5"/>
      <c r="AS119" s="5"/>
      <c r="AU119" s="5"/>
      <c r="AW119" s="5"/>
      <c r="AY119" s="5"/>
      <c r="BC119" s="2"/>
      <c r="BD119" s="2"/>
      <c r="BE119" s="2"/>
      <c r="BF119" s="2"/>
      <c r="BG119" s="2"/>
      <c r="BH119" s="2"/>
      <c r="BI119" s="2"/>
      <c r="BJ119" s="2"/>
      <c r="BK119" s="2"/>
      <c r="BL119" s="2"/>
      <c r="BM119" s="2"/>
      <c r="BN119" s="2"/>
      <c r="BO119" s="2"/>
      <c r="BP119" s="2"/>
      <c r="BQ119" s="2"/>
    </row>
    <row r="121" spans="2:69" ht="13" x14ac:dyDescent="0.3">
      <c r="AK121" s="2"/>
      <c r="AL121" s="2"/>
    </row>
    <row r="122" spans="2:69" ht="13" x14ac:dyDescent="0.3">
      <c r="G122" s="4"/>
      <c r="H122" s="5"/>
      <c r="K122" s="4"/>
      <c r="L122" s="5"/>
      <c r="O122" s="4"/>
      <c r="P122" s="5"/>
      <c r="S122" s="4"/>
      <c r="T122" s="5"/>
      <c r="W122" s="4"/>
      <c r="X122" s="5"/>
      <c r="AA122" s="7"/>
      <c r="AB122" s="5"/>
      <c r="AJ122" s="2"/>
      <c r="AL122" s="5"/>
      <c r="AN122" s="2"/>
      <c r="AQ122" s="5"/>
      <c r="AS122" s="5"/>
      <c r="AU122" s="5"/>
      <c r="AW122" s="5"/>
      <c r="AY122" s="5"/>
    </row>
    <row r="123" spans="2:69" ht="13" x14ac:dyDescent="0.3">
      <c r="G123" s="4"/>
      <c r="H123" s="5"/>
      <c r="K123" s="4"/>
      <c r="L123" s="5"/>
      <c r="O123" s="4"/>
      <c r="P123" s="5"/>
      <c r="S123" s="4"/>
      <c r="T123" s="5"/>
      <c r="W123" s="4"/>
      <c r="X123" s="5"/>
      <c r="AA123" s="4"/>
      <c r="AB123" s="5"/>
      <c r="AJ123" s="2"/>
      <c r="AL123" s="5"/>
      <c r="AN123" s="2"/>
      <c r="AP123" s="5"/>
      <c r="AQ123" s="5"/>
      <c r="AR123" s="5"/>
      <c r="AS123" s="5"/>
      <c r="AT123" s="5"/>
      <c r="AU123" s="5"/>
      <c r="AV123" s="5"/>
      <c r="AW123" s="5"/>
      <c r="AX123" s="5"/>
      <c r="AY123" s="5"/>
    </row>
    <row r="124" spans="2:69" ht="13" x14ac:dyDescent="0.3">
      <c r="G124" s="4"/>
      <c r="H124" s="5"/>
      <c r="K124" s="4"/>
      <c r="L124" s="5"/>
      <c r="O124" s="4"/>
      <c r="P124" s="5"/>
      <c r="S124" s="4"/>
      <c r="T124" s="5"/>
      <c r="W124" s="4"/>
      <c r="X124" s="5"/>
      <c r="AA124" s="4"/>
      <c r="AB124" s="5"/>
      <c r="AH124" s="2"/>
      <c r="AJ124" s="2"/>
      <c r="AL124" s="5"/>
    </row>
    <row r="125" spans="2:69" ht="13" x14ac:dyDescent="0.3">
      <c r="G125" s="4"/>
      <c r="H125" s="5"/>
      <c r="K125" s="7"/>
      <c r="L125" s="5"/>
      <c r="O125" s="7"/>
      <c r="P125" s="5"/>
      <c r="W125" s="7"/>
      <c r="X125" s="5"/>
      <c r="AA125" s="7"/>
      <c r="AB125" s="5"/>
      <c r="AG125" s="2"/>
      <c r="AH125" s="2"/>
      <c r="AI125" s="23"/>
      <c r="AJ125" s="23"/>
      <c r="AL125" s="5"/>
    </row>
    <row r="126" spans="2:69" ht="13" x14ac:dyDescent="0.3">
      <c r="G126" s="4"/>
      <c r="H126" s="5"/>
      <c r="K126" s="4"/>
      <c r="L126" s="5"/>
      <c r="O126" s="4"/>
      <c r="P126" s="5"/>
      <c r="S126" s="4"/>
      <c r="T126" s="5"/>
      <c r="W126" s="4"/>
      <c r="X126" s="5"/>
      <c r="AA126" s="4"/>
      <c r="AB126" s="5"/>
      <c r="AJ126" s="2"/>
      <c r="AL126" s="5"/>
    </row>
    <row r="127" spans="2:69" s="2" customFormat="1" ht="13" x14ac:dyDescent="0.3">
      <c r="B127" s="8"/>
      <c r="F127" s="8"/>
      <c r="H127" s="8"/>
      <c r="J127" s="8"/>
      <c r="L127" s="8"/>
      <c r="N127" s="8"/>
      <c r="P127" s="8"/>
      <c r="R127" s="8"/>
      <c r="T127" s="8"/>
      <c r="V127" s="8"/>
      <c r="X127" s="8"/>
      <c r="Z127" s="8"/>
      <c r="AB127" s="8"/>
      <c r="AG127" s="8"/>
      <c r="AH127" s="24"/>
      <c r="AI127" s="24"/>
      <c r="AJ127" s="24"/>
      <c r="AK127" s="24"/>
      <c r="AL127" s="24"/>
      <c r="BC127"/>
      <c r="BD127"/>
      <c r="BE127"/>
      <c r="BF127"/>
      <c r="BG127"/>
      <c r="BH127"/>
      <c r="BI127"/>
      <c r="BJ127"/>
      <c r="BK127"/>
      <c r="BL127"/>
      <c r="BM127"/>
      <c r="BN127"/>
      <c r="BO127"/>
      <c r="BP127"/>
      <c r="BQ127"/>
    </row>
    <row r="128" spans="2:69" ht="13" x14ac:dyDescent="0.3">
      <c r="AL128" s="5"/>
      <c r="BC128" s="2"/>
      <c r="BD128" s="2"/>
      <c r="BE128" s="2"/>
      <c r="BF128" s="2"/>
      <c r="BG128" s="2"/>
      <c r="BH128" s="2"/>
      <c r="BI128" s="2"/>
      <c r="BJ128" s="2"/>
      <c r="BK128" s="2"/>
      <c r="BL128" s="2"/>
      <c r="BM128" s="2"/>
      <c r="BN128" s="2"/>
      <c r="BO128" s="2"/>
      <c r="BP128" s="2"/>
      <c r="BQ128" s="2"/>
    </row>
    <row r="132" spans="6:6" x14ac:dyDescent="0.25">
      <c r="F132" s="19"/>
    </row>
    <row r="133" spans="6:6" x14ac:dyDescent="0.25">
      <c r="F133" s="19"/>
    </row>
    <row r="134" spans="6:6" x14ac:dyDescent="0.25">
      <c r="F134" s="19"/>
    </row>
    <row r="135" spans="6:6" x14ac:dyDescent="0.25">
      <c r="F135" s="19"/>
    </row>
    <row r="136" spans="6:6" x14ac:dyDescent="0.25">
      <c r="F136" s="19"/>
    </row>
  </sheetData>
  <phoneticPr fontId="4" type="noConversion"/>
  <pageMargins left="0.75" right="0.75" top="1" bottom="1" header="0.5" footer="0.5"/>
  <pageSetup orientation="portrait" horizontalDpi="4294967293" verticalDpi="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L86"/>
  <sheetViews>
    <sheetView topLeftCell="A28" workbookViewId="0">
      <selection activeCell="I30" sqref="I30"/>
    </sheetView>
  </sheetViews>
  <sheetFormatPr defaultRowHeight="12.5" x14ac:dyDescent="0.25"/>
  <cols>
    <col min="1" max="1" width="11.7265625" customWidth="1"/>
    <col min="3" max="4" width="11.7265625" customWidth="1"/>
    <col min="5" max="5" width="2.26953125" customWidth="1"/>
    <col min="7" max="8" width="11.7265625" customWidth="1"/>
    <col min="9" max="9" width="2.26953125" customWidth="1"/>
    <col min="11" max="12" width="11.7265625" customWidth="1"/>
    <col min="13" max="13" width="2.26953125" customWidth="1"/>
    <col min="15" max="16" width="11.7265625" customWidth="1"/>
    <col min="17" max="17" width="2.26953125" customWidth="1"/>
    <col min="19" max="20" width="11.7265625" customWidth="1"/>
    <col min="21" max="21" width="2.26953125" customWidth="1"/>
    <col min="23" max="24" width="11.7265625" customWidth="1"/>
    <col min="25" max="25" width="2.26953125" customWidth="1"/>
    <col min="27" max="28" width="11.7265625" customWidth="1"/>
    <col min="29" max="29" width="2.26953125" customWidth="1"/>
    <col min="31" max="32" width="11.7265625" customWidth="1"/>
    <col min="33" max="33" width="2.26953125" customWidth="1"/>
    <col min="36" max="36" width="2.81640625" customWidth="1"/>
    <col min="37" max="37" width="11.26953125" customWidth="1"/>
    <col min="40" max="40" width="4.7265625" customWidth="1"/>
    <col min="42" max="42" width="11.81640625" customWidth="1"/>
    <col min="44" max="44" width="10.7265625" customWidth="1"/>
    <col min="61" max="61" width="12.453125" customWidth="1"/>
  </cols>
  <sheetData>
    <row r="1" spans="1:24" ht="15.5" x14ac:dyDescent="0.35">
      <c r="A1" s="1" t="s">
        <v>81</v>
      </c>
    </row>
    <row r="2" spans="1:24" ht="13" x14ac:dyDescent="0.3">
      <c r="A2" s="2"/>
    </row>
    <row r="3" spans="1:24" ht="13" x14ac:dyDescent="0.3">
      <c r="A3" s="2" t="s">
        <v>53</v>
      </c>
    </row>
    <row r="4" spans="1:24" s="2" customFormat="1" ht="13" x14ac:dyDescent="0.3">
      <c r="C4" s="2" t="s">
        <v>35</v>
      </c>
      <c r="G4" s="2" t="s">
        <v>34</v>
      </c>
      <c r="K4" s="2" t="s">
        <v>20</v>
      </c>
      <c r="O4" s="2" t="s">
        <v>21</v>
      </c>
      <c r="S4" s="2" t="s">
        <v>22</v>
      </c>
      <c r="W4" s="2" t="s">
        <v>23</v>
      </c>
    </row>
    <row r="5" spans="1:24" s="2" customFormat="1" ht="13" x14ac:dyDescent="0.3">
      <c r="B5" s="27" t="s">
        <v>44</v>
      </c>
      <c r="F5" s="27" t="s">
        <v>44</v>
      </c>
      <c r="J5" s="27" t="s">
        <v>44</v>
      </c>
      <c r="N5" s="27" t="s">
        <v>44</v>
      </c>
      <c r="R5" s="27" t="s">
        <v>44</v>
      </c>
      <c r="V5" s="27" t="s">
        <v>44</v>
      </c>
    </row>
    <row r="6" spans="1:24" x14ac:dyDescent="0.25">
      <c r="B6" t="s">
        <v>13</v>
      </c>
      <c r="C6" t="s">
        <v>51</v>
      </c>
      <c r="D6" t="s">
        <v>14</v>
      </c>
      <c r="F6" t="s">
        <v>13</v>
      </c>
      <c r="G6" t="s">
        <v>51</v>
      </c>
      <c r="H6" t="s">
        <v>14</v>
      </c>
      <c r="J6" t="s">
        <v>13</v>
      </c>
      <c r="K6" t="s">
        <v>51</v>
      </c>
      <c r="L6" t="s">
        <v>14</v>
      </c>
      <c r="N6" t="s">
        <v>13</v>
      </c>
      <c r="O6" t="s">
        <v>51</v>
      </c>
      <c r="P6" t="s">
        <v>14</v>
      </c>
      <c r="R6" t="s">
        <v>13</v>
      </c>
      <c r="S6" t="s">
        <v>51</v>
      </c>
      <c r="T6" t="s">
        <v>14</v>
      </c>
      <c r="V6" t="s">
        <v>13</v>
      </c>
      <c r="W6" t="s">
        <v>51</v>
      </c>
      <c r="X6" t="s">
        <v>14</v>
      </c>
    </row>
    <row r="7" spans="1:24" x14ac:dyDescent="0.25">
      <c r="A7" t="s">
        <v>31</v>
      </c>
      <c r="B7">
        <v>0</v>
      </c>
      <c r="F7">
        <v>1</v>
      </c>
      <c r="G7">
        <v>0</v>
      </c>
      <c r="H7" s="3">
        <f>G7/F7</f>
        <v>0</v>
      </c>
      <c r="J7">
        <v>0</v>
      </c>
      <c r="N7">
        <v>38</v>
      </c>
      <c r="O7">
        <v>4</v>
      </c>
      <c r="P7" s="3">
        <f>O7/N7</f>
        <v>0.10526315789473684</v>
      </c>
      <c r="R7">
        <v>224</v>
      </c>
      <c r="S7">
        <v>4</v>
      </c>
      <c r="T7" s="3">
        <f>S7/R7</f>
        <v>1.7857142857142856E-2</v>
      </c>
      <c r="V7">
        <v>99</v>
      </c>
      <c r="W7">
        <v>3</v>
      </c>
      <c r="X7" s="3">
        <f>W7/V7</f>
        <v>3.0303030303030304E-2</v>
      </c>
    </row>
    <row r="8" spans="1:24" x14ac:dyDescent="0.25">
      <c r="A8" t="s">
        <v>32</v>
      </c>
      <c r="B8">
        <v>0</v>
      </c>
      <c r="F8">
        <v>0</v>
      </c>
      <c r="J8">
        <v>0</v>
      </c>
      <c r="N8">
        <v>4</v>
      </c>
      <c r="O8">
        <v>0</v>
      </c>
      <c r="P8" s="3">
        <f>O8/N8</f>
        <v>0</v>
      </c>
      <c r="R8">
        <v>15</v>
      </c>
      <c r="S8">
        <v>1</v>
      </c>
      <c r="T8" s="3">
        <f>S8/R8</f>
        <v>6.6666666666666666E-2</v>
      </c>
      <c r="V8">
        <v>10</v>
      </c>
      <c r="W8">
        <v>1</v>
      </c>
      <c r="X8" s="3">
        <f>W8/V8</f>
        <v>0.1</v>
      </c>
    </row>
    <row r="9" spans="1:24" s="42" customFormat="1" x14ac:dyDescent="0.25">
      <c r="A9" s="42" t="s">
        <v>45</v>
      </c>
      <c r="B9" s="42">
        <v>0</v>
      </c>
      <c r="F9" s="42">
        <v>0</v>
      </c>
      <c r="J9" s="42">
        <v>0</v>
      </c>
      <c r="N9" s="42">
        <v>0</v>
      </c>
      <c r="R9" s="42">
        <v>9</v>
      </c>
      <c r="S9" s="42">
        <v>0</v>
      </c>
      <c r="T9" s="43">
        <f>S9/R9</f>
        <v>0</v>
      </c>
      <c r="V9" s="42">
        <v>151</v>
      </c>
      <c r="W9" s="42">
        <v>5</v>
      </c>
      <c r="X9" s="43">
        <f>W9/V9</f>
        <v>3.3112582781456956E-2</v>
      </c>
    </row>
    <row r="10" spans="1:24" s="2" customFormat="1" ht="13" x14ac:dyDescent="0.3">
      <c r="A10" s="2" t="s">
        <v>61</v>
      </c>
      <c r="B10" s="2">
        <f>SUM(B7:B9)</f>
        <v>0</v>
      </c>
      <c r="D10" s="55"/>
      <c r="F10" s="2">
        <f>SUM(F7:F9)</f>
        <v>1</v>
      </c>
      <c r="G10" s="2">
        <f>SUM(G7:G9)</f>
        <v>0</v>
      </c>
      <c r="H10" s="55">
        <f>G10/F10</f>
        <v>0</v>
      </c>
      <c r="J10" s="2">
        <f>SUM(J7:J9)</f>
        <v>0</v>
      </c>
      <c r="K10" s="2">
        <f>SUM(K7:K9)</f>
        <v>0</v>
      </c>
      <c r="L10" s="55" t="e">
        <f>K10/J10</f>
        <v>#DIV/0!</v>
      </c>
      <c r="N10" s="2">
        <f>SUM(N7:N9)</f>
        <v>42</v>
      </c>
      <c r="O10" s="2">
        <f>SUM(O7:O9)</f>
        <v>4</v>
      </c>
      <c r="P10" s="55">
        <f>O10/N10</f>
        <v>9.5238095238095233E-2</v>
      </c>
      <c r="R10" s="2">
        <f>SUM(R7:R9)</f>
        <v>248</v>
      </c>
      <c r="S10" s="2">
        <f>SUM(S7:S9)</f>
        <v>5</v>
      </c>
      <c r="T10" s="55">
        <f>S10/R10</f>
        <v>2.0161290322580645E-2</v>
      </c>
      <c r="V10" s="2">
        <f>SUM(V7:V9)</f>
        <v>260</v>
      </c>
      <c r="W10" s="2">
        <f>SUM(W7:W9)</f>
        <v>9</v>
      </c>
      <c r="X10" s="55">
        <f>W10/V10</f>
        <v>3.4615384615384617E-2</v>
      </c>
    </row>
    <row r="11" spans="1:24" ht="13" x14ac:dyDescent="0.3">
      <c r="A11" s="2"/>
    </row>
    <row r="12" spans="1:24" ht="13" x14ac:dyDescent="0.3">
      <c r="A12" s="2"/>
    </row>
    <row r="13" spans="1:24" ht="13" x14ac:dyDescent="0.3">
      <c r="A13" s="2"/>
    </row>
    <row r="14" spans="1:24" ht="13" x14ac:dyDescent="0.3">
      <c r="A14" s="2"/>
    </row>
    <row r="15" spans="1:24" ht="13" x14ac:dyDescent="0.3">
      <c r="A15" s="2"/>
    </row>
    <row r="16" spans="1:24" ht="13" x14ac:dyDescent="0.3">
      <c r="A16" s="2"/>
    </row>
    <row r="17" spans="1:64" ht="13" x14ac:dyDescent="0.3">
      <c r="A17" s="2"/>
    </row>
    <row r="19" spans="1:64" s="2" customFormat="1" ht="13" x14ac:dyDescent="0.3">
      <c r="C19" s="2" t="s">
        <v>12</v>
      </c>
      <c r="G19" s="2" t="s">
        <v>5</v>
      </c>
      <c r="K19" s="2" t="s">
        <v>6</v>
      </c>
      <c r="O19" s="2" t="s">
        <v>7</v>
      </c>
      <c r="S19" s="2" t="s">
        <v>8</v>
      </c>
      <c r="W19" s="2" t="s">
        <v>9</v>
      </c>
      <c r="AA19" s="2" t="s">
        <v>10</v>
      </c>
      <c r="AE19" s="2" t="s">
        <v>11</v>
      </c>
    </row>
    <row r="20" spans="1:64" s="2" customFormat="1" ht="13" x14ac:dyDescent="0.3">
      <c r="B20" s="27" t="s">
        <v>44</v>
      </c>
      <c r="F20" s="27" t="s">
        <v>44</v>
      </c>
      <c r="J20" s="27" t="s">
        <v>44</v>
      </c>
      <c r="N20" s="27" t="s">
        <v>44</v>
      </c>
      <c r="R20" s="27" t="s">
        <v>44</v>
      </c>
      <c r="V20" s="27" t="s">
        <v>44</v>
      </c>
      <c r="Z20" s="27" t="s">
        <v>44</v>
      </c>
      <c r="AD20" s="27" t="s">
        <v>44</v>
      </c>
    </row>
    <row r="21" spans="1:64" x14ac:dyDescent="0.25">
      <c r="B21" t="s">
        <v>13</v>
      </c>
      <c r="C21" t="s">
        <v>51</v>
      </c>
      <c r="D21" t="s">
        <v>14</v>
      </c>
      <c r="F21" t="s">
        <v>13</v>
      </c>
      <c r="G21" t="s">
        <v>51</v>
      </c>
      <c r="H21" t="s">
        <v>14</v>
      </c>
      <c r="J21" t="s">
        <v>13</v>
      </c>
      <c r="K21" t="s">
        <v>51</v>
      </c>
      <c r="L21" t="s">
        <v>14</v>
      </c>
      <c r="N21" t="s">
        <v>13</v>
      </c>
      <c r="O21" t="s">
        <v>51</v>
      </c>
      <c r="P21" t="s">
        <v>14</v>
      </c>
      <c r="R21" t="s">
        <v>13</v>
      </c>
      <c r="S21" t="s">
        <v>51</v>
      </c>
      <c r="T21" t="s">
        <v>14</v>
      </c>
      <c r="V21" t="s">
        <v>13</v>
      </c>
      <c r="W21" t="s">
        <v>51</v>
      </c>
      <c r="X21" t="s">
        <v>14</v>
      </c>
      <c r="Z21" t="s">
        <v>13</v>
      </c>
      <c r="AA21" t="s">
        <v>51</v>
      </c>
      <c r="AB21" t="s">
        <v>14</v>
      </c>
      <c r="AD21" t="s">
        <v>13</v>
      </c>
      <c r="AE21" t="s">
        <v>51</v>
      </c>
      <c r="AF21" t="s">
        <v>14</v>
      </c>
    </row>
    <row r="22" spans="1:64" x14ac:dyDescent="0.25">
      <c r="A22" s="32" t="s">
        <v>65</v>
      </c>
    </row>
    <row r="23" spans="1:64" x14ac:dyDescent="0.25">
      <c r="A23" s="32" t="s">
        <v>66</v>
      </c>
    </row>
    <row r="24" spans="1:64" x14ac:dyDescent="0.25">
      <c r="A24" t="s">
        <v>31</v>
      </c>
      <c r="B24">
        <v>454</v>
      </c>
      <c r="C24">
        <v>11</v>
      </c>
      <c r="D24" s="3">
        <f>C24/B24</f>
        <v>2.4229074889867842E-2</v>
      </c>
      <c r="F24">
        <v>82</v>
      </c>
      <c r="G24">
        <v>4</v>
      </c>
      <c r="H24" s="3">
        <f t="shared" ref="H24:H33" si="0">G24/F24</f>
        <v>4.878048780487805E-2</v>
      </c>
      <c r="J24">
        <v>105</v>
      </c>
      <c r="K24">
        <v>7</v>
      </c>
      <c r="L24" s="3">
        <f t="shared" ref="L24:L30" si="1">K24/J24</f>
        <v>6.6666666666666666E-2</v>
      </c>
      <c r="N24">
        <v>0</v>
      </c>
      <c r="R24">
        <v>36</v>
      </c>
      <c r="S24">
        <v>2</v>
      </c>
      <c r="T24" s="3">
        <f>S24/R24</f>
        <v>5.5555555555555552E-2</v>
      </c>
      <c r="V24">
        <v>82</v>
      </c>
      <c r="W24">
        <v>11</v>
      </c>
      <c r="X24" s="3">
        <f>W24/V24</f>
        <v>0.13414634146341464</v>
      </c>
      <c r="Z24">
        <v>5</v>
      </c>
      <c r="AA24">
        <v>0</v>
      </c>
      <c r="AB24" s="3">
        <f>AA24/Z24</f>
        <v>0</v>
      </c>
      <c r="AD24">
        <v>0</v>
      </c>
    </row>
    <row r="25" spans="1:64" x14ac:dyDescent="0.25">
      <c r="A25" t="s">
        <v>32</v>
      </c>
      <c r="B25">
        <v>160</v>
      </c>
      <c r="C25">
        <v>18</v>
      </c>
      <c r="D25" s="3">
        <f>C25/B25</f>
        <v>0.1125</v>
      </c>
      <c r="F25">
        <v>80</v>
      </c>
      <c r="G25">
        <v>10</v>
      </c>
      <c r="H25" s="3">
        <f t="shared" si="0"/>
        <v>0.125</v>
      </c>
      <c r="J25">
        <v>25</v>
      </c>
      <c r="K25">
        <v>5</v>
      </c>
      <c r="L25" s="3">
        <f t="shared" si="1"/>
        <v>0.2</v>
      </c>
      <c r="N25">
        <v>0</v>
      </c>
      <c r="R25">
        <v>0</v>
      </c>
      <c r="T25" s="3"/>
      <c r="V25">
        <v>0</v>
      </c>
      <c r="X25" s="3"/>
      <c r="Z25">
        <v>0</v>
      </c>
      <c r="AB25" s="3"/>
      <c r="AD25">
        <v>0</v>
      </c>
    </row>
    <row r="26" spans="1:64" s="42" customFormat="1" x14ac:dyDescent="0.25">
      <c r="A26" s="42" t="s">
        <v>45</v>
      </c>
      <c r="B26" s="42">
        <v>190</v>
      </c>
      <c r="C26" s="42">
        <v>6</v>
      </c>
      <c r="D26" s="43">
        <f>C26/B26</f>
        <v>3.1578947368421054E-2</v>
      </c>
      <c r="F26" s="42">
        <v>87</v>
      </c>
      <c r="G26" s="42">
        <v>4</v>
      </c>
      <c r="H26" s="43">
        <f t="shared" si="0"/>
        <v>4.5977011494252873E-2</v>
      </c>
      <c r="J26" s="42">
        <v>27</v>
      </c>
      <c r="K26" s="42">
        <v>1</v>
      </c>
      <c r="L26" s="43">
        <f t="shared" si="1"/>
        <v>3.7037037037037035E-2</v>
      </c>
      <c r="N26" s="42">
        <v>0</v>
      </c>
      <c r="R26" s="42">
        <v>0</v>
      </c>
      <c r="T26" s="43"/>
      <c r="V26" s="42">
        <v>0</v>
      </c>
      <c r="X26" s="43"/>
      <c r="Z26" s="42">
        <v>0</v>
      </c>
      <c r="AB26" s="43"/>
      <c r="AD26" s="42">
        <v>0</v>
      </c>
    </row>
    <row r="27" spans="1:64" s="46" customFormat="1" ht="13" x14ac:dyDescent="0.3">
      <c r="A27" s="46" t="s">
        <v>61</v>
      </c>
      <c r="B27" s="46">
        <f>SUM(B24:B26)</f>
        <v>804</v>
      </c>
      <c r="C27" s="46">
        <f>SUM(C24:C26)</f>
        <v>35</v>
      </c>
      <c r="D27" s="67">
        <f>C27/B27</f>
        <v>4.3532338308457715E-2</v>
      </c>
      <c r="F27" s="46">
        <f>SUM(F24:F26)</f>
        <v>249</v>
      </c>
      <c r="G27" s="46">
        <f>SUM(G24:G26)</f>
        <v>18</v>
      </c>
      <c r="H27" s="67">
        <f t="shared" si="0"/>
        <v>7.2289156626506021E-2</v>
      </c>
      <c r="J27" s="46">
        <f>SUM(J24:J26)</f>
        <v>157</v>
      </c>
      <c r="K27" s="46">
        <f>SUM(K24:K26)</f>
        <v>13</v>
      </c>
      <c r="L27" s="67">
        <f t="shared" si="1"/>
        <v>8.2802547770700632E-2</v>
      </c>
      <c r="N27" s="46">
        <f>SUM(N24:N26)</f>
        <v>0</v>
      </c>
      <c r="O27" s="46">
        <f>SUM(O24:O26)</f>
        <v>0</v>
      </c>
      <c r="P27" s="67" t="e">
        <f>O27/N27</f>
        <v>#DIV/0!</v>
      </c>
      <c r="R27" s="46">
        <f>SUM(R24:R26)</f>
        <v>36</v>
      </c>
      <c r="S27" s="46">
        <f>SUM(S24:S26)</f>
        <v>2</v>
      </c>
      <c r="T27" s="67">
        <f>S27/R27</f>
        <v>5.5555555555555552E-2</v>
      </c>
      <c r="V27" s="46">
        <f>SUM(V24:V26)</f>
        <v>82</v>
      </c>
      <c r="W27" s="46">
        <f>SUM(W24:W26)</f>
        <v>11</v>
      </c>
      <c r="X27" s="67">
        <f>W27/V27</f>
        <v>0.13414634146341464</v>
      </c>
      <c r="Z27" s="46">
        <f>SUM(Z24:Z26)</f>
        <v>5</v>
      </c>
      <c r="AA27" s="46">
        <f>SUM(AA24:AA26)</f>
        <v>0</v>
      </c>
      <c r="AB27" s="67">
        <f>AA27/Z27</f>
        <v>0</v>
      </c>
      <c r="AD27" s="46">
        <f>SUM(AD24:AD26)</f>
        <v>0</v>
      </c>
      <c r="AF27" s="67"/>
    </row>
    <row r="28" spans="1:64" ht="13" x14ac:dyDescent="0.3">
      <c r="A28" s="23" t="s">
        <v>63</v>
      </c>
      <c r="B28" s="73">
        <v>0</v>
      </c>
      <c r="F28">
        <v>85</v>
      </c>
      <c r="G28">
        <v>13</v>
      </c>
      <c r="H28" s="3">
        <f t="shared" si="0"/>
        <v>0.15294117647058825</v>
      </c>
      <c r="J28">
        <v>325</v>
      </c>
      <c r="K28">
        <v>94</v>
      </c>
      <c r="L28" s="3">
        <f t="shared" si="1"/>
        <v>0.28923076923076924</v>
      </c>
      <c r="N28">
        <v>94</v>
      </c>
      <c r="O28">
        <v>39</v>
      </c>
      <c r="P28" s="3">
        <f>O28/N28</f>
        <v>0.41489361702127658</v>
      </c>
      <c r="R28">
        <v>119</v>
      </c>
      <c r="S28">
        <v>35</v>
      </c>
      <c r="T28" s="3">
        <f>S28/R28</f>
        <v>0.29411764705882354</v>
      </c>
      <c r="V28">
        <v>183</v>
      </c>
      <c r="W28">
        <v>49</v>
      </c>
      <c r="X28" s="3">
        <f>W28/V28</f>
        <v>0.26775956284153007</v>
      </c>
      <c r="Z28">
        <v>0</v>
      </c>
      <c r="AD28">
        <v>0</v>
      </c>
      <c r="AH28" s="4"/>
      <c r="AM28" s="3"/>
    </row>
    <row r="29" spans="1:64" ht="13" x14ac:dyDescent="0.3">
      <c r="A29" s="2">
        <v>2</v>
      </c>
      <c r="B29">
        <v>0</v>
      </c>
      <c r="F29">
        <v>146</v>
      </c>
      <c r="G29">
        <v>34</v>
      </c>
      <c r="H29" s="3">
        <f t="shared" si="0"/>
        <v>0.23287671232876711</v>
      </c>
      <c r="J29">
        <v>253</v>
      </c>
      <c r="K29">
        <v>81</v>
      </c>
      <c r="L29" s="3">
        <f t="shared" si="1"/>
        <v>0.3201581027667984</v>
      </c>
      <c r="N29">
        <v>78</v>
      </c>
      <c r="O29">
        <v>26</v>
      </c>
      <c r="P29" s="3">
        <f>O29/N29</f>
        <v>0.33333333333333331</v>
      </c>
      <c r="R29">
        <v>301</v>
      </c>
      <c r="S29">
        <v>97</v>
      </c>
      <c r="T29" s="3">
        <f>S29/R29</f>
        <v>0.32225913621262459</v>
      </c>
      <c r="V29">
        <v>400</v>
      </c>
      <c r="W29">
        <v>118</v>
      </c>
      <c r="X29" s="3">
        <f>W29/V29</f>
        <v>0.29499999999999998</v>
      </c>
      <c r="Z29">
        <v>153</v>
      </c>
      <c r="AA29">
        <v>43</v>
      </c>
      <c r="AB29" s="3">
        <f>AA29/Z29</f>
        <v>0.28104575163398693</v>
      </c>
      <c r="AD29">
        <v>0</v>
      </c>
      <c r="AH29" s="4"/>
      <c r="AM29" s="3"/>
    </row>
    <row r="30" spans="1:64" ht="13" x14ac:dyDescent="0.3">
      <c r="A30" s="2">
        <v>3</v>
      </c>
      <c r="B30">
        <v>0</v>
      </c>
      <c r="F30">
        <v>91</v>
      </c>
      <c r="G30">
        <v>25</v>
      </c>
      <c r="H30" s="3">
        <f t="shared" si="0"/>
        <v>0.27472527472527475</v>
      </c>
      <c r="J30">
        <v>66</v>
      </c>
      <c r="K30">
        <v>23</v>
      </c>
      <c r="L30" s="3">
        <f t="shared" si="1"/>
        <v>0.34848484848484851</v>
      </c>
      <c r="N30">
        <v>28</v>
      </c>
      <c r="O30">
        <v>9</v>
      </c>
      <c r="P30" s="3">
        <f>O30/N30</f>
        <v>0.32142857142857145</v>
      </c>
      <c r="R30">
        <v>92</v>
      </c>
      <c r="S30">
        <v>42</v>
      </c>
      <c r="T30" s="3">
        <f>S30/R30</f>
        <v>0.45652173913043476</v>
      </c>
      <c r="V30">
        <v>64</v>
      </c>
      <c r="W30">
        <v>18</v>
      </c>
      <c r="X30" s="3">
        <f>W30/V30</f>
        <v>0.28125</v>
      </c>
      <c r="Z30">
        <v>75</v>
      </c>
      <c r="AA30">
        <v>25</v>
      </c>
      <c r="AB30" s="3">
        <f>AA30/Z30</f>
        <v>0.33333333333333331</v>
      </c>
      <c r="AD30">
        <v>0</v>
      </c>
      <c r="AH30" s="4"/>
      <c r="AM30" s="3"/>
    </row>
    <row r="31" spans="1:64" ht="13" x14ac:dyDescent="0.3">
      <c r="A31" s="2">
        <v>4</v>
      </c>
      <c r="B31">
        <v>0</v>
      </c>
      <c r="F31">
        <v>88</v>
      </c>
      <c r="G31">
        <v>40</v>
      </c>
      <c r="H31" s="3">
        <f t="shared" si="0"/>
        <v>0.45454545454545453</v>
      </c>
      <c r="J31">
        <v>0</v>
      </c>
      <c r="N31">
        <v>0</v>
      </c>
      <c r="R31">
        <v>0</v>
      </c>
      <c r="V31">
        <v>0</v>
      </c>
      <c r="Z31">
        <v>0</v>
      </c>
      <c r="AD31">
        <v>0</v>
      </c>
      <c r="BL31" s="4"/>
    </row>
    <row r="32" spans="1:64" ht="13" x14ac:dyDescent="0.3">
      <c r="A32" s="2">
        <v>5</v>
      </c>
      <c r="B32">
        <v>0</v>
      </c>
      <c r="F32">
        <v>51</v>
      </c>
      <c r="G32">
        <v>18</v>
      </c>
      <c r="H32" s="3">
        <f t="shared" si="0"/>
        <v>0.35294117647058826</v>
      </c>
      <c r="J32">
        <v>40</v>
      </c>
      <c r="K32">
        <v>28</v>
      </c>
      <c r="L32" s="3">
        <f>K32/J32</f>
        <v>0.7</v>
      </c>
      <c r="N32">
        <v>25</v>
      </c>
      <c r="O32">
        <v>19</v>
      </c>
      <c r="P32" s="3">
        <f>O32/N32</f>
        <v>0.76</v>
      </c>
      <c r="R32">
        <v>19</v>
      </c>
      <c r="S32">
        <v>14</v>
      </c>
      <c r="T32" s="3">
        <f>S32/R32</f>
        <v>0.73684210526315785</v>
      </c>
      <c r="V32">
        <v>15</v>
      </c>
      <c r="W32">
        <v>11</v>
      </c>
      <c r="X32" s="3">
        <f>W32/V32</f>
        <v>0.73333333333333328</v>
      </c>
      <c r="Z32">
        <v>3</v>
      </c>
      <c r="AA32">
        <v>0</v>
      </c>
      <c r="AB32" s="3">
        <f>AA32/Z32</f>
        <v>0</v>
      </c>
      <c r="AD32">
        <v>0</v>
      </c>
      <c r="AH32" s="4"/>
      <c r="BL32" s="4"/>
    </row>
    <row r="33" spans="1:64" x14ac:dyDescent="0.25">
      <c r="F33">
        <f>SUM(F28:F32)</f>
        <v>461</v>
      </c>
      <c r="G33">
        <f>SUM(G28:G32)</f>
        <v>130</v>
      </c>
      <c r="H33" s="3">
        <f t="shared" si="0"/>
        <v>0.28199566160520606</v>
      </c>
      <c r="J33">
        <f>SUM(J28:J32)</f>
        <v>684</v>
      </c>
      <c r="K33">
        <f>SUM(K28:K32)</f>
        <v>226</v>
      </c>
      <c r="L33" s="3">
        <f>K33/J33</f>
        <v>0.33040935672514621</v>
      </c>
      <c r="N33">
        <f>SUM(N28:N32)</f>
        <v>225</v>
      </c>
      <c r="O33">
        <f>SUM(O28:O32)</f>
        <v>93</v>
      </c>
      <c r="P33" s="3">
        <f>O33/N33</f>
        <v>0.41333333333333333</v>
      </c>
      <c r="R33">
        <f>SUM(R28:R32)</f>
        <v>531</v>
      </c>
      <c r="S33">
        <f>SUM(S28:S32)</f>
        <v>188</v>
      </c>
      <c r="T33" s="3">
        <f>S33/R33</f>
        <v>0.35404896421845572</v>
      </c>
      <c r="V33">
        <f>SUM(V28:V32)</f>
        <v>662</v>
      </c>
      <c r="W33">
        <f>SUM(W28:W32)</f>
        <v>196</v>
      </c>
      <c r="X33" s="3">
        <f>W33/V33</f>
        <v>0.29607250755287007</v>
      </c>
      <c r="Z33">
        <f>SUM(Z28:Z32)</f>
        <v>231</v>
      </c>
      <c r="AA33">
        <f>SUM(AA28:AA32)</f>
        <v>68</v>
      </c>
      <c r="AB33" s="3">
        <f>AA33/Z33</f>
        <v>0.2943722943722944</v>
      </c>
      <c r="AD33">
        <f>SUM(AD28:AD32)</f>
        <v>0</v>
      </c>
      <c r="AE33">
        <f>SUM(AE28:AE32)</f>
        <v>0</v>
      </c>
      <c r="AF33" s="3" t="e">
        <f>AE33/AD33</f>
        <v>#DIV/0!</v>
      </c>
      <c r="BL33" s="4"/>
    </row>
    <row r="34" spans="1:64" ht="15.5" x14ac:dyDescent="0.35">
      <c r="A34" s="1" t="s">
        <v>82</v>
      </c>
      <c r="BJ34" s="14"/>
      <c r="BL34" s="4"/>
    </row>
    <row r="35" spans="1:64" ht="13" x14ac:dyDescent="0.3">
      <c r="A35" s="2"/>
      <c r="BJ35" s="14"/>
      <c r="BL35" s="4"/>
    </row>
    <row r="36" spans="1:64" ht="13" x14ac:dyDescent="0.3">
      <c r="B36" s="27" t="s">
        <v>44</v>
      </c>
      <c r="C36" s="2"/>
      <c r="D36" s="2"/>
      <c r="AT36" s="4"/>
      <c r="AU36" s="4"/>
      <c r="AV36" s="4"/>
      <c r="AW36" s="4"/>
      <c r="AX36" s="4"/>
      <c r="BJ36" s="14"/>
      <c r="BL36" s="4"/>
    </row>
    <row r="37" spans="1:64" x14ac:dyDescent="0.25">
      <c r="B37" t="s">
        <v>13</v>
      </c>
      <c r="C37" t="s">
        <v>51</v>
      </c>
      <c r="D37" t="s">
        <v>14</v>
      </c>
      <c r="AT37" s="4"/>
      <c r="AU37" s="4"/>
      <c r="AV37" s="4"/>
      <c r="AW37" s="4"/>
      <c r="AX37" s="4"/>
      <c r="BJ37" s="14"/>
      <c r="BL37" s="4"/>
    </row>
    <row r="38" spans="1:64" x14ac:dyDescent="0.25">
      <c r="A38" t="s">
        <v>31</v>
      </c>
      <c r="B38">
        <f t="shared" ref="B38:C40" si="2">B24+F24+J24+N24+R24+V24+Z24+AD24+B7+F7+J7+N7+R7+V7</f>
        <v>1126</v>
      </c>
      <c r="C38">
        <f t="shared" si="2"/>
        <v>46</v>
      </c>
      <c r="D38" s="3">
        <f t="shared" ref="D38:D45" si="3">C38/B38</f>
        <v>4.0852575488454709E-2</v>
      </c>
      <c r="AT38" s="4"/>
      <c r="AU38" s="4"/>
      <c r="AV38" s="4"/>
      <c r="AW38" s="4"/>
      <c r="AX38" s="4"/>
      <c r="BJ38" s="14"/>
      <c r="BL38" s="4"/>
    </row>
    <row r="39" spans="1:64" x14ac:dyDescent="0.25">
      <c r="A39" t="s">
        <v>32</v>
      </c>
      <c r="B39">
        <f t="shared" si="2"/>
        <v>294</v>
      </c>
      <c r="C39">
        <f t="shared" si="2"/>
        <v>35</v>
      </c>
      <c r="D39" s="3">
        <f t="shared" si="3"/>
        <v>0.11904761904761904</v>
      </c>
      <c r="AT39" s="4"/>
      <c r="AU39" s="4"/>
      <c r="AV39" s="4"/>
      <c r="AW39" s="4"/>
      <c r="AX39" s="4"/>
      <c r="BJ39" s="14"/>
      <c r="BL39" s="4"/>
    </row>
    <row r="40" spans="1:64" x14ac:dyDescent="0.25">
      <c r="A40" s="44" t="s">
        <v>45</v>
      </c>
      <c r="B40" s="44">
        <f t="shared" si="2"/>
        <v>464</v>
      </c>
      <c r="C40" s="44">
        <f t="shared" si="2"/>
        <v>16</v>
      </c>
      <c r="D40" s="45">
        <f t="shared" si="3"/>
        <v>3.4482758620689655E-2</v>
      </c>
      <c r="AT40" s="4"/>
      <c r="AU40" s="4"/>
      <c r="AV40" s="4"/>
      <c r="AW40" s="4"/>
      <c r="AX40" s="4"/>
      <c r="BJ40" s="14"/>
      <c r="BL40" s="4"/>
    </row>
    <row r="41" spans="1:64" ht="13" x14ac:dyDescent="0.3">
      <c r="A41" s="46" t="s">
        <v>61</v>
      </c>
      <c r="B41" s="46">
        <f>SUM(B38:B40)</f>
        <v>1884</v>
      </c>
      <c r="C41" s="46">
        <f>SUM(C38:C40)</f>
        <v>97</v>
      </c>
      <c r="D41" s="67">
        <f t="shared" si="3"/>
        <v>5.1486199575371552E-2</v>
      </c>
      <c r="AT41" s="4"/>
      <c r="AU41" s="4"/>
      <c r="AV41" s="4"/>
      <c r="AW41" s="4"/>
      <c r="AX41" s="4"/>
      <c r="BJ41" s="14"/>
      <c r="BL41" s="4"/>
    </row>
    <row r="42" spans="1:64" ht="13" x14ac:dyDescent="0.3">
      <c r="A42" s="2">
        <v>1</v>
      </c>
      <c r="B42">
        <f>B28+F28+J28+N28+R28+V28+Z28+AD28</f>
        <v>806</v>
      </c>
      <c r="C42">
        <f>C28+G28+K28+O28+S28+W28+AA28+AE28</f>
        <v>230</v>
      </c>
      <c r="D42" s="3">
        <f t="shared" si="3"/>
        <v>0.28535980148883372</v>
      </c>
      <c r="AT42" s="4"/>
      <c r="AU42" s="4"/>
      <c r="AV42" s="4"/>
      <c r="AW42" s="4"/>
      <c r="AX42" s="4"/>
    </row>
    <row r="43" spans="1:64" ht="13" x14ac:dyDescent="0.3">
      <c r="A43" s="2">
        <v>2</v>
      </c>
      <c r="B43">
        <f t="shared" ref="B43:C46" si="4">B29+F29+J29+N29+R29+V29+Z29+AD29</f>
        <v>1331</v>
      </c>
      <c r="C43">
        <f t="shared" si="4"/>
        <v>399</v>
      </c>
      <c r="D43" s="3">
        <f t="shared" si="3"/>
        <v>0.29977460555972951</v>
      </c>
      <c r="H43" s="3"/>
      <c r="L43" s="3"/>
      <c r="P43" s="3"/>
      <c r="T43" s="3"/>
      <c r="AH43" s="4"/>
      <c r="AM43" s="3"/>
      <c r="AT43" s="4"/>
      <c r="AU43" s="4"/>
      <c r="AV43" s="4"/>
      <c r="AW43" s="4"/>
      <c r="AX43" s="4"/>
    </row>
    <row r="44" spans="1:64" ht="13" x14ac:dyDescent="0.3">
      <c r="A44" s="2">
        <v>3</v>
      </c>
      <c r="B44">
        <f t="shared" si="4"/>
        <v>416</v>
      </c>
      <c r="C44">
        <f t="shared" si="4"/>
        <v>142</v>
      </c>
      <c r="D44" s="3">
        <f t="shared" si="3"/>
        <v>0.34134615384615385</v>
      </c>
      <c r="H44" s="3"/>
      <c r="L44" s="3"/>
      <c r="P44" s="3"/>
      <c r="T44" s="3"/>
      <c r="X44" s="3"/>
      <c r="AB44" s="3"/>
      <c r="AH44" s="4"/>
      <c r="AM44" s="3"/>
      <c r="AT44" s="4"/>
      <c r="AU44" s="4"/>
      <c r="AV44" s="4"/>
      <c r="AW44" s="4"/>
      <c r="AX44" s="4"/>
    </row>
    <row r="45" spans="1:64" ht="13" x14ac:dyDescent="0.3">
      <c r="A45" s="2">
        <v>4</v>
      </c>
      <c r="B45">
        <f t="shared" si="4"/>
        <v>88</v>
      </c>
      <c r="C45">
        <f t="shared" si="4"/>
        <v>40</v>
      </c>
      <c r="D45" s="3">
        <f t="shared" si="3"/>
        <v>0.45454545454545453</v>
      </c>
      <c r="H45" s="3"/>
      <c r="L45" s="3"/>
      <c r="P45" s="3"/>
      <c r="T45" s="3"/>
      <c r="X45" s="3"/>
      <c r="AB45" s="3"/>
      <c r="AH45" s="4"/>
      <c r="AM45" s="3"/>
      <c r="AT45" s="4"/>
      <c r="AU45" s="4"/>
      <c r="AV45" s="4"/>
      <c r="AW45" s="4"/>
      <c r="AX45" s="4"/>
    </row>
    <row r="46" spans="1:64" ht="13" x14ac:dyDescent="0.3">
      <c r="A46" s="2">
        <v>5</v>
      </c>
      <c r="B46">
        <f t="shared" si="4"/>
        <v>153</v>
      </c>
      <c r="C46">
        <f t="shared" si="4"/>
        <v>90</v>
      </c>
      <c r="D46" s="3">
        <f>C46/B46</f>
        <v>0.58823529411764708</v>
      </c>
    </row>
    <row r="47" spans="1:64" x14ac:dyDescent="0.25">
      <c r="P47" s="3"/>
      <c r="T47" s="3"/>
      <c r="AH47" s="4"/>
      <c r="AM47" s="3"/>
    </row>
    <row r="49" spans="1:55" ht="13" x14ac:dyDescent="0.3">
      <c r="A49" s="2"/>
    </row>
    <row r="51" spans="1:55" x14ac:dyDescent="0.25">
      <c r="AV51" s="4"/>
      <c r="AW51" s="4"/>
      <c r="AX51" s="4"/>
      <c r="AY51" s="4"/>
      <c r="AZ51" s="4"/>
      <c r="BA51" s="4"/>
    </row>
    <row r="52" spans="1:55" x14ac:dyDescent="0.25">
      <c r="AV52" s="4"/>
      <c r="AW52" s="4"/>
      <c r="AX52" s="4"/>
      <c r="AY52" s="4"/>
      <c r="AZ52" s="4"/>
      <c r="BA52" s="4"/>
      <c r="BB52" s="3"/>
      <c r="BC52" s="3"/>
    </row>
    <row r="53" spans="1:55" x14ac:dyDescent="0.25">
      <c r="D53" s="3"/>
      <c r="H53" s="3"/>
      <c r="L53" s="3"/>
      <c r="P53" s="3"/>
      <c r="T53" s="3"/>
      <c r="X53" s="3"/>
      <c r="AH53" s="4"/>
      <c r="AM53" s="3"/>
      <c r="AV53" s="4"/>
      <c r="AW53" s="4"/>
      <c r="AX53" s="4"/>
      <c r="AY53" s="4"/>
      <c r="AZ53" s="4"/>
      <c r="BA53" s="4"/>
      <c r="BB53" s="3"/>
      <c r="BC53" s="3"/>
    </row>
    <row r="54" spans="1:55" x14ac:dyDescent="0.25">
      <c r="D54" s="3"/>
      <c r="H54" s="3"/>
      <c r="L54" s="3"/>
      <c r="P54" s="3"/>
      <c r="T54" s="3"/>
      <c r="X54" s="3"/>
      <c r="AB54" s="3"/>
      <c r="AH54" s="4"/>
      <c r="AM54" s="3"/>
      <c r="AV54" s="4"/>
      <c r="AW54" s="4"/>
      <c r="AX54" s="4"/>
      <c r="AY54" s="4"/>
      <c r="AZ54" s="4"/>
      <c r="BA54" s="4"/>
    </row>
    <row r="55" spans="1:55" x14ac:dyDescent="0.25">
      <c r="D55" s="3"/>
      <c r="H55" s="3"/>
      <c r="L55" s="3"/>
      <c r="P55" s="3"/>
      <c r="T55" s="3"/>
      <c r="X55" s="3"/>
      <c r="AB55" s="3"/>
      <c r="AH55" s="4"/>
      <c r="AM55" s="3"/>
      <c r="AV55" s="4"/>
      <c r="AW55" s="4"/>
      <c r="AX55" s="4"/>
      <c r="AY55" s="4"/>
      <c r="AZ55" s="4"/>
      <c r="BA55" s="4"/>
      <c r="BB55" s="3"/>
    </row>
    <row r="56" spans="1:55" x14ac:dyDescent="0.25">
      <c r="D56" s="3"/>
      <c r="H56" s="3"/>
      <c r="L56" s="3"/>
      <c r="P56" s="3"/>
      <c r="AH56" s="4"/>
      <c r="AM56" s="3"/>
      <c r="AP56" s="3"/>
      <c r="AQ56" s="3"/>
      <c r="AR56" s="3"/>
      <c r="AS56" s="3"/>
      <c r="AT56" s="3"/>
      <c r="AU56" s="3"/>
      <c r="AV56" s="3"/>
      <c r="AW56" s="3"/>
      <c r="AX56" s="3"/>
      <c r="AY56" s="3"/>
      <c r="AZ56" s="3"/>
      <c r="BA56" s="3"/>
      <c r="BB56" s="3"/>
      <c r="BC56" s="3"/>
    </row>
    <row r="57" spans="1:55" x14ac:dyDescent="0.25">
      <c r="D57" s="3"/>
      <c r="H57" s="3"/>
      <c r="L57" s="3"/>
      <c r="P57" s="3"/>
      <c r="T57" s="3"/>
      <c r="X57" s="3"/>
      <c r="AB57" s="3"/>
      <c r="AH57" s="4"/>
      <c r="AM57" s="3"/>
    </row>
    <row r="59" spans="1:55" ht="13" x14ac:dyDescent="0.3">
      <c r="A59" s="2"/>
    </row>
    <row r="63" spans="1:55" x14ac:dyDescent="0.25">
      <c r="D63" s="3"/>
      <c r="H63" s="3"/>
      <c r="L63" s="3"/>
      <c r="P63" s="3"/>
      <c r="T63" s="3"/>
      <c r="AH63" s="4"/>
      <c r="AM63" s="3"/>
    </row>
    <row r="64" spans="1:55" x14ac:dyDescent="0.25">
      <c r="D64" s="3"/>
      <c r="H64" s="3"/>
      <c r="L64" s="3"/>
      <c r="P64" s="3"/>
      <c r="T64" s="3"/>
      <c r="X64" s="3"/>
      <c r="AB64" s="3"/>
      <c r="AH64" s="4"/>
      <c r="AM64" s="3"/>
    </row>
    <row r="65" spans="1:39" x14ac:dyDescent="0.25">
      <c r="D65" s="3"/>
      <c r="H65" s="3"/>
      <c r="L65" s="3"/>
      <c r="P65" s="3"/>
      <c r="T65" s="3"/>
      <c r="X65" s="3"/>
      <c r="AB65" s="3"/>
      <c r="AH65" s="4"/>
      <c r="AM65" s="3"/>
    </row>
    <row r="66" spans="1:39" x14ac:dyDescent="0.25">
      <c r="D66" s="3"/>
    </row>
    <row r="67" spans="1:39" x14ac:dyDescent="0.25">
      <c r="D67" s="3"/>
      <c r="L67" s="3"/>
      <c r="P67" s="3"/>
      <c r="T67" s="3"/>
      <c r="X67" s="3"/>
      <c r="AB67" s="3"/>
      <c r="AH67" s="4"/>
      <c r="AM67" s="3"/>
    </row>
    <row r="69" spans="1:39" ht="13" x14ac:dyDescent="0.3">
      <c r="A69" s="2"/>
    </row>
    <row r="73" spans="1:39" x14ac:dyDescent="0.25">
      <c r="H73" s="3"/>
      <c r="L73" s="3"/>
      <c r="P73" s="3"/>
      <c r="T73" s="3"/>
      <c r="X73" s="3"/>
      <c r="AH73" s="4"/>
      <c r="AM73" s="3"/>
    </row>
    <row r="74" spans="1:39" x14ac:dyDescent="0.25">
      <c r="H74" s="3"/>
      <c r="L74" s="3"/>
      <c r="P74" s="3"/>
      <c r="T74" s="3"/>
      <c r="X74" s="3"/>
      <c r="AB74" s="3"/>
      <c r="AH74" s="4"/>
      <c r="AM74" s="3"/>
    </row>
    <row r="75" spans="1:39" x14ac:dyDescent="0.25">
      <c r="H75" s="3"/>
      <c r="L75" s="3"/>
      <c r="P75" s="3"/>
      <c r="T75" s="3"/>
      <c r="X75" s="3"/>
      <c r="AB75" s="3"/>
      <c r="AH75" s="4"/>
      <c r="AM75" s="3"/>
    </row>
    <row r="76" spans="1:39" x14ac:dyDescent="0.25">
      <c r="H76" s="3"/>
      <c r="AH76" s="4"/>
      <c r="AM76" s="3"/>
    </row>
    <row r="77" spans="1:39" x14ac:dyDescent="0.25">
      <c r="H77" s="3"/>
      <c r="L77" s="3"/>
      <c r="P77" s="3"/>
      <c r="T77" s="3"/>
      <c r="X77" s="3"/>
      <c r="AB77" s="3"/>
      <c r="AH77" s="4"/>
      <c r="AM77" s="3"/>
    </row>
    <row r="78" spans="1:39" x14ac:dyDescent="0.25">
      <c r="H78" s="3"/>
      <c r="L78" s="3"/>
      <c r="P78" s="3"/>
      <c r="T78" s="3"/>
      <c r="X78" s="3"/>
      <c r="AB78" s="3"/>
      <c r="AH78" s="4"/>
      <c r="AM78" s="3"/>
    </row>
    <row r="82" spans="4:32" x14ac:dyDescent="0.25">
      <c r="D82" s="3"/>
      <c r="H82" s="3"/>
      <c r="L82" s="3"/>
      <c r="P82" s="3"/>
      <c r="T82" s="3"/>
      <c r="X82" s="3"/>
    </row>
    <row r="83" spans="4:32" x14ac:dyDescent="0.25">
      <c r="D83" s="3"/>
      <c r="H83" s="3"/>
      <c r="L83" s="3"/>
      <c r="P83" s="3"/>
      <c r="T83" s="3"/>
      <c r="X83" s="3"/>
      <c r="AB83" s="3"/>
      <c r="AF83" s="3"/>
    </row>
    <row r="84" spans="4:32" x14ac:dyDescent="0.25">
      <c r="D84" s="3"/>
      <c r="H84" s="3"/>
      <c r="L84" s="3"/>
      <c r="P84" s="3"/>
      <c r="T84" s="3"/>
      <c r="X84" s="3"/>
      <c r="AB84" s="3"/>
      <c r="AF84" s="3"/>
    </row>
    <row r="85" spans="4:32" x14ac:dyDescent="0.25">
      <c r="D85" s="3"/>
      <c r="H85" s="3"/>
      <c r="P85" s="3"/>
    </row>
    <row r="86" spans="4:32" x14ac:dyDescent="0.25">
      <c r="D86" s="3"/>
      <c r="H86" s="3"/>
      <c r="L86" s="3"/>
      <c r="P86" s="3"/>
      <c r="T86" s="3"/>
      <c r="X86" s="3"/>
      <c r="AB86" s="3"/>
    </row>
  </sheetData>
  <phoneticPr fontId="4" type="noConversion"/>
  <pageMargins left="0.75" right="0.75" top="1" bottom="1" header="0.5" footer="0.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R136"/>
  <sheetViews>
    <sheetView topLeftCell="A34" zoomScale="75" workbookViewId="0">
      <selection activeCell="I30" sqref="I30"/>
    </sheetView>
  </sheetViews>
  <sheetFormatPr defaultRowHeight="12.5" x14ac:dyDescent="0.25"/>
  <cols>
    <col min="1" max="1" width="13.1796875" customWidth="1"/>
    <col min="2" max="2" width="10.26953125" customWidth="1"/>
    <col min="3" max="4" width="13.453125" customWidth="1"/>
    <col min="5" max="5" width="1.1796875" customWidth="1"/>
    <col min="6" max="6" width="10.26953125" customWidth="1"/>
    <col min="7" max="8" width="13.453125" customWidth="1"/>
    <col min="9" max="9" width="1.1796875" customWidth="1"/>
    <col min="10" max="10" width="10.26953125" customWidth="1"/>
    <col min="11" max="12" width="13.453125" customWidth="1"/>
    <col min="13" max="13" width="1.1796875" customWidth="1"/>
    <col min="14" max="14" width="10.26953125" customWidth="1"/>
    <col min="15" max="16" width="13.453125" customWidth="1"/>
    <col min="17" max="17" width="0.81640625" customWidth="1"/>
    <col min="18" max="18" width="10.26953125" customWidth="1"/>
    <col min="19" max="20" width="13.453125" customWidth="1"/>
    <col min="21" max="21" width="1.1796875" customWidth="1"/>
    <col min="22" max="22" width="10.26953125" customWidth="1"/>
    <col min="23" max="24" width="13.453125" customWidth="1"/>
    <col min="25" max="25" width="1.26953125" customWidth="1"/>
    <col min="26" max="26" width="10.26953125" customWidth="1"/>
    <col min="27" max="28" width="13.453125" customWidth="1"/>
    <col min="29" max="29" width="1.7265625" customWidth="1"/>
    <col min="30" max="30" width="10.26953125" customWidth="1"/>
    <col min="31" max="32" width="13.453125" customWidth="1"/>
    <col min="34" max="34" width="9.81640625" customWidth="1"/>
    <col min="35" max="35" width="13.54296875" bestFit="1" customWidth="1"/>
    <col min="36" max="38" width="13.54296875" customWidth="1"/>
    <col min="56" max="56" width="11.26953125" bestFit="1" customWidth="1"/>
    <col min="57" max="57" width="10.26953125" bestFit="1" customWidth="1"/>
    <col min="58" max="58" width="11.26953125" bestFit="1" customWidth="1"/>
    <col min="61" max="61" width="11.81640625" customWidth="1"/>
    <col min="62" max="62" width="9.7265625" bestFit="1" customWidth="1"/>
    <col min="63" max="63" width="9.54296875" customWidth="1"/>
  </cols>
  <sheetData>
    <row r="1" spans="1:69" ht="15.5" x14ac:dyDescent="0.35">
      <c r="A1" s="1" t="s">
        <v>77</v>
      </c>
    </row>
    <row r="2" spans="1:69" s="27" customFormat="1" ht="13" x14ac:dyDescent="0.3">
      <c r="A2" s="2" t="s">
        <v>54</v>
      </c>
    </row>
    <row r="3" spans="1:69" s="27" customFormat="1" ht="13" x14ac:dyDescent="0.3">
      <c r="B3" s="36" t="s">
        <v>57</v>
      </c>
    </row>
    <row r="4" spans="1:69" s="27" customFormat="1" ht="13" x14ac:dyDescent="0.3">
      <c r="B4" s="37" t="s">
        <v>75</v>
      </c>
    </row>
    <row r="5" spans="1:69" s="27" customFormat="1" ht="13" x14ac:dyDescent="0.3">
      <c r="B5" s="38" t="s">
        <v>76</v>
      </c>
    </row>
    <row r="6" spans="1:69" s="27" customFormat="1" x14ac:dyDescent="0.25"/>
    <row r="7" spans="1:69" ht="15.5" x14ac:dyDescent="0.35">
      <c r="A7" s="1" t="s">
        <v>47</v>
      </c>
      <c r="BI7" s="2"/>
    </row>
    <row r="8" spans="1:69" ht="13" x14ac:dyDescent="0.3">
      <c r="A8" s="2"/>
      <c r="BI8" s="2"/>
      <c r="BJ8" s="2"/>
      <c r="BK8" s="2"/>
    </row>
    <row r="9" spans="1:69" ht="13" x14ac:dyDescent="0.3">
      <c r="C9" s="2" t="s">
        <v>0</v>
      </c>
      <c r="G9" s="2" t="s">
        <v>2</v>
      </c>
      <c r="K9" s="2" t="s">
        <v>3</v>
      </c>
      <c r="O9" s="2" t="s">
        <v>4</v>
      </c>
      <c r="S9" s="2" t="s">
        <v>67</v>
      </c>
      <c r="W9" s="2" t="s">
        <v>68</v>
      </c>
      <c r="BI9" s="14"/>
      <c r="BJ9" s="30"/>
      <c r="BK9" s="30"/>
    </row>
    <row r="10" spans="1:69" x14ac:dyDescent="0.25">
      <c r="B10" t="s">
        <v>43</v>
      </c>
      <c r="C10" t="s">
        <v>50</v>
      </c>
      <c r="D10" t="s">
        <v>51</v>
      </c>
      <c r="F10" t="s">
        <v>43</v>
      </c>
      <c r="G10" t="s">
        <v>50</v>
      </c>
      <c r="H10" t="s">
        <v>51</v>
      </c>
      <c r="J10" t="s">
        <v>43</v>
      </c>
      <c r="K10" t="s">
        <v>50</v>
      </c>
      <c r="L10" t="s">
        <v>51</v>
      </c>
      <c r="N10" t="s">
        <v>43</v>
      </c>
      <c r="O10" t="s">
        <v>50</v>
      </c>
      <c r="P10" t="s">
        <v>51</v>
      </c>
      <c r="R10" t="s">
        <v>43</v>
      </c>
      <c r="S10" t="s">
        <v>50</v>
      </c>
      <c r="T10" t="s">
        <v>51</v>
      </c>
      <c r="V10" t="s">
        <v>43</v>
      </c>
      <c r="W10" t="s">
        <v>50</v>
      </c>
      <c r="X10" t="s">
        <v>51</v>
      </c>
      <c r="BI10" s="14"/>
      <c r="BJ10" s="30"/>
      <c r="BK10" s="30"/>
      <c r="BN10" s="6"/>
    </row>
    <row r="11" spans="1:69" x14ac:dyDescent="0.25">
      <c r="A11" s="32" t="s">
        <v>65</v>
      </c>
      <c r="BI11" s="14"/>
      <c r="BJ11" s="30"/>
      <c r="BK11" s="30"/>
      <c r="BN11" s="6"/>
    </row>
    <row r="12" spans="1:69" x14ac:dyDescent="0.25">
      <c r="A12" s="32" t="s">
        <v>66</v>
      </c>
      <c r="BI12" s="14"/>
      <c r="BJ12" s="30"/>
      <c r="BK12" s="30"/>
      <c r="BN12" s="6"/>
    </row>
    <row r="13" spans="1:69" x14ac:dyDescent="0.25">
      <c r="A13" t="s">
        <v>31</v>
      </c>
      <c r="B13" s="11">
        <v>0</v>
      </c>
      <c r="C13" s="7"/>
      <c r="D13" s="5"/>
      <c r="F13" s="11">
        <v>0</v>
      </c>
      <c r="G13" s="4"/>
      <c r="J13">
        <v>6</v>
      </c>
      <c r="K13" s="4">
        <f>'2005 sampling'!L7</f>
        <v>0</v>
      </c>
      <c r="L13" s="5">
        <f>K13*J13</f>
        <v>0</v>
      </c>
      <c r="N13">
        <v>57</v>
      </c>
      <c r="O13" s="4">
        <f>'2005 sampling'!P7</f>
        <v>0</v>
      </c>
      <c r="P13" s="5">
        <f>O13*N13</f>
        <v>0</v>
      </c>
      <c r="R13">
        <v>3030</v>
      </c>
      <c r="S13" s="112">
        <f>'2005 sampling'!T7</f>
        <v>3.1645569620253167E-2</v>
      </c>
      <c r="T13" s="5">
        <f>S13*R13</f>
        <v>95.886075949367097</v>
      </c>
      <c r="V13">
        <v>19449</v>
      </c>
      <c r="W13" s="4">
        <f>'2005 sampling'!X7</f>
        <v>4.0178571428571432E-2</v>
      </c>
      <c r="X13" s="5">
        <f>W13*V13</f>
        <v>781.43303571428578</v>
      </c>
      <c r="AA13" s="4"/>
      <c r="AB13" s="5"/>
      <c r="AE13" s="4"/>
      <c r="AF13" s="5"/>
      <c r="AI13" s="4"/>
      <c r="AJ13" s="5"/>
      <c r="AM13" s="4"/>
      <c r="AN13" s="5"/>
      <c r="AQ13" s="4"/>
      <c r="AR13" s="5"/>
      <c r="AU13" s="4"/>
      <c r="AV13" s="5"/>
      <c r="AY13" s="7"/>
      <c r="AZ13" s="5"/>
    </row>
    <row r="14" spans="1:69" x14ac:dyDescent="0.25">
      <c r="A14" t="s">
        <v>32</v>
      </c>
      <c r="B14">
        <v>0</v>
      </c>
      <c r="F14">
        <v>0</v>
      </c>
      <c r="J14">
        <v>0</v>
      </c>
      <c r="N14">
        <v>0</v>
      </c>
      <c r="R14">
        <v>233</v>
      </c>
      <c r="S14" s="112">
        <f>'2005 sampling'!T8</f>
        <v>0.1</v>
      </c>
      <c r="T14" s="5">
        <f>S14*R14</f>
        <v>23.3</v>
      </c>
      <c r="V14">
        <v>594</v>
      </c>
      <c r="W14" s="4">
        <f>'2005 sampling'!X8</f>
        <v>0</v>
      </c>
      <c r="X14" s="5">
        <f>W14*V14</f>
        <v>0</v>
      </c>
      <c r="AA14" s="4"/>
      <c r="AB14" s="5"/>
      <c r="AE14" s="4"/>
      <c r="AF14" s="5"/>
      <c r="AI14" s="4"/>
      <c r="AJ14" s="5"/>
      <c r="AM14" s="4"/>
      <c r="AN14" s="5"/>
      <c r="AQ14" s="4"/>
      <c r="AR14" s="5"/>
      <c r="AU14" s="4"/>
      <c r="AV14" s="5"/>
      <c r="AY14" s="4"/>
      <c r="AZ14" s="5"/>
      <c r="BD14" s="5"/>
      <c r="BE14" s="3"/>
      <c r="BG14" s="5"/>
      <c r="BH14" s="3"/>
      <c r="BJ14" s="5"/>
      <c r="BK14" s="3"/>
      <c r="BM14" s="5"/>
      <c r="BN14" s="3"/>
      <c r="BP14" s="5"/>
      <c r="BQ14" s="3"/>
    </row>
    <row r="15" spans="1:69" s="42" customFormat="1" x14ac:dyDescent="0.25">
      <c r="A15" s="42" t="s">
        <v>45</v>
      </c>
      <c r="B15" s="42">
        <v>0</v>
      </c>
      <c r="F15" s="42">
        <v>0</v>
      </c>
      <c r="J15" s="42">
        <v>0</v>
      </c>
      <c r="N15" s="42">
        <v>0</v>
      </c>
      <c r="R15" s="42">
        <v>2054</v>
      </c>
      <c r="S15" s="68">
        <f>'Mean Unmarked Rates'!T29</f>
        <v>0</v>
      </c>
      <c r="T15" s="50">
        <f>S15*R15</f>
        <v>0</v>
      </c>
      <c r="V15" s="42">
        <v>3695</v>
      </c>
      <c r="W15" s="51">
        <f>'Mean Unmarked Rates'!X29</f>
        <v>0</v>
      </c>
      <c r="X15" s="50">
        <f>W15*V15</f>
        <v>0</v>
      </c>
      <c r="AA15" s="49"/>
      <c r="AB15" s="50"/>
      <c r="AE15" s="49"/>
      <c r="AF15" s="50"/>
      <c r="AI15" s="49"/>
      <c r="AJ15" s="50"/>
      <c r="AM15" s="49"/>
      <c r="AN15" s="50"/>
      <c r="AQ15" s="51"/>
      <c r="AR15" s="50"/>
      <c r="AT15" s="47"/>
      <c r="BD15" s="50"/>
      <c r="BE15" s="43"/>
      <c r="BG15" s="50"/>
      <c r="BH15" s="43"/>
      <c r="BJ15" s="50"/>
      <c r="BK15" s="43"/>
      <c r="BM15" s="50"/>
      <c r="BN15" s="43"/>
      <c r="BP15" s="50"/>
      <c r="BQ15" s="43"/>
    </row>
    <row r="16" spans="1:69" s="80" customFormat="1" ht="14" x14ac:dyDescent="0.3">
      <c r="A16" s="80" t="s">
        <v>61</v>
      </c>
      <c r="B16" s="80">
        <f>SUM(B11:B15)</f>
        <v>0</v>
      </c>
      <c r="C16" s="81"/>
      <c r="D16" s="82"/>
      <c r="F16" s="80">
        <f>SUM(F11:F15)</f>
        <v>0</v>
      </c>
      <c r="G16" s="81"/>
      <c r="J16" s="80">
        <f>SUM(J11:J15)</f>
        <v>6</v>
      </c>
      <c r="K16" s="81">
        <f>L16/J16</f>
        <v>0</v>
      </c>
      <c r="L16" s="82">
        <f>SUM(L13:L15)</f>
        <v>0</v>
      </c>
      <c r="N16" s="80">
        <f>SUM(N11:N15)</f>
        <v>57</v>
      </c>
      <c r="O16" s="81">
        <f>P16/N16</f>
        <v>0</v>
      </c>
      <c r="P16" s="82">
        <f>SUM(P13:P15)</f>
        <v>0</v>
      </c>
      <c r="R16" s="80">
        <f>SUM(R11:R15)</f>
        <v>5317</v>
      </c>
      <c r="S16" s="81">
        <f>T16/R16</f>
        <v>2.2416038357977636E-2</v>
      </c>
      <c r="T16" s="82">
        <f>SUM(T13:T15)</f>
        <v>119.18607594936709</v>
      </c>
      <c r="V16" s="80">
        <f>SUM(V11:V15)</f>
        <v>23738</v>
      </c>
      <c r="W16" s="81">
        <f>X16/V16</f>
        <v>3.2919076405522191E-2</v>
      </c>
      <c r="X16" s="82">
        <f>SUM(X13:X15)</f>
        <v>781.43303571428578</v>
      </c>
      <c r="BI16" s="86"/>
      <c r="BJ16" s="87"/>
      <c r="BK16" s="87"/>
      <c r="BN16" s="88"/>
    </row>
    <row r="17" spans="1:63" x14ac:dyDescent="0.25">
      <c r="A17">
        <v>1</v>
      </c>
      <c r="B17" s="73">
        <v>1</v>
      </c>
      <c r="C17" s="39">
        <f>'Mean Unmarked Rates'!D13</f>
        <v>7.5644949715784865E-2</v>
      </c>
      <c r="D17" s="5">
        <f>C17*B17</f>
        <v>7.5644949715784865E-2</v>
      </c>
      <c r="F17" s="73">
        <v>26</v>
      </c>
      <c r="G17" s="39">
        <f>'Mean Unmarked Rates'!D13</f>
        <v>7.5644949715784865E-2</v>
      </c>
      <c r="H17" s="5">
        <f>G17*F17</f>
        <v>1.9667686926104064</v>
      </c>
      <c r="J17" s="73">
        <v>0</v>
      </c>
      <c r="N17" s="73">
        <v>0</v>
      </c>
      <c r="R17" s="73">
        <v>0</v>
      </c>
      <c r="V17" s="73">
        <v>0</v>
      </c>
      <c r="BI17" s="14"/>
      <c r="BJ17" s="30"/>
      <c r="BK17" s="30"/>
    </row>
    <row r="18" spans="1:63" x14ac:dyDescent="0.25">
      <c r="A18">
        <v>2</v>
      </c>
      <c r="B18" s="73">
        <v>0</v>
      </c>
      <c r="C18" s="7"/>
      <c r="D18" s="5"/>
      <c r="F18" s="73">
        <v>2</v>
      </c>
      <c r="G18" s="39">
        <f>'Mean Unmarked Rates'!D14</f>
        <v>8.7292161520190023E-2</v>
      </c>
      <c r="H18" s="5">
        <f>G18*F18</f>
        <v>0.17458432304038005</v>
      </c>
      <c r="J18" s="73">
        <v>30</v>
      </c>
      <c r="K18" s="39">
        <f>'Mean Unmarked Rates'!D14</f>
        <v>8.7292161520190023E-2</v>
      </c>
      <c r="L18" s="5">
        <f>K18*J18</f>
        <v>2.6187648456057007</v>
      </c>
      <c r="N18" s="73">
        <v>0</v>
      </c>
      <c r="R18" s="73">
        <v>0</v>
      </c>
      <c r="V18" s="73">
        <v>0</v>
      </c>
      <c r="BI18" s="14"/>
      <c r="BJ18" s="30"/>
      <c r="BK18" s="30"/>
    </row>
    <row r="19" spans="1:63" ht="13" x14ac:dyDescent="0.3">
      <c r="A19">
        <v>3</v>
      </c>
      <c r="B19" s="73">
        <v>0</v>
      </c>
      <c r="C19" s="7"/>
      <c r="D19" s="5"/>
      <c r="F19" s="73">
        <v>0</v>
      </c>
      <c r="J19" s="73">
        <v>0</v>
      </c>
      <c r="N19" s="73">
        <v>0</v>
      </c>
      <c r="R19" s="73">
        <v>0</v>
      </c>
      <c r="V19" s="73">
        <v>0</v>
      </c>
      <c r="AO19" s="2"/>
      <c r="AP19" s="2"/>
      <c r="AQ19" s="2"/>
      <c r="AR19" s="2"/>
      <c r="AS19" s="2"/>
      <c r="AT19" s="2"/>
      <c r="AU19" s="2"/>
      <c r="AV19" s="2"/>
      <c r="AW19" s="2"/>
      <c r="AX19" s="2"/>
      <c r="AY19" s="2"/>
      <c r="AZ19" s="2"/>
      <c r="BA19" s="2"/>
      <c r="BB19" s="2"/>
      <c r="BI19" s="14"/>
      <c r="BJ19" s="30"/>
      <c r="BK19" s="30"/>
    </row>
    <row r="20" spans="1:63" ht="13" x14ac:dyDescent="0.3">
      <c r="A20">
        <v>4</v>
      </c>
      <c r="B20" s="73">
        <v>0</v>
      </c>
      <c r="F20" s="73">
        <v>0</v>
      </c>
      <c r="J20" s="73">
        <v>0</v>
      </c>
      <c r="K20" s="7"/>
      <c r="L20" s="5"/>
      <c r="N20">
        <v>24</v>
      </c>
      <c r="O20" s="39">
        <f>'Mean Unmarked Rates'!D16</f>
        <v>8.6901763224181361E-2</v>
      </c>
      <c r="P20" s="5">
        <f>O20*N20</f>
        <v>2.0856423173803527</v>
      </c>
      <c r="R20" s="73">
        <v>0</v>
      </c>
      <c r="V20" s="73">
        <v>0</v>
      </c>
      <c r="AO20" s="2"/>
      <c r="AP20" s="2"/>
      <c r="AQ20" s="2"/>
      <c r="AR20" s="2"/>
      <c r="AS20" s="2"/>
      <c r="AT20" s="2"/>
      <c r="AU20" s="2"/>
      <c r="AV20" s="2"/>
      <c r="AW20" s="2"/>
      <c r="AX20" s="2"/>
      <c r="AY20" s="2"/>
      <c r="AZ20" s="2"/>
      <c r="BA20" s="2"/>
      <c r="BB20" s="2"/>
      <c r="BD20" s="2"/>
    </row>
    <row r="21" spans="1:63" s="42" customFormat="1" ht="13" x14ac:dyDescent="0.3">
      <c r="A21" s="42">
        <v>5</v>
      </c>
      <c r="B21" s="71">
        <v>0</v>
      </c>
      <c r="F21" s="71">
        <v>0</v>
      </c>
      <c r="J21" s="71">
        <v>0</v>
      </c>
      <c r="K21" s="51"/>
      <c r="L21" s="50"/>
      <c r="N21" s="42">
        <v>0</v>
      </c>
      <c r="R21" s="71">
        <v>0</v>
      </c>
      <c r="V21" s="71">
        <v>0</v>
      </c>
      <c r="AO21" s="41"/>
      <c r="AP21" s="41"/>
      <c r="AQ21" s="41"/>
      <c r="AR21" s="41"/>
      <c r="AS21" s="41"/>
      <c r="AT21" s="41"/>
      <c r="AU21" s="41"/>
      <c r="AV21" s="41"/>
      <c r="AW21" s="41"/>
      <c r="AX21" s="41"/>
      <c r="AY21" s="41"/>
      <c r="AZ21" s="41"/>
      <c r="BA21" s="41"/>
      <c r="BB21" s="41"/>
      <c r="BD21" s="41"/>
      <c r="BE21" s="41"/>
      <c r="BF21" s="41"/>
      <c r="BG21" s="41"/>
    </row>
    <row r="22" spans="1:63" s="89" customFormat="1" ht="14" x14ac:dyDescent="0.3">
      <c r="A22" s="89" t="s">
        <v>60</v>
      </c>
      <c r="B22" s="89">
        <f>SUM(B17:B21)</f>
        <v>1</v>
      </c>
      <c r="C22" s="90">
        <f>D22/B22</f>
        <v>7.5644949715784865E-2</v>
      </c>
      <c r="D22" s="91">
        <f>SUM(D17:D21)</f>
        <v>7.5644949715784865E-2</v>
      </c>
      <c r="F22" s="89">
        <f>SUM(F17:F21)</f>
        <v>28</v>
      </c>
      <c r="G22" s="90">
        <f>H22/F22</f>
        <v>7.647689341609952E-2</v>
      </c>
      <c r="H22" s="91">
        <f>SUM(H17:H21)</f>
        <v>2.1413530156507865</v>
      </c>
      <c r="J22" s="89">
        <f>SUM(J17:J21)</f>
        <v>30</v>
      </c>
      <c r="K22" s="90">
        <f>L22/J22</f>
        <v>8.7292161520190023E-2</v>
      </c>
      <c r="L22" s="91">
        <f>SUM(L17:L21)</f>
        <v>2.6187648456057007</v>
      </c>
      <c r="N22" s="89">
        <f>SUM(N17:N21)</f>
        <v>24</v>
      </c>
      <c r="O22" s="90">
        <f>P22/N22</f>
        <v>8.6901763224181361E-2</v>
      </c>
      <c r="P22" s="91">
        <f>SUM(P17:P21)</f>
        <v>2.0856423173803527</v>
      </c>
      <c r="R22" s="89">
        <v>0</v>
      </c>
      <c r="V22" s="89">
        <v>0</v>
      </c>
      <c r="AN22" s="92"/>
      <c r="AO22" s="92"/>
      <c r="AP22" s="92"/>
      <c r="AQ22" s="92"/>
      <c r="AR22" s="92"/>
      <c r="AS22" s="92"/>
      <c r="AT22" s="92"/>
      <c r="AU22" s="92"/>
      <c r="AV22" s="92"/>
      <c r="AW22" s="92"/>
      <c r="AX22" s="92"/>
      <c r="AY22" s="92"/>
      <c r="AZ22" s="92"/>
      <c r="BA22" s="92"/>
      <c r="BB22" s="92"/>
      <c r="BD22" s="93"/>
      <c r="BE22" s="93"/>
      <c r="BF22" s="93"/>
      <c r="BG22" s="94"/>
    </row>
    <row r="23" spans="1:63" s="2" customFormat="1" ht="13" x14ac:dyDescent="0.3">
      <c r="D23" s="8"/>
      <c r="F23" s="8"/>
      <c r="H23" s="8"/>
      <c r="J23" s="8"/>
      <c r="L23" s="8"/>
      <c r="N23" s="8"/>
      <c r="O23" s="25"/>
      <c r="P23" s="8"/>
      <c r="AN23" s="27"/>
      <c r="AO23" s="27"/>
      <c r="AP23" s="27"/>
      <c r="AQ23" s="27"/>
      <c r="AR23" s="27"/>
      <c r="AS23" s="27"/>
      <c r="AT23" s="27"/>
      <c r="AU23" s="27"/>
      <c r="AV23" s="27"/>
      <c r="AW23" s="27"/>
      <c r="AX23" s="27"/>
      <c r="AY23" s="27"/>
      <c r="AZ23" s="27"/>
      <c r="BA23" s="27"/>
      <c r="BB23" s="27"/>
      <c r="BD23" s="29"/>
      <c r="BE23" s="29"/>
      <c r="BF23" s="29"/>
      <c r="BG23" s="28"/>
    </row>
    <row r="24" spans="1:63" s="113" customFormat="1" ht="14" x14ac:dyDescent="0.3">
      <c r="A24" s="113" t="s">
        <v>44</v>
      </c>
      <c r="B24" s="113">
        <f>B16+B22</f>
        <v>1</v>
      </c>
      <c r="C24" s="114">
        <f>D24/B24</f>
        <v>7.5644949715784865E-2</v>
      </c>
      <c r="D24" s="115">
        <f>D16+D22</f>
        <v>7.5644949715784865E-2</v>
      </c>
      <c r="F24" s="113">
        <f>F16+F22</f>
        <v>28</v>
      </c>
      <c r="G24" s="114">
        <f>H24/F24</f>
        <v>7.647689341609952E-2</v>
      </c>
      <c r="H24" s="115">
        <f>H16+H22</f>
        <v>2.1413530156507865</v>
      </c>
      <c r="J24" s="113">
        <f>J16+J22</f>
        <v>36</v>
      </c>
      <c r="K24" s="114">
        <f>L24/J24</f>
        <v>7.2743467933491679E-2</v>
      </c>
      <c r="L24" s="115">
        <f>L16+L22</f>
        <v>2.6187648456057007</v>
      </c>
      <c r="N24" s="113">
        <f>N16+N22</f>
        <v>81</v>
      </c>
      <c r="O24" s="114">
        <f>P24/N24</f>
        <v>2.5748670584942627E-2</v>
      </c>
      <c r="P24" s="115">
        <f>P16+P22</f>
        <v>2.0856423173803527</v>
      </c>
      <c r="R24" s="113">
        <v>0</v>
      </c>
      <c r="V24" s="113">
        <v>0</v>
      </c>
      <c r="AN24" s="116"/>
      <c r="AO24" s="116"/>
      <c r="AP24" s="116"/>
      <c r="AQ24" s="116"/>
      <c r="AR24" s="116"/>
      <c r="AS24" s="116"/>
      <c r="AT24" s="116"/>
      <c r="AU24" s="116"/>
      <c r="AV24" s="116"/>
      <c r="AW24" s="116"/>
      <c r="AX24" s="116"/>
      <c r="AY24" s="116"/>
      <c r="AZ24" s="116"/>
      <c r="BA24" s="116"/>
      <c r="BB24" s="116"/>
      <c r="BD24" s="117"/>
      <c r="BE24" s="117"/>
      <c r="BF24" s="117"/>
      <c r="BG24" s="118"/>
    </row>
    <row r="25" spans="1:63" s="2" customFormat="1" ht="13" x14ac:dyDescent="0.3">
      <c r="D25" s="8"/>
      <c r="F25" s="8"/>
      <c r="H25" s="8"/>
      <c r="J25" s="8"/>
      <c r="L25" s="8"/>
      <c r="N25" s="8"/>
      <c r="O25" s="25"/>
      <c r="P25" s="8"/>
      <c r="AN25" s="27"/>
      <c r="AO25" s="27"/>
      <c r="AP25" s="27"/>
      <c r="AQ25" s="27"/>
      <c r="AR25" s="27"/>
      <c r="AS25" s="27"/>
      <c r="AT25" s="27"/>
      <c r="AU25" s="27"/>
      <c r="AV25" s="27"/>
      <c r="AW25" s="27"/>
      <c r="AX25" s="27"/>
      <c r="AY25" s="27"/>
      <c r="AZ25" s="27"/>
      <c r="BA25" s="27"/>
      <c r="BB25" s="27"/>
      <c r="BD25" s="29"/>
      <c r="BE25" s="29"/>
      <c r="BF25" s="29"/>
      <c r="BG25" s="28"/>
    </row>
    <row r="26" spans="1:63" s="2" customFormat="1" ht="15.5" x14ac:dyDescent="0.35">
      <c r="A26" s="1" t="s">
        <v>48</v>
      </c>
      <c r="D26" s="8"/>
      <c r="F26" s="8"/>
      <c r="H26" s="8"/>
      <c r="J26" s="8"/>
      <c r="L26" s="8"/>
      <c r="N26" s="8"/>
      <c r="O26" s="25"/>
      <c r="P26" s="8"/>
      <c r="AN26" s="27"/>
      <c r="AO26" s="27"/>
      <c r="AP26" s="27"/>
      <c r="AQ26" s="27"/>
      <c r="AR26" s="27"/>
      <c r="AS26" s="27"/>
      <c r="AT26" s="27"/>
      <c r="AU26" s="27"/>
      <c r="AV26" s="27"/>
      <c r="AW26" s="27"/>
      <c r="AX26" s="27"/>
      <c r="AY26" s="27"/>
      <c r="AZ26" s="27"/>
      <c r="BA26" s="27"/>
      <c r="BB26" s="27"/>
      <c r="BD26" s="29"/>
      <c r="BE26" s="29"/>
      <c r="BF26" s="29"/>
      <c r="BG26" s="28"/>
    </row>
    <row r="27" spans="1:63" x14ac:dyDescent="0.25">
      <c r="D27" s="5"/>
      <c r="P27" s="5"/>
      <c r="BD27" s="29"/>
      <c r="BE27" s="13"/>
      <c r="BF27" s="13"/>
      <c r="BG27" s="6"/>
    </row>
    <row r="28" spans="1:63" s="2" customFormat="1" ht="13" x14ac:dyDescent="0.3">
      <c r="C28" s="2" t="s">
        <v>12</v>
      </c>
      <c r="G28" s="2" t="s">
        <v>5</v>
      </c>
      <c r="K28" s="2" t="s">
        <v>6</v>
      </c>
      <c r="O28" s="2" t="s">
        <v>7</v>
      </c>
      <c r="S28" s="2" t="s">
        <v>8</v>
      </c>
      <c r="W28" s="2" t="s">
        <v>9</v>
      </c>
      <c r="AA28" s="2" t="s">
        <v>10</v>
      </c>
      <c r="AE28" s="2" t="s">
        <v>11</v>
      </c>
      <c r="BD28" s="24"/>
      <c r="BE28" s="24"/>
      <c r="BF28" s="24"/>
      <c r="BG28" s="22"/>
    </row>
    <row r="29" spans="1:63" ht="13" x14ac:dyDescent="0.3">
      <c r="B29" t="s">
        <v>43</v>
      </c>
      <c r="C29" t="s">
        <v>50</v>
      </c>
      <c r="D29" t="s">
        <v>51</v>
      </c>
      <c r="F29" t="s">
        <v>43</v>
      </c>
      <c r="G29" t="s">
        <v>50</v>
      </c>
      <c r="H29" t="s">
        <v>51</v>
      </c>
      <c r="J29" t="s">
        <v>43</v>
      </c>
      <c r="K29" t="s">
        <v>50</v>
      </c>
      <c r="L29" t="s">
        <v>51</v>
      </c>
      <c r="N29" t="s">
        <v>43</v>
      </c>
      <c r="O29" t="s">
        <v>50</v>
      </c>
      <c r="P29" t="s">
        <v>51</v>
      </c>
      <c r="R29" t="s">
        <v>43</v>
      </c>
      <c r="S29" t="s">
        <v>50</v>
      </c>
      <c r="T29" t="s">
        <v>51</v>
      </c>
      <c r="V29" t="s">
        <v>43</v>
      </c>
      <c r="W29" t="s">
        <v>50</v>
      </c>
      <c r="X29" t="s">
        <v>51</v>
      </c>
      <c r="Z29" t="s">
        <v>43</v>
      </c>
      <c r="AA29" t="s">
        <v>50</v>
      </c>
      <c r="AB29" t="s">
        <v>51</v>
      </c>
      <c r="AD29" t="s">
        <v>43</v>
      </c>
      <c r="AE29" t="s">
        <v>50</v>
      </c>
      <c r="AF29" t="s">
        <v>51</v>
      </c>
      <c r="AK29" s="2"/>
      <c r="AL29" s="2"/>
      <c r="BD29" s="29"/>
      <c r="BE29" s="13"/>
      <c r="BF29" s="13"/>
      <c r="BG29" s="6"/>
    </row>
    <row r="30" spans="1:63" ht="13" x14ac:dyDescent="0.3">
      <c r="A30" s="32" t="s">
        <v>65</v>
      </c>
      <c r="AK30" s="2"/>
      <c r="AL30" s="2"/>
      <c r="BD30" s="29"/>
      <c r="BE30" s="13"/>
      <c r="BF30" s="13"/>
      <c r="BG30" s="6"/>
    </row>
    <row r="31" spans="1:63" ht="13" x14ac:dyDescent="0.3">
      <c r="A31" s="32" t="s">
        <v>66</v>
      </c>
      <c r="AK31" s="2"/>
      <c r="AL31" s="2"/>
      <c r="BD31" s="29"/>
      <c r="BE31" s="13"/>
      <c r="BF31" s="13"/>
      <c r="BG31" s="6"/>
    </row>
    <row r="32" spans="1:63" ht="13" x14ac:dyDescent="0.3">
      <c r="A32" t="s">
        <v>31</v>
      </c>
      <c r="B32">
        <v>12585</v>
      </c>
      <c r="C32" s="4">
        <f>'2005 sampling'!D24</f>
        <v>2.9787234042553193E-2</v>
      </c>
      <c r="D32" s="5">
        <f>C32*B32</f>
        <v>374.87234042553195</v>
      </c>
      <c r="F32">
        <v>2439</v>
      </c>
      <c r="G32" s="4">
        <f>'2005 sampling'!H24</f>
        <v>1.7543859649122806E-2</v>
      </c>
      <c r="H32" s="5">
        <f>G32*F32</f>
        <v>42.789473684210527</v>
      </c>
      <c r="J32">
        <v>1843</v>
      </c>
      <c r="K32" s="4">
        <f>'2005 sampling'!L24</f>
        <v>2.9411764705882353E-2</v>
      </c>
      <c r="L32" s="5">
        <f>K32*J32</f>
        <v>54.205882352941174</v>
      </c>
      <c r="N32">
        <v>1612</v>
      </c>
      <c r="O32" s="4">
        <f>'2005 sampling'!P24</f>
        <v>0.04</v>
      </c>
      <c r="P32" s="5">
        <f>O32*N32</f>
        <v>64.48</v>
      </c>
      <c r="R32">
        <v>244</v>
      </c>
      <c r="S32" s="119">
        <f>'2005 sampling'!T24</f>
        <v>3.7037037037037035E-2</v>
      </c>
      <c r="T32" s="5">
        <f>S32*R32</f>
        <v>9.0370370370370363</v>
      </c>
      <c r="V32">
        <v>1067</v>
      </c>
      <c r="W32" s="119">
        <f>'2005 sampling'!X24</f>
        <v>2.7272727272727271E-2</v>
      </c>
      <c r="X32" s="5">
        <f>W32*V32</f>
        <v>29.099999999999998</v>
      </c>
      <c r="Z32">
        <v>0</v>
      </c>
      <c r="AD32">
        <v>0</v>
      </c>
      <c r="AK32" s="2"/>
      <c r="AL32" s="2"/>
      <c r="BD32" s="29"/>
      <c r="BE32" s="13"/>
      <c r="BF32" s="13"/>
      <c r="BG32" s="6"/>
    </row>
    <row r="33" spans="1:70" ht="13" x14ac:dyDescent="0.3">
      <c r="A33" t="s">
        <v>32</v>
      </c>
      <c r="B33">
        <v>647</v>
      </c>
      <c r="C33" s="4">
        <f>'2005 sampling'!D25</f>
        <v>3.0612244897959183E-2</v>
      </c>
      <c r="D33" s="5">
        <f>C33*B33</f>
        <v>19.80612244897959</v>
      </c>
      <c r="F33">
        <v>231</v>
      </c>
      <c r="G33" s="7">
        <f>'Mean Unmarked Rates'!H44</f>
        <v>0</v>
      </c>
      <c r="H33" s="5">
        <f t="shared" ref="H33:H40" si="0">G33*F33</f>
        <v>0</v>
      </c>
      <c r="J33">
        <v>2</v>
      </c>
      <c r="K33" s="7">
        <f>'Mean Unmarked Rates'!L44</f>
        <v>0</v>
      </c>
      <c r="L33" s="5">
        <f>K33*J33</f>
        <v>0</v>
      </c>
      <c r="N33">
        <v>70</v>
      </c>
      <c r="O33" s="7">
        <f>'Mean Unmarked Rates'!P44</f>
        <v>0</v>
      </c>
      <c r="P33" s="5">
        <f>O33*N33</f>
        <v>0</v>
      </c>
      <c r="R33">
        <v>0</v>
      </c>
      <c r="S33" s="4"/>
      <c r="T33" s="5"/>
      <c r="V33">
        <v>0</v>
      </c>
      <c r="W33" s="4"/>
      <c r="X33" s="5"/>
      <c r="Z33">
        <v>0</v>
      </c>
      <c r="AA33" s="4"/>
      <c r="AB33" s="5"/>
      <c r="AD33">
        <v>0</v>
      </c>
      <c r="AK33" s="2"/>
      <c r="AL33" s="2"/>
      <c r="BD33" s="29"/>
      <c r="BE33" s="13"/>
      <c r="BF33" s="13"/>
      <c r="BG33" s="6"/>
    </row>
    <row r="34" spans="1:70" s="42" customFormat="1" ht="13" x14ac:dyDescent="0.3">
      <c r="A34" s="42" t="s">
        <v>62</v>
      </c>
      <c r="B34" s="42">
        <v>10556</v>
      </c>
      <c r="C34" s="51">
        <f>'Mean Unmarked Rates'!D45</f>
        <v>0</v>
      </c>
      <c r="D34" s="50">
        <f>C34*B34</f>
        <v>0</v>
      </c>
      <c r="F34" s="42">
        <v>950</v>
      </c>
      <c r="G34" s="51">
        <f>'Mean Unmarked Rates'!H45</f>
        <v>0</v>
      </c>
      <c r="H34" s="5">
        <f t="shared" si="0"/>
        <v>0</v>
      </c>
      <c r="J34" s="42">
        <v>452</v>
      </c>
      <c r="K34" s="51">
        <f>'Mean Unmarked Rates'!L45</f>
        <v>0</v>
      </c>
      <c r="L34" s="5">
        <f>K34*J34</f>
        <v>0</v>
      </c>
      <c r="N34" s="47">
        <v>1340</v>
      </c>
      <c r="O34" s="7">
        <f>'Mean Unmarked Rates'!P45</f>
        <v>0</v>
      </c>
      <c r="P34" s="5">
        <f>O34*N34</f>
        <v>0</v>
      </c>
      <c r="R34" s="42">
        <v>36</v>
      </c>
      <c r="S34" s="95">
        <f>'Mean Unmarked Rates'!D11</f>
        <v>5.3181818181818184E-2</v>
      </c>
      <c r="T34" s="5">
        <f>S34*R34</f>
        <v>1.9145454545454546</v>
      </c>
      <c r="V34" s="42">
        <v>0</v>
      </c>
      <c r="Z34" s="42">
        <v>0</v>
      </c>
      <c r="AD34" s="42">
        <v>0</v>
      </c>
      <c r="AK34" s="41"/>
      <c r="AL34" s="41"/>
      <c r="BD34" s="52"/>
      <c r="BE34" s="53"/>
      <c r="BF34" s="53"/>
      <c r="BG34" s="54"/>
    </row>
    <row r="35" spans="1:70" s="83" customFormat="1" ht="14" x14ac:dyDescent="0.3">
      <c r="A35" s="79" t="s">
        <v>61</v>
      </c>
      <c r="B35" s="79">
        <f>SUM(B30:B34)</f>
        <v>23788</v>
      </c>
      <c r="C35" s="81">
        <f>D35/B35</f>
        <v>1.6591494151442388E-2</v>
      </c>
      <c r="D35" s="79">
        <f>SUM(D32:D34)</f>
        <v>394.67846287451152</v>
      </c>
      <c r="F35" s="79">
        <f>SUM(F30:F34)</f>
        <v>3620</v>
      </c>
      <c r="G35" s="81">
        <f>H35/F35</f>
        <v>1.1820296597848211E-2</v>
      </c>
      <c r="H35" s="79">
        <f>SUM(H32:H34)</f>
        <v>42.789473684210527</v>
      </c>
      <c r="J35" s="79">
        <f>SUM(J30:J34)</f>
        <v>2297</v>
      </c>
      <c r="K35" s="81">
        <f>L35/J35</f>
        <v>2.3598555660836382E-2</v>
      </c>
      <c r="L35" s="79">
        <f>SUM(L32:L34)</f>
        <v>54.205882352941174</v>
      </c>
      <c r="N35" s="79">
        <f>SUM(N30:N34)</f>
        <v>3022</v>
      </c>
      <c r="O35" s="81">
        <f>P35/N35</f>
        <v>2.1336863004632695E-2</v>
      </c>
      <c r="P35" s="79">
        <f>SUM(P32:P34)</f>
        <v>64.48</v>
      </c>
      <c r="R35" s="79">
        <f>SUM(R30:R34)</f>
        <v>280</v>
      </c>
      <c r="S35" s="81">
        <f>T35/R35</f>
        <v>3.9112794612794606E-2</v>
      </c>
      <c r="T35" s="79">
        <f>SUM(T32:T34)</f>
        <v>10.95158249158249</v>
      </c>
      <c r="V35" s="79">
        <f>SUM(V30:V34)</f>
        <v>1067</v>
      </c>
      <c r="W35" s="81">
        <f>X35/V35</f>
        <v>2.7272727272727271E-2</v>
      </c>
      <c r="X35" s="79">
        <f>SUM(X30:X34)</f>
        <v>29.099999999999998</v>
      </c>
      <c r="Z35" s="84">
        <f>SUM(Z30:Z34)</f>
        <v>0</v>
      </c>
      <c r="AA35" s="81"/>
      <c r="AB35" s="79"/>
      <c r="AD35" s="99">
        <v>0</v>
      </c>
      <c r="AE35" s="79"/>
      <c r="AF35" s="79"/>
      <c r="AK35" s="79"/>
      <c r="AL35" s="79"/>
    </row>
    <row r="36" spans="1:70" ht="13" x14ac:dyDescent="0.3">
      <c r="A36">
        <v>1</v>
      </c>
      <c r="B36" s="73">
        <v>0</v>
      </c>
      <c r="C36" s="4"/>
      <c r="D36" s="69"/>
      <c r="F36" s="73">
        <v>9629</v>
      </c>
      <c r="G36" s="4">
        <f>'2005 sampling'!H28</f>
        <v>0.2265625</v>
      </c>
      <c r="H36" s="5">
        <f t="shared" si="0"/>
        <v>2181.5703125</v>
      </c>
      <c r="J36" s="73">
        <v>1827</v>
      </c>
      <c r="K36" s="4">
        <f>'2005 sampling'!L28</f>
        <v>0.19230769230769232</v>
      </c>
      <c r="L36" s="5">
        <f>K36*J36</f>
        <v>351.34615384615387</v>
      </c>
      <c r="N36" s="111">
        <v>495</v>
      </c>
      <c r="O36" s="4">
        <f>'2005 sampling'!P28</f>
        <v>0.17894736842105263</v>
      </c>
      <c r="P36" s="5">
        <f>O36*N36</f>
        <v>88.578947368421055</v>
      </c>
      <c r="R36" s="73">
        <v>31</v>
      </c>
      <c r="S36" s="7">
        <f>'Mean Unmarked Rates'!T47</f>
        <v>0</v>
      </c>
      <c r="T36" s="5">
        <f>S36*R36</f>
        <v>0</v>
      </c>
      <c r="V36" s="73">
        <v>35</v>
      </c>
      <c r="W36" s="119">
        <f>'2005 sampling'!X28</f>
        <v>0</v>
      </c>
      <c r="X36" s="5">
        <f>W36*V36</f>
        <v>0</v>
      </c>
      <c r="Z36" s="73">
        <v>0</v>
      </c>
      <c r="AD36" s="73">
        <v>0</v>
      </c>
      <c r="AJ36" s="2"/>
      <c r="AL36" s="5"/>
      <c r="BD36" s="29"/>
      <c r="BE36" s="13"/>
      <c r="BF36" s="13"/>
      <c r="BG36" s="6"/>
    </row>
    <row r="37" spans="1:70" ht="13" x14ac:dyDescent="0.3">
      <c r="A37">
        <v>2</v>
      </c>
      <c r="B37" s="73">
        <v>0</v>
      </c>
      <c r="C37" s="4"/>
      <c r="D37" s="69"/>
      <c r="F37" s="73">
        <v>7272</v>
      </c>
      <c r="G37" s="4">
        <f>'2005 sampling'!H29</f>
        <v>0.11842105263157894</v>
      </c>
      <c r="H37" s="5">
        <f t="shared" si="0"/>
        <v>861.15789473684208</v>
      </c>
      <c r="J37" s="73">
        <v>2169</v>
      </c>
      <c r="K37" s="4">
        <f>'2005 sampling'!L29</f>
        <v>0.16981132075471697</v>
      </c>
      <c r="L37" s="5">
        <f>K37*J37</f>
        <v>368.32075471698113</v>
      </c>
      <c r="N37" s="111">
        <v>2238</v>
      </c>
      <c r="O37" s="4">
        <f>'2005 sampling'!P29</f>
        <v>0.15057915057915058</v>
      </c>
      <c r="P37" s="5">
        <f>O37*N37</f>
        <v>336.996138996139</v>
      </c>
      <c r="R37" s="73">
        <v>60</v>
      </c>
      <c r="S37" s="4">
        <f>'2005 sampling'!T29</f>
        <v>0.42105263157894735</v>
      </c>
      <c r="T37" s="5">
        <f>S37*R37</f>
        <v>25.263157894736842</v>
      </c>
      <c r="V37" s="73">
        <v>750</v>
      </c>
      <c r="W37" s="119">
        <f>'2005 sampling'!X29</f>
        <v>0.22727272727272727</v>
      </c>
      <c r="X37" s="5">
        <f>W37*V37</f>
        <v>170.45454545454544</v>
      </c>
      <c r="Z37" s="73">
        <v>243</v>
      </c>
      <c r="AA37" s="4">
        <f>'2005 sampling'!AB29</f>
        <v>0.17391304347826086</v>
      </c>
      <c r="AB37" s="5">
        <f>AA37*Z37</f>
        <v>42.260869565217391</v>
      </c>
      <c r="AD37" s="73">
        <v>0</v>
      </c>
      <c r="AJ37" s="2"/>
      <c r="AL37" s="5"/>
    </row>
    <row r="38" spans="1:70" ht="13" x14ac:dyDescent="0.3">
      <c r="A38">
        <v>3</v>
      </c>
      <c r="B38" s="73">
        <v>0</v>
      </c>
      <c r="C38" s="4"/>
      <c r="D38" s="69"/>
      <c r="F38" s="73">
        <v>1532</v>
      </c>
      <c r="G38" s="4">
        <f>'2005 sampling'!H30</f>
        <v>0.16666666666666666</v>
      </c>
      <c r="H38" s="5">
        <f t="shared" si="0"/>
        <v>255.33333333333331</v>
      </c>
      <c r="J38" s="73">
        <v>1237</v>
      </c>
      <c r="K38" s="4">
        <f>'2005 sampling'!L30</f>
        <v>0.27272727272727271</v>
      </c>
      <c r="L38" s="5">
        <f>K38*J38</f>
        <v>337.36363636363632</v>
      </c>
      <c r="N38" s="111">
        <v>1490</v>
      </c>
      <c r="O38" s="4">
        <f>'2005 sampling'!P30</f>
        <v>0.20895522388059701</v>
      </c>
      <c r="P38" s="5">
        <f>O38*N38</f>
        <v>311.34328358208955</v>
      </c>
      <c r="R38" s="73">
        <v>117</v>
      </c>
      <c r="S38" s="4">
        <f>'2005 sampling'!T30</f>
        <v>0.33962264150943394</v>
      </c>
      <c r="T38" s="5">
        <f>S38*R38</f>
        <v>39.735849056603769</v>
      </c>
      <c r="V38" s="73">
        <v>220</v>
      </c>
      <c r="W38" s="119">
        <f>'2005 sampling'!X30</f>
        <v>0.25</v>
      </c>
      <c r="X38" s="5">
        <f>W38*V38</f>
        <v>55</v>
      </c>
      <c r="Z38" s="73">
        <v>152</v>
      </c>
      <c r="AA38" s="4">
        <f>'2005 sampling'!AB30</f>
        <v>0.25</v>
      </c>
      <c r="AB38" s="5">
        <f>AA38*Z38</f>
        <v>38</v>
      </c>
      <c r="AD38" s="73">
        <v>0</v>
      </c>
      <c r="AH38" s="2"/>
      <c r="AJ38" s="2"/>
      <c r="AL38" s="5"/>
    </row>
    <row r="39" spans="1:70" ht="13" x14ac:dyDescent="0.3">
      <c r="A39">
        <v>4</v>
      </c>
      <c r="B39" s="73">
        <v>0</v>
      </c>
      <c r="D39" s="44"/>
      <c r="F39" s="73">
        <v>164</v>
      </c>
      <c r="G39" s="7">
        <f>'Mean Unmarked Rates'!H50</f>
        <v>0</v>
      </c>
      <c r="H39" s="5">
        <f t="shared" si="0"/>
        <v>0</v>
      </c>
      <c r="J39" s="73">
        <v>65</v>
      </c>
      <c r="K39" s="39">
        <f>'Mean Unmarked Rates'!D16</f>
        <v>8.6901763224181361E-2</v>
      </c>
      <c r="L39" s="5">
        <f>K39*J39</f>
        <v>5.6486146095717888</v>
      </c>
      <c r="N39" s="111">
        <v>104</v>
      </c>
      <c r="O39" s="39">
        <f>'Mean Unmarked Rates'!D16</f>
        <v>8.6901763224181361E-2</v>
      </c>
      <c r="P39" s="5">
        <f>O39*N39</f>
        <v>9.0377833753148611</v>
      </c>
      <c r="R39" s="73">
        <v>59</v>
      </c>
      <c r="S39" s="39">
        <f>'Mean Unmarked Rates'!D16</f>
        <v>8.6901763224181361E-2</v>
      </c>
      <c r="T39" s="5">
        <f>S39*R39</f>
        <v>5.1272040302267001</v>
      </c>
      <c r="V39" s="73">
        <v>3</v>
      </c>
      <c r="W39" s="39">
        <f>'Mean Unmarked Rates'!D16</f>
        <v>8.6901763224181361E-2</v>
      </c>
      <c r="X39" s="5">
        <f>W39*V39</f>
        <v>0.26070528967254408</v>
      </c>
      <c r="Z39" s="73">
        <v>0</v>
      </c>
      <c r="AA39" s="7"/>
      <c r="AB39" s="5"/>
      <c r="AD39" s="73">
        <v>0</v>
      </c>
      <c r="AH39" s="2"/>
      <c r="AI39" s="23"/>
      <c r="AJ39" s="23"/>
      <c r="AL39" s="5"/>
    </row>
    <row r="40" spans="1:70" ht="13" x14ac:dyDescent="0.3">
      <c r="A40">
        <v>5</v>
      </c>
      <c r="B40" s="73">
        <v>0</v>
      </c>
      <c r="C40" s="7"/>
      <c r="D40" s="69"/>
      <c r="F40" s="73">
        <v>243</v>
      </c>
      <c r="G40" s="4">
        <f>'2005 sampling'!H32</f>
        <v>0.2857142857142857</v>
      </c>
      <c r="H40" s="5">
        <f t="shared" si="0"/>
        <v>69.428571428571431</v>
      </c>
      <c r="J40" s="73">
        <v>27</v>
      </c>
      <c r="K40" s="4">
        <f>'2005 sampling'!L32</f>
        <v>0.40909090909090912</v>
      </c>
      <c r="L40" s="5">
        <f>K40*J40</f>
        <v>11.045454545454547</v>
      </c>
      <c r="N40" s="111">
        <v>24</v>
      </c>
      <c r="O40" s="4">
        <f>'2005 sampling'!P32</f>
        <v>0.66666666666666663</v>
      </c>
      <c r="P40" s="5">
        <f>O40*N40</f>
        <v>16</v>
      </c>
      <c r="R40" s="73">
        <v>10</v>
      </c>
      <c r="S40" s="4">
        <f>'2005 sampling'!T32</f>
        <v>0.33333333333333331</v>
      </c>
      <c r="T40" s="5">
        <f>S40*R40</f>
        <v>3.333333333333333</v>
      </c>
      <c r="V40" s="73">
        <v>5</v>
      </c>
      <c r="W40" s="119">
        <f>'2005 sampling'!X32</f>
        <v>1</v>
      </c>
      <c r="X40" s="5">
        <f>W40*V40</f>
        <v>5</v>
      </c>
      <c r="Z40" s="73">
        <v>0</v>
      </c>
      <c r="AA40" s="7"/>
      <c r="AB40" s="5"/>
      <c r="AD40" s="73">
        <v>0</v>
      </c>
      <c r="AJ40" s="2"/>
      <c r="AL40" s="5"/>
    </row>
    <row r="41" spans="1:70" s="63" customFormat="1" ht="14" x14ac:dyDescent="0.3">
      <c r="A41" s="63" t="s">
        <v>60</v>
      </c>
      <c r="B41" s="120">
        <f>SUM(B36:B40)</f>
        <v>0</v>
      </c>
      <c r="C41" s="58"/>
      <c r="F41" s="63">
        <f>SUM(F36:F40)</f>
        <v>18840</v>
      </c>
      <c r="G41" s="58">
        <f>H41/F41</f>
        <v>0.17874151337572969</v>
      </c>
      <c r="H41" s="63">
        <f>SUM(H36:H40)</f>
        <v>3367.4901119987471</v>
      </c>
      <c r="J41" s="63">
        <f>SUM(J36:J40)</f>
        <v>5325</v>
      </c>
      <c r="K41" s="58">
        <f>L41/J41</f>
        <v>0.20163842517968028</v>
      </c>
      <c r="L41" s="63">
        <f>SUM(L36:L40)</f>
        <v>1073.7246140817974</v>
      </c>
      <c r="N41" s="63">
        <f>SUM(N36:N40)</f>
        <v>4351</v>
      </c>
      <c r="O41" s="58">
        <f>P41/N41</f>
        <v>0.17512207614846345</v>
      </c>
      <c r="P41" s="63">
        <f>SUM(P36:P40)</f>
        <v>761.95615332196451</v>
      </c>
      <c r="R41" s="63">
        <f>SUM(R36:R40)</f>
        <v>277</v>
      </c>
      <c r="S41" s="58">
        <f>T41/R41</f>
        <v>0.26519691088411784</v>
      </c>
      <c r="T41" s="63">
        <f>SUM(T36:T40)</f>
        <v>73.45954431490064</v>
      </c>
      <c r="V41" s="63">
        <f>SUM(V36:V40)</f>
        <v>1013</v>
      </c>
      <c r="W41" s="58">
        <f>X41/V41</f>
        <v>0.2277544429854077</v>
      </c>
      <c r="X41" s="63">
        <f>SUM(X36:X40)</f>
        <v>230.715250744218</v>
      </c>
      <c r="Z41" s="63">
        <f>SUM(Z36:Z40)</f>
        <v>395</v>
      </c>
      <c r="AA41" s="58">
        <f>AB41/Z41</f>
        <v>0.20319207484865162</v>
      </c>
      <c r="AB41" s="63">
        <f>SUM(AB36:AB40)</f>
        <v>80.260869565217391</v>
      </c>
      <c r="AD41" s="46">
        <v>0</v>
      </c>
    </row>
    <row r="42" spans="1:70" s="24" customFormat="1" ht="13" x14ac:dyDescent="0.3">
      <c r="G42" s="56"/>
      <c r="S42" s="56"/>
      <c r="W42" s="56"/>
      <c r="AD42" s="70"/>
    </row>
    <row r="43" spans="1:70" s="63" customFormat="1" ht="14" x14ac:dyDescent="0.3">
      <c r="A43" s="63" t="s">
        <v>44</v>
      </c>
      <c r="B43" s="63">
        <f>B35+B41</f>
        <v>23788</v>
      </c>
      <c r="C43" s="58">
        <f>D43/B43</f>
        <v>1.6591494151442388E-2</v>
      </c>
      <c r="D43" s="63">
        <f>D35+D41</f>
        <v>394.67846287451152</v>
      </c>
      <c r="F43" s="63">
        <f>F35+F41</f>
        <v>22460</v>
      </c>
      <c r="G43" s="58">
        <f>H43/F43</f>
        <v>0.15183791565819046</v>
      </c>
      <c r="H43" s="63">
        <f>H35+H41</f>
        <v>3410.2795856829575</v>
      </c>
      <c r="J43" s="63">
        <f>J35+J41</f>
        <v>7622</v>
      </c>
      <c r="K43" s="58">
        <f>L43/J43</f>
        <v>0.14798353403761988</v>
      </c>
      <c r="L43" s="63">
        <f>L35+L41</f>
        <v>1127.9304964347386</v>
      </c>
      <c r="N43" s="63">
        <f>N35+N41</f>
        <v>7373</v>
      </c>
      <c r="O43" s="58">
        <f>P43/N43</f>
        <v>0.11208953659595342</v>
      </c>
      <c r="P43" s="63">
        <f>P35+P41</f>
        <v>826.43615332196453</v>
      </c>
      <c r="R43" s="63">
        <f>R35+R41</f>
        <v>557</v>
      </c>
      <c r="S43" s="58">
        <f>T43/R43</f>
        <v>0.15154600862923362</v>
      </c>
      <c r="T43" s="63">
        <f>T35+T41</f>
        <v>84.411126806483125</v>
      </c>
      <c r="V43" s="63">
        <f>V35+V41</f>
        <v>2080</v>
      </c>
      <c r="W43" s="58">
        <f>X43/V43</f>
        <v>0.1249111782424125</v>
      </c>
      <c r="X43" s="63">
        <f>X35+X41</f>
        <v>259.81525074421802</v>
      </c>
      <c r="Z43" s="63">
        <f>Z35+Z41</f>
        <v>395</v>
      </c>
      <c r="AA43" s="58">
        <f>AB43/Z43</f>
        <v>0.20319207484865162</v>
      </c>
      <c r="AB43" s="63">
        <f>AB35+AB41</f>
        <v>80.260869565217391</v>
      </c>
      <c r="AD43" s="46">
        <v>0</v>
      </c>
      <c r="AE43" s="58"/>
    </row>
    <row r="44" spans="1:70" ht="13" x14ac:dyDescent="0.3">
      <c r="A44" s="2"/>
      <c r="AD44" s="44"/>
      <c r="BD44" s="2"/>
      <c r="BE44" s="2"/>
      <c r="BF44" s="2"/>
      <c r="BG44" s="2"/>
      <c r="BH44" s="2"/>
      <c r="BI44" s="2"/>
      <c r="BJ44" s="2"/>
      <c r="BK44" s="2"/>
      <c r="BL44" s="2"/>
      <c r="BM44" s="2"/>
      <c r="BN44" s="2"/>
      <c r="BO44" s="2"/>
      <c r="BP44" s="2"/>
      <c r="BQ44" s="2"/>
    </row>
    <row r="45" spans="1:70" ht="13" x14ac:dyDescent="0.3">
      <c r="A45" s="2"/>
      <c r="BD45" s="2"/>
      <c r="BE45" s="2"/>
      <c r="BF45" s="2"/>
      <c r="BG45" s="2"/>
      <c r="BH45" s="2"/>
      <c r="BI45" s="2"/>
      <c r="BJ45" s="2"/>
      <c r="BK45" s="2"/>
      <c r="BL45" s="2"/>
      <c r="BM45" s="2"/>
      <c r="BN45" s="2"/>
      <c r="BO45" s="2"/>
      <c r="BP45" s="2"/>
      <c r="BQ45" s="2"/>
    </row>
    <row r="46" spans="1:70" x14ac:dyDescent="0.25">
      <c r="BD46" s="5"/>
      <c r="BE46" s="5"/>
      <c r="BF46" s="5"/>
      <c r="BG46" s="5"/>
      <c r="BH46" s="5"/>
      <c r="BI46" s="5"/>
      <c r="BJ46" s="5"/>
      <c r="BK46" s="5"/>
      <c r="BL46" s="5"/>
      <c r="BM46" s="5"/>
      <c r="BN46" s="5"/>
      <c r="BO46" s="5"/>
      <c r="BP46" s="5"/>
      <c r="BQ46" s="5"/>
      <c r="BR46" s="5"/>
    </row>
    <row r="47" spans="1:70" ht="15.5" x14ac:dyDescent="0.35">
      <c r="A47" s="1" t="s">
        <v>78</v>
      </c>
      <c r="BD47" s="5"/>
      <c r="BE47" s="5"/>
      <c r="BJ47" s="5"/>
      <c r="BK47" s="5"/>
      <c r="BL47" s="5"/>
      <c r="BM47" s="5"/>
      <c r="BN47" s="5"/>
      <c r="BO47" s="5"/>
      <c r="BP47" s="5"/>
      <c r="BQ47" s="5"/>
      <c r="BR47" s="5"/>
    </row>
    <row r="48" spans="1:70" ht="15.5" x14ac:dyDescent="0.35">
      <c r="A48" s="1"/>
      <c r="BD48" s="5"/>
      <c r="BE48" s="5"/>
      <c r="BJ48" s="5"/>
      <c r="BK48" s="5"/>
      <c r="BL48" s="5"/>
      <c r="BM48" s="5"/>
      <c r="BN48" s="5"/>
      <c r="BO48" s="5"/>
      <c r="BP48" s="5"/>
      <c r="BQ48" s="5"/>
      <c r="BR48" s="5"/>
    </row>
    <row r="49" spans="1:70" ht="13" x14ac:dyDescent="0.3">
      <c r="B49" s="2" t="s">
        <v>44</v>
      </c>
      <c r="C49" s="2" t="s">
        <v>55</v>
      </c>
      <c r="D49" s="2" t="s">
        <v>56</v>
      </c>
      <c r="BD49" s="5"/>
      <c r="BE49" s="5"/>
      <c r="BF49" s="5"/>
      <c r="BJ49" s="5"/>
      <c r="BK49" s="5"/>
      <c r="BL49" s="5"/>
      <c r="BM49" s="5"/>
      <c r="BN49" s="5"/>
      <c r="BO49" s="5"/>
      <c r="BP49" s="5"/>
      <c r="BQ49" s="5"/>
      <c r="BR49" s="5"/>
    </row>
    <row r="50" spans="1:70" ht="13" x14ac:dyDescent="0.3">
      <c r="A50" s="32" t="s">
        <v>65</v>
      </c>
      <c r="B50" s="2"/>
      <c r="C50" s="2"/>
      <c r="D50" s="2"/>
      <c r="BD50" s="5"/>
      <c r="BE50" s="5"/>
      <c r="BF50" s="5"/>
      <c r="BJ50" s="5"/>
      <c r="BK50" s="5"/>
      <c r="BL50" s="5"/>
      <c r="BM50" s="5"/>
      <c r="BN50" s="5"/>
      <c r="BO50" s="5"/>
      <c r="BP50" s="5"/>
      <c r="BQ50" s="5"/>
      <c r="BR50" s="5"/>
    </row>
    <row r="51" spans="1:70" ht="13" x14ac:dyDescent="0.3">
      <c r="A51" s="32" t="s">
        <v>66</v>
      </c>
      <c r="B51" s="2"/>
      <c r="C51" s="2"/>
      <c r="D51" s="2"/>
      <c r="BD51" s="5"/>
      <c r="BE51" s="5"/>
      <c r="BF51" s="5"/>
      <c r="BJ51" s="5"/>
      <c r="BK51" s="5"/>
      <c r="BL51" s="5"/>
      <c r="BM51" s="5"/>
      <c r="BN51" s="5"/>
      <c r="BO51" s="5"/>
      <c r="BP51" s="5"/>
      <c r="BQ51" s="5"/>
      <c r="BR51" s="5"/>
    </row>
    <row r="52" spans="1:70" x14ac:dyDescent="0.25">
      <c r="A52" t="s">
        <v>31</v>
      </c>
      <c r="B52" s="29">
        <f>B13+F13+J13+N13+R13+V13+B32+F32+J32+N32+R32+V32+Z32+AD32</f>
        <v>42332</v>
      </c>
      <c r="C52" s="65">
        <f>D13+H13+L13+P13+T13+X13+D32+H32+L32+P32+T32+X32+AB32+AF32</f>
        <v>1451.8038451633736</v>
      </c>
      <c r="D52" s="3">
        <f>C52/B52</f>
        <v>3.4295659197849701E-2</v>
      </c>
      <c r="BD52" s="5"/>
      <c r="BE52" s="5"/>
      <c r="BF52" s="5"/>
      <c r="BJ52" s="5"/>
      <c r="BK52" s="5"/>
      <c r="BL52" s="5"/>
      <c r="BM52" s="5"/>
      <c r="BN52" s="5"/>
      <c r="BO52" s="5"/>
      <c r="BP52" s="5"/>
      <c r="BQ52" s="5"/>
      <c r="BR52" s="5"/>
    </row>
    <row r="53" spans="1:70" x14ac:dyDescent="0.25">
      <c r="A53" t="s">
        <v>32</v>
      </c>
      <c r="B53" s="29">
        <f>B14+F14+J14+N14+R14+V14+B33+F33+J33+N33+R33+V33+Z33+AD33</f>
        <v>1777</v>
      </c>
      <c r="C53" s="65">
        <f>D14+H14+L14+P14+T14+X14+D33+H33+L33+P33+T33+X33+AB33+AF33</f>
        <v>43.10612244897959</v>
      </c>
      <c r="D53" s="3">
        <f>C53/B53</f>
        <v>2.4257806667968257E-2</v>
      </c>
      <c r="BD53" s="5"/>
      <c r="BE53" s="5"/>
      <c r="BF53" s="5"/>
      <c r="BJ53" s="5"/>
      <c r="BK53" s="5"/>
      <c r="BL53" s="5"/>
      <c r="BM53" s="5"/>
      <c r="BN53" s="5"/>
      <c r="BO53" s="5"/>
      <c r="BP53" s="5"/>
      <c r="BQ53" s="5"/>
      <c r="BR53" s="5"/>
    </row>
    <row r="54" spans="1:70" x14ac:dyDescent="0.25">
      <c r="A54" s="42" t="s">
        <v>62</v>
      </c>
      <c r="B54" s="52">
        <f>B15+F15+J15+N15+R15+V15+B34+F34+J34+N34+R34+V34+Z34+AD34</f>
        <v>19083</v>
      </c>
      <c r="C54" s="66">
        <f>D15+H15+L15+P15+T15+X15+D34+H34+L34+P34+T34+X34+AB34+AF34</f>
        <v>1.9145454545454546</v>
      </c>
      <c r="D54" s="43">
        <f>C54/B54</f>
        <v>1.0032727844392677E-4</v>
      </c>
      <c r="BD54" s="5"/>
      <c r="BE54" s="5"/>
      <c r="BF54" s="5"/>
      <c r="BJ54" s="5"/>
      <c r="BK54" s="5"/>
      <c r="BL54" s="5"/>
      <c r="BM54" s="5"/>
      <c r="BN54" s="5"/>
      <c r="BO54" s="5"/>
      <c r="BP54" s="5"/>
      <c r="BQ54" s="5"/>
      <c r="BR54" s="5"/>
    </row>
    <row r="55" spans="1:70" ht="13" x14ac:dyDescent="0.3">
      <c r="A55" s="2" t="s">
        <v>61</v>
      </c>
      <c r="B55" s="24">
        <f>SUM(B50:B54)</f>
        <v>63192</v>
      </c>
      <c r="C55" s="24">
        <f>SUM(C50:C54)</f>
        <v>1496.8245130668988</v>
      </c>
      <c r="D55" s="67">
        <f>C55/B55</f>
        <v>2.368693051441478E-2</v>
      </c>
      <c r="BD55" s="5"/>
      <c r="BE55" s="5"/>
      <c r="BF55" s="5"/>
      <c r="BJ55" s="5"/>
      <c r="BK55" s="5"/>
      <c r="BL55" s="5"/>
      <c r="BM55" s="5"/>
      <c r="BN55" s="5"/>
      <c r="BO55" s="5"/>
      <c r="BP55" s="5"/>
      <c r="BQ55" s="5"/>
      <c r="BR55" s="5"/>
    </row>
    <row r="56" spans="1:70" x14ac:dyDescent="0.25">
      <c r="A56">
        <v>1</v>
      </c>
      <c r="B56" s="13">
        <f>B17+F17+J17+N17+B36+F36+J36+N36+R36+V36+Z36+AD36</f>
        <v>12044</v>
      </c>
      <c r="C56" s="64">
        <f>D17+H17+L17+P17+D36+H36+L36+P36+T36+X36+AB36+AF36</f>
        <v>2623.5378273569013</v>
      </c>
      <c r="D56" s="3">
        <f>C56/B56</f>
        <v>0.21782944431724521</v>
      </c>
      <c r="BD56" s="5"/>
      <c r="BE56" s="5"/>
      <c r="BF56" s="5"/>
      <c r="BJ56" s="5"/>
      <c r="BK56" s="5"/>
      <c r="BL56" s="5"/>
      <c r="BM56" s="5"/>
      <c r="BN56" s="5"/>
      <c r="BO56" s="5"/>
      <c r="BP56" s="5"/>
      <c r="BQ56" s="5"/>
      <c r="BR56" s="5"/>
    </row>
    <row r="57" spans="1:70" x14ac:dyDescent="0.25">
      <c r="A57">
        <v>2</v>
      </c>
      <c r="B57" s="13">
        <f>B18+F18+J18+N18+B37+F37+J37+N37+R37+V37+Z37+AD37</f>
        <v>12764</v>
      </c>
      <c r="C57" s="64">
        <f>D18+H18+L18+P18+D37+H37+L37+P37+T37+X37+AB37+AF37</f>
        <v>1807.2467105331082</v>
      </c>
      <c r="D57" s="3">
        <f t="shared" ref="D57:D63" si="1">C57/B57</f>
        <v>0.14158936936172895</v>
      </c>
      <c r="BD57" s="5"/>
      <c r="BE57" s="5"/>
      <c r="BF57" s="5"/>
      <c r="BG57" s="5"/>
      <c r="BJ57" s="5"/>
      <c r="BK57" s="5"/>
      <c r="BL57" s="5"/>
      <c r="BM57" s="5"/>
      <c r="BN57" s="5"/>
      <c r="BO57" s="5"/>
      <c r="BP57" s="5"/>
      <c r="BQ57" s="5"/>
      <c r="BR57" s="5"/>
    </row>
    <row r="58" spans="1:70" x14ac:dyDescent="0.25">
      <c r="A58">
        <v>3</v>
      </c>
      <c r="B58" s="13">
        <f>B19+F19+J19+N19+B38+F38+J38+N38+R38+V38+Z38+AD38</f>
        <v>4748</v>
      </c>
      <c r="C58" s="64">
        <f>D19+H19+L19+P19+D38+H38+L38+P38+T38+X38+AB38+AF38</f>
        <v>1036.7761023356629</v>
      </c>
      <c r="D58" s="3">
        <f t="shared" si="1"/>
        <v>0.21836059442621375</v>
      </c>
      <c r="K58" s="7"/>
      <c r="L58" s="5"/>
      <c r="BD58" s="5"/>
      <c r="BE58" s="5"/>
      <c r="BF58" s="5"/>
      <c r="BG58" s="5"/>
      <c r="BJ58" s="5"/>
      <c r="BK58" s="5"/>
      <c r="BL58" s="5"/>
      <c r="BM58" s="5"/>
      <c r="BN58" s="5"/>
      <c r="BO58" s="5"/>
      <c r="BP58" s="5"/>
      <c r="BQ58" s="5"/>
      <c r="BR58" s="5"/>
    </row>
    <row r="59" spans="1:70" x14ac:dyDescent="0.25">
      <c r="A59">
        <v>4</v>
      </c>
      <c r="B59" s="13">
        <f>B20+F20+J20+N20+B39+F39+J39+N39+R39+V39+Z39+AD39</f>
        <v>419</v>
      </c>
      <c r="C59" s="64">
        <f>D20+H20+L20+P20+D39+H39+L39+P39+T39+X39+AB39+AF39</f>
        <v>22.159949622166245</v>
      </c>
      <c r="D59" s="3">
        <f t="shared" si="1"/>
        <v>5.2887707928797718E-2</v>
      </c>
      <c r="K59" s="7"/>
      <c r="L59" s="5"/>
      <c r="BD59" s="5"/>
      <c r="BE59" s="5"/>
      <c r="BF59" s="5"/>
      <c r="BG59" s="5"/>
      <c r="BH59" s="5"/>
      <c r="BI59" s="5"/>
      <c r="BJ59" s="5"/>
      <c r="BK59" s="5"/>
      <c r="BL59" s="5"/>
      <c r="BM59" s="5"/>
      <c r="BN59" s="5"/>
      <c r="BO59" s="5"/>
      <c r="BP59" s="5"/>
    </row>
    <row r="60" spans="1:70" s="2" customFormat="1" ht="13" x14ac:dyDescent="0.3">
      <c r="A60">
        <v>5</v>
      </c>
      <c r="B60" s="13">
        <f>B21+F21+J21+N21+B40+F40+J40+N40+R40+V40+Z40+AD40</f>
        <v>309</v>
      </c>
      <c r="C60" s="64">
        <f>D21+H21+L21+P21+D40+H40+L40+P40+T40+X40+AB40+AF40</f>
        <v>104.80735930735931</v>
      </c>
      <c r="D60" s="3">
        <f t="shared" si="1"/>
        <v>0.33918239258045085</v>
      </c>
      <c r="F60" s="8"/>
      <c r="J60" s="8"/>
      <c r="L60" s="8"/>
      <c r="BC60"/>
      <c r="BD60"/>
      <c r="BE60"/>
      <c r="BF60"/>
      <c r="BG60"/>
      <c r="BH60"/>
      <c r="BI60"/>
      <c r="BJ60"/>
      <c r="BK60"/>
      <c r="BL60"/>
      <c r="BM60"/>
      <c r="BN60"/>
      <c r="BO60"/>
      <c r="BP60"/>
      <c r="BQ60"/>
    </row>
    <row r="61" spans="1:70" ht="13" x14ac:dyDescent="0.3">
      <c r="A61" s="2" t="s">
        <v>60</v>
      </c>
      <c r="B61" s="40">
        <f>SUM(B56:B60)</f>
        <v>30284</v>
      </c>
      <c r="C61" s="40">
        <f>SUM(C56:C60)</f>
        <v>5594.5279491551983</v>
      </c>
      <c r="D61" s="55">
        <f t="shared" si="1"/>
        <v>0.1847354361760401</v>
      </c>
      <c r="BC61" s="2"/>
      <c r="BD61" s="2"/>
      <c r="BE61" s="2"/>
      <c r="BF61" s="2"/>
      <c r="BG61" s="2"/>
      <c r="BH61" s="2"/>
      <c r="BI61" s="2"/>
      <c r="BJ61" s="2"/>
      <c r="BK61" s="2"/>
      <c r="BL61" s="2"/>
      <c r="BM61" s="2"/>
      <c r="BN61" s="2"/>
      <c r="BO61" s="2"/>
      <c r="BP61" s="2"/>
      <c r="BQ61" s="2"/>
    </row>
    <row r="62" spans="1:70" ht="13" x14ac:dyDescent="0.3">
      <c r="A62" s="2"/>
    </row>
    <row r="63" spans="1:70" ht="13" x14ac:dyDescent="0.3">
      <c r="A63" s="2" t="s">
        <v>69</v>
      </c>
      <c r="B63" s="40">
        <f>B55+B61</f>
        <v>93476</v>
      </c>
      <c r="C63" s="40">
        <f>C55+C61</f>
        <v>7091.3524622220975</v>
      </c>
      <c r="D63" s="55">
        <f t="shared" si="1"/>
        <v>7.5862814649986066E-2</v>
      </c>
    </row>
    <row r="64" spans="1:70" ht="13" x14ac:dyDescent="0.3">
      <c r="C64" s="4"/>
      <c r="D64" s="5"/>
      <c r="G64" s="4"/>
      <c r="H64" s="5"/>
      <c r="K64" s="4"/>
      <c r="L64" s="5"/>
      <c r="O64" s="4"/>
      <c r="P64" s="5"/>
      <c r="S64" s="4"/>
      <c r="T64" s="5"/>
      <c r="W64" s="7"/>
      <c r="X64" s="5"/>
      <c r="AK64" s="2"/>
      <c r="AL64" s="2"/>
    </row>
    <row r="65" spans="1:69" ht="13" x14ac:dyDescent="0.3">
      <c r="C65" s="4"/>
      <c r="D65" s="5"/>
      <c r="G65" s="4"/>
      <c r="H65" s="5"/>
      <c r="K65" s="4"/>
      <c r="L65" s="5"/>
      <c r="O65" s="4"/>
      <c r="P65" s="5"/>
      <c r="S65" s="4"/>
      <c r="T65" s="5"/>
      <c r="W65" s="4"/>
      <c r="X65" s="5"/>
      <c r="AA65" s="4"/>
      <c r="AB65" s="5"/>
      <c r="AJ65" s="2"/>
      <c r="AL65" s="5"/>
    </row>
    <row r="66" spans="1:69" ht="13" x14ac:dyDescent="0.3">
      <c r="C66" s="4"/>
      <c r="D66" s="5"/>
      <c r="G66" s="4"/>
      <c r="H66" s="5"/>
      <c r="K66" s="4"/>
      <c r="L66" s="5"/>
      <c r="O66" s="4"/>
      <c r="P66" s="5"/>
      <c r="S66" s="4"/>
      <c r="T66" s="5"/>
      <c r="W66" s="4"/>
      <c r="X66" s="5"/>
      <c r="AA66" s="4"/>
      <c r="AB66" s="5"/>
      <c r="AH66" s="2"/>
      <c r="AJ66" s="2"/>
      <c r="AL66" s="5"/>
    </row>
    <row r="67" spans="1:69" ht="13" x14ac:dyDescent="0.3">
      <c r="S67" s="7"/>
      <c r="T67" s="5"/>
      <c r="AA67" s="7"/>
      <c r="AB67" s="5"/>
      <c r="AG67" s="2"/>
      <c r="AH67" s="2"/>
      <c r="AI67" s="23"/>
      <c r="AJ67" s="2"/>
      <c r="AL67" s="5"/>
    </row>
    <row r="68" spans="1:69" ht="13" x14ac:dyDescent="0.3">
      <c r="C68" s="7"/>
      <c r="D68" s="5"/>
      <c r="G68" s="7"/>
      <c r="H68" s="5"/>
      <c r="K68" s="7"/>
      <c r="L68" s="5"/>
      <c r="O68" s="4"/>
      <c r="P68" s="5"/>
      <c r="S68" s="4"/>
      <c r="T68" s="5"/>
      <c r="W68" s="7"/>
      <c r="X68" s="5"/>
      <c r="AA68" s="7"/>
      <c r="AB68" s="5"/>
      <c r="AJ68" s="23"/>
      <c r="AL68" s="5"/>
    </row>
    <row r="69" spans="1:69" s="2" customFormat="1" ht="13" x14ac:dyDescent="0.3">
      <c r="B69" s="8"/>
      <c r="D69" s="8"/>
      <c r="F69" s="8"/>
      <c r="H69" s="8"/>
      <c r="J69" s="8"/>
      <c r="L69" s="8"/>
      <c r="N69" s="8"/>
      <c r="O69" s="26"/>
      <c r="P69" s="8"/>
      <c r="R69" s="8"/>
      <c r="S69" s="26"/>
      <c r="T69" s="8"/>
      <c r="V69" s="8"/>
      <c r="W69" s="26"/>
      <c r="X69" s="8"/>
      <c r="Z69" s="8"/>
      <c r="AB69" s="8"/>
      <c r="AG69" s="8"/>
      <c r="AH69" s="24"/>
      <c r="AI69" s="24"/>
      <c r="AK69"/>
      <c r="AL69" s="5"/>
      <c r="BC69"/>
      <c r="BD69"/>
      <c r="BE69"/>
      <c r="BF69"/>
      <c r="BG69"/>
      <c r="BH69"/>
      <c r="BI69"/>
      <c r="BJ69"/>
      <c r="BK69"/>
      <c r="BL69"/>
      <c r="BM69"/>
      <c r="BN69"/>
      <c r="BO69"/>
      <c r="BP69"/>
      <c r="BQ69"/>
    </row>
    <row r="70" spans="1:69" ht="13" x14ac:dyDescent="0.3">
      <c r="BC70" s="2"/>
      <c r="BD70" s="2"/>
      <c r="BE70" s="2"/>
      <c r="BF70" s="2"/>
      <c r="BG70" s="2"/>
      <c r="BH70" s="2"/>
      <c r="BI70" s="2"/>
      <c r="BJ70" s="2"/>
      <c r="BK70" s="2"/>
      <c r="BL70" s="2"/>
      <c r="BM70" s="2"/>
      <c r="BN70" s="2"/>
      <c r="BO70" s="2"/>
      <c r="BP70" s="2"/>
      <c r="BQ70" s="2"/>
    </row>
    <row r="71" spans="1:69" ht="13" x14ac:dyDescent="0.3">
      <c r="A71" s="2"/>
      <c r="AL71" s="5"/>
    </row>
    <row r="74" spans="1:69" x14ac:dyDescent="0.25">
      <c r="C74" s="7"/>
      <c r="D74" s="5"/>
    </row>
    <row r="75" spans="1:69" x14ac:dyDescent="0.25">
      <c r="C75" s="7"/>
      <c r="D75" s="5"/>
      <c r="G75" s="7"/>
      <c r="H75" s="5"/>
    </row>
    <row r="76" spans="1:69" x14ac:dyDescent="0.25">
      <c r="G76" s="7"/>
      <c r="H76" s="5"/>
    </row>
    <row r="77" spans="1:69" x14ac:dyDescent="0.25">
      <c r="O77" s="7"/>
      <c r="P77" s="5"/>
    </row>
    <row r="78" spans="1:69" x14ac:dyDescent="0.25">
      <c r="K78" s="7"/>
      <c r="L78" s="5"/>
      <c r="O78" s="7"/>
      <c r="P78" s="5"/>
    </row>
    <row r="79" spans="1:69" s="2" customFormat="1" ht="13" x14ac:dyDescent="0.3">
      <c r="B79" s="8"/>
      <c r="D79" s="8"/>
      <c r="F79" s="8"/>
      <c r="H79" s="8"/>
      <c r="J79" s="8"/>
      <c r="K79" s="25"/>
      <c r="L79" s="8"/>
      <c r="N79" s="8"/>
      <c r="O79" s="25"/>
      <c r="P79" s="8"/>
      <c r="S79" s="8"/>
      <c r="BC79"/>
      <c r="BD79"/>
      <c r="BE79"/>
      <c r="BF79"/>
      <c r="BG79"/>
      <c r="BH79"/>
      <c r="BI79"/>
      <c r="BJ79"/>
      <c r="BK79"/>
      <c r="BL79"/>
      <c r="BM79"/>
      <c r="BN79"/>
      <c r="BO79"/>
      <c r="BP79"/>
      <c r="BQ79"/>
    </row>
    <row r="80" spans="1:69" ht="13" x14ac:dyDescent="0.3">
      <c r="BC80" s="2"/>
      <c r="BD80" s="2"/>
      <c r="BE80" s="2"/>
      <c r="BF80" s="2"/>
      <c r="BG80" s="2"/>
      <c r="BH80" s="2"/>
      <c r="BI80" s="2"/>
      <c r="BJ80" s="2"/>
      <c r="BK80" s="2"/>
      <c r="BL80" s="2"/>
      <c r="BM80" s="2"/>
      <c r="BN80" s="2"/>
      <c r="BO80" s="2"/>
      <c r="BP80" s="2"/>
      <c r="BQ80" s="2"/>
    </row>
    <row r="82" spans="1:69" ht="13" x14ac:dyDescent="0.3">
      <c r="AK82" s="2"/>
      <c r="AL82" s="2"/>
    </row>
    <row r="83" spans="1:69" ht="13" x14ac:dyDescent="0.3">
      <c r="C83" s="4"/>
      <c r="D83" s="5"/>
      <c r="G83" s="4"/>
      <c r="H83" s="5"/>
      <c r="K83" s="4"/>
      <c r="L83" s="5"/>
      <c r="O83" s="4"/>
      <c r="P83" s="5"/>
      <c r="S83" s="4"/>
      <c r="T83" s="5"/>
      <c r="W83" s="4"/>
      <c r="X83" s="5"/>
      <c r="AJ83" s="2"/>
      <c r="AL83" s="5"/>
    </row>
    <row r="84" spans="1:69" ht="13" x14ac:dyDescent="0.3">
      <c r="C84" s="4"/>
      <c r="D84" s="5"/>
      <c r="G84" s="4"/>
      <c r="H84" s="5"/>
      <c r="K84" s="4"/>
      <c r="L84" s="5"/>
      <c r="O84" s="4"/>
      <c r="P84" s="5"/>
      <c r="S84" s="4"/>
      <c r="T84" s="5"/>
      <c r="W84" s="4"/>
      <c r="X84" s="5"/>
      <c r="AA84" s="4"/>
      <c r="AB84" s="5"/>
      <c r="AJ84" s="2"/>
      <c r="AL84" s="5"/>
    </row>
    <row r="85" spans="1:69" ht="13" x14ac:dyDescent="0.3">
      <c r="C85" s="4"/>
      <c r="D85" s="5"/>
      <c r="G85" s="4"/>
      <c r="H85" s="5"/>
      <c r="K85" s="4"/>
      <c r="L85" s="5"/>
      <c r="O85" s="4"/>
      <c r="P85" s="5"/>
      <c r="S85" s="4"/>
      <c r="T85" s="5"/>
      <c r="W85" s="4"/>
      <c r="X85" s="5"/>
      <c r="AA85" s="4"/>
      <c r="AB85" s="5"/>
      <c r="AH85" s="2"/>
      <c r="AJ85" s="2"/>
      <c r="AL85" s="5"/>
    </row>
    <row r="86" spans="1:69" ht="13" x14ac:dyDescent="0.3">
      <c r="C86" s="4"/>
      <c r="D86" s="5"/>
      <c r="G86" s="7"/>
      <c r="H86" s="5"/>
      <c r="K86" s="7"/>
      <c r="L86" s="5"/>
      <c r="O86" s="4"/>
      <c r="P86" s="5"/>
      <c r="S86" s="7"/>
      <c r="T86" s="5"/>
      <c r="W86" s="7"/>
      <c r="X86" s="5"/>
      <c r="AA86" s="7"/>
      <c r="AH86" s="2"/>
      <c r="AI86" s="23"/>
      <c r="AJ86" s="23"/>
      <c r="AL86" s="5"/>
    </row>
    <row r="87" spans="1:69" ht="13" x14ac:dyDescent="0.3">
      <c r="C87" s="4"/>
      <c r="D87" s="5"/>
      <c r="G87" s="4"/>
      <c r="H87" s="5"/>
      <c r="K87" s="4"/>
      <c r="L87" s="5"/>
      <c r="O87" s="4"/>
      <c r="P87" s="5"/>
      <c r="S87" s="4"/>
      <c r="T87" s="5"/>
      <c r="W87" s="4"/>
      <c r="X87" s="5"/>
      <c r="AA87" s="4"/>
      <c r="AB87" s="5"/>
      <c r="AJ87" s="2"/>
      <c r="AL87" s="5"/>
    </row>
    <row r="88" spans="1:69" s="2" customFormat="1" ht="13" x14ac:dyDescent="0.3">
      <c r="B88" s="8"/>
      <c r="C88" s="26"/>
      <c r="D88" s="8"/>
      <c r="F88" s="8"/>
      <c r="G88" s="26"/>
      <c r="H88" s="8"/>
      <c r="J88" s="8"/>
      <c r="K88" s="26"/>
      <c r="L88" s="8"/>
      <c r="N88" s="8"/>
      <c r="O88" s="26"/>
      <c r="P88" s="8"/>
      <c r="R88" s="8"/>
      <c r="S88" s="26"/>
      <c r="T88" s="8"/>
      <c r="V88" s="8"/>
      <c r="W88" s="26"/>
      <c r="X88" s="8"/>
      <c r="Z88" s="8"/>
      <c r="AA88" s="26"/>
      <c r="AB88" s="8"/>
      <c r="AH88" s="24"/>
      <c r="AI88" s="24"/>
      <c r="AJ88" s="24"/>
      <c r="AK88" s="24"/>
      <c r="AL88" s="24"/>
      <c r="BC88"/>
      <c r="BD88"/>
      <c r="BE88"/>
      <c r="BF88"/>
      <c r="BG88"/>
      <c r="BH88"/>
      <c r="BI88"/>
      <c r="BJ88"/>
      <c r="BK88"/>
      <c r="BL88"/>
      <c r="BM88"/>
      <c r="BN88"/>
      <c r="BO88"/>
      <c r="BP88"/>
      <c r="BQ88"/>
    </row>
    <row r="89" spans="1:69" ht="13" x14ac:dyDescent="0.3">
      <c r="AL89" s="5"/>
      <c r="BC89" s="2"/>
      <c r="BD89" s="2"/>
      <c r="BE89" s="2"/>
      <c r="BF89" s="2"/>
      <c r="BG89" s="2"/>
      <c r="BH89" s="2"/>
      <c r="BI89" s="2"/>
      <c r="BJ89" s="2"/>
      <c r="BK89" s="2"/>
      <c r="BL89" s="2"/>
      <c r="BM89" s="2"/>
      <c r="BN89" s="2"/>
      <c r="BO89" s="2"/>
      <c r="BP89" s="2"/>
      <c r="BQ89" s="2"/>
    </row>
    <row r="90" spans="1:69" ht="13" x14ac:dyDescent="0.3">
      <c r="A90" s="2"/>
    </row>
    <row r="93" spans="1:69" x14ac:dyDescent="0.25">
      <c r="C93" s="7"/>
      <c r="D93" s="5"/>
      <c r="G93" s="7"/>
      <c r="H93" s="5"/>
    </row>
    <row r="94" spans="1:69" x14ac:dyDescent="0.25">
      <c r="G94" s="7"/>
      <c r="H94" s="5"/>
    </row>
    <row r="95" spans="1:69" x14ac:dyDescent="0.25">
      <c r="G95" s="7"/>
      <c r="H95" s="5"/>
    </row>
    <row r="96" spans="1:69" x14ac:dyDescent="0.25">
      <c r="O96" s="7"/>
      <c r="P96" s="5"/>
    </row>
    <row r="97" spans="1:69" x14ac:dyDescent="0.25">
      <c r="K97" s="7"/>
      <c r="L97" s="5"/>
      <c r="O97" s="7"/>
      <c r="P97" s="5"/>
    </row>
    <row r="98" spans="1:69" s="2" customFormat="1" ht="13" x14ac:dyDescent="0.3">
      <c r="B98" s="8"/>
      <c r="D98" s="8"/>
      <c r="F98" s="8"/>
      <c r="H98" s="8"/>
      <c r="J98" s="8"/>
      <c r="L98" s="8"/>
      <c r="N98" s="8"/>
      <c r="P98" s="8"/>
      <c r="S98" s="8"/>
      <c r="BC98"/>
      <c r="BD98"/>
      <c r="BE98"/>
      <c r="BF98"/>
      <c r="BG98"/>
      <c r="BH98"/>
      <c r="BI98"/>
      <c r="BJ98"/>
      <c r="BK98"/>
      <c r="BL98"/>
      <c r="BM98"/>
      <c r="BN98"/>
      <c r="BO98"/>
      <c r="BP98"/>
      <c r="BQ98"/>
    </row>
    <row r="99" spans="1:69" ht="13" x14ac:dyDescent="0.3">
      <c r="BC99" s="2"/>
      <c r="BD99" s="2"/>
      <c r="BE99" s="2"/>
      <c r="BF99" s="2"/>
      <c r="BG99" s="2"/>
      <c r="BH99" s="2"/>
      <c r="BI99" s="2"/>
      <c r="BJ99" s="2"/>
      <c r="BK99" s="2"/>
      <c r="BL99" s="2"/>
      <c r="BM99" s="2"/>
      <c r="BN99" s="2"/>
      <c r="BO99" s="2"/>
      <c r="BP99" s="2"/>
      <c r="BQ99" s="2"/>
    </row>
    <row r="101" spans="1:69" ht="13" x14ac:dyDescent="0.3">
      <c r="AK101" s="2"/>
      <c r="AL101" s="2"/>
    </row>
    <row r="102" spans="1:69" ht="13" x14ac:dyDescent="0.3">
      <c r="C102" s="4"/>
      <c r="D102" s="5"/>
      <c r="G102" s="4"/>
      <c r="H102" s="5"/>
      <c r="K102" s="4"/>
      <c r="L102" s="5"/>
      <c r="O102" s="4"/>
      <c r="P102" s="5"/>
      <c r="S102" s="4"/>
      <c r="T102" s="5"/>
      <c r="W102" s="7"/>
      <c r="X102" s="5"/>
      <c r="AA102" s="7"/>
      <c r="AB102" s="5"/>
      <c r="AJ102" s="2"/>
      <c r="AL102" s="5"/>
    </row>
    <row r="103" spans="1:69" ht="13" x14ac:dyDescent="0.3">
      <c r="C103" s="4"/>
      <c r="D103" s="5"/>
      <c r="G103" s="4"/>
      <c r="H103" s="5"/>
      <c r="K103" s="4"/>
      <c r="L103" s="5"/>
      <c r="O103" s="4"/>
      <c r="P103" s="5"/>
      <c r="S103" s="4"/>
      <c r="T103" s="5"/>
      <c r="W103" s="4"/>
      <c r="X103" s="5"/>
      <c r="AA103" s="4"/>
      <c r="AB103" s="5"/>
      <c r="AJ103" s="2"/>
      <c r="AL103" s="5"/>
    </row>
    <row r="104" spans="1:69" ht="13" x14ac:dyDescent="0.3">
      <c r="C104" s="4"/>
      <c r="D104" s="5"/>
      <c r="G104" s="4"/>
      <c r="H104" s="5"/>
      <c r="K104" s="4"/>
      <c r="L104" s="5"/>
      <c r="O104" s="4"/>
      <c r="P104" s="5"/>
      <c r="S104" s="4"/>
      <c r="T104" s="5"/>
      <c r="W104" s="4"/>
      <c r="X104" s="5"/>
      <c r="AA104" s="4"/>
      <c r="AB104" s="5"/>
      <c r="AH104" s="2"/>
      <c r="AJ104" s="2"/>
      <c r="AL104" s="5"/>
    </row>
    <row r="105" spans="1:69" ht="13" x14ac:dyDescent="0.3">
      <c r="C105" s="7"/>
      <c r="D105" s="5"/>
      <c r="G105" s="7"/>
      <c r="H105" s="5"/>
      <c r="K105" s="7"/>
      <c r="L105" s="5"/>
      <c r="AA105" s="7"/>
      <c r="AB105" s="5"/>
      <c r="AG105" s="2"/>
      <c r="AH105" s="2"/>
      <c r="AI105" s="23"/>
      <c r="AJ105" s="23"/>
      <c r="AL105" s="5"/>
    </row>
    <row r="106" spans="1:69" ht="13" x14ac:dyDescent="0.3">
      <c r="C106" s="4"/>
      <c r="D106" s="5"/>
      <c r="G106" s="7"/>
      <c r="H106" s="5"/>
      <c r="K106" s="4"/>
      <c r="L106" s="5"/>
      <c r="O106" s="4"/>
      <c r="P106" s="5"/>
      <c r="S106" s="4"/>
      <c r="T106" s="5"/>
      <c r="W106" s="4"/>
      <c r="X106" s="5"/>
      <c r="AA106" s="4"/>
      <c r="AB106" s="5"/>
      <c r="AJ106" s="2"/>
      <c r="AL106" s="5"/>
    </row>
    <row r="107" spans="1:69" s="2" customFormat="1" ht="13" x14ac:dyDescent="0.3">
      <c r="B107" s="8"/>
      <c r="C107" s="26"/>
      <c r="D107" s="8"/>
      <c r="F107" s="8"/>
      <c r="H107" s="8"/>
      <c r="J107" s="8"/>
      <c r="K107" s="26"/>
      <c r="L107" s="8"/>
      <c r="N107" s="8"/>
      <c r="O107" s="26"/>
      <c r="P107" s="8"/>
      <c r="R107" s="8"/>
      <c r="S107" s="26"/>
      <c r="T107" s="8"/>
      <c r="V107" s="8"/>
      <c r="W107" s="26"/>
      <c r="X107" s="8"/>
      <c r="Z107" s="8"/>
      <c r="AA107" s="26"/>
      <c r="AB107" s="8"/>
      <c r="AG107" s="8"/>
      <c r="AH107" s="24"/>
      <c r="AI107" s="24"/>
      <c r="AJ107" s="24"/>
      <c r="AK107" s="24"/>
      <c r="AL107" s="24"/>
      <c r="BC107"/>
      <c r="BD107"/>
      <c r="BE107"/>
      <c r="BF107"/>
      <c r="BG107"/>
      <c r="BH107"/>
      <c r="BI107"/>
      <c r="BJ107"/>
      <c r="BK107"/>
      <c r="BL107"/>
      <c r="BM107"/>
      <c r="BN107"/>
      <c r="BO107"/>
      <c r="BP107"/>
      <c r="BQ107"/>
    </row>
    <row r="108" spans="1:69" ht="13" x14ac:dyDescent="0.3">
      <c r="AL108" s="5"/>
      <c r="BC108" s="2"/>
      <c r="BD108" s="2"/>
      <c r="BE108" s="2"/>
      <c r="BF108" s="2"/>
      <c r="BG108" s="2"/>
      <c r="BH108" s="2"/>
      <c r="BI108" s="2"/>
      <c r="BJ108" s="2"/>
      <c r="BK108" s="2"/>
      <c r="BL108" s="2"/>
      <c r="BM108" s="2"/>
      <c r="BN108" s="2"/>
      <c r="BO108" s="2"/>
      <c r="BP108" s="2"/>
      <c r="BQ108" s="2"/>
    </row>
    <row r="109" spans="1:69" ht="13" x14ac:dyDescent="0.3">
      <c r="A109" s="2"/>
    </row>
    <row r="112" spans="1:69" ht="13" x14ac:dyDescent="0.3">
      <c r="C112" s="7"/>
      <c r="D112" s="5"/>
      <c r="G112" s="7"/>
      <c r="H112" s="5"/>
      <c r="AP112" s="2"/>
      <c r="AQ112" s="2"/>
      <c r="AR112" s="2"/>
      <c r="AS112" s="2"/>
      <c r="AT112" s="2"/>
      <c r="AU112" s="2"/>
      <c r="AV112" s="2"/>
      <c r="AW112" s="2"/>
      <c r="AX112" s="2"/>
      <c r="AY112" s="2"/>
    </row>
    <row r="113" spans="2:69" ht="13" x14ac:dyDescent="0.3">
      <c r="C113" s="7"/>
      <c r="D113" s="5"/>
      <c r="G113" s="9"/>
      <c r="K113" s="7"/>
      <c r="L113" s="5"/>
      <c r="AP113" s="2"/>
      <c r="AQ113" s="2"/>
      <c r="AR113" s="2"/>
      <c r="AS113" s="2"/>
      <c r="AT113" s="2"/>
      <c r="AU113" s="2"/>
      <c r="AV113" s="2"/>
      <c r="AW113" s="2"/>
      <c r="AX113" s="2"/>
      <c r="AY113" s="2"/>
    </row>
    <row r="114" spans="2:69" ht="13" x14ac:dyDescent="0.3">
      <c r="C114" s="7"/>
      <c r="D114" s="5"/>
      <c r="G114" s="9"/>
      <c r="K114" s="7"/>
      <c r="L114" s="5"/>
      <c r="AO114" s="23"/>
      <c r="AQ114" s="5"/>
      <c r="AS114" s="5"/>
      <c r="AU114" s="5"/>
      <c r="AW114" s="5"/>
      <c r="AY114" s="5"/>
    </row>
    <row r="115" spans="2:69" ht="13" x14ac:dyDescent="0.3">
      <c r="G115" s="9"/>
      <c r="K115" s="7"/>
      <c r="L115" s="5"/>
      <c r="AO115" s="2"/>
      <c r="AQ115" s="5"/>
      <c r="AS115" s="5"/>
      <c r="AU115" s="5"/>
      <c r="AW115" s="5"/>
      <c r="AY115" s="5"/>
    </row>
    <row r="116" spans="2:69" ht="13" x14ac:dyDescent="0.3">
      <c r="G116" s="7"/>
      <c r="H116" s="5"/>
      <c r="K116" s="7"/>
      <c r="L116" s="5"/>
      <c r="O116" s="7"/>
      <c r="P116" s="5"/>
      <c r="AO116" s="2"/>
      <c r="AQ116" s="5"/>
      <c r="AS116" s="5"/>
      <c r="AU116" s="5"/>
      <c r="AW116" s="5"/>
      <c r="AY116" s="5"/>
    </row>
    <row r="117" spans="2:69" ht="13" x14ac:dyDescent="0.3">
      <c r="O117" s="7"/>
      <c r="P117" s="5"/>
      <c r="AO117" s="2"/>
      <c r="AQ117" s="5"/>
      <c r="AS117" s="5"/>
      <c r="AU117" s="5"/>
      <c r="AW117" s="5"/>
      <c r="AY117" s="5"/>
    </row>
    <row r="118" spans="2:69" s="2" customFormat="1" ht="13" x14ac:dyDescent="0.3">
      <c r="B118" s="8"/>
      <c r="D118" s="8"/>
      <c r="F118" s="8"/>
      <c r="H118" s="8"/>
      <c r="J118" s="8"/>
      <c r="L118" s="8"/>
      <c r="N118" s="8"/>
      <c r="O118" s="25"/>
      <c r="P118" s="8"/>
      <c r="AP118"/>
      <c r="AQ118" s="5"/>
      <c r="AR118"/>
      <c r="AS118" s="5"/>
      <c r="AT118"/>
      <c r="AU118" s="5"/>
      <c r="AV118"/>
      <c r="AW118" s="5"/>
      <c r="AX118"/>
      <c r="AY118" s="5"/>
      <c r="BC118"/>
      <c r="BD118"/>
      <c r="BE118"/>
      <c r="BF118"/>
      <c r="BG118"/>
      <c r="BH118"/>
      <c r="BI118"/>
      <c r="BJ118"/>
      <c r="BK118"/>
      <c r="BL118"/>
      <c r="BM118"/>
      <c r="BN118"/>
      <c r="BO118"/>
      <c r="BP118"/>
      <c r="BQ118"/>
    </row>
    <row r="119" spans="2:69" ht="13" x14ac:dyDescent="0.3">
      <c r="AO119" s="2"/>
      <c r="AQ119" s="5"/>
      <c r="AS119" s="5"/>
      <c r="AU119" s="5"/>
      <c r="AW119" s="5"/>
      <c r="AY119" s="5"/>
      <c r="BC119" s="2"/>
      <c r="BD119" s="2"/>
      <c r="BE119" s="2"/>
      <c r="BF119" s="2"/>
      <c r="BG119" s="2"/>
      <c r="BH119" s="2"/>
      <c r="BI119" s="2"/>
      <c r="BJ119" s="2"/>
      <c r="BK119" s="2"/>
      <c r="BL119" s="2"/>
      <c r="BM119" s="2"/>
      <c r="BN119" s="2"/>
      <c r="BO119" s="2"/>
      <c r="BP119" s="2"/>
      <c r="BQ119" s="2"/>
    </row>
    <row r="121" spans="2:69" ht="13" x14ac:dyDescent="0.3">
      <c r="AK121" s="2"/>
      <c r="AL121" s="2"/>
    </row>
    <row r="122" spans="2:69" ht="13" x14ac:dyDescent="0.3">
      <c r="G122" s="4"/>
      <c r="H122" s="5"/>
      <c r="K122" s="4"/>
      <c r="L122" s="5"/>
      <c r="O122" s="4"/>
      <c r="P122" s="5"/>
      <c r="S122" s="4"/>
      <c r="T122" s="5"/>
      <c r="W122" s="4"/>
      <c r="X122" s="5"/>
      <c r="AA122" s="7"/>
      <c r="AB122" s="5"/>
      <c r="AJ122" s="2"/>
      <c r="AL122" s="5"/>
      <c r="AN122" s="2"/>
      <c r="AQ122" s="5"/>
      <c r="AS122" s="5"/>
      <c r="AU122" s="5"/>
      <c r="AW122" s="5"/>
      <c r="AY122" s="5"/>
    </row>
    <row r="123" spans="2:69" ht="13" x14ac:dyDescent="0.3">
      <c r="G123" s="4"/>
      <c r="H123" s="5"/>
      <c r="K123" s="4"/>
      <c r="L123" s="5"/>
      <c r="O123" s="4"/>
      <c r="P123" s="5"/>
      <c r="S123" s="4"/>
      <c r="T123" s="5"/>
      <c r="W123" s="4"/>
      <c r="X123" s="5"/>
      <c r="AA123" s="4"/>
      <c r="AB123" s="5"/>
      <c r="AJ123" s="2"/>
      <c r="AL123" s="5"/>
      <c r="AN123" s="2"/>
      <c r="AP123" s="5"/>
      <c r="AQ123" s="5"/>
      <c r="AR123" s="5"/>
      <c r="AS123" s="5"/>
      <c r="AT123" s="5"/>
      <c r="AU123" s="5"/>
      <c r="AV123" s="5"/>
      <c r="AW123" s="5"/>
      <c r="AX123" s="5"/>
      <c r="AY123" s="5"/>
    </row>
    <row r="124" spans="2:69" ht="13" x14ac:dyDescent="0.3">
      <c r="G124" s="4"/>
      <c r="H124" s="5"/>
      <c r="K124" s="4"/>
      <c r="L124" s="5"/>
      <c r="O124" s="4"/>
      <c r="P124" s="5"/>
      <c r="S124" s="4"/>
      <c r="T124" s="5"/>
      <c r="W124" s="4"/>
      <c r="X124" s="5"/>
      <c r="AA124" s="4"/>
      <c r="AB124" s="5"/>
      <c r="AH124" s="2"/>
      <c r="AJ124" s="2"/>
      <c r="AL124" s="5"/>
    </row>
    <row r="125" spans="2:69" ht="13" x14ac:dyDescent="0.3">
      <c r="G125" s="4"/>
      <c r="H125" s="5"/>
      <c r="K125" s="7"/>
      <c r="L125" s="5"/>
      <c r="O125" s="7"/>
      <c r="P125" s="5"/>
      <c r="W125" s="7"/>
      <c r="X125" s="5"/>
      <c r="AA125" s="7"/>
      <c r="AB125" s="5"/>
      <c r="AG125" s="2"/>
      <c r="AH125" s="2"/>
      <c r="AI125" s="23"/>
      <c r="AJ125" s="23"/>
      <c r="AL125" s="5"/>
    </row>
    <row r="126" spans="2:69" ht="13" x14ac:dyDescent="0.3">
      <c r="G126" s="4"/>
      <c r="H126" s="5"/>
      <c r="K126" s="4"/>
      <c r="L126" s="5"/>
      <c r="O126" s="4"/>
      <c r="P126" s="5"/>
      <c r="S126" s="4"/>
      <c r="T126" s="5"/>
      <c r="W126" s="4"/>
      <c r="X126" s="5"/>
      <c r="AA126" s="4"/>
      <c r="AB126" s="5"/>
      <c r="AJ126" s="2"/>
      <c r="AL126" s="5"/>
    </row>
    <row r="127" spans="2:69" s="2" customFormat="1" ht="13" x14ac:dyDescent="0.3">
      <c r="B127" s="8"/>
      <c r="F127" s="8"/>
      <c r="H127" s="8"/>
      <c r="J127" s="8"/>
      <c r="L127" s="8"/>
      <c r="N127" s="8"/>
      <c r="P127" s="8"/>
      <c r="R127" s="8"/>
      <c r="T127" s="8"/>
      <c r="V127" s="8"/>
      <c r="X127" s="8"/>
      <c r="Z127" s="8"/>
      <c r="AB127" s="8"/>
      <c r="AG127" s="8"/>
      <c r="AH127" s="24"/>
      <c r="AI127" s="24"/>
      <c r="AJ127" s="24"/>
      <c r="AK127" s="24"/>
      <c r="AL127" s="24"/>
      <c r="BC127"/>
      <c r="BD127"/>
      <c r="BE127"/>
      <c r="BF127"/>
      <c r="BG127"/>
      <c r="BH127"/>
      <c r="BI127"/>
      <c r="BJ127"/>
      <c r="BK127"/>
      <c r="BL127"/>
      <c r="BM127"/>
      <c r="BN127"/>
      <c r="BO127"/>
      <c r="BP127"/>
      <c r="BQ127"/>
    </row>
    <row r="128" spans="2:69" ht="13" x14ac:dyDescent="0.3">
      <c r="AL128" s="5"/>
      <c r="BC128" s="2"/>
      <c r="BD128" s="2"/>
      <c r="BE128" s="2"/>
      <c r="BF128" s="2"/>
      <c r="BG128" s="2"/>
      <c r="BH128" s="2"/>
      <c r="BI128" s="2"/>
      <c r="BJ128" s="2"/>
      <c r="BK128" s="2"/>
      <c r="BL128" s="2"/>
      <c r="BM128" s="2"/>
      <c r="BN128" s="2"/>
      <c r="BO128" s="2"/>
      <c r="BP128" s="2"/>
      <c r="BQ128" s="2"/>
    </row>
    <row r="132" spans="6:6" x14ac:dyDescent="0.25">
      <c r="F132" s="19"/>
    </row>
    <row r="133" spans="6:6" x14ac:dyDescent="0.25">
      <c r="F133" s="19"/>
    </row>
    <row r="134" spans="6:6" x14ac:dyDescent="0.25">
      <c r="F134" s="19"/>
    </row>
    <row r="135" spans="6:6" x14ac:dyDescent="0.25">
      <c r="F135" s="19"/>
    </row>
    <row r="136" spans="6:6" x14ac:dyDescent="0.25">
      <c r="F136" s="19"/>
    </row>
  </sheetData>
  <phoneticPr fontId="4" type="noConversion"/>
  <pageMargins left="0.75" right="0.75" top="1" bottom="1" header="0.5" footer="0.5"/>
  <pageSetup orientation="portrait" horizontalDpi="4294967293" verticalDpi="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L86"/>
  <sheetViews>
    <sheetView workbookViewId="0">
      <selection activeCell="I30" sqref="I30"/>
    </sheetView>
  </sheetViews>
  <sheetFormatPr defaultRowHeight="12.5" x14ac:dyDescent="0.25"/>
  <cols>
    <col min="1" max="1" width="11.7265625" customWidth="1"/>
    <col min="3" max="4" width="11.7265625" customWidth="1"/>
    <col min="5" max="5" width="2.26953125" customWidth="1"/>
    <col min="7" max="8" width="11.7265625" customWidth="1"/>
    <col min="9" max="9" width="2.26953125" customWidth="1"/>
    <col min="11" max="12" width="11.7265625" customWidth="1"/>
    <col min="13" max="13" width="2.26953125" customWidth="1"/>
    <col min="15" max="16" width="11.7265625" customWidth="1"/>
    <col min="17" max="17" width="2.26953125" customWidth="1"/>
    <col min="19" max="20" width="11.7265625" customWidth="1"/>
    <col min="21" max="21" width="2.26953125" customWidth="1"/>
    <col min="23" max="24" width="11.7265625" customWidth="1"/>
    <col min="25" max="25" width="2.26953125" customWidth="1"/>
    <col min="27" max="28" width="11.7265625" customWidth="1"/>
    <col min="29" max="29" width="2.26953125" customWidth="1"/>
    <col min="31" max="32" width="11.7265625" customWidth="1"/>
    <col min="33" max="33" width="2.26953125" customWidth="1"/>
    <col min="36" max="36" width="2.81640625" customWidth="1"/>
    <col min="37" max="37" width="11.26953125" customWidth="1"/>
    <col min="40" max="40" width="4.7265625" customWidth="1"/>
    <col min="42" max="42" width="11.81640625" customWidth="1"/>
    <col min="44" max="44" width="10.7265625" customWidth="1"/>
    <col min="61" max="61" width="12.453125" customWidth="1"/>
  </cols>
  <sheetData>
    <row r="1" spans="1:24" ht="15.5" x14ac:dyDescent="0.35">
      <c r="A1" s="1" t="s">
        <v>79</v>
      </c>
    </row>
    <row r="2" spans="1:24" ht="13" x14ac:dyDescent="0.3">
      <c r="A2" s="2"/>
    </row>
    <row r="3" spans="1:24" ht="13" x14ac:dyDescent="0.3">
      <c r="A3" s="2" t="s">
        <v>53</v>
      </c>
    </row>
    <row r="4" spans="1:24" s="2" customFormat="1" ht="13" x14ac:dyDescent="0.3">
      <c r="C4" s="2" t="s">
        <v>35</v>
      </c>
      <c r="G4" s="2" t="s">
        <v>34</v>
      </c>
      <c r="K4" s="2" t="s">
        <v>20</v>
      </c>
      <c r="O4" s="2" t="s">
        <v>21</v>
      </c>
      <c r="S4" s="2" t="s">
        <v>22</v>
      </c>
      <c r="W4" s="2" t="s">
        <v>23</v>
      </c>
    </row>
    <row r="5" spans="1:24" s="2" customFormat="1" ht="13" x14ac:dyDescent="0.3">
      <c r="B5" s="27" t="s">
        <v>44</v>
      </c>
      <c r="F5" s="27" t="s">
        <v>44</v>
      </c>
      <c r="J5" s="27" t="s">
        <v>44</v>
      </c>
      <c r="N5" s="27" t="s">
        <v>44</v>
      </c>
      <c r="R5" s="27" t="s">
        <v>44</v>
      </c>
      <c r="V5" s="27" t="s">
        <v>44</v>
      </c>
    </row>
    <row r="6" spans="1:24" x14ac:dyDescent="0.25">
      <c r="B6" t="s">
        <v>13</v>
      </c>
      <c r="C6" t="s">
        <v>51</v>
      </c>
      <c r="D6" t="s">
        <v>14</v>
      </c>
      <c r="F6" t="s">
        <v>13</v>
      </c>
      <c r="G6" t="s">
        <v>51</v>
      </c>
      <c r="H6" t="s">
        <v>14</v>
      </c>
      <c r="J6" t="s">
        <v>13</v>
      </c>
      <c r="K6" t="s">
        <v>51</v>
      </c>
      <c r="L6" t="s">
        <v>14</v>
      </c>
      <c r="N6" t="s">
        <v>13</v>
      </c>
      <c r="O6" t="s">
        <v>51</v>
      </c>
      <c r="P6" t="s">
        <v>14</v>
      </c>
      <c r="R6" t="s">
        <v>13</v>
      </c>
      <c r="S6" t="s">
        <v>51</v>
      </c>
      <c r="T6" t="s">
        <v>14</v>
      </c>
      <c r="V6" t="s">
        <v>13</v>
      </c>
      <c r="W6" t="s">
        <v>51</v>
      </c>
      <c r="X6" t="s">
        <v>14</v>
      </c>
    </row>
    <row r="7" spans="1:24" x14ac:dyDescent="0.25">
      <c r="A7" t="s">
        <v>31</v>
      </c>
      <c r="B7">
        <v>0</v>
      </c>
      <c r="F7">
        <v>0</v>
      </c>
      <c r="H7" s="3"/>
      <c r="J7">
        <v>6</v>
      </c>
      <c r="K7">
        <v>0</v>
      </c>
      <c r="L7" s="3">
        <f>K7/J7</f>
        <v>0</v>
      </c>
      <c r="N7">
        <v>36</v>
      </c>
      <c r="O7">
        <v>0</v>
      </c>
      <c r="P7" s="3">
        <f>O7/N7</f>
        <v>0</v>
      </c>
      <c r="R7">
        <v>158</v>
      </c>
      <c r="S7">
        <v>5</v>
      </c>
      <c r="T7" s="3">
        <f>S7/R7</f>
        <v>3.1645569620253167E-2</v>
      </c>
      <c r="V7">
        <v>224</v>
      </c>
      <c r="W7">
        <v>9</v>
      </c>
      <c r="X7" s="3">
        <f>W7/V7</f>
        <v>4.0178571428571432E-2</v>
      </c>
    </row>
    <row r="8" spans="1:24" x14ac:dyDescent="0.25">
      <c r="A8" t="s">
        <v>32</v>
      </c>
      <c r="B8">
        <v>0</v>
      </c>
      <c r="F8">
        <v>0</v>
      </c>
      <c r="J8">
        <v>0</v>
      </c>
      <c r="N8">
        <v>0</v>
      </c>
      <c r="R8">
        <v>10</v>
      </c>
      <c r="S8">
        <v>1</v>
      </c>
      <c r="T8" s="3">
        <f>S8/R8</f>
        <v>0.1</v>
      </c>
      <c r="V8">
        <v>35</v>
      </c>
      <c r="W8">
        <v>0</v>
      </c>
      <c r="X8" s="3">
        <f>W8/V8</f>
        <v>0</v>
      </c>
    </row>
    <row r="9" spans="1:24" s="42" customFormat="1" x14ac:dyDescent="0.25">
      <c r="A9" s="42" t="s">
        <v>45</v>
      </c>
      <c r="B9" s="42">
        <v>0</v>
      </c>
      <c r="F9" s="42">
        <v>0</v>
      </c>
      <c r="J9" s="42">
        <v>0</v>
      </c>
      <c r="N9" s="42">
        <v>0</v>
      </c>
      <c r="R9" s="42">
        <v>0</v>
      </c>
      <c r="X9" s="43"/>
    </row>
    <row r="10" spans="1:24" s="2" customFormat="1" ht="13" x14ac:dyDescent="0.3">
      <c r="A10" s="2" t="s">
        <v>61</v>
      </c>
      <c r="B10" s="2">
        <f>SUM(B7:B9)</f>
        <v>0</v>
      </c>
      <c r="D10" s="55"/>
      <c r="F10" s="2">
        <f>SUM(F7:F9)</f>
        <v>0</v>
      </c>
      <c r="H10" s="55"/>
      <c r="J10" s="2">
        <f>SUM(J7:J9)</f>
        <v>6</v>
      </c>
      <c r="K10" s="2">
        <f>SUM(K7:K9)</f>
        <v>0</v>
      </c>
      <c r="L10" s="55">
        <f>K10/J10</f>
        <v>0</v>
      </c>
      <c r="N10" s="2">
        <f>SUM(N7:N9)</f>
        <v>36</v>
      </c>
      <c r="O10" s="2">
        <f>SUM(O7:O9)</f>
        <v>0</v>
      </c>
      <c r="P10" s="55">
        <f>O10/N10</f>
        <v>0</v>
      </c>
      <c r="R10" s="2">
        <f>SUM(R7:R9)</f>
        <v>168</v>
      </c>
      <c r="S10" s="2">
        <f>SUM(S7:S9)</f>
        <v>6</v>
      </c>
      <c r="T10" s="55">
        <f>S10/R10</f>
        <v>3.5714285714285712E-2</v>
      </c>
      <c r="V10" s="2">
        <f>SUM(V7:V9)</f>
        <v>259</v>
      </c>
      <c r="W10" s="2">
        <f>SUM(W7:W9)</f>
        <v>9</v>
      </c>
      <c r="X10" s="55">
        <f>W10/V10</f>
        <v>3.4749034749034749E-2</v>
      </c>
    </row>
    <row r="11" spans="1:24" ht="13" x14ac:dyDescent="0.3">
      <c r="A11" s="2"/>
    </row>
    <row r="12" spans="1:24" ht="13" x14ac:dyDescent="0.3">
      <c r="A12" s="2"/>
    </row>
    <row r="13" spans="1:24" ht="13" x14ac:dyDescent="0.3">
      <c r="A13" s="2"/>
    </row>
    <row r="14" spans="1:24" ht="13" x14ac:dyDescent="0.3">
      <c r="A14" s="2"/>
    </row>
    <row r="15" spans="1:24" ht="13" x14ac:dyDescent="0.3">
      <c r="A15" s="2"/>
    </row>
    <row r="16" spans="1:24" ht="13" x14ac:dyDescent="0.3">
      <c r="A16" s="2"/>
    </row>
    <row r="17" spans="1:64" ht="13" x14ac:dyDescent="0.3">
      <c r="A17" s="2"/>
    </row>
    <row r="19" spans="1:64" s="2" customFormat="1" ht="13" x14ac:dyDescent="0.3">
      <c r="C19" s="2" t="s">
        <v>12</v>
      </c>
      <c r="G19" s="2" t="s">
        <v>5</v>
      </c>
      <c r="K19" s="2" t="s">
        <v>6</v>
      </c>
      <c r="O19" s="2" t="s">
        <v>7</v>
      </c>
      <c r="S19" s="2" t="s">
        <v>8</v>
      </c>
      <c r="W19" s="2" t="s">
        <v>9</v>
      </c>
      <c r="AA19" s="2" t="s">
        <v>10</v>
      </c>
      <c r="AE19" s="2" t="s">
        <v>11</v>
      </c>
    </row>
    <row r="20" spans="1:64" s="2" customFormat="1" ht="13" x14ac:dyDescent="0.3">
      <c r="B20" s="27" t="s">
        <v>44</v>
      </c>
      <c r="F20" s="27" t="s">
        <v>44</v>
      </c>
      <c r="J20" s="27" t="s">
        <v>44</v>
      </c>
      <c r="N20" s="27" t="s">
        <v>44</v>
      </c>
      <c r="R20" s="27" t="s">
        <v>44</v>
      </c>
      <c r="V20" s="27" t="s">
        <v>44</v>
      </c>
      <c r="Z20" s="27" t="s">
        <v>44</v>
      </c>
      <c r="AD20" s="27" t="s">
        <v>44</v>
      </c>
    </row>
    <row r="21" spans="1:64" x14ac:dyDescent="0.25">
      <c r="B21" t="s">
        <v>13</v>
      </c>
      <c r="C21" t="s">
        <v>51</v>
      </c>
      <c r="D21" t="s">
        <v>14</v>
      </c>
      <c r="F21" t="s">
        <v>13</v>
      </c>
      <c r="G21" t="s">
        <v>51</v>
      </c>
      <c r="H21" t="s">
        <v>14</v>
      </c>
      <c r="J21" t="s">
        <v>13</v>
      </c>
      <c r="K21" t="s">
        <v>51</v>
      </c>
      <c r="L21" t="s">
        <v>14</v>
      </c>
      <c r="N21" t="s">
        <v>13</v>
      </c>
      <c r="O21" t="s">
        <v>51</v>
      </c>
      <c r="P21" t="s">
        <v>14</v>
      </c>
      <c r="R21" t="s">
        <v>13</v>
      </c>
      <c r="S21" t="s">
        <v>51</v>
      </c>
      <c r="T21" t="s">
        <v>14</v>
      </c>
      <c r="V21" t="s">
        <v>13</v>
      </c>
      <c r="W21" t="s">
        <v>51</v>
      </c>
      <c r="X21" t="s">
        <v>14</v>
      </c>
      <c r="Z21" t="s">
        <v>13</v>
      </c>
      <c r="AA21" t="s">
        <v>51</v>
      </c>
      <c r="AB21" t="s">
        <v>14</v>
      </c>
      <c r="AD21" t="s">
        <v>13</v>
      </c>
      <c r="AE21" t="s">
        <v>51</v>
      </c>
      <c r="AF21" t="s">
        <v>14</v>
      </c>
    </row>
    <row r="22" spans="1:64" x14ac:dyDescent="0.25">
      <c r="A22" s="32" t="s">
        <v>65</v>
      </c>
    </row>
    <row r="23" spans="1:64" x14ac:dyDescent="0.25">
      <c r="A23" s="32" t="s">
        <v>66</v>
      </c>
    </row>
    <row r="24" spans="1:64" x14ac:dyDescent="0.25">
      <c r="A24" t="s">
        <v>31</v>
      </c>
      <c r="B24">
        <v>235</v>
      </c>
      <c r="C24">
        <v>7</v>
      </c>
      <c r="D24" s="3">
        <f>C24/B24</f>
        <v>2.9787234042553193E-2</v>
      </c>
      <c r="F24">
        <v>114</v>
      </c>
      <c r="G24">
        <v>2</v>
      </c>
      <c r="H24" s="3">
        <f>G24/F24</f>
        <v>1.7543859649122806E-2</v>
      </c>
      <c r="J24">
        <v>68</v>
      </c>
      <c r="K24">
        <v>2</v>
      </c>
      <c r="L24" s="3">
        <f>K24/J24</f>
        <v>2.9411764705882353E-2</v>
      </c>
      <c r="N24">
        <v>225</v>
      </c>
      <c r="O24">
        <v>9</v>
      </c>
      <c r="P24" s="3">
        <f>O24/N24</f>
        <v>0.04</v>
      </c>
      <c r="R24">
        <v>108</v>
      </c>
      <c r="S24">
        <v>4</v>
      </c>
      <c r="T24" s="3">
        <f>S24/R24</f>
        <v>3.7037037037037035E-2</v>
      </c>
      <c r="V24">
        <v>110</v>
      </c>
      <c r="W24">
        <v>3</v>
      </c>
      <c r="X24" s="3">
        <f>W24/V24</f>
        <v>2.7272727272727271E-2</v>
      </c>
      <c r="Z24">
        <v>0</v>
      </c>
      <c r="AD24">
        <v>0</v>
      </c>
    </row>
    <row r="25" spans="1:64" x14ac:dyDescent="0.25">
      <c r="A25" t="s">
        <v>32</v>
      </c>
      <c r="B25">
        <v>98</v>
      </c>
      <c r="C25">
        <v>3</v>
      </c>
      <c r="D25" s="3">
        <f>C25/B25</f>
        <v>3.0612244897959183E-2</v>
      </c>
      <c r="F25">
        <v>0</v>
      </c>
      <c r="H25" s="3"/>
      <c r="J25">
        <v>0</v>
      </c>
      <c r="L25" s="3"/>
      <c r="N25">
        <v>0</v>
      </c>
      <c r="P25" s="3"/>
      <c r="R25">
        <v>0</v>
      </c>
      <c r="T25" s="3"/>
      <c r="V25">
        <v>0</v>
      </c>
      <c r="X25" s="3"/>
      <c r="Z25">
        <v>0</v>
      </c>
      <c r="AB25" s="3"/>
      <c r="AD25">
        <v>0</v>
      </c>
    </row>
    <row r="26" spans="1:64" s="42" customFormat="1" x14ac:dyDescent="0.25">
      <c r="A26" s="42" t="s">
        <v>45</v>
      </c>
      <c r="B26" s="42">
        <v>0</v>
      </c>
      <c r="D26" s="43"/>
      <c r="F26" s="42">
        <v>0</v>
      </c>
      <c r="J26" s="42">
        <v>0</v>
      </c>
      <c r="N26" s="42">
        <v>0</v>
      </c>
      <c r="R26" s="42">
        <v>0</v>
      </c>
      <c r="V26" s="42">
        <v>0</v>
      </c>
      <c r="Z26" s="42">
        <v>0</v>
      </c>
      <c r="AD26" s="42">
        <v>0</v>
      </c>
    </row>
    <row r="27" spans="1:64" s="46" customFormat="1" ht="13" x14ac:dyDescent="0.3">
      <c r="A27" s="46" t="s">
        <v>61</v>
      </c>
      <c r="B27" s="46">
        <f>SUM(B24:B26)</f>
        <v>333</v>
      </c>
      <c r="C27" s="46">
        <f>SUM(C24:C26)</f>
        <v>10</v>
      </c>
      <c r="D27" s="67">
        <f>C27/B27</f>
        <v>3.003003003003003E-2</v>
      </c>
      <c r="F27" s="46">
        <f>SUM(F24:F26)</f>
        <v>114</v>
      </c>
      <c r="G27" s="46">
        <f>SUM(G24:G26)</f>
        <v>2</v>
      </c>
      <c r="H27" s="67">
        <f>G27/F27</f>
        <v>1.7543859649122806E-2</v>
      </c>
      <c r="J27" s="46">
        <f>SUM(J24:J26)</f>
        <v>68</v>
      </c>
      <c r="K27" s="46">
        <f>SUM(K24:K26)</f>
        <v>2</v>
      </c>
      <c r="L27" s="67">
        <f>K27/J27</f>
        <v>2.9411764705882353E-2</v>
      </c>
      <c r="N27" s="46">
        <f>SUM(N24:N26)</f>
        <v>225</v>
      </c>
      <c r="O27" s="46">
        <f>SUM(O24:O26)</f>
        <v>9</v>
      </c>
      <c r="P27" s="67">
        <f>O27/N27</f>
        <v>0.04</v>
      </c>
      <c r="R27" s="46">
        <f>SUM(R24:R26)</f>
        <v>108</v>
      </c>
      <c r="S27" s="46">
        <f>SUM(S24:S26)</f>
        <v>4</v>
      </c>
      <c r="T27" s="67">
        <f>S27/R27</f>
        <v>3.7037037037037035E-2</v>
      </c>
      <c r="V27" s="46">
        <f>SUM(V24:V26)</f>
        <v>110</v>
      </c>
      <c r="W27" s="46">
        <f>SUM(W24:W26)</f>
        <v>3</v>
      </c>
      <c r="X27" s="67">
        <f>W27/V27</f>
        <v>2.7272727272727271E-2</v>
      </c>
      <c r="Z27" s="46">
        <f>SUM(Z24:Z26)</f>
        <v>0</v>
      </c>
      <c r="AB27" s="67"/>
      <c r="AD27" s="46">
        <f>SUM(AD24:AD26)</f>
        <v>0</v>
      </c>
      <c r="AF27" s="67"/>
    </row>
    <row r="28" spans="1:64" ht="13" x14ac:dyDescent="0.3">
      <c r="A28" s="23" t="s">
        <v>63</v>
      </c>
      <c r="B28" s="73">
        <v>0</v>
      </c>
      <c r="D28" s="3"/>
      <c r="F28" s="73">
        <v>128</v>
      </c>
      <c r="G28">
        <v>29</v>
      </c>
      <c r="H28" s="110">
        <f>G28/F28</f>
        <v>0.2265625</v>
      </c>
      <c r="J28" s="73">
        <v>26</v>
      </c>
      <c r="K28" s="73">
        <v>5</v>
      </c>
      <c r="L28" s="110">
        <f>K28/J28</f>
        <v>0.19230769230769232</v>
      </c>
      <c r="N28" s="73">
        <v>190</v>
      </c>
      <c r="O28" s="73">
        <v>34</v>
      </c>
      <c r="P28" s="110">
        <f>O28/N28</f>
        <v>0.17894736842105263</v>
      </c>
      <c r="R28" s="73">
        <v>0</v>
      </c>
      <c r="T28" s="3"/>
      <c r="V28" s="73">
        <v>2</v>
      </c>
      <c r="W28">
        <v>0</v>
      </c>
      <c r="X28" s="110">
        <f>W28/V28</f>
        <v>0</v>
      </c>
      <c r="Z28" s="73">
        <v>0</v>
      </c>
      <c r="AH28" s="4"/>
      <c r="AM28" s="3"/>
    </row>
    <row r="29" spans="1:64" ht="13" x14ac:dyDescent="0.3">
      <c r="A29" s="2">
        <v>2</v>
      </c>
      <c r="B29" s="73">
        <v>0</v>
      </c>
      <c r="D29" s="3"/>
      <c r="F29" s="73">
        <v>304</v>
      </c>
      <c r="G29">
        <v>36</v>
      </c>
      <c r="H29" s="110">
        <f>G29/F29</f>
        <v>0.11842105263157894</v>
      </c>
      <c r="J29" s="73">
        <v>159</v>
      </c>
      <c r="K29" s="73">
        <v>27</v>
      </c>
      <c r="L29" s="110">
        <f>K29/J29</f>
        <v>0.16981132075471697</v>
      </c>
      <c r="N29" s="73">
        <v>259</v>
      </c>
      <c r="O29" s="73">
        <v>39</v>
      </c>
      <c r="P29" s="110">
        <f>O29/N29</f>
        <v>0.15057915057915058</v>
      </c>
      <c r="R29" s="73">
        <v>19</v>
      </c>
      <c r="S29" s="73">
        <v>8</v>
      </c>
      <c r="T29" s="110">
        <f>S29/R29</f>
        <v>0.42105263157894735</v>
      </c>
      <c r="V29" s="73">
        <v>44</v>
      </c>
      <c r="W29" s="73">
        <v>10</v>
      </c>
      <c r="X29" s="110">
        <f>W29/V29</f>
        <v>0.22727272727272727</v>
      </c>
      <c r="Z29" s="73">
        <v>23</v>
      </c>
      <c r="AA29" s="73">
        <v>4</v>
      </c>
      <c r="AB29" s="110">
        <f>AA29/Z29</f>
        <v>0.17391304347826086</v>
      </c>
      <c r="AH29" s="4"/>
      <c r="AM29" s="3"/>
    </row>
    <row r="30" spans="1:64" ht="13" x14ac:dyDescent="0.3">
      <c r="A30" s="2">
        <v>3</v>
      </c>
      <c r="B30" s="73">
        <v>0</v>
      </c>
      <c r="D30" s="3"/>
      <c r="F30" s="73">
        <v>72</v>
      </c>
      <c r="G30">
        <v>12</v>
      </c>
      <c r="H30" s="110">
        <f>G30/F30</f>
        <v>0.16666666666666666</v>
      </c>
      <c r="J30" s="73">
        <v>55</v>
      </c>
      <c r="K30" s="73">
        <v>15</v>
      </c>
      <c r="L30" s="110">
        <f>K30/J30</f>
        <v>0.27272727272727271</v>
      </c>
      <c r="N30" s="73">
        <v>67</v>
      </c>
      <c r="O30" s="73">
        <v>14</v>
      </c>
      <c r="P30" s="110">
        <f>O30/N30</f>
        <v>0.20895522388059701</v>
      </c>
      <c r="R30" s="73">
        <v>53</v>
      </c>
      <c r="S30" s="73">
        <v>18</v>
      </c>
      <c r="T30" s="110">
        <f>S30/R30</f>
        <v>0.33962264150943394</v>
      </c>
      <c r="V30" s="73">
        <v>36</v>
      </c>
      <c r="W30" s="73">
        <v>9</v>
      </c>
      <c r="X30" s="110">
        <f>W30/V30</f>
        <v>0.25</v>
      </c>
      <c r="Z30" s="73">
        <v>12</v>
      </c>
      <c r="AA30" s="73">
        <v>3</v>
      </c>
      <c r="AB30" s="110">
        <f>AA30/Z30</f>
        <v>0.25</v>
      </c>
      <c r="AH30" s="4"/>
      <c r="AM30" s="3"/>
    </row>
    <row r="31" spans="1:64" ht="13" x14ac:dyDescent="0.3">
      <c r="A31" s="2">
        <v>4</v>
      </c>
      <c r="B31" s="73">
        <v>0</v>
      </c>
      <c r="F31" s="73">
        <v>0</v>
      </c>
      <c r="H31" s="110"/>
      <c r="J31" s="73">
        <v>0</v>
      </c>
      <c r="N31" s="73">
        <v>0</v>
      </c>
      <c r="R31" s="73">
        <v>0</v>
      </c>
      <c r="Z31" s="73">
        <v>0</v>
      </c>
      <c r="BL31" s="4"/>
    </row>
    <row r="32" spans="1:64" ht="13" x14ac:dyDescent="0.3">
      <c r="A32" s="2">
        <v>5</v>
      </c>
      <c r="B32" s="73">
        <v>0</v>
      </c>
      <c r="F32" s="73">
        <v>35</v>
      </c>
      <c r="G32">
        <v>10</v>
      </c>
      <c r="H32" s="110">
        <f>G32/F32</f>
        <v>0.2857142857142857</v>
      </c>
      <c r="J32" s="73">
        <v>22</v>
      </c>
      <c r="K32" s="73">
        <v>9</v>
      </c>
      <c r="L32" s="110">
        <f>K32/J32</f>
        <v>0.40909090909090912</v>
      </c>
      <c r="N32" s="73">
        <v>21</v>
      </c>
      <c r="O32" s="73">
        <v>14</v>
      </c>
      <c r="P32" s="110">
        <f>O32/N32</f>
        <v>0.66666666666666663</v>
      </c>
      <c r="R32" s="73">
        <v>3</v>
      </c>
      <c r="S32" s="73">
        <v>1</v>
      </c>
      <c r="T32" s="110">
        <f>S32/R32</f>
        <v>0.33333333333333331</v>
      </c>
      <c r="V32">
        <v>3</v>
      </c>
      <c r="W32">
        <v>3</v>
      </c>
      <c r="X32" s="110">
        <f>W32/V32</f>
        <v>1</v>
      </c>
      <c r="Z32" s="73">
        <v>0</v>
      </c>
      <c r="AH32" s="4"/>
      <c r="BL32" s="4"/>
    </row>
    <row r="33" spans="1:64" x14ac:dyDescent="0.25">
      <c r="F33">
        <f>SUM(F28:F32)</f>
        <v>539</v>
      </c>
      <c r="G33">
        <f>SUM(G28:G32)</f>
        <v>87</v>
      </c>
      <c r="H33" s="110">
        <f>G33/F33</f>
        <v>0.16141001855287571</v>
      </c>
      <c r="J33">
        <f>SUM(J28:J32)</f>
        <v>262</v>
      </c>
      <c r="K33">
        <f>SUM(K28:K32)</f>
        <v>56</v>
      </c>
      <c r="L33" s="110">
        <f>K33/J33</f>
        <v>0.21374045801526717</v>
      </c>
      <c r="N33">
        <f>SUM(N28:N32)</f>
        <v>537</v>
      </c>
      <c r="O33">
        <f>SUM(O28:O32)</f>
        <v>101</v>
      </c>
      <c r="P33" s="110">
        <f>O33/N33</f>
        <v>0.18808193668528864</v>
      </c>
      <c r="R33">
        <f>SUM(R28:R32)</f>
        <v>75</v>
      </c>
      <c r="S33">
        <f>SUM(S28:S32)</f>
        <v>27</v>
      </c>
      <c r="T33" s="110">
        <f>S33/R33</f>
        <v>0.36</v>
      </c>
      <c r="V33">
        <f>SUM(V28:V32)</f>
        <v>85</v>
      </c>
      <c r="W33">
        <f>SUM(W28:W32)</f>
        <v>22</v>
      </c>
      <c r="X33" s="110">
        <f>W33/V33</f>
        <v>0.25882352941176473</v>
      </c>
      <c r="Z33">
        <f>SUM(Z28:Z32)</f>
        <v>35</v>
      </c>
      <c r="AA33">
        <f>SUM(AA28:AA32)</f>
        <v>7</v>
      </c>
      <c r="AB33" s="110">
        <f>AA33/Z33</f>
        <v>0.2</v>
      </c>
      <c r="BL33" s="4"/>
    </row>
    <row r="34" spans="1:64" ht="15.5" x14ac:dyDescent="0.35">
      <c r="A34" s="1" t="s">
        <v>80</v>
      </c>
      <c r="BJ34" s="14"/>
      <c r="BL34" s="4"/>
    </row>
    <row r="35" spans="1:64" ht="13" x14ac:dyDescent="0.3">
      <c r="A35" s="2"/>
      <c r="BJ35" s="14"/>
      <c r="BL35" s="4"/>
    </row>
    <row r="36" spans="1:64" ht="13" x14ac:dyDescent="0.3">
      <c r="B36" s="27" t="s">
        <v>44</v>
      </c>
      <c r="C36" s="2"/>
      <c r="D36" s="2"/>
      <c r="AT36" s="4"/>
      <c r="AU36" s="4"/>
      <c r="AV36" s="4"/>
      <c r="AW36" s="4"/>
      <c r="AX36" s="4"/>
      <c r="BJ36" s="14"/>
      <c r="BL36" s="4"/>
    </row>
    <row r="37" spans="1:64" x14ac:dyDescent="0.25">
      <c r="B37" t="s">
        <v>13</v>
      </c>
      <c r="C37" t="s">
        <v>51</v>
      </c>
      <c r="D37" t="s">
        <v>14</v>
      </c>
      <c r="AT37" s="4"/>
      <c r="AU37" s="4"/>
      <c r="AV37" s="4"/>
      <c r="AW37" s="4"/>
      <c r="AX37" s="4"/>
      <c r="BJ37" s="14"/>
      <c r="BL37" s="4"/>
    </row>
    <row r="38" spans="1:64" x14ac:dyDescent="0.25">
      <c r="A38" t="s">
        <v>31</v>
      </c>
      <c r="B38">
        <f>B24+F24+J24+N24+R24+V24+Z24+AD24+B7+F7+J7+N7+R7+V7</f>
        <v>1284</v>
      </c>
      <c r="C38">
        <f>C24+G24+K24+O24+S24+W24+AA24+AE24+C7+G7+K7+O7+S7+W7</f>
        <v>41</v>
      </c>
      <c r="D38" s="3">
        <f t="shared" ref="D38:D44" si="0">C38/B38</f>
        <v>3.1931464174454825E-2</v>
      </c>
      <c r="AT38" s="4"/>
      <c r="AU38" s="4"/>
      <c r="AV38" s="4"/>
      <c r="AW38" s="4"/>
      <c r="AX38" s="4"/>
      <c r="BJ38" s="14"/>
      <c r="BL38" s="4"/>
    </row>
    <row r="39" spans="1:64" x14ac:dyDescent="0.25">
      <c r="A39" t="s">
        <v>32</v>
      </c>
      <c r="B39">
        <f>B25+F25+J25+N25+R25+V25+Z25+AD25+B8+F8+J8+N8+R8+V8</f>
        <v>143</v>
      </c>
      <c r="C39">
        <f>C25+G25+K25+O25+S25+W25+AA25+AE25+C8+G8+K8+O8+S8+W8</f>
        <v>4</v>
      </c>
      <c r="D39" s="3">
        <f t="shared" si="0"/>
        <v>2.7972027972027972E-2</v>
      </c>
      <c r="AT39" s="4"/>
      <c r="AU39" s="4"/>
      <c r="AV39" s="4"/>
      <c r="AW39" s="4"/>
      <c r="AX39" s="4"/>
      <c r="BJ39" s="14"/>
      <c r="BL39" s="4"/>
    </row>
    <row r="40" spans="1:64" x14ac:dyDescent="0.25">
      <c r="A40" s="44" t="s">
        <v>45</v>
      </c>
      <c r="B40" s="44">
        <f>B26+F26+J26+N26+R26+V26+Z26+AD26+B9+F9+J9+N9+R9+V9</f>
        <v>0</v>
      </c>
      <c r="C40" s="44">
        <v>0</v>
      </c>
      <c r="D40" s="45"/>
      <c r="AT40" s="4"/>
      <c r="AU40" s="4"/>
      <c r="AV40" s="4"/>
      <c r="AW40" s="4"/>
      <c r="AX40" s="4"/>
      <c r="BJ40" s="14"/>
      <c r="BL40" s="4"/>
    </row>
    <row r="41" spans="1:64" ht="13" x14ac:dyDescent="0.3">
      <c r="A41" s="46" t="s">
        <v>61</v>
      </c>
      <c r="B41" s="46">
        <f>SUM(B38:B40)</f>
        <v>1427</v>
      </c>
      <c r="C41" s="46">
        <f>SUM(C38:C40)</f>
        <v>45</v>
      </c>
      <c r="D41" s="67">
        <f t="shared" si="0"/>
        <v>3.1534688156972669E-2</v>
      </c>
      <c r="AT41" s="4"/>
      <c r="AU41" s="4"/>
      <c r="AV41" s="4"/>
      <c r="AW41" s="4"/>
      <c r="AX41" s="4"/>
      <c r="BJ41" s="14"/>
      <c r="BL41" s="4"/>
    </row>
    <row r="42" spans="1:64" ht="13" x14ac:dyDescent="0.3">
      <c r="A42" s="2">
        <v>1</v>
      </c>
      <c r="B42">
        <f>B28+F28+J28+N28+R28+V28+Z28+AD28</f>
        <v>346</v>
      </c>
      <c r="C42">
        <f>C28+G28+K28+O28+S28+W28+AA28+AE28</f>
        <v>68</v>
      </c>
      <c r="D42" s="3">
        <f t="shared" si="0"/>
        <v>0.19653179190751446</v>
      </c>
      <c r="AT42" s="4"/>
      <c r="AU42" s="4"/>
      <c r="AV42" s="4"/>
      <c r="AW42" s="4"/>
      <c r="AX42" s="4"/>
    </row>
    <row r="43" spans="1:64" ht="13" x14ac:dyDescent="0.3">
      <c r="A43" s="2">
        <v>2</v>
      </c>
      <c r="B43">
        <f t="shared" ref="B43:C46" si="1">B29+F29+J29+N29+R29+V29+Z29+AD29</f>
        <v>808</v>
      </c>
      <c r="C43">
        <f t="shared" si="1"/>
        <v>124</v>
      </c>
      <c r="D43" s="3">
        <f t="shared" si="0"/>
        <v>0.15346534653465346</v>
      </c>
      <c r="H43" s="3"/>
      <c r="L43" s="3"/>
      <c r="P43" s="3"/>
      <c r="T43" s="3"/>
      <c r="AH43" s="4"/>
      <c r="AM43" s="3"/>
      <c r="AT43" s="4"/>
      <c r="AU43" s="4"/>
      <c r="AV43" s="4"/>
      <c r="AW43" s="4"/>
      <c r="AX43" s="4"/>
    </row>
    <row r="44" spans="1:64" ht="13" x14ac:dyDescent="0.3">
      <c r="A44" s="2">
        <v>3</v>
      </c>
      <c r="B44">
        <f t="shared" si="1"/>
        <v>295</v>
      </c>
      <c r="C44">
        <f t="shared" si="1"/>
        <v>71</v>
      </c>
      <c r="D44" s="3">
        <f t="shared" si="0"/>
        <v>0.24067796610169492</v>
      </c>
      <c r="H44" s="3"/>
      <c r="L44" s="3"/>
      <c r="P44" s="3"/>
      <c r="T44" s="3"/>
      <c r="X44" s="3"/>
      <c r="AB44" s="3"/>
      <c r="AH44" s="4"/>
      <c r="AM44" s="3"/>
      <c r="AT44" s="4"/>
      <c r="AU44" s="4"/>
      <c r="AV44" s="4"/>
      <c r="AW44" s="4"/>
      <c r="AX44" s="4"/>
    </row>
    <row r="45" spans="1:64" ht="13" x14ac:dyDescent="0.3">
      <c r="A45" s="2">
        <v>4</v>
      </c>
      <c r="B45">
        <f t="shared" si="1"/>
        <v>0</v>
      </c>
      <c r="C45">
        <v>0</v>
      </c>
      <c r="D45" s="48"/>
      <c r="H45" s="3"/>
      <c r="L45" s="3"/>
      <c r="P45" s="3"/>
      <c r="T45" s="3"/>
      <c r="X45" s="3"/>
      <c r="AB45" s="3"/>
      <c r="AH45" s="4"/>
      <c r="AM45" s="3"/>
      <c r="AT45" s="4"/>
      <c r="AU45" s="4"/>
      <c r="AV45" s="4"/>
      <c r="AW45" s="4"/>
      <c r="AX45" s="4"/>
    </row>
    <row r="46" spans="1:64" ht="13" x14ac:dyDescent="0.3">
      <c r="A46" s="2">
        <v>5</v>
      </c>
      <c r="B46">
        <f t="shared" si="1"/>
        <v>84</v>
      </c>
      <c r="C46">
        <f t="shared" si="1"/>
        <v>37</v>
      </c>
      <c r="D46" s="3">
        <f>C46/B46</f>
        <v>0.44047619047619047</v>
      </c>
    </row>
    <row r="47" spans="1:64" x14ac:dyDescent="0.25">
      <c r="P47" s="3"/>
      <c r="T47" s="3"/>
      <c r="AH47" s="4"/>
      <c r="AM47" s="3"/>
    </row>
    <row r="49" spans="1:55" ht="13" x14ac:dyDescent="0.3">
      <c r="A49" s="2"/>
    </row>
    <row r="51" spans="1:55" x14ac:dyDescent="0.25">
      <c r="AV51" s="4"/>
      <c r="AW51" s="4"/>
      <c r="AX51" s="4"/>
      <c r="AY51" s="4"/>
      <c r="AZ51" s="4"/>
      <c r="BA51" s="4"/>
    </row>
    <row r="52" spans="1:55" x14ac:dyDescent="0.25">
      <c r="AV52" s="4"/>
      <c r="AW52" s="4"/>
      <c r="AX52" s="4"/>
      <c r="AY52" s="4"/>
      <c r="AZ52" s="4"/>
      <c r="BA52" s="4"/>
      <c r="BB52" s="3"/>
      <c r="BC52" s="3"/>
    </row>
    <row r="53" spans="1:55" x14ac:dyDescent="0.25">
      <c r="D53" s="3"/>
      <c r="H53" s="3"/>
      <c r="L53" s="3"/>
      <c r="P53" s="3"/>
      <c r="T53" s="3"/>
      <c r="X53" s="3"/>
      <c r="AH53" s="4"/>
      <c r="AM53" s="3"/>
      <c r="AV53" s="4"/>
      <c r="AW53" s="4"/>
      <c r="AX53" s="4"/>
      <c r="AY53" s="4"/>
      <c r="AZ53" s="4"/>
      <c r="BA53" s="4"/>
      <c r="BB53" s="3"/>
      <c r="BC53" s="3"/>
    </row>
    <row r="54" spans="1:55" x14ac:dyDescent="0.25">
      <c r="D54" s="3"/>
      <c r="H54" s="3"/>
      <c r="L54" s="3"/>
      <c r="P54" s="3"/>
      <c r="T54" s="3"/>
      <c r="X54" s="3"/>
      <c r="AB54" s="3"/>
      <c r="AH54" s="4"/>
      <c r="AM54" s="3"/>
      <c r="AV54" s="4"/>
      <c r="AW54" s="4"/>
      <c r="AX54" s="4"/>
      <c r="AY54" s="4"/>
      <c r="AZ54" s="4"/>
      <c r="BA54" s="4"/>
    </row>
    <row r="55" spans="1:55" x14ac:dyDescent="0.25">
      <c r="D55" s="3"/>
      <c r="H55" s="3"/>
      <c r="L55" s="3"/>
      <c r="P55" s="3"/>
      <c r="T55" s="3"/>
      <c r="X55" s="3"/>
      <c r="AB55" s="3"/>
      <c r="AH55" s="4"/>
      <c r="AM55" s="3"/>
      <c r="AV55" s="4"/>
      <c r="AW55" s="4"/>
      <c r="AX55" s="4"/>
      <c r="AY55" s="4"/>
      <c r="AZ55" s="4"/>
      <c r="BA55" s="4"/>
      <c r="BB55" s="3"/>
    </row>
    <row r="56" spans="1:55" x14ac:dyDescent="0.25">
      <c r="D56" s="3"/>
      <c r="H56" s="3"/>
      <c r="L56" s="3"/>
      <c r="P56" s="3"/>
      <c r="AH56" s="4"/>
      <c r="AM56" s="3"/>
      <c r="AP56" s="3"/>
      <c r="AQ56" s="3"/>
      <c r="AR56" s="3"/>
      <c r="AS56" s="3"/>
      <c r="AT56" s="3"/>
      <c r="AU56" s="3"/>
      <c r="AV56" s="3"/>
      <c r="AW56" s="3"/>
      <c r="AX56" s="3"/>
      <c r="AY56" s="3"/>
      <c r="AZ56" s="3"/>
      <c r="BA56" s="3"/>
      <c r="BB56" s="3"/>
      <c r="BC56" s="3"/>
    </row>
    <row r="57" spans="1:55" x14ac:dyDescent="0.25">
      <c r="D57" s="3"/>
      <c r="H57" s="3"/>
      <c r="L57" s="3"/>
      <c r="P57" s="3"/>
      <c r="T57" s="3"/>
      <c r="X57" s="3"/>
      <c r="AB57" s="3"/>
      <c r="AH57" s="4"/>
      <c r="AM57" s="3"/>
    </row>
    <row r="59" spans="1:55" ht="13" x14ac:dyDescent="0.3">
      <c r="A59" s="2"/>
    </row>
    <row r="63" spans="1:55" x14ac:dyDescent="0.25">
      <c r="D63" s="3"/>
      <c r="H63" s="3"/>
      <c r="L63" s="3"/>
      <c r="P63" s="3"/>
      <c r="T63" s="3"/>
      <c r="AH63" s="4"/>
      <c r="AM63" s="3"/>
    </row>
    <row r="64" spans="1:55" x14ac:dyDescent="0.25">
      <c r="D64" s="3"/>
      <c r="H64" s="3"/>
      <c r="L64" s="3"/>
      <c r="P64" s="3"/>
      <c r="T64" s="3"/>
      <c r="X64" s="3"/>
      <c r="AB64" s="3"/>
      <c r="AH64" s="4"/>
      <c r="AM64" s="3"/>
    </row>
    <row r="65" spans="1:39" x14ac:dyDescent="0.25">
      <c r="D65" s="3"/>
      <c r="H65" s="3"/>
      <c r="L65" s="3"/>
      <c r="P65" s="3"/>
      <c r="T65" s="3"/>
      <c r="X65" s="3"/>
      <c r="AB65" s="3"/>
      <c r="AH65" s="4"/>
      <c r="AM65" s="3"/>
    </row>
    <row r="66" spans="1:39" x14ac:dyDescent="0.25">
      <c r="D66" s="3"/>
    </row>
    <row r="67" spans="1:39" x14ac:dyDescent="0.25">
      <c r="D67" s="3"/>
      <c r="L67" s="3"/>
      <c r="P67" s="3"/>
      <c r="T67" s="3"/>
      <c r="X67" s="3"/>
      <c r="AB67" s="3"/>
      <c r="AH67" s="4"/>
      <c r="AM67" s="3"/>
    </row>
    <row r="69" spans="1:39" ht="13" x14ac:dyDescent="0.3">
      <c r="A69" s="2"/>
    </row>
    <row r="73" spans="1:39" x14ac:dyDescent="0.25">
      <c r="H73" s="3"/>
      <c r="L73" s="3"/>
      <c r="P73" s="3"/>
      <c r="T73" s="3"/>
      <c r="X73" s="3"/>
      <c r="AH73" s="4"/>
      <c r="AM73" s="3"/>
    </row>
    <row r="74" spans="1:39" x14ac:dyDescent="0.25">
      <c r="H74" s="3"/>
      <c r="L74" s="3"/>
      <c r="P74" s="3"/>
      <c r="T74" s="3"/>
      <c r="X74" s="3"/>
      <c r="AB74" s="3"/>
      <c r="AH74" s="4"/>
      <c r="AM74" s="3"/>
    </row>
    <row r="75" spans="1:39" x14ac:dyDescent="0.25">
      <c r="H75" s="3"/>
      <c r="L75" s="3"/>
      <c r="P75" s="3"/>
      <c r="T75" s="3"/>
      <c r="X75" s="3"/>
      <c r="AB75" s="3"/>
      <c r="AH75" s="4"/>
      <c r="AM75" s="3"/>
    </row>
    <row r="76" spans="1:39" x14ac:dyDescent="0.25">
      <c r="H76" s="3"/>
      <c r="AH76" s="4"/>
      <c r="AM76" s="3"/>
    </row>
    <row r="77" spans="1:39" x14ac:dyDescent="0.25">
      <c r="H77" s="3"/>
      <c r="L77" s="3"/>
      <c r="P77" s="3"/>
      <c r="T77" s="3"/>
      <c r="X77" s="3"/>
      <c r="AB77" s="3"/>
      <c r="AH77" s="4"/>
      <c r="AM77" s="3"/>
    </row>
    <row r="78" spans="1:39" x14ac:dyDescent="0.25">
      <c r="H78" s="3"/>
      <c r="L78" s="3"/>
      <c r="P78" s="3"/>
      <c r="T78" s="3"/>
      <c r="X78" s="3"/>
      <c r="AB78" s="3"/>
      <c r="AH78" s="4"/>
      <c r="AM78" s="3"/>
    </row>
    <row r="82" spans="4:32" x14ac:dyDescent="0.25">
      <c r="D82" s="3"/>
      <c r="H82" s="3"/>
      <c r="L82" s="3"/>
      <c r="P82" s="3"/>
      <c r="T82" s="3"/>
      <c r="X82" s="3"/>
    </row>
    <row r="83" spans="4:32" x14ac:dyDescent="0.25">
      <c r="D83" s="3"/>
      <c r="H83" s="3"/>
      <c r="L83" s="3"/>
      <c r="P83" s="3"/>
      <c r="T83" s="3"/>
      <c r="X83" s="3"/>
      <c r="AB83" s="3"/>
      <c r="AF83" s="3"/>
    </row>
    <row r="84" spans="4:32" x14ac:dyDescent="0.25">
      <c r="D84" s="3"/>
      <c r="H84" s="3"/>
      <c r="L84" s="3"/>
      <c r="P84" s="3"/>
      <c r="T84" s="3"/>
      <c r="X84" s="3"/>
      <c r="AB84" s="3"/>
      <c r="AF84" s="3"/>
    </row>
    <row r="85" spans="4:32" x14ac:dyDescent="0.25">
      <c r="D85" s="3"/>
      <c r="H85" s="3"/>
      <c r="P85" s="3"/>
    </row>
    <row r="86" spans="4:32" x14ac:dyDescent="0.25">
      <c r="D86" s="3"/>
      <c r="H86" s="3"/>
      <c r="L86" s="3"/>
      <c r="P86" s="3"/>
      <c r="T86" s="3"/>
      <c r="X86" s="3"/>
      <c r="AB86" s="3"/>
    </row>
  </sheetData>
  <phoneticPr fontId="4" type="noConversion"/>
  <pageMargins left="0.75" right="0.75" top="1" bottom="1" header="0.5" footer="0.5"/>
  <pageSetup orientation="portrait" horizontalDpi="4294967293" verticalDpi="0"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S141"/>
  <sheetViews>
    <sheetView topLeftCell="A43" zoomScale="75" workbookViewId="0">
      <selection activeCell="I30" sqref="I30"/>
    </sheetView>
  </sheetViews>
  <sheetFormatPr defaultRowHeight="12.5" x14ac:dyDescent="0.25"/>
  <cols>
    <col min="1" max="1" width="13.1796875" customWidth="1"/>
    <col min="2" max="2" width="10.26953125" customWidth="1"/>
    <col min="3" max="4" width="13.453125" customWidth="1"/>
    <col min="5" max="5" width="1.1796875" customWidth="1"/>
    <col min="6" max="6" width="10.26953125" customWidth="1"/>
    <col min="7" max="8" width="13.453125" customWidth="1"/>
    <col min="9" max="9" width="1.1796875" customWidth="1"/>
    <col min="10" max="10" width="10.26953125" customWidth="1"/>
    <col min="11" max="12" width="13.453125" customWidth="1"/>
    <col min="13" max="13" width="1.1796875" customWidth="1"/>
    <col min="14" max="14" width="10.26953125" customWidth="1"/>
    <col min="15" max="16" width="13.453125" customWidth="1"/>
    <col min="17" max="17" width="0.81640625" customWidth="1"/>
    <col min="18" max="18" width="10.26953125" customWidth="1"/>
    <col min="19" max="20" width="13.453125" customWidth="1"/>
    <col min="21" max="21" width="1.1796875" customWidth="1"/>
    <col min="22" max="22" width="10.26953125" customWidth="1"/>
    <col min="23" max="24" width="13.453125" customWidth="1"/>
    <col min="25" max="25" width="1.26953125" customWidth="1"/>
    <col min="26" max="26" width="10.26953125" customWidth="1"/>
    <col min="27" max="28" width="13.453125" customWidth="1"/>
    <col min="29" max="29" width="1.7265625" customWidth="1"/>
    <col min="30" max="30" width="10.26953125" customWidth="1"/>
    <col min="31" max="32" width="13.453125" customWidth="1"/>
    <col min="34" max="34" width="9.81640625" customWidth="1"/>
    <col min="35" max="35" width="13.54296875" bestFit="1" customWidth="1"/>
    <col min="36" max="38" width="13.54296875" customWidth="1"/>
    <col min="56" max="56" width="11.26953125" bestFit="1" customWidth="1"/>
    <col min="57" max="57" width="10.26953125" bestFit="1" customWidth="1"/>
    <col min="58" max="58" width="11.26953125" bestFit="1" customWidth="1"/>
    <col min="61" max="61" width="11.81640625" customWidth="1"/>
    <col min="62" max="62" width="9.7265625" bestFit="1" customWidth="1"/>
    <col min="63" max="63" width="9.54296875" customWidth="1"/>
  </cols>
  <sheetData>
    <row r="1" spans="1:69" ht="15.5" x14ac:dyDescent="0.35">
      <c r="A1" s="1" t="s">
        <v>153</v>
      </c>
    </row>
    <row r="2" spans="1:69" s="27" customFormat="1" ht="13" x14ac:dyDescent="0.3">
      <c r="A2" s="2" t="s">
        <v>54</v>
      </c>
    </row>
    <row r="3" spans="1:69" s="27" customFormat="1" ht="13" x14ac:dyDescent="0.3">
      <c r="B3" s="36" t="s">
        <v>57</v>
      </c>
    </row>
    <row r="4" spans="1:69" s="27" customFormat="1" ht="13" x14ac:dyDescent="0.3">
      <c r="B4" s="37" t="s">
        <v>75</v>
      </c>
    </row>
    <row r="5" spans="1:69" s="27" customFormat="1" ht="13" x14ac:dyDescent="0.3">
      <c r="B5" s="38" t="s">
        <v>76</v>
      </c>
    </row>
    <row r="6" spans="1:69" s="27" customFormat="1" ht="13" x14ac:dyDescent="0.3">
      <c r="B6" s="201" t="s">
        <v>155</v>
      </c>
    </row>
    <row r="7" spans="1:69" ht="15.5" x14ac:dyDescent="0.35">
      <c r="A7" s="1" t="s">
        <v>47</v>
      </c>
      <c r="BI7" s="2"/>
    </row>
    <row r="8" spans="1:69" ht="13" x14ac:dyDescent="0.3">
      <c r="A8" s="2"/>
      <c r="BI8" s="2"/>
      <c r="BJ8" s="2"/>
      <c r="BK8" s="2"/>
    </row>
    <row r="9" spans="1:69" ht="13" x14ac:dyDescent="0.3">
      <c r="C9" s="2" t="s">
        <v>0</v>
      </c>
      <c r="G9" s="2" t="s">
        <v>2</v>
      </c>
      <c r="K9" s="2" t="s">
        <v>3</v>
      </c>
      <c r="O9" s="2" t="s">
        <v>4</v>
      </c>
      <c r="S9" s="2" t="s">
        <v>67</v>
      </c>
      <c r="W9" s="2" t="s">
        <v>68</v>
      </c>
      <c r="BI9" s="14"/>
      <c r="BJ9" s="30"/>
      <c r="BK9" s="30"/>
    </row>
    <row r="10" spans="1:69" x14ac:dyDescent="0.25">
      <c r="B10" t="s">
        <v>43</v>
      </c>
      <c r="C10" t="s">
        <v>50</v>
      </c>
      <c r="D10" t="s">
        <v>51</v>
      </c>
      <c r="F10" t="s">
        <v>43</v>
      </c>
      <c r="G10" t="s">
        <v>50</v>
      </c>
      <c r="H10" t="s">
        <v>51</v>
      </c>
      <c r="J10" t="s">
        <v>43</v>
      </c>
      <c r="K10" t="s">
        <v>50</v>
      </c>
      <c r="L10" t="s">
        <v>51</v>
      </c>
      <c r="N10" t="s">
        <v>43</v>
      </c>
      <c r="O10" t="s">
        <v>50</v>
      </c>
      <c r="P10" t="s">
        <v>51</v>
      </c>
      <c r="R10" t="s">
        <v>43</v>
      </c>
      <c r="S10" t="s">
        <v>50</v>
      </c>
      <c r="T10" t="s">
        <v>51</v>
      </c>
      <c r="V10" t="s">
        <v>43</v>
      </c>
      <c r="W10" t="s">
        <v>50</v>
      </c>
      <c r="X10" t="s">
        <v>51</v>
      </c>
      <c r="BI10" s="14"/>
      <c r="BJ10" s="30"/>
      <c r="BK10" s="30"/>
      <c r="BN10" s="6"/>
    </row>
    <row r="11" spans="1:69" x14ac:dyDescent="0.25">
      <c r="A11" s="32" t="s">
        <v>65</v>
      </c>
      <c r="BI11" s="14"/>
      <c r="BJ11" s="30"/>
      <c r="BK11" s="30"/>
      <c r="BN11" s="6"/>
    </row>
    <row r="12" spans="1:69" x14ac:dyDescent="0.25">
      <c r="A12" s="32" t="s">
        <v>66</v>
      </c>
      <c r="V12">
        <v>107</v>
      </c>
      <c r="W12" s="4">
        <f>'2006 Sampling'!X6</f>
        <v>1.2500000000000001E-2</v>
      </c>
      <c r="X12" s="5">
        <f>W12*V12</f>
        <v>1.3375000000000001</v>
      </c>
      <c r="BI12" s="14"/>
      <c r="BJ12" s="30"/>
      <c r="BK12" s="30"/>
      <c r="BN12" s="6"/>
    </row>
    <row r="13" spans="1:69" x14ac:dyDescent="0.25">
      <c r="A13" t="s">
        <v>31</v>
      </c>
      <c r="B13" s="11">
        <v>0</v>
      </c>
      <c r="C13" s="7"/>
      <c r="D13" s="5"/>
      <c r="F13" s="11">
        <v>2</v>
      </c>
      <c r="G13" s="4">
        <f>'2006 Sampling'!H7</f>
        <v>0</v>
      </c>
      <c r="H13" s="5">
        <f>G13*F13</f>
        <v>0</v>
      </c>
      <c r="J13" s="11">
        <v>3</v>
      </c>
      <c r="K13" s="4">
        <f>'2006 Sampling'!L7</f>
        <v>0</v>
      </c>
      <c r="L13" s="5">
        <f>K13*J13</f>
        <v>0</v>
      </c>
      <c r="N13" s="11">
        <v>282</v>
      </c>
      <c r="O13" s="4">
        <f>'2006 Sampling'!P7</f>
        <v>8.1967213114754103E-3</v>
      </c>
      <c r="P13" s="5">
        <f>O13*N13</f>
        <v>2.3114754098360657</v>
      </c>
      <c r="R13" s="11">
        <v>1175</v>
      </c>
      <c r="S13" s="112">
        <f>'2006 Sampling'!T7</f>
        <v>0</v>
      </c>
      <c r="T13" s="5">
        <f>S13*R13</f>
        <v>0</v>
      </c>
      <c r="V13" s="11">
        <v>12850</v>
      </c>
      <c r="W13" s="4">
        <f>'2006 Sampling'!X7</f>
        <v>1.3605442176870748E-2</v>
      </c>
      <c r="X13" s="5">
        <f>W13*V13</f>
        <v>174.8299319727891</v>
      </c>
      <c r="AA13" s="4"/>
      <c r="AB13" s="5"/>
      <c r="AE13" s="4"/>
      <c r="AF13" s="5"/>
      <c r="AI13" s="4"/>
      <c r="AJ13" s="5"/>
      <c r="AM13" s="4"/>
      <c r="AN13" s="5"/>
      <c r="AQ13" s="4"/>
      <c r="AR13" s="5"/>
      <c r="AU13" s="4"/>
      <c r="AV13" s="5"/>
      <c r="AY13" s="7"/>
      <c r="AZ13" s="5"/>
    </row>
    <row r="14" spans="1:69" x14ac:dyDescent="0.25">
      <c r="A14" t="s">
        <v>32</v>
      </c>
      <c r="B14" s="11">
        <v>0</v>
      </c>
      <c r="F14" s="11">
        <v>0</v>
      </c>
      <c r="J14" s="11">
        <v>0</v>
      </c>
      <c r="N14" s="11">
        <v>0</v>
      </c>
      <c r="R14" s="11">
        <v>0</v>
      </c>
      <c r="S14" s="112"/>
      <c r="T14" s="5">
        <f>S14*R14</f>
        <v>0</v>
      </c>
      <c r="V14" s="11">
        <v>92</v>
      </c>
      <c r="W14" s="4">
        <f>'2006 Sampling'!X8</f>
        <v>3.3707865168539325E-2</v>
      </c>
      <c r="X14" s="5">
        <f>W14*V14</f>
        <v>3.101123595505618</v>
      </c>
      <c r="AA14" s="4"/>
      <c r="AB14" s="5"/>
      <c r="AE14" s="4"/>
      <c r="AF14" s="5"/>
      <c r="AI14" s="4"/>
      <c r="AJ14" s="5"/>
      <c r="AM14" s="4"/>
      <c r="AN14" s="5"/>
      <c r="AQ14" s="4"/>
      <c r="AR14" s="5"/>
      <c r="AU14" s="4"/>
      <c r="AV14" s="5"/>
      <c r="AY14" s="4"/>
      <c r="AZ14" s="5"/>
      <c r="BD14" s="5"/>
      <c r="BE14" s="3"/>
      <c r="BG14" s="5"/>
      <c r="BH14" s="3"/>
      <c r="BJ14" s="5"/>
      <c r="BK14" s="3"/>
      <c r="BM14" s="5"/>
      <c r="BN14" s="3"/>
      <c r="BP14" s="5"/>
      <c r="BQ14" s="3"/>
    </row>
    <row r="15" spans="1:69" s="42" customFormat="1" x14ac:dyDescent="0.25">
      <c r="A15" s="42" t="s">
        <v>45</v>
      </c>
      <c r="B15" s="47">
        <v>0</v>
      </c>
      <c r="F15" s="47">
        <v>0</v>
      </c>
      <c r="J15" s="47">
        <v>0</v>
      </c>
      <c r="N15" s="47">
        <v>0</v>
      </c>
      <c r="R15" s="47">
        <v>0</v>
      </c>
      <c r="S15" s="68"/>
      <c r="T15" s="50">
        <f>S15*R15</f>
        <v>0</v>
      </c>
      <c r="V15" s="47">
        <v>7260</v>
      </c>
      <c r="W15" s="4">
        <f>'2006 Sampling'!X9</f>
        <v>0.05</v>
      </c>
      <c r="X15" s="50">
        <f>W15*V15</f>
        <v>363</v>
      </c>
      <c r="AA15" s="49"/>
      <c r="AB15" s="50"/>
      <c r="AE15" s="49"/>
      <c r="AF15" s="50"/>
      <c r="AI15" s="49"/>
      <c r="AJ15" s="50"/>
      <c r="AM15" s="49"/>
      <c r="AN15" s="50"/>
      <c r="AQ15" s="51"/>
      <c r="AR15" s="50"/>
      <c r="AT15" s="47"/>
      <c r="BD15" s="50"/>
      <c r="BE15" s="43"/>
      <c r="BG15" s="50"/>
      <c r="BH15" s="43"/>
      <c r="BJ15" s="50"/>
      <c r="BK15" s="43"/>
      <c r="BM15" s="50"/>
      <c r="BN15" s="43"/>
      <c r="BP15" s="50"/>
      <c r="BQ15" s="43"/>
    </row>
    <row r="16" spans="1:69" s="80" customFormat="1" ht="14" x14ac:dyDescent="0.3">
      <c r="A16" s="80" t="s">
        <v>61</v>
      </c>
      <c r="B16" s="80">
        <f>SUM(B11:B15)</f>
        <v>0</v>
      </c>
      <c r="C16" s="81"/>
      <c r="D16" s="82"/>
      <c r="F16" s="80">
        <f>SUM(F11:F15)</f>
        <v>2</v>
      </c>
      <c r="G16" s="81"/>
      <c r="H16" s="82">
        <f>SUM(H13:H15)</f>
        <v>0</v>
      </c>
      <c r="J16" s="80">
        <f>SUM(J11:J15)</f>
        <v>3</v>
      </c>
      <c r="K16" s="81">
        <f>L16/J16</f>
        <v>0</v>
      </c>
      <c r="L16" s="82">
        <f>SUM(L13:L15)</f>
        <v>0</v>
      </c>
      <c r="N16" s="80">
        <f>SUM(N11:N15)</f>
        <v>282</v>
      </c>
      <c r="O16" s="81">
        <f>P16/N16</f>
        <v>8.1967213114754103E-3</v>
      </c>
      <c r="P16" s="82">
        <f>SUM(P13:P15)</f>
        <v>2.3114754098360657</v>
      </c>
      <c r="R16" s="80">
        <f>SUM(R11:R15)</f>
        <v>1175</v>
      </c>
      <c r="S16" s="81">
        <f>T16/R16</f>
        <v>0</v>
      </c>
      <c r="T16" s="82">
        <f>SUM(T13:T15)</f>
        <v>0</v>
      </c>
      <c r="V16" s="80">
        <f>SUM(V11:V15)</f>
        <v>20309</v>
      </c>
      <c r="W16" s="81">
        <f>X16/V16</f>
        <v>2.6700898890555651E-2</v>
      </c>
      <c r="X16" s="82">
        <f>SUM(X12:X15)</f>
        <v>542.26855556829469</v>
      </c>
      <c r="BI16" s="86"/>
      <c r="BJ16" s="87"/>
      <c r="BK16" s="87"/>
      <c r="BN16" s="88"/>
    </row>
    <row r="17" spans="1:63" x14ac:dyDescent="0.25">
      <c r="A17">
        <v>1</v>
      </c>
      <c r="B17" s="73">
        <v>0</v>
      </c>
      <c r="C17" s="39"/>
      <c r="D17" s="5">
        <f>C17*B17</f>
        <v>0</v>
      </c>
      <c r="F17" s="111">
        <v>26</v>
      </c>
      <c r="G17" s="119">
        <f>'2006 Sampling'!H11</f>
        <v>0.21428571428571427</v>
      </c>
      <c r="H17" s="5">
        <f>G17*F17</f>
        <v>5.5714285714285712</v>
      </c>
      <c r="J17" s="111">
        <v>265</v>
      </c>
      <c r="K17" s="4">
        <f>'2006 Sampling'!L11</f>
        <v>1</v>
      </c>
      <c r="L17" s="5">
        <f>K17*J17</f>
        <v>265</v>
      </c>
      <c r="N17" s="111">
        <v>0</v>
      </c>
      <c r="O17" s="4"/>
      <c r="R17" s="73">
        <v>0</v>
      </c>
      <c r="V17" s="73">
        <v>0</v>
      </c>
      <c r="BI17" s="14"/>
      <c r="BJ17" s="30"/>
      <c r="BK17" s="30"/>
    </row>
    <row r="18" spans="1:63" x14ac:dyDescent="0.25">
      <c r="A18">
        <v>2</v>
      </c>
      <c r="B18" s="73">
        <v>0</v>
      </c>
      <c r="C18" s="7"/>
      <c r="D18" s="5"/>
      <c r="F18" s="111">
        <v>4</v>
      </c>
      <c r="G18" s="119">
        <f>'2006 Sampling'!H12</f>
        <v>0.5</v>
      </c>
      <c r="H18" s="5">
        <f>G18*F18</f>
        <v>2</v>
      </c>
      <c r="J18" s="111">
        <v>129</v>
      </c>
      <c r="K18" s="4">
        <f>'2006 Sampling'!L12</f>
        <v>0.27777777777777779</v>
      </c>
      <c r="L18" s="5">
        <f>K18*J18</f>
        <v>35.833333333333336</v>
      </c>
      <c r="N18" s="111">
        <v>0</v>
      </c>
      <c r="O18" s="4"/>
      <c r="R18" s="73">
        <v>0</v>
      </c>
      <c r="V18" s="73">
        <v>0</v>
      </c>
      <c r="BI18" s="14"/>
      <c r="BJ18" s="30"/>
      <c r="BK18" s="30"/>
    </row>
    <row r="19" spans="1:63" ht="13" x14ac:dyDescent="0.3">
      <c r="A19">
        <v>3</v>
      </c>
      <c r="B19" s="73">
        <v>0</v>
      </c>
      <c r="C19" s="7"/>
      <c r="D19" s="5"/>
      <c r="F19" s="111">
        <v>9</v>
      </c>
      <c r="G19" s="119">
        <f>'2006 Sampling'!H13</f>
        <v>0.66666666666666663</v>
      </c>
      <c r="H19" s="5">
        <f>G19*F19</f>
        <v>6</v>
      </c>
      <c r="J19" s="111">
        <v>43</v>
      </c>
      <c r="K19" s="4">
        <f>'2006 Sampling'!L13</f>
        <v>0.21052631578947367</v>
      </c>
      <c r="L19" s="5">
        <f>K19*J19</f>
        <v>9.0526315789473681</v>
      </c>
      <c r="N19" s="111">
        <v>105</v>
      </c>
      <c r="O19" s="4">
        <f>'2006 Sampling'!P13</f>
        <v>0.2857142857142857</v>
      </c>
      <c r="P19" s="5">
        <f>O19*N19</f>
        <v>30</v>
      </c>
      <c r="R19" s="73">
        <v>0</v>
      </c>
      <c r="V19" s="73">
        <v>0</v>
      </c>
      <c r="AO19" s="2"/>
      <c r="AP19" s="2"/>
      <c r="AQ19" s="2"/>
      <c r="AR19" s="2"/>
      <c r="AS19" s="2"/>
      <c r="AT19" s="2"/>
      <c r="AU19" s="2"/>
      <c r="AV19" s="2"/>
      <c r="AW19" s="2"/>
      <c r="AX19" s="2"/>
      <c r="AY19" s="2"/>
      <c r="AZ19" s="2"/>
      <c r="BA19" s="2"/>
      <c r="BB19" s="2"/>
      <c r="BI19" s="14"/>
      <c r="BJ19" s="30"/>
      <c r="BK19" s="30"/>
    </row>
    <row r="20" spans="1:63" ht="13" x14ac:dyDescent="0.3">
      <c r="A20">
        <v>4</v>
      </c>
      <c r="B20" s="73">
        <v>0</v>
      </c>
      <c r="F20" s="111">
        <v>1</v>
      </c>
      <c r="G20" s="119"/>
      <c r="J20" s="111">
        <v>33</v>
      </c>
      <c r="K20" s="4">
        <f>K19</f>
        <v>0.21052631578947367</v>
      </c>
      <c r="L20" s="5">
        <f>K20*J20</f>
        <v>6.947368421052631</v>
      </c>
      <c r="N20" s="111">
        <v>105</v>
      </c>
      <c r="O20" s="4">
        <f>'2006 Sampling'!P16</f>
        <v>0.39560439560439559</v>
      </c>
      <c r="P20" s="5">
        <f>O20*N20</f>
        <v>41.53846153846154</v>
      </c>
      <c r="R20" s="73">
        <v>0</v>
      </c>
      <c r="V20" s="73">
        <v>0</v>
      </c>
      <c r="AO20" s="2"/>
      <c r="AP20" s="2"/>
      <c r="AQ20" s="2"/>
      <c r="AR20" s="2"/>
      <c r="AS20" s="2"/>
      <c r="AT20" s="2"/>
      <c r="AU20" s="2"/>
      <c r="AV20" s="2"/>
      <c r="AW20" s="2"/>
      <c r="AX20" s="2"/>
      <c r="AY20" s="2"/>
      <c r="AZ20" s="2"/>
      <c r="BA20" s="2"/>
      <c r="BB20" s="2"/>
      <c r="BD20" s="2"/>
    </row>
    <row r="21" spans="1:63" s="42" customFormat="1" ht="13" x14ac:dyDescent="0.3">
      <c r="A21" s="42">
        <v>5</v>
      </c>
      <c r="B21" s="71">
        <v>0</v>
      </c>
      <c r="F21" s="71">
        <v>0</v>
      </c>
      <c r="J21" s="71">
        <v>35</v>
      </c>
      <c r="K21" s="49">
        <f>K20</f>
        <v>0.21052631578947367</v>
      </c>
      <c r="L21" s="5">
        <f>K21*J21</f>
        <v>7.3684210526315788</v>
      </c>
      <c r="N21" s="42">
        <v>75</v>
      </c>
      <c r="O21" s="49">
        <f>'2006 Sampling'!P16</f>
        <v>0.39560439560439559</v>
      </c>
      <c r="P21" s="5">
        <f>O21*N21</f>
        <v>29.670329670329668</v>
      </c>
      <c r="R21" s="71">
        <v>0</v>
      </c>
      <c r="V21" s="71">
        <v>0</v>
      </c>
      <c r="AO21" s="41"/>
      <c r="AP21" s="41"/>
      <c r="AQ21" s="41"/>
      <c r="AR21" s="41"/>
      <c r="AS21" s="41"/>
      <c r="AT21" s="41"/>
      <c r="AU21" s="41"/>
      <c r="AV21" s="41"/>
      <c r="AW21" s="41"/>
      <c r="AX21" s="41"/>
      <c r="AY21" s="41"/>
      <c r="AZ21" s="41"/>
      <c r="BA21" s="41"/>
      <c r="BB21" s="41"/>
      <c r="BD21" s="41"/>
      <c r="BE21" s="41"/>
      <c r="BF21" s="41"/>
      <c r="BG21" s="41"/>
    </row>
    <row r="22" spans="1:63" s="89" customFormat="1" ht="14" x14ac:dyDescent="0.3">
      <c r="A22" s="89" t="s">
        <v>60</v>
      </c>
      <c r="B22" s="89">
        <f>SUM(B17:B21)</f>
        <v>0</v>
      </c>
      <c r="C22" s="90"/>
      <c r="D22" s="91">
        <f>SUM(D17:D21)</f>
        <v>0</v>
      </c>
      <c r="F22" s="89">
        <f>SUM(F17:F21)</f>
        <v>40</v>
      </c>
      <c r="G22" s="90">
        <f>H22/F22</f>
        <v>0.3392857142857143</v>
      </c>
      <c r="H22" s="219">
        <f>SUM(H17:H21)</f>
        <v>13.571428571428571</v>
      </c>
      <c r="J22" s="89">
        <f>SUM(J17:J21)</f>
        <v>505</v>
      </c>
      <c r="K22" s="90">
        <f>L22/J22</f>
        <v>0.6419836720514156</v>
      </c>
      <c r="L22" s="219">
        <f>SUM(L17:L21)</f>
        <v>324.20175438596488</v>
      </c>
      <c r="N22" s="89">
        <f>SUM(N17:N21)</f>
        <v>285</v>
      </c>
      <c r="O22" s="90">
        <f>P22/N22</f>
        <v>0.35511856564488142</v>
      </c>
      <c r="P22" s="219">
        <f>SUM(P19:P21)</f>
        <v>101.20879120879121</v>
      </c>
      <c r="R22" s="89">
        <v>0</v>
      </c>
      <c r="V22" s="89">
        <v>0</v>
      </c>
      <c r="AN22" s="92"/>
      <c r="AO22" s="92"/>
      <c r="AP22" s="92"/>
      <c r="AQ22" s="92"/>
      <c r="AR22" s="92"/>
      <c r="AS22" s="92"/>
      <c r="AT22" s="92"/>
      <c r="AU22" s="92"/>
      <c r="AV22" s="92"/>
      <c r="AW22" s="92"/>
      <c r="AX22" s="92"/>
      <c r="AY22" s="92"/>
      <c r="AZ22" s="92"/>
      <c r="BA22" s="92"/>
      <c r="BB22" s="92"/>
      <c r="BD22" s="93"/>
      <c r="BE22" s="93"/>
      <c r="BF22" s="93"/>
      <c r="BG22" s="94"/>
    </row>
    <row r="23" spans="1:63" s="2" customFormat="1" ht="13" x14ac:dyDescent="0.3">
      <c r="A23" s="2" t="s">
        <v>318</v>
      </c>
      <c r="B23" s="694">
        <f>SUM(B17:B19)</f>
        <v>0</v>
      </c>
      <c r="D23" s="694">
        <f>SUM(D17:D19)</f>
        <v>0</v>
      </c>
      <c r="F23" s="694">
        <f>SUM(F17:F19)</f>
        <v>39</v>
      </c>
      <c r="H23" s="694">
        <f>SUM(H17:H19)</f>
        <v>13.571428571428571</v>
      </c>
      <c r="J23" s="694">
        <f>SUM(J17:J19)</f>
        <v>437</v>
      </c>
      <c r="L23" s="694">
        <f>SUM(L17:L19)</f>
        <v>309.88596491228066</v>
      </c>
      <c r="N23" s="694">
        <f>SUM(N17:N19)</f>
        <v>105</v>
      </c>
      <c r="O23" s="25"/>
      <c r="P23" s="694">
        <f>SUM(P17:P19)</f>
        <v>30</v>
      </c>
      <c r="R23" s="694">
        <f>SUM(R17:R19)</f>
        <v>0</v>
      </c>
      <c r="T23" s="694">
        <f>SUM(T17:T19)</f>
        <v>0</v>
      </c>
      <c r="X23" s="8" t="e">
        <f>SUM(X17:X19)/SUM(V17:V19)</f>
        <v>#DIV/0!</v>
      </c>
      <c r="AN23" s="27"/>
      <c r="AO23" s="27"/>
      <c r="AP23" s="27"/>
      <c r="AQ23" s="27"/>
      <c r="AR23" s="27"/>
      <c r="AS23" s="27"/>
      <c r="AT23" s="27"/>
      <c r="AU23" s="27"/>
      <c r="AV23" s="27"/>
      <c r="AW23" s="27"/>
      <c r="AX23" s="27"/>
      <c r="AY23" s="27"/>
      <c r="AZ23" s="27"/>
      <c r="BA23" s="27"/>
      <c r="BB23" s="27"/>
      <c r="BD23" s="29"/>
      <c r="BE23" s="29"/>
      <c r="BF23" s="29"/>
      <c r="BG23" s="28"/>
    </row>
    <row r="24" spans="1:63" s="2" customFormat="1" ht="13" x14ac:dyDescent="0.3">
      <c r="B24" s="694">
        <f>SUM(B20:B21)</f>
        <v>0</v>
      </c>
      <c r="D24" s="694">
        <f>SUM(D20:D21)</f>
        <v>0</v>
      </c>
      <c r="F24" s="694">
        <f>SUM(F20:F21)</f>
        <v>1</v>
      </c>
      <c r="H24" s="694">
        <f>SUM(H20:H21)</f>
        <v>0</v>
      </c>
      <c r="J24" s="694">
        <f>SUM(J20:J21)</f>
        <v>68</v>
      </c>
      <c r="L24" s="694">
        <f>SUM(L20:L21)</f>
        <v>14.315789473684209</v>
      </c>
      <c r="N24" s="694">
        <f>SUM(N20:N21)</f>
        <v>180</v>
      </c>
      <c r="O24" s="25"/>
      <c r="P24" s="694">
        <f>SUM(P20:P21)</f>
        <v>71.208791208791212</v>
      </c>
      <c r="R24" s="694">
        <f>SUM(R20:R21)</f>
        <v>0</v>
      </c>
      <c r="T24" s="694">
        <f>SUM(T20:T21)</f>
        <v>0</v>
      </c>
      <c r="X24" s="8" t="e">
        <f>SUM(X20:X21)/SUM(V20:V21)</f>
        <v>#DIV/0!</v>
      </c>
      <c r="AN24" s="27"/>
      <c r="AO24" s="27"/>
      <c r="AP24" s="27"/>
      <c r="AQ24" s="27"/>
      <c r="AR24" s="27"/>
      <c r="AS24" s="27"/>
      <c r="AT24" s="27"/>
      <c r="AU24" s="27"/>
      <c r="AV24" s="27"/>
      <c r="AW24" s="27"/>
      <c r="AX24" s="27"/>
      <c r="AY24" s="27"/>
      <c r="AZ24" s="27"/>
      <c r="BA24" s="27"/>
      <c r="BB24" s="27"/>
      <c r="BD24" s="29"/>
      <c r="BE24" s="29"/>
      <c r="BF24" s="29"/>
      <c r="BG24" s="28"/>
    </row>
    <row r="25" spans="1:63" s="2" customFormat="1" ht="13" x14ac:dyDescent="0.3">
      <c r="D25" s="8"/>
      <c r="F25" s="8"/>
      <c r="H25" s="8"/>
      <c r="J25" s="8"/>
      <c r="L25" s="8"/>
      <c r="N25" s="8"/>
      <c r="O25" s="25"/>
      <c r="P25" s="8"/>
      <c r="AN25" s="27"/>
      <c r="AO25" s="27"/>
      <c r="AP25" s="27"/>
      <c r="AQ25" s="27"/>
      <c r="AR25" s="27"/>
      <c r="AS25" s="27"/>
      <c r="AT25" s="27"/>
      <c r="AU25" s="27"/>
      <c r="AV25" s="27"/>
      <c r="AW25" s="27"/>
      <c r="AX25" s="27"/>
      <c r="AY25" s="27"/>
      <c r="AZ25" s="27"/>
      <c r="BA25" s="27"/>
      <c r="BB25" s="27"/>
      <c r="BD25" s="29"/>
      <c r="BE25" s="29"/>
      <c r="BF25" s="29"/>
      <c r="BG25" s="28"/>
    </row>
    <row r="26" spans="1:63" s="113" customFormat="1" ht="14" x14ac:dyDescent="0.3">
      <c r="A26" s="113" t="s">
        <v>44</v>
      </c>
      <c r="B26" s="113">
        <f>B16+B22</f>
        <v>0</v>
      </c>
      <c r="C26" s="114"/>
      <c r="D26" s="115">
        <f>D16+D22</f>
        <v>0</v>
      </c>
      <c r="F26" s="113">
        <f>F16+F22</f>
        <v>42</v>
      </c>
      <c r="G26" s="114">
        <f>H26/F26</f>
        <v>0.32312925170068024</v>
      </c>
      <c r="H26" s="115">
        <f>H16+H22</f>
        <v>13.571428571428571</v>
      </c>
      <c r="J26" s="113">
        <f>J16+J22</f>
        <v>508</v>
      </c>
      <c r="K26" s="114">
        <f>L26/J26</f>
        <v>0.63819242989363167</v>
      </c>
      <c r="L26" s="115">
        <f>L16+L22</f>
        <v>324.20175438596488</v>
      </c>
      <c r="N26" s="113">
        <f>N16+N22</f>
        <v>567</v>
      </c>
      <c r="O26" s="114">
        <f>P26/N26</f>
        <v>0.1825754261351451</v>
      </c>
      <c r="P26" s="115">
        <f>P16+P22</f>
        <v>103.52026661862728</v>
      </c>
      <c r="R26" s="113">
        <v>0</v>
      </c>
      <c r="V26" s="113">
        <v>0</v>
      </c>
      <c r="AN26" s="116"/>
      <c r="AO26" s="116"/>
      <c r="AP26" s="116"/>
      <c r="AQ26" s="116"/>
      <c r="AR26" s="116"/>
      <c r="AS26" s="116"/>
      <c r="AT26" s="116"/>
      <c r="AU26" s="116"/>
      <c r="AV26" s="116"/>
      <c r="AW26" s="116"/>
      <c r="AX26" s="116"/>
      <c r="AY26" s="116"/>
      <c r="AZ26" s="116"/>
      <c r="BA26" s="116"/>
      <c r="BB26" s="116"/>
      <c r="BD26" s="117"/>
      <c r="BE26" s="117"/>
      <c r="BF26" s="117"/>
      <c r="BG26" s="118"/>
    </row>
    <row r="27" spans="1:63" s="2" customFormat="1" ht="13" x14ac:dyDescent="0.3">
      <c r="D27" s="8"/>
      <c r="F27" s="8"/>
      <c r="H27" s="8"/>
      <c r="J27" s="8"/>
      <c r="L27" s="8"/>
      <c r="N27" s="8"/>
      <c r="O27" s="25"/>
      <c r="P27" s="8"/>
      <c r="AN27" s="27"/>
      <c r="AO27" s="27"/>
      <c r="AP27" s="27"/>
      <c r="AQ27" s="27"/>
      <c r="AR27" s="27"/>
      <c r="AS27" s="27"/>
      <c r="AT27" s="27"/>
      <c r="AU27" s="27"/>
      <c r="AV27" s="27"/>
      <c r="AW27" s="27"/>
      <c r="AX27" s="27"/>
      <c r="AY27" s="27"/>
      <c r="AZ27" s="27"/>
      <c r="BA27" s="27"/>
      <c r="BB27" s="27"/>
      <c r="BD27" s="29"/>
      <c r="BE27" s="29"/>
      <c r="BF27" s="29"/>
      <c r="BG27" s="28"/>
    </row>
    <row r="28" spans="1:63" s="2" customFormat="1" ht="15.5" x14ac:dyDescent="0.35">
      <c r="A28" s="1" t="s">
        <v>48</v>
      </c>
      <c r="D28" s="8"/>
      <c r="F28" s="8"/>
      <c r="H28" s="8"/>
      <c r="J28" s="8"/>
      <c r="L28" s="8"/>
      <c r="N28" s="8"/>
      <c r="O28" s="25"/>
      <c r="P28" s="8"/>
      <c r="AN28" s="27"/>
      <c r="AO28" s="27"/>
      <c r="AP28" s="27"/>
      <c r="AQ28" s="27"/>
      <c r="AR28" s="27"/>
      <c r="AS28" s="27"/>
      <c r="AT28" s="27"/>
      <c r="AU28" s="27"/>
      <c r="AV28" s="27"/>
      <c r="AW28" s="27"/>
      <c r="AX28" s="27"/>
      <c r="AY28" s="27"/>
      <c r="AZ28" s="27"/>
      <c r="BA28" s="27"/>
      <c r="BB28" s="27"/>
      <c r="BD28" s="29"/>
      <c r="BE28" s="29"/>
      <c r="BF28" s="29"/>
      <c r="BG28" s="28"/>
    </row>
    <row r="29" spans="1:63" x14ac:dyDescent="0.25">
      <c r="D29" s="5"/>
      <c r="P29" s="5"/>
      <c r="BD29" s="29"/>
      <c r="BE29" s="13"/>
      <c r="BF29" s="13"/>
      <c r="BG29" s="6"/>
    </row>
    <row r="30" spans="1:63" s="2" customFormat="1" ht="13" x14ac:dyDescent="0.3">
      <c r="C30" s="2" t="s">
        <v>12</v>
      </c>
      <c r="G30" s="2" t="s">
        <v>5</v>
      </c>
      <c r="K30" s="2" t="s">
        <v>6</v>
      </c>
      <c r="O30" s="2" t="s">
        <v>7</v>
      </c>
      <c r="S30" s="2" t="s">
        <v>8</v>
      </c>
      <c r="W30" s="2" t="s">
        <v>9</v>
      </c>
      <c r="AA30" s="2" t="s">
        <v>10</v>
      </c>
      <c r="AE30" s="2" t="s">
        <v>11</v>
      </c>
      <c r="BD30" s="24"/>
      <c r="BE30" s="24"/>
      <c r="BF30" s="24"/>
      <c r="BG30" s="22"/>
    </row>
    <row r="31" spans="1:63" ht="13" x14ac:dyDescent="0.3">
      <c r="B31" t="s">
        <v>43</v>
      </c>
      <c r="C31" t="s">
        <v>50</v>
      </c>
      <c r="D31" t="s">
        <v>51</v>
      </c>
      <c r="F31" t="s">
        <v>43</v>
      </c>
      <c r="G31" t="s">
        <v>50</v>
      </c>
      <c r="H31" t="s">
        <v>51</v>
      </c>
      <c r="J31" t="s">
        <v>43</v>
      </c>
      <c r="K31" t="s">
        <v>50</v>
      </c>
      <c r="L31" t="s">
        <v>51</v>
      </c>
      <c r="N31" t="s">
        <v>43</v>
      </c>
      <c r="O31" t="s">
        <v>50</v>
      </c>
      <c r="P31" t="s">
        <v>51</v>
      </c>
      <c r="R31" t="s">
        <v>43</v>
      </c>
      <c r="S31" t="s">
        <v>50</v>
      </c>
      <c r="T31" t="s">
        <v>51</v>
      </c>
      <c r="V31" t="s">
        <v>43</v>
      </c>
      <c r="W31" t="s">
        <v>50</v>
      </c>
      <c r="X31" t="s">
        <v>51</v>
      </c>
      <c r="Z31" t="s">
        <v>43</v>
      </c>
      <c r="AA31" t="s">
        <v>50</v>
      </c>
      <c r="AB31" t="s">
        <v>51</v>
      </c>
      <c r="AD31" t="s">
        <v>43</v>
      </c>
      <c r="AE31" t="s">
        <v>50</v>
      </c>
      <c r="AF31" t="s">
        <v>51</v>
      </c>
      <c r="AK31" s="2"/>
      <c r="AL31" s="2"/>
      <c r="BD31" s="29"/>
      <c r="BE31" s="13"/>
      <c r="BF31" s="13"/>
      <c r="BG31" s="6"/>
    </row>
    <row r="32" spans="1:63" ht="13" x14ac:dyDescent="0.3">
      <c r="A32" s="32" t="s">
        <v>65</v>
      </c>
      <c r="AK32" s="2"/>
      <c r="AL32" s="2"/>
      <c r="BD32" s="29"/>
      <c r="BE32" s="13"/>
      <c r="BF32" s="13"/>
      <c r="BG32" s="6"/>
    </row>
    <row r="33" spans="1:69" ht="13" x14ac:dyDescent="0.3">
      <c r="A33" s="32" t="s">
        <v>182</v>
      </c>
      <c r="B33">
        <v>564</v>
      </c>
      <c r="C33" s="4">
        <f>'2006 Sampling'!D23</f>
        <v>0.1</v>
      </c>
      <c r="D33" s="5">
        <f>C33*B33</f>
        <v>56.400000000000006</v>
      </c>
      <c r="F33">
        <v>440</v>
      </c>
      <c r="G33" s="4">
        <f>'2006 Sampling'!H23</f>
        <v>3.3613445378151259E-2</v>
      </c>
      <c r="H33" s="5">
        <f>G33*F33</f>
        <v>14.789915966386554</v>
      </c>
      <c r="J33">
        <v>426</v>
      </c>
      <c r="K33" s="4">
        <f>'2006 Sampling'!L23</f>
        <v>0</v>
      </c>
      <c r="L33" s="5">
        <f>K33*J33</f>
        <v>0</v>
      </c>
      <c r="N33">
        <v>230</v>
      </c>
      <c r="O33" s="4">
        <f>'2006 Sampling'!P23</f>
        <v>0</v>
      </c>
      <c r="P33" s="5">
        <f>O33*N33</f>
        <v>0</v>
      </c>
      <c r="R33">
        <v>368</v>
      </c>
      <c r="S33" s="4">
        <f>'2006 Sampling'!T23</f>
        <v>0</v>
      </c>
      <c r="T33" s="5">
        <f>S33*R33</f>
        <v>0</v>
      </c>
      <c r="V33">
        <v>100</v>
      </c>
      <c r="W33" s="4">
        <f>'2006 Sampling'!X23</f>
        <v>0</v>
      </c>
      <c r="X33" s="5">
        <f>W33*V33</f>
        <v>0</v>
      </c>
      <c r="AK33" s="2"/>
      <c r="AL33" s="2"/>
      <c r="BD33" s="29"/>
      <c r="BE33" s="13"/>
      <c r="BF33" s="13"/>
      <c r="BG33" s="6"/>
    </row>
    <row r="34" spans="1:69" ht="13" x14ac:dyDescent="0.3">
      <c r="A34" t="s">
        <v>31</v>
      </c>
      <c r="B34" s="11">
        <v>2231</v>
      </c>
      <c r="C34" s="4">
        <f>'2006 Sampling'!D24</f>
        <v>0.12962962962962962</v>
      </c>
      <c r="D34" s="5">
        <f>C34*B34</f>
        <v>289.2037037037037</v>
      </c>
      <c r="F34">
        <v>2575</v>
      </c>
      <c r="G34" s="4">
        <f>'2006 Sampling'!H24</f>
        <v>1.6129032258064516E-2</v>
      </c>
      <c r="H34" s="5">
        <f>G34*F34</f>
        <v>41.532258064516128</v>
      </c>
      <c r="J34">
        <v>598</v>
      </c>
      <c r="K34" s="4">
        <f>'2006 Sampling'!L24</f>
        <v>0.21951219512195122</v>
      </c>
      <c r="L34" s="5">
        <f>K34*J34</f>
        <v>131.26829268292684</v>
      </c>
      <c r="N34">
        <v>826</v>
      </c>
      <c r="O34" s="119">
        <f>'2006 Sampling'!P24</f>
        <v>0.13636363636363635</v>
      </c>
      <c r="P34" s="5">
        <f>O34*N34</f>
        <v>112.63636363636363</v>
      </c>
      <c r="R34">
        <v>180</v>
      </c>
      <c r="S34" s="119">
        <f>'2006 Sampling'!T24</f>
        <v>0</v>
      </c>
      <c r="T34" s="5">
        <f>S34*R34</f>
        <v>0</v>
      </c>
      <c r="V34">
        <v>171</v>
      </c>
      <c r="W34" s="119">
        <f>'2006 Sampling'!X24</f>
        <v>6.5217391304347824E-2</v>
      </c>
      <c r="X34" s="5">
        <f>W34*V34</f>
        <v>11.152173913043478</v>
      </c>
      <c r="Z34">
        <v>62</v>
      </c>
      <c r="AA34" s="4">
        <f>'2006 Sampling'!AB24</f>
        <v>6.25E-2</v>
      </c>
      <c r="AB34" s="5">
        <f>AA34*Z34</f>
        <v>3.875</v>
      </c>
      <c r="AD34">
        <v>12</v>
      </c>
      <c r="AE34" s="39">
        <f>'Mean Unmarked Rates'!D9</f>
        <v>0</v>
      </c>
      <c r="AF34" s="5">
        <f>AD34*AE34</f>
        <v>0</v>
      </c>
      <c r="AK34" s="2"/>
      <c r="AL34" s="2"/>
      <c r="BD34" s="29"/>
      <c r="BE34" s="13"/>
      <c r="BF34" s="13"/>
      <c r="BG34" s="6"/>
    </row>
    <row r="35" spans="1:69" ht="13" x14ac:dyDescent="0.3">
      <c r="A35" t="s">
        <v>32</v>
      </c>
      <c r="B35" s="11">
        <v>236</v>
      </c>
      <c r="C35" s="4">
        <f>'2006 Sampling'!D25</f>
        <v>0.18367346938775511</v>
      </c>
      <c r="D35" s="5">
        <f>C35*B35</f>
        <v>43.346938775510203</v>
      </c>
      <c r="F35">
        <v>1410</v>
      </c>
      <c r="G35" s="4">
        <f>'2006 Sampling'!H25</f>
        <v>5.8823529411764705E-2</v>
      </c>
      <c r="H35" s="5">
        <f t="shared" ref="H35:H42" si="0">G35*F35</f>
        <v>82.941176470588232</v>
      </c>
      <c r="J35">
        <v>718</v>
      </c>
      <c r="K35" s="4">
        <f>'2006 Sampling'!L25</f>
        <v>8.3333333333333329E-2</v>
      </c>
      <c r="L35" s="5">
        <f>K35*J35</f>
        <v>59.833333333333329</v>
      </c>
      <c r="N35">
        <v>218</v>
      </c>
      <c r="O35" s="119">
        <f>'2006 Sampling'!P25</f>
        <v>9.2307692307692313E-2</v>
      </c>
      <c r="P35" s="5">
        <f>O35*N35</f>
        <v>20.123076923076923</v>
      </c>
      <c r="R35">
        <v>114</v>
      </c>
      <c r="S35" s="119">
        <f>'2006 Sampling'!T25</f>
        <v>0.125</v>
      </c>
      <c r="T35" s="5">
        <f>S35*R35</f>
        <v>14.25</v>
      </c>
      <c r="V35">
        <v>75</v>
      </c>
      <c r="W35" s="119">
        <f>'2006 Sampling'!X25</f>
        <v>0</v>
      </c>
      <c r="X35" s="5">
        <f>W35*V35</f>
        <v>0</v>
      </c>
      <c r="Z35">
        <v>21</v>
      </c>
      <c r="AA35" s="4">
        <f>'2006 Sampling'!AB25</f>
        <v>0</v>
      </c>
      <c r="AB35" s="5">
        <f>AA35*Z35</f>
        <v>0</v>
      </c>
      <c r="AF35" s="5"/>
      <c r="AK35" s="2"/>
      <c r="AL35" s="2"/>
      <c r="BD35" s="29"/>
      <c r="BE35" s="13"/>
      <c r="BF35" s="13"/>
      <c r="BG35" s="6"/>
    </row>
    <row r="36" spans="1:69" s="42" customFormat="1" ht="13" x14ac:dyDescent="0.3">
      <c r="A36" s="42" t="s">
        <v>62</v>
      </c>
      <c r="B36" s="47">
        <v>1816</v>
      </c>
      <c r="C36" s="4">
        <f>'2006 Sampling'!D26</f>
        <v>0.13580246913580246</v>
      </c>
      <c r="D36" s="50">
        <f>C36*B36</f>
        <v>246.61728395061726</v>
      </c>
      <c r="F36" s="42">
        <v>882</v>
      </c>
      <c r="G36" s="4">
        <f>'2006 Sampling'!H26</f>
        <v>0.1111111111111111</v>
      </c>
      <c r="H36" s="5">
        <f t="shared" si="0"/>
        <v>98</v>
      </c>
      <c r="J36" s="42">
        <v>1438</v>
      </c>
      <c r="K36" s="4">
        <f>'2006 Sampling'!L26</f>
        <v>5.1948051948051951E-2</v>
      </c>
      <c r="L36" s="5">
        <f>K36*J36</f>
        <v>74.701298701298711</v>
      </c>
      <c r="N36" s="47">
        <v>55</v>
      </c>
      <c r="O36" s="119">
        <f>'2006 Sampling'!P26</f>
        <v>0.13793103448275862</v>
      </c>
      <c r="P36" s="5">
        <f>O36*N36</f>
        <v>7.5862068965517242</v>
      </c>
      <c r="R36" s="42">
        <v>116</v>
      </c>
      <c r="S36" s="95">
        <f>'Mean Unmarked Rates'!D11</f>
        <v>5.3181818181818184E-2</v>
      </c>
      <c r="T36" s="5">
        <f>S36*R36</f>
        <v>6.169090909090909</v>
      </c>
      <c r="AF36" s="50"/>
      <c r="AK36" s="41"/>
      <c r="AL36" s="41"/>
      <c r="BD36" s="52"/>
      <c r="BE36" s="53"/>
      <c r="BF36" s="53"/>
      <c r="BG36" s="54"/>
    </row>
    <row r="37" spans="1:69" s="83" customFormat="1" ht="14" x14ac:dyDescent="0.3">
      <c r="A37" s="79" t="s">
        <v>61</v>
      </c>
      <c r="B37" s="79">
        <f>SUM(B32:B36)</f>
        <v>4847</v>
      </c>
      <c r="C37" s="81">
        <f>D37/B37</f>
        <v>0.13112604217656923</v>
      </c>
      <c r="D37" s="79">
        <f>SUM(D33:D36)</f>
        <v>635.56792642983112</v>
      </c>
      <c r="F37" s="79">
        <f>SUM(F32:F36)</f>
        <v>5307</v>
      </c>
      <c r="G37" s="81">
        <f>H37/F37</f>
        <v>4.4707622103163917E-2</v>
      </c>
      <c r="H37" s="79">
        <f>SUM(H33:H36)</f>
        <v>237.26335050149092</v>
      </c>
      <c r="J37" s="79">
        <f>SUM(J32:J36)</f>
        <v>3180</v>
      </c>
      <c r="K37" s="81">
        <f>L37/J37</f>
        <v>8.3585825382880147E-2</v>
      </c>
      <c r="L37" s="79">
        <f>SUM(L33:L36)</f>
        <v>265.80292471755888</v>
      </c>
      <c r="N37" s="79">
        <f>SUM(N32:N36)</f>
        <v>1329</v>
      </c>
      <c r="O37" s="81">
        <f>P37/N37</f>
        <v>0.105602443533478</v>
      </c>
      <c r="P37" s="79">
        <f>SUM(P33:P36)</f>
        <v>140.34564745599226</v>
      </c>
      <c r="R37" s="79">
        <f>SUM(R33:R36)</f>
        <v>778</v>
      </c>
      <c r="S37" s="81">
        <f>T37/R37</f>
        <v>2.6245618135078287E-2</v>
      </c>
      <c r="T37" s="79">
        <f>SUM(T33:T36)</f>
        <v>20.419090909090908</v>
      </c>
      <c r="V37" s="79">
        <f>SUM(V33:V36)</f>
        <v>346</v>
      </c>
      <c r="W37" s="81">
        <f>X37/V37</f>
        <v>3.2231716511686354E-2</v>
      </c>
      <c r="X37" s="79">
        <f>SUM(X33:X36)</f>
        <v>11.152173913043478</v>
      </c>
      <c r="Z37" s="84">
        <f>SUM(Z34:Z36)</f>
        <v>83</v>
      </c>
      <c r="AA37" s="81">
        <f>AB37/Z37</f>
        <v>4.6686746987951805E-2</v>
      </c>
      <c r="AB37" s="79">
        <f>SUM(AB34:AB36)</f>
        <v>3.875</v>
      </c>
      <c r="AD37" s="99">
        <f>SUM(AD33:AD36)</f>
        <v>12</v>
      </c>
      <c r="AE37" s="79"/>
      <c r="AF37" s="240">
        <f>SUM(AF34:AF36)</f>
        <v>0</v>
      </c>
      <c r="AK37" s="79"/>
      <c r="AL37" s="79"/>
    </row>
    <row r="38" spans="1:69" ht="13" x14ac:dyDescent="0.3">
      <c r="A38">
        <v>1</v>
      </c>
      <c r="B38" s="73">
        <v>0</v>
      </c>
      <c r="C38" s="4"/>
      <c r="D38" s="69"/>
      <c r="F38" s="73">
        <v>62</v>
      </c>
      <c r="G38" s="4">
        <f>'2006 Sampling'!H28</f>
        <v>0.31914893617021278</v>
      </c>
      <c r="H38" s="5">
        <f t="shared" si="0"/>
        <v>19.787234042553191</v>
      </c>
      <c r="J38" s="73">
        <f>8+827</f>
        <v>835</v>
      </c>
      <c r="K38" s="4">
        <f>'2006 Sampling'!L28</f>
        <v>7.8431372549019607E-2</v>
      </c>
      <c r="L38" s="5">
        <f>K38*J38</f>
        <v>65.490196078431367</v>
      </c>
      <c r="N38" s="111">
        <v>702</v>
      </c>
      <c r="O38" s="4">
        <f>'2006 Sampling'!P28</f>
        <v>0.21666666666666667</v>
      </c>
      <c r="P38" s="5">
        <f>O38*N38</f>
        <v>152.1</v>
      </c>
      <c r="R38" s="73">
        <v>2155</v>
      </c>
      <c r="S38" s="119">
        <f>'2006 Sampling'!T28</f>
        <v>0.18055555555555555</v>
      </c>
      <c r="T38" s="5">
        <f>S38*R38</f>
        <v>389.09722222222223</v>
      </c>
      <c r="V38" s="73">
        <f>19+46</f>
        <v>65</v>
      </c>
      <c r="W38" s="119">
        <f>'2006 Sampling'!X28</f>
        <v>0.20588235294117646</v>
      </c>
      <c r="X38" s="5">
        <f>W38*V38</f>
        <v>13.382352941176469</v>
      </c>
      <c r="Z38" s="73">
        <v>72</v>
      </c>
      <c r="AA38" s="4">
        <f>'2006 Sampling'!AB28</f>
        <v>0.15254237288135594</v>
      </c>
      <c r="AB38" s="5">
        <f>AA38*Z38</f>
        <v>10.983050847457628</v>
      </c>
      <c r="AD38" s="73"/>
      <c r="AF38" s="5"/>
      <c r="AJ38" s="2"/>
      <c r="AL38" s="5"/>
      <c r="BD38" s="29"/>
      <c r="BE38" s="13"/>
      <c r="BF38" s="13"/>
      <c r="BG38" s="6"/>
    </row>
    <row r="39" spans="1:69" ht="13" x14ac:dyDescent="0.3">
      <c r="A39">
        <v>2</v>
      </c>
      <c r="B39" s="73">
        <v>0</v>
      </c>
      <c r="C39" s="4"/>
      <c r="D39" s="69"/>
      <c r="F39" s="73">
        <v>1213</v>
      </c>
      <c r="G39" s="4">
        <f>'2006 Sampling'!H29</f>
        <v>0.1437125748502994</v>
      </c>
      <c r="H39" s="5">
        <f t="shared" si="0"/>
        <v>174.32335329341316</v>
      </c>
      <c r="J39" s="73">
        <f>86+4001</f>
        <v>4087</v>
      </c>
      <c r="K39" s="4">
        <f>'2006 Sampling'!L29</f>
        <v>0.20270270270270271</v>
      </c>
      <c r="L39" s="5">
        <f>K39*J39</f>
        <v>828.44594594594594</v>
      </c>
      <c r="N39" s="111">
        <v>4213</v>
      </c>
      <c r="O39" s="4">
        <f>'2006 Sampling'!P29</f>
        <v>0.17171717171717171</v>
      </c>
      <c r="P39" s="5">
        <f>O39*N39</f>
        <v>723.44444444444446</v>
      </c>
      <c r="R39" s="73">
        <v>5920</v>
      </c>
      <c r="S39" s="119">
        <f>'2006 Sampling'!T29</f>
        <v>0.14285714285714285</v>
      </c>
      <c r="T39" s="5">
        <f>S39*R39</f>
        <v>845.71428571428567</v>
      </c>
      <c r="V39" s="73">
        <f>38+52</f>
        <v>90</v>
      </c>
      <c r="W39" s="119">
        <f>'2006 Sampling'!X29</f>
        <v>0.16216216216216217</v>
      </c>
      <c r="X39" s="5">
        <f>W39*V39</f>
        <v>14.594594594594595</v>
      </c>
      <c r="Z39" s="73">
        <v>21</v>
      </c>
      <c r="AA39" s="4">
        <f>'2006 Sampling'!AB29</f>
        <v>0.21428571428571427</v>
      </c>
      <c r="AB39" s="5">
        <f>AA39*Z39</f>
        <v>4.5</v>
      </c>
      <c r="AD39" s="73"/>
      <c r="AJ39" s="2"/>
      <c r="AL39" s="5"/>
    </row>
    <row r="40" spans="1:69" ht="13" x14ac:dyDescent="0.3">
      <c r="A40">
        <v>3</v>
      </c>
      <c r="B40" s="73">
        <v>0</v>
      </c>
      <c r="C40" s="4"/>
      <c r="D40" s="69"/>
      <c r="F40" s="73">
        <v>474</v>
      </c>
      <c r="G40" s="4">
        <f>'2006 Sampling'!H30</f>
        <v>0.47058823529411764</v>
      </c>
      <c r="H40" s="5">
        <f t="shared" si="0"/>
        <v>223.05882352941177</v>
      </c>
      <c r="J40" s="73">
        <f>498+2554</f>
        <v>3052</v>
      </c>
      <c r="K40" s="4">
        <f>'2006 Sampling'!L30</f>
        <v>0.25</v>
      </c>
      <c r="L40" s="5">
        <f>K40*J40</f>
        <v>763</v>
      </c>
      <c r="N40" s="111">
        <v>1411</v>
      </c>
      <c r="O40" s="4">
        <f>'2006 Sampling'!P30</f>
        <v>0.34883720930232559</v>
      </c>
      <c r="P40" s="5">
        <f>O40*N40</f>
        <v>492.2093023255814</v>
      </c>
      <c r="R40" s="73">
        <v>917</v>
      </c>
      <c r="S40" s="119">
        <f>'2006 Sampling'!T30</f>
        <v>0.18518518518518517</v>
      </c>
      <c r="T40" s="5">
        <f>S40*R40</f>
        <v>169.81481481481481</v>
      </c>
      <c r="V40" s="73">
        <f>119+38</f>
        <v>157</v>
      </c>
      <c r="W40" s="119">
        <f>'2006 Sampling'!X30</f>
        <v>0.25352112676056338</v>
      </c>
      <c r="X40" s="5">
        <f>W40*V40</f>
        <v>39.802816901408448</v>
      </c>
      <c r="Z40" s="73">
        <v>69</v>
      </c>
      <c r="AA40" s="7">
        <f>'Mean Unmarked Rates'!AB49</f>
        <v>0</v>
      </c>
      <c r="AB40" s="5">
        <f>AA40*Z40</f>
        <v>0</v>
      </c>
      <c r="AD40" s="73"/>
      <c r="AH40" s="2"/>
      <c r="AJ40" s="2"/>
      <c r="AL40" s="5"/>
    </row>
    <row r="41" spans="1:69" ht="13" x14ac:dyDescent="0.3">
      <c r="A41">
        <v>4</v>
      </c>
      <c r="B41" s="73">
        <v>0</v>
      </c>
      <c r="D41" s="44"/>
      <c r="F41" s="73">
        <v>553</v>
      </c>
      <c r="G41" s="4">
        <f>'2006 Sampling'!H31</f>
        <v>0.36842105263157893</v>
      </c>
      <c r="H41" s="5">
        <f t="shared" si="0"/>
        <v>203.73684210526315</v>
      </c>
      <c r="J41" s="73">
        <v>129</v>
      </c>
      <c r="K41" s="4">
        <f>'2006 Sampling'!L31</f>
        <v>0.54545454545454541</v>
      </c>
      <c r="L41" s="5">
        <f>K41*J41</f>
        <v>70.36363636363636</v>
      </c>
      <c r="N41" s="111">
        <v>241</v>
      </c>
      <c r="O41" s="4">
        <f>'2006 Sampling'!P31</f>
        <v>0.21428571428571427</v>
      </c>
      <c r="P41" s="5">
        <f>O41*N41</f>
        <v>51.642857142857139</v>
      </c>
      <c r="R41" s="73">
        <f>49+66</f>
        <v>115</v>
      </c>
      <c r="S41" s="119">
        <f>S42</f>
        <v>0.32967032967032966</v>
      </c>
      <c r="T41" s="5">
        <f>S41*R41</f>
        <v>37.912087912087912</v>
      </c>
      <c r="V41" s="73">
        <f>33+11</f>
        <v>44</v>
      </c>
      <c r="W41" s="119">
        <f>W42</f>
        <v>0.54545454545454541</v>
      </c>
      <c r="X41" s="5">
        <f>W41*V41</f>
        <v>24</v>
      </c>
      <c r="Z41" s="73">
        <v>12</v>
      </c>
      <c r="AA41" s="39">
        <f>'Mean Unmarked Rates'!D16</f>
        <v>8.6901763224181361E-2</v>
      </c>
      <c r="AB41" s="5">
        <f>AA41*Z41</f>
        <v>1.0428211586901763</v>
      </c>
      <c r="AD41" s="73"/>
      <c r="AH41" s="2"/>
      <c r="AI41" s="23"/>
      <c r="AJ41" s="23"/>
      <c r="AL41" s="5"/>
    </row>
    <row r="42" spans="1:69" ht="13" x14ac:dyDescent="0.3">
      <c r="A42">
        <v>5</v>
      </c>
      <c r="B42" s="73">
        <v>0</v>
      </c>
      <c r="C42" s="7"/>
      <c r="D42" s="69"/>
      <c r="F42" s="73">
        <v>179</v>
      </c>
      <c r="G42" s="4">
        <f>'2006 Sampling'!H32</f>
        <v>0.24358974358974358</v>
      </c>
      <c r="H42" s="69">
        <f t="shared" si="0"/>
        <v>43.602564102564102</v>
      </c>
      <c r="J42" s="73">
        <v>280</v>
      </c>
      <c r="K42" s="4">
        <f>'2006 Sampling'!L32</f>
        <v>0.30303030303030304</v>
      </c>
      <c r="L42" s="5">
        <f>K42*J42</f>
        <v>84.848484848484844</v>
      </c>
      <c r="N42" s="111">
        <v>91</v>
      </c>
      <c r="O42" s="4">
        <f>'2006 Sampling'!P32</f>
        <v>0.32075471698113206</v>
      </c>
      <c r="P42" s="5">
        <f>O42*N42</f>
        <v>29.188679245283016</v>
      </c>
      <c r="R42" s="73">
        <f>107+79</f>
        <v>186</v>
      </c>
      <c r="S42" s="119">
        <f>'2006 Sampling'!T32</f>
        <v>0.32967032967032966</v>
      </c>
      <c r="T42" s="5">
        <f>S42*R42</f>
        <v>61.318681318681321</v>
      </c>
      <c r="V42" s="73">
        <f>13+11</f>
        <v>24</v>
      </c>
      <c r="W42" s="119">
        <f>'2006 Sampling'!X32</f>
        <v>0.54545454545454541</v>
      </c>
      <c r="X42" s="5">
        <f>W42*V42</f>
        <v>13.09090909090909</v>
      </c>
      <c r="Z42" s="73">
        <v>0</v>
      </c>
      <c r="AA42" s="7"/>
      <c r="AB42" s="5"/>
      <c r="AD42" s="73"/>
      <c r="AJ42" s="2"/>
      <c r="AL42" s="5"/>
    </row>
    <row r="43" spans="1:69" s="226" customFormat="1" ht="14" x14ac:dyDescent="0.3">
      <c r="A43" s="79" t="s">
        <v>60</v>
      </c>
      <c r="B43" s="84">
        <f>SUM(B38:B42)</f>
        <v>0</v>
      </c>
      <c r="C43" s="225"/>
      <c r="F43" s="226">
        <f>SUM(F38:F42)</f>
        <v>2481</v>
      </c>
      <c r="G43" s="225">
        <v>0.26783910401983285</v>
      </c>
      <c r="H43" s="226">
        <f>SUM(H38:H42)</f>
        <v>664.50881707320536</v>
      </c>
      <c r="J43" s="226">
        <f>SUM(J38:J42)</f>
        <v>8383</v>
      </c>
      <c r="K43" s="225">
        <v>0.21616942183424767</v>
      </c>
      <c r="L43" s="226">
        <f>SUM(L38:L42)</f>
        <v>1812.1482632364982</v>
      </c>
      <c r="N43" s="226">
        <f>SUM(N38:N42)</f>
        <v>6658</v>
      </c>
      <c r="O43" s="225">
        <v>0.21757063429831272</v>
      </c>
      <c r="P43" s="226">
        <f>SUM(P38:P42)</f>
        <v>1448.585283158166</v>
      </c>
      <c r="R43" s="226">
        <f>SUM(R38:R42)</f>
        <v>9293</v>
      </c>
      <c r="S43" s="225">
        <v>0.16182686882407099</v>
      </c>
      <c r="T43" s="226">
        <f>SUM(T38:T42)</f>
        <v>1503.8570919820918</v>
      </c>
      <c r="V43" s="226">
        <f>SUM(V38:V42)</f>
        <v>380</v>
      </c>
      <c r="W43" s="225">
        <v>0.27597545665286477</v>
      </c>
      <c r="X43" s="226">
        <f>SUM(X38:X42)</f>
        <v>104.8706735280886</v>
      </c>
      <c r="Z43" s="226">
        <f>SUM(Z38:Z42)</f>
        <v>174</v>
      </c>
      <c r="AA43" s="225">
        <f>AB43/Z43</f>
        <v>9.4976275897401166E-2</v>
      </c>
      <c r="AB43" s="226">
        <f>SUM(AB38:AB42)</f>
        <v>16.525872006147804</v>
      </c>
      <c r="AD43" s="227">
        <v>0</v>
      </c>
      <c r="AF43" s="226">
        <v>0</v>
      </c>
    </row>
    <row r="44" spans="1:69" s="2" customFormat="1" ht="13" x14ac:dyDescent="0.3">
      <c r="A44" s="2" t="s">
        <v>318</v>
      </c>
      <c r="B44" s="694">
        <f>SUM(B38:B40)</f>
        <v>0</v>
      </c>
      <c r="C44" s="695"/>
      <c r="D44" s="694">
        <f>SUM(D38:D40)</f>
        <v>0</v>
      </c>
      <c r="E44" s="695"/>
      <c r="F44" s="694">
        <f>SUM(F38:F40)</f>
        <v>1749</v>
      </c>
      <c r="G44" s="695"/>
      <c r="H44" s="694">
        <f>SUM(H38:H40)</f>
        <v>417.16941086537815</v>
      </c>
      <c r="I44" s="695"/>
      <c r="J44" s="694">
        <f>SUM(J38:J40)</f>
        <v>7974</v>
      </c>
      <c r="K44" s="695"/>
      <c r="L44" s="694">
        <f>SUM(L38:L40)</f>
        <v>1656.9361420243772</v>
      </c>
      <c r="M44" s="695"/>
      <c r="N44" s="694">
        <f>SUM(N38:N40)</f>
        <v>6326</v>
      </c>
      <c r="O44" s="696"/>
      <c r="P44" s="694">
        <f>SUM(P38:P40)</f>
        <v>1367.7537467700258</v>
      </c>
      <c r="Q44" s="695"/>
      <c r="R44" s="694">
        <f>SUM(R38:R40)</f>
        <v>8992</v>
      </c>
      <c r="S44" s="695"/>
      <c r="T44" s="694">
        <f>SUM(T38:T40)</f>
        <v>1404.6263227513227</v>
      </c>
      <c r="U44" s="695"/>
      <c r="V44" s="694">
        <f>SUM(V38:V40)</f>
        <v>312</v>
      </c>
      <c r="W44" s="695"/>
      <c r="X44" s="694">
        <f>SUM(X38:X40)</f>
        <v>67.779764437179509</v>
      </c>
      <c r="Y44" s="695"/>
      <c r="Z44" s="694">
        <f>SUM(Z38:Z40)</f>
        <v>162</v>
      </c>
      <c r="AA44" s="695"/>
      <c r="AB44" s="694">
        <f>SUM(AB38:AB40)</f>
        <v>15.483050847457628</v>
      </c>
      <c r="AC44" s="695"/>
      <c r="AD44" s="695"/>
      <c r="AE44" s="695"/>
      <c r="AF44" s="695" t="e">
        <f>SUM(AF38:AF40)/SUM(AD38:AD40)</f>
        <v>#DIV/0!</v>
      </c>
      <c r="AN44" s="27"/>
      <c r="AO44" s="27"/>
      <c r="AP44" s="27"/>
      <c r="AQ44" s="27"/>
      <c r="AR44" s="27"/>
      <c r="AS44" s="27"/>
      <c r="AT44" s="27"/>
      <c r="AU44" s="27"/>
      <c r="AV44" s="27"/>
      <c r="AW44" s="27"/>
      <c r="AX44" s="27"/>
      <c r="AY44" s="27"/>
      <c r="AZ44" s="27"/>
      <c r="BA44" s="27"/>
      <c r="BB44" s="27"/>
      <c r="BD44" s="29"/>
      <c r="BE44" s="29"/>
      <c r="BF44" s="29"/>
      <c r="BG44" s="28"/>
    </row>
    <row r="45" spans="1:69" s="2" customFormat="1" ht="13" x14ac:dyDescent="0.3">
      <c r="B45" s="694">
        <f>SUM(B41:B42)</f>
        <v>0</v>
      </c>
      <c r="C45" s="695"/>
      <c r="D45" s="694">
        <f>SUM(D41:D42)</f>
        <v>0</v>
      </c>
      <c r="E45" s="695"/>
      <c r="F45" s="694">
        <f>SUM(F41:F42)</f>
        <v>732</v>
      </c>
      <c r="G45" s="695"/>
      <c r="H45" s="694">
        <f>SUM(H41:H42)</f>
        <v>247.33940620782727</v>
      </c>
      <c r="I45" s="695"/>
      <c r="J45" s="694">
        <f>SUM(J41:J42)</f>
        <v>409</v>
      </c>
      <c r="K45" s="695"/>
      <c r="L45" s="694">
        <f>SUM(L41:L42)</f>
        <v>155.21212121212119</v>
      </c>
      <c r="M45" s="695"/>
      <c r="N45" s="694">
        <f>SUM(N41:N42)</f>
        <v>332</v>
      </c>
      <c r="O45" s="696"/>
      <c r="P45" s="694">
        <f>SUM(P41:P42)</f>
        <v>80.831536388140151</v>
      </c>
      <c r="Q45" s="695"/>
      <c r="R45" s="694">
        <f>SUM(R41:R42)</f>
        <v>301</v>
      </c>
      <c r="S45" s="695"/>
      <c r="T45" s="694">
        <f>SUM(T41:T42)</f>
        <v>99.230769230769226</v>
      </c>
      <c r="U45" s="695"/>
      <c r="V45" s="694">
        <f>SUM(V41:V42)</f>
        <v>68</v>
      </c>
      <c r="W45" s="695"/>
      <c r="X45" s="694">
        <f>SUM(X41:X42)</f>
        <v>37.090909090909093</v>
      </c>
      <c r="Y45" s="695"/>
      <c r="Z45" s="694">
        <f>SUM(Z41:Z42)</f>
        <v>12</v>
      </c>
      <c r="AA45" s="695"/>
      <c r="AB45" s="694">
        <f>SUM(AB41:AB42)</f>
        <v>1.0428211586901763</v>
      </c>
      <c r="AC45" s="695"/>
      <c r="AD45" s="695"/>
      <c r="AE45" s="695"/>
      <c r="AF45" s="695" t="e">
        <f>SUM(AF41:AF42)/SUM(AD41:AD42)</f>
        <v>#DIV/0!</v>
      </c>
      <c r="AN45" s="27"/>
      <c r="AO45" s="27"/>
      <c r="AP45" s="27"/>
      <c r="AQ45" s="27"/>
      <c r="AR45" s="27"/>
      <c r="AS45" s="27"/>
      <c r="AT45" s="27"/>
      <c r="AU45" s="27"/>
      <c r="AV45" s="27"/>
      <c r="AW45" s="27"/>
      <c r="AX45" s="27"/>
      <c r="AY45" s="27"/>
      <c r="AZ45" s="27"/>
      <c r="BA45" s="27"/>
      <c r="BB45" s="27"/>
      <c r="BD45" s="29"/>
      <c r="BE45" s="29"/>
      <c r="BF45" s="29"/>
      <c r="BG45" s="28"/>
    </row>
    <row r="46" spans="1:69" s="24" customFormat="1" ht="13" x14ac:dyDescent="0.3">
      <c r="G46" s="56"/>
      <c r="S46" s="56"/>
      <c r="W46" s="56"/>
      <c r="AD46" s="70"/>
    </row>
    <row r="47" spans="1:69" s="141" customFormat="1" ht="15.5" x14ac:dyDescent="0.35">
      <c r="A47" s="141" t="s">
        <v>44</v>
      </c>
      <c r="B47" s="141">
        <f>B37+B43</f>
        <v>4847</v>
      </c>
      <c r="C47" s="199">
        <f>D47/B47</f>
        <v>0.13112604217656923</v>
      </c>
      <c r="D47" s="141">
        <f>D37+D43</f>
        <v>635.56792642983112</v>
      </c>
      <c r="F47" s="141">
        <f>F37+F43</f>
        <v>7788</v>
      </c>
      <c r="G47" s="199">
        <f>H47/F47</f>
        <v>0.11578995474764975</v>
      </c>
      <c r="H47" s="141">
        <f>H37+H43</f>
        <v>901.77216757469625</v>
      </c>
      <c r="J47" s="141">
        <f>J37+J43</f>
        <v>11563</v>
      </c>
      <c r="K47" s="199">
        <f>L47/J47</f>
        <v>0.17970692622624379</v>
      </c>
      <c r="L47" s="141">
        <f>L37+L43</f>
        <v>2077.9511879540569</v>
      </c>
      <c r="N47" s="141">
        <f>N37+N43</f>
        <v>7987</v>
      </c>
      <c r="O47" s="199">
        <f>P47/N47</f>
        <v>0.19893964324704624</v>
      </c>
      <c r="P47" s="141">
        <f>P37+P43</f>
        <v>1588.9309306141583</v>
      </c>
      <c r="R47" s="141">
        <f>R37+R43</f>
        <v>10071</v>
      </c>
      <c r="S47" s="199">
        <f>T47/R47</f>
        <v>0.15135301190459566</v>
      </c>
      <c r="T47" s="141">
        <f>T37+T43</f>
        <v>1524.2761828911828</v>
      </c>
      <c r="V47" s="141">
        <f>V37+V43</f>
        <v>726</v>
      </c>
      <c r="W47" s="199">
        <f>X47/V47</f>
        <v>0.15981108462965851</v>
      </c>
      <c r="X47" s="141">
        <f>X37+X43</f>
        <v>116.02284744113209</v>
      </c>
      <c r="Z47" s="141">
        <f>Z37+Z43</f>
        <v>257</v>
      </c>
      <c r="AA47" s="199">
        <f>AB47/Z47</f>
        <v>7.9380824926645152E-2</v>
      </c>
      <c r="AB47" s="141">
        <f>AB37+AB43</f>
        <v>20.400872006147804</v>
      </c>
      <c r="AD47" s="197">
        <f>AD37+AD43</f>
        <v>12</v>
      </c>
      <c r="AE47" s="199"/>
      <c r="AF47" s="239">
        <f>AF37+AF43</f>
        <v>0</v>
      </c>
    </row>
    <row r="48" spans="1:69" ht="13" x14ac:dyDescent="0.3">
      <c r="A48" s="2"/>
      <c r="AD48" s="44"/>
      <c r="BD48" s="2"/>
      <c r="BE48" s="2"/>
      <c r="BF48" s="2"/>
      <c r="BG48" s="2"/>
      <c r="BH48" s="2"/>
      <c r="BI48" s="2"/>
      <c r="BJ48" s="2"/>
      <c r="BK48" s="2"/>
      <c r="BL48" s="2"/>
      <c r="BM48" s="2"/>
      <c r="BN48" s="2"/>
      <c r="BO48" s="2"/>
      <c r="BP48" s="2"/>
      <c r="BQ48" s="2"/>
    </row>
    <row r="49" spans="1:71" ht="13" x14ac:dyDescent="0.3">
      <c r="A49" s="2"/>
      <c r="BD49" s="2"/>
      <c r="BE49" s="2"/>
      <c r="BF49" s="2"/>
      <c r="BG49" s="2"/>
      <c r="BH49" s="2"/>
      <c r="BI49" s="2"/>
      <c r="BJ49" s="2"/>
      <c r="BK49" s="2"/>
      <c r="BL49" s="2"/>
      <c r="BM49" s="2"/>
      <c r="BN49" s="2"/>
      <c r="BO49" s="2"/>
      <c r="BP49" s="2"/>
      <c r="BQ49" s="2"/>
    </row>
    <row r="50" spans="1:71" x14ac:dyDescent="0.25">
      <c r="BD50" s="5"/>
      <c r="BE50" s="5"/>
      <c r="BF50" s="5"/>
      <c r="BG50" s="5"/>
      <c r="BH50" s="5"/>
      <c r="BI50" s="5"/>
      <c r="BJ50" s="5"/>
      <c r="BK50" s="5"/>
      <c r="BL50" s="5"/>
      <c r="BM50" s="5"/>
      <c r="BN50" s="5"/>
      <c r="BO50" s="5"/>
      <c r="BP50" s="5"/>
      <c r="BQ50" s="5"/>
      <c r="BR50" s="5"/>
    </row>
    <row r="51" spans="1:71" ht="15.5" x14ac:dyDescent="0.35">
      <c r="A51" s="1" t="s">
        <v>156</v>
      </c>
      <c r="BD51" s="5"/>
      <c r="BE51" s="5"/>
      <c r="BJ51" s="5"/>
      <c r="BK51" s="5"/>
      <c r="BL51" s="5"/>
      <c r="BM51" s="5"/>
      <c r="BN51" s="5"/>
      <c r="BO51" s="5"/>
      <c r="BP51" s="5"/>
      <c r="BQ51" s="5"/>
      <c r="BR51" s="5"/>
    </row>
    <row r="52" spans="1:71" ht="15.5" x14ac:dyDescent="0.35">
      <c r="A52" s="1"/>
      <c r="BD52" s="5"/>
      <c r="BE52" s="5"/>
      <c r="BJ52" s="5"/>
      <c r="BK52" s="5"/>
      <c r="BL52" s="5"/>
      <c r="BM52" s="5"/>
      <c r="BN52" s="5"/>
      <c r="BO52" s="5"/>
      <c r="BP52" s="5"/>
      <c r="BQ52" s="5"/>
      <c r="BR52" s="5"/>
    </row>
    <row r="53" spans="1:71" ht="13" x14ac:dyDescent="0.3">
      <c r="B53" s="2" t="s">
        <v>44</v>
      </c>
      <c r="C53" s="2" t="s">
        <v>55</v>
      </c>
      <c r="D53" s="2" t="s">
        <v>56</v>
      </c>
      <c r="K53" t="s">
        <v>174</v>
      </c>
      <c r="BD53" s="5"/>
      <c r="BE53" s="5"/>
      <c r="BF53" s="5"/>
      <c r="BJ53" s="5"/>
      <c r="BK53" s="5"/>
      <c r="BL53" s="5"/>
      <c r="BM53" s="5"/>
      <c r="BN53" s="5"/>
      <c r="BO53" s="5"/>
      <c r="BP53" s="5"/>
      <c r="BQ53" s="5"/>
      <c r="BR53" s="5"/>
    </row>
    <row r="54" spans="1:71" ht="13" x14ac:dyDescent="0.3">
      <c r="A54" s="32" t="s">
        <v>65</v>
      </c>
      <c r="B54" s="2"/>
      <c r="C54" s="2"/>
      <c r="D54" s="2"/>
      <c r="K54" s="15">
        <v>0.5</v>
      </c>
      <c r="L54" t="s">
        <v>175</v>
      </c>
      <c r="BD54" s="5"/>
      <c r="BE54" s="5"/>
      <c r="BF54" s="5"/>
      <c r="BJ54" s="5"/>
      <c r="BK54" s="5"/>
      <c r="BL54" s="5"/>
      <c r="BM54" s="5"/>
      <c r="BN54" s="5"/>
      <c r="BO54" s="5"/>
      <c r="BP54" s="5"/>
      <c r="BQ54" s="5"/>
      <c r="BR54" s="5"/>
    </row>
    <row r="55" spans="1:71" x14ac:dyDescent="0.25">
      <c r="A55" s="32" t="s">
        <v>66</v>
      </c>
      <c r="B55" s="29">
        <f>B12+F12+J12+N12+R12+V12+B33+F33+J33+N33+R33+V33+Z33+AD33</f>
        <v>2235</v>
      </c>
      <c r="C55" s="65">
        <f>D12+H12+L12+P12+T12+X12+D33+H33+L33+P33+T33+X33+AB33+AF33</f>
        <v>72.527415966386556</v>
      </c>
      <c r="D55" s="3">
        <f t="shared" ref="D55:D60" si="1">C55/B55</f>
        <v>3.2450745398830673E-2</v>
      </c>
      <c r="K55" s="15">
        <v>0.5</v>
      </c>
      <c r="L55" t="s">
        <v>172</v>
      </c>
      <c r="BD55" s="5"/>
      <c r="BE55" s="5"/>
      <c r="BF55" s="5"/>
      <c r="BJ55" s="5"/>
      <c r="BK55" s="5"/>
      <c r="BL55" s="5"/>
      <c r="BM55" s="5"/>
      <c r="BN55" s="5"/>
      <c r="BO55" s="5"/>
      <c r="BP55" s="5"/>
      <c r="BQ55" s="5"/>
      <c r="BR55" s="5"/>
    </row>
    <row r="56" spans="1:71" x14ac:dyDescent="0.25">
      <c r="A56" t="s">
        <v>31</v>
      </c>
      <c r="B56" s="29">
        <f>B13+F13+J13+N13+R13+V13+B34+F34+J34+N34+R34+V34+Z34+AD34</f>
        <v>20967</v>
      </c>
      <c r="C56" s="65">
        <f>D13+H13+L13+P13+T13+X13+D34+H34+L34+P34+T34+X34+AB34+AF34</f>
        <v>766.80919938317891</v>
      </c>
      <c r="D56" s="3">
        <f t="shared" si="1"/>
        <v>3.6572194371306287E-2</v>
      </c>
      <c r="K56" s="15">
        <v>0.5</v>
      </c>
      <c r="L56" t="s">
        <v>176</v>
      </c>
      <c r="BD56" s="5"/>
      <c r="BE56" s="5"/>
      <c r="BF56" s="5"/>
      <c r="BJ56" s="5"/>
      <c r="BK56" s="5"/>
      <c r="BL56" s="5"/>
      <c r="BM56" s="5"/>
      <c r="BN56" s="5"/>
      <c r="BO56" s="5"/>
      <c r="BP56" s="5"/>
      <c r="BQ56" s="5"/>
      <c r="BR56" s="5"/>
    </row>
    <row r="57" spans="1:71" x14ac:dyDescent="0.25">
      <c r="A57" t="s">
        <v>32</v>
      </c>
      <c r="B57" s="29">
        <f>B14+F14+J14+N14+R14+V14+B35+F35+J35+N35+R35+V35+Z35+AD35</f>
        <v>2884</v>
      </c>
      <c r="C57" s="65">
        <f>D14+H14+L14+P14+T14+X14+D35+H35+L35+P35+T35+X35+AB35+AF35</f>
        <v>223.59564909801432</v>
      </c>
      <c r="D57" s="3">
        <f t="shared" si="1"/>
        <v>7.7529698022889851E-2</v>
      </c>
      <c r="K57" s="15"/>
      <c r="BD57" s="5"/>
      <c r="BE57" s="5"/>
      <c r="BF57" s="5"/>
      <c r="BJ57" s="5"/>
      <c r="BK57" s="5"/>
      <c r="BL57" s="5"/>
      <c r="BM57" s="5"/>
      <c r="BN57" s="5"/>
      <c r="BO57" s="5"/>
      <c r="BP57" s="5"/>
      <c r="BQ57" s="5"/>
      <c r="BR57" s="5"/>
    </row>
    <row r="58" spans="1:71" x14ac:dyDescent="0.25">
      <c r="A58" s="42" t="s">
        <v>62</v>
      </c>
      <c r="B58" s="52">
        <f>B15+F15+J15+N15+R15+V15+B36+F36+J36+N36+R36+V36+Z36+AD36</f>
        <v>11567</v>
      </c>
      <c r="C58" s="66">
        <f>D15+H15+L15+P15+T15+X15+D36+H36+L36+P36+T36+X36+AB36+AF36</f>
        <v>796.07388045755863</v>
      </c>
      <c r="D58" s="43">
        <f t="shared" si="1"/>
        <v>6.8822847796106049E-2</v>
      </c>
      <c r="K58" s="15"/>
      <c r="BE58" s="5"/>
      <c r="BF58" s="5"/>
      <c r="BG58" s="5"/>
      <c r="BK58" s="5"/>
      <c r="BL58" s="5"/>
      <c r="BM58" s="5"/>
      <c r="BN58" s="5"/>
      <c r="BO58" s="5"/>
      <c r="BP58" s="5"/>
      <c r="BQ58" s="5"/>
      <c r="BR58" s="5"/>
      <c r="BS58" s="5"/>
    </row>
    <row r="59" spans="1:71" ht="13" x14ac:dyDescent="0.3">
      <c r="A59" s="2" t="s">
        <v>61</v>
      </c>
      <c r="B59" s="24">
        <f>SUM(B54:B58)</f>
        <v>37653</v>
      </c>
      <c r="C59" s="24">
        <f>SUM(C54:C58)</f>
        <v>1859.0061449051386</v>
      </c>
      <c r="D59" s="67">
        <f t="shared" si="1"/>
        <v>4.9372059195950883E-2</v>
      </c>
      <c r="H59" s="2" t="s">
        <v>157</v>
      </c>
      <c r="K59" s="15"/>
      <c r="BE59" s="5"/>
      <c r="BF59" s="5"/>
      <c r="BG59" s="5"/>
      <c r="BK59" s="5"/>
      <c r="BL59" s="5"/>
      <c r="BM59" s="5"/>
      <c r="BN59" s="5"/>
      <c r="BO59" s="5"/>
      <c r="BP59" s="5"/>
      <c r="BQ59" s="5"/>
      <c r="BR59" s="5"/>
      <c r="BS59" s="5"/>
    </row>
    <row r="60" spans="1:71" x14ac:dyDescent="0.25">
      <c r="A60">
        <v>1</v>
      </c>
      <c r="B60" s="29">
        <f t="shared" ref="B60:B65" si="2">B17+F17+J17+N17+B38+F38+J38+N38+R38+V38+Z38+AD38</f>
        <v>4182</v>
      </c>
      <c r="C60" s="64">
        <f t="shared" ref="C60:C65" si="3">D17+H17+L17+P17+D38+H38+L38+P38+T38+X38+AB38+AF38</f>
        <v>921.41148470326937</v>
      </c>
      <c r="D60" s="112">
        <f t="shared" si="1"/>
        <v>0.22032794947471768</v>
      </c>
      <c r="K60" s="15"/>
      <c r="BE60" s="5"/>
      <c r="BF60" s="5"/>
      <c r="BG60" s="5"/>
      <c r="BK60" s="5"/>
      <c r="BL60" s="5"/>
      <c r="BM60" s="5"/>
      <c r="BN60" s="5"/>
      <c r="BO60" s="5"/>
      <c r="BP60" s="5"/>
      <c r="BQ60" s="5"/>
      <c r="BR60" s="5"/>
      <c r="BS60" s="5"/>
    </row>
    <row r="61" spans="1:71" x14ac:dyDescent="0.25">
      <c r="A61">
        <v>2</v>
      </c>
      <c r="B61" s="29">
        <f t="shared" si="2"/>
        <v>15677</v>
      </c>
      <c r="C61" s="64">
        <f t="shared" si="3"/>
        <v>2628.8559573260172</v>
      </c>
      <c r="D61" s="112">
        <f t="shared" ref="D61:D68" si="4">C61/B61</f>
        <v>0.16768871323123155</v>
      </c>
      <c r="K61" s="44"/>
      <c r="BE61" s="5"/>
      <c r="BF61" s="5"/>
      <c r="BG61" s="5"/>
      <c r="BH61" s="5"/>
      <c r="BK61" s="5"/>
      <c r="BL61" s="5"/>
      <c r="BM61" s="5"/>
      <c r="BN61" s="5"/>
      <c r="BO61" s="5"/>
      <c r="BP61" s="5"/>
      <c r="BQ61" s="5"/>
      <c r="BR61" s="5"/>
      <c r="BS61" s="5"/>
    </row>
    <row r="62" spans="1:71" ht="13" x14ac:dyDescent="0.3">
      <c r="A62">
        <v>3</v>
      </c>
      <c r="B62" s="29">
        <f t="shared" si="2"/>
        <v>6237</v>
      </c>
      <c r="C62" s="64">
        <f t="shared" si="3"/>
        <v>1732.9383891501639</v>
      </c>
      <c r="D62" s="112">
        <f t="shared" si="4"/>
        <v>0.27784806624180919</v>
      </c>
      <c r="H62" s="2" t="s">
        <v>94</v>
      </c>
      <c r="K62" s="228"/>
      <c r="M62" s="5"/>
      <c r="BE62" s="5"/>
      <c r="BF62" s="5"/>
      <c r="BG62" s="5"/>
      <c r="BH62" s="5"/>
      <c r="BK62" s="5"/>
      <c r="BL62" s="5"/>
      <c r="BM62" s="5"/>
      <c r="BN62" s="5"/>
      <c r="BO62" s="5"/>
      <c r="BP62" s="5"/>
      <c r="BQ62" s="5"/>
      <c r="BR62" s="5"/>
      <c r="BS62" s="5"/>
    </row>
    <row r="63" spans="1:71" x14ac:dyDescent="0.25">
      <c r="A63">
        <v>4</v>
      </c>
      <c r="B63" s="29">
        <f t="shared" si="2"/>
        <v>1233</v>
      </c>
      <c r="C63" s="64">
        <f t="shared" si="3"/>
        <v>437.18407464204898</v>
      </c>
      <c r="D63" s="112">
        <f t="shared" si="4"/>
        <v>0.354569403602635</v>
      </c>
      <c r="K63" s="228"/>
      <c r="M63" s="5"/>
      <c r="BE63" s="5"/>
      <c r="BF63" s="5"/>
      <c r="BG63" s="5"/>
      <c r="BH63" s="5"/>
      <c r="BI63" s="5"/>
      <c r="BJ63" s="5"/>
      <c r="BK63" s="5"/>
      <c r="BL63" s="5"/>
      <c r="BM63" s="5"/>
      <c r="BN63" s="5"/>
      <c r="BO63" s="5"/>
      <c r="BP63" s="5"/>
      <c r="BQ63" s="5"/>
    </row>
    <row r="64" spans="1:71" s="2" customFormat="1" ht="13" x14ac:dyDescent="0.3">
      <c r="A64" s="42">
        <v>5</v>
      </c>
      <c r="B64" s="52">
        <f t="shared" si="2"/>
        <v>870</v>
      </c>
      <c r="C64" s="98">
        <f t="shared" si="3"/>
        <v>269.08806932888359</v>
      </c>
      <c r="D64" s="229">
        <f t="shared" si="4"/>
        <v>0.30929663141250985</v>
      </c>
      <c r="G64" s="8">
        <f>H22+L22+P22</f>
        <v>438.98197416618461</v>
      </c>
      <c r="K64" s="228"/>
      <c r="L64"/>
      <c r="M64" s="8"/>
      <c r="BD64"/>
      <c r="BE64"/>
      <c r="BF64"/>
      <c r="BG64"/>
      <c r="BH64"/>
      <c r="BI64"/>
      <c r="BJ64"/>
      <c r="BK64"/>
      <c r="BL64"/>
      <c r="BM64"/>
      <c r="BN64"/>
      <c r="BO64"/>
      <c r="BP64"/>
      <c r="BQ64"/>
      <c r="BR64"/>
    </row>
    <row r="65" spans="1:70" ht="13" x14ac:dyDescent="0.3">
      <c r="A65" s="2" t="s">
        <v>60</v>
      </c>
      <c r="B65" s="24">
        <f t="shared" si="2"/>
        <v>28199</v>
      </c>
      <c r="C65" s="24">
        <f t="shared" si="3"/>
        <v>5989.477975150382</v>
      </c>
      <c r="D65" s="55">
        <f t="shared" si="4"/>
        <v>0.21240036792618114</v>
      </c>
      <c r="G65" s="217">
        <f>(H43*K54)+(L43*K55)+(P43*K56)</f>
        <v>1962.6211817339349</v>
      </c>
      <c r="H65" s="24">
        <f>G64+G65</f>
        <v>2401.6031559001194</v>
      </c>
      <c r="I65" s="2" t="s">
        <v>158</v>
      </c>
      <c r="BD65" s="2"/>
      <c r="BE65" s="2"/>
      <c r="BF65" s="2"/>
      <c r="BG65" s="2"/>
      <c r="BH65" s="2"/>
      <c r="BI65" s="2"/>
      <c r="BJ65" s="2"/>
      <c r="BK65" s="2"/>
      <c r="BL65" s="2"/>
      <c r="BM65" s="2"/>
      <c r="BN65" s="2"/>
      <c r="BO65" s="2"/>
      <c r="BP65" s="2"/>
      <c r="BQ65" s="2"/>
      <c r="BR65" s="2"/>
    </row>
    <row r="66" spans="1:70" ht="13" x14ac:dyDescent="0.3">
      <c r="A66" s="2"/>
      <c r="B66" s="218" t="str">
        <f>IF(B65=(H71+H72),"T","F")</f>
        <v>T</v>
      </c>
      <c r="C66" s="218" t="str">
        <f>IF(C65+(H65+H66),"T","F")</f>
        <v>T</v>
      </c>
      <c r="D66" s="204" t="e">
        <f t="shared" si="4"/>
        <v>#VALUE!</v>
      </c>
      <c r="G66" s="217">
        <f>((1-K54)*H43)+((1-K55)*L43)+((1-K56)*P43)</f>
        <v>1962.6211817339349</v>
      </c>
      <c r="H66" s="24">
        <f>G66+G67</f>
        <v>3587.8748192502635</v>
      </c>
      <c r="I66" s="2" t="s">
        <v>159</v>
      </c>
    </row>
    <row r="67" spans="1:70" ht="13" x14ac:dyDescent="0.3">
      <c r="A67" s="2"/>
      <c r="G67" s="24">
        <f>T43+X43+AB43</f>
        <v>1625.2536375163284</v>
      </c>
      <c r="H67" s="8"/>
      <c r="I67" s="2"/>
    </row>
    <row r="68" spans="1:70" ht="13" x14ac:dyDescent="0.3">
      <c r="A68" s="2" t="s">
        <v>69</v>
      </c>
      <c r="B68" s="40">
        <f>B59+B65</f>
        <v>65852</v>
      </c>
      <c r="C68" s="40">
        <f>C59+C65</f>
        <v>7848.4841200555202</v>
      </c>
      <c r="D68" s="55">
        <f t="shared" si="4"/>
        <v>0.11918368644924254</v>
      </c>
    </row>
    <row r="69" spans="1:70" ht="13" x14ac:dyDescent="0.3">
      <c r="C69" s="4"/>
      <c r="D69" s="5"/>
      <c r="H69" s="26" t="s">
        <v>44</v>
      </c>
      <c r="I69" s="5"/>
      <c r="L69" s="4"/>
      <c r="M69" s="5"/>
      <c r="P69" s="4"/>
      <c r="Q69" s="5"/>
      <c r="T69" s="4"/>
      <c r="U69" s="5"/>
      <c r="X69" s="7"/>
      <c r="Y69" s="5"/>
      <c r="AL69" s="2"/>
      <c r="AM69" s="2"/>
    </row>
    <row r="70" spans="1:70" ht="13" x14ac:dyDescent="0.3">
      <c r="C70" s="8"/>
      <c r="D70" s="5"/>
      <c r="G70" s="2">
        <f>F22+J22+N22</f>
        <v>830</v>
      </c>
      <c r="H70" s="26"/>
      <c r="I70" s="5"/>
      <c r="L70" s="4"/>
      <c r="M70" s="5"/>
      <c r="P70" s="4"/>
      <c r="Q70" s="5"/>
      <c r="T70" s="4"/>
      <c r="U70" s="5"/>
      <c r="X70" s="4"/>
      <c r="Y70" s="5"/>
      <c r="AB70" s="4"/>
      <c r="AC70" s="5"/>
      <c r="AK70" s="2"/>
      <c r="AM70" s="5"/>
    </row>
    <row r="71" spans="1:70" ht="13" x14ac:dyDescent="0.3">
      <c r="C71" s="4"/>
      <c r="D71" s="5"/>
      <c r="G71" s="40">
        <f>(K54*F43)+(K55*J43)+(K56*N43)</f>
        <v>8761</v>
      </c>
      <c r="H71" s="24">
        <f>G70+G71</f>
        <v>9591</v>
      </c>
      <c r="I71" s="2" t="s">
        <v>158</v>
      </c>
      <c r="L71" s="4"/>
      <c r="M71" s="5"/>
      <c r="P71" s="4"/>
      <c r="Q71" s="5"/>
      <c r="T71" s="4"/>
      <c r="U71" s="5"/>
      <c r="X71" s="4"/>
      <c r="Y71" s="5"/>
      <c r="AB71" s="4"/>
      <c r="AC71" s="5"/>
      <c r="AI71" s="2"/>
      <c r="AK71" s="2"/>
      <c r="AM71" s="5"/>
    </row>
    <row r="72" spans="1:70" ht="13" x14ac:dyDescent="0.3">
      <c r="C72" s="8"/>
      <c r="D72" s="5"/>
      <c r="G72" s="24">
        <f>((K54)*F43)+((K55)*J43)+((K56*N43))</f>
        <v>8761</v>
      </c>
      <c r="H72" s="40">
        <f>G72+G73</f>
        <v>18608</v>
      </c>
      <c r="I72" s="2" t="s">
        <v>159</v>
      </c>
      <c r="T72" s="7"/>
      <c r="U72" s="5"/>
      <c r="AB72" s="7"/>
      <c r="AC72" s="5"/>
      <c r="AH72" s="2"/>
      <c r="AI72" s="2"/>
      <c r="AJ72" s="23"/>
      <c r="AK72" s="2"/>
      <c r="AM72" s="5"/>
    </row>
    <row r="73" spans="1:70" ht="13" x14ac:dyDescent="0.3">
      <c r="C73" s="7"/>
      <c r="D73" s="5"/>
      <c r="G73" s="24">
        <f>R43+V43+Z43</f>
        <v>9847</v>
      </c>
      <c r="K73" s="7"/>
      <c r="L73" s="5"/>
      <c r="O73" s="4"/>
      <c r="P73" s="5"/>
      <c r="S73" s="4"/>
      <c r="T73" s="5"/>
      <c r="W73" s="7"/>
      <c r="X73" s="5"/>
      <c r="AA73" s="7"/>
      <c r="AB73" s="5"/>
      <c r="AJ73" s="23"/>
      <c r="AL73" s="5"/>
    </row>
    <row r="74" spans="1:70" s="2" customFormat="1" ht="13" x14ac:dyDescent="0.3">
      <c r="B74" s="8"/>
      <c r="D74" s="8"/>
      <c r="F74" s="8"/>
      <c r="G74" s="7"/>
      <c r="H74" s="5"/>
      <c r="I74"/>
      <c r="J74"/>
      <c r="L74" s="8"/>
      <c r="N74" s="8"/>
      <c r="O74" s="26"/>
      <c r="P74" s="8"/>
      <c r="R74" s="8"/>
      <c r="S74" s="26"/>
      <c r="T74" s="8"/>
      <c r="V74" s="8"/>
      <c r="W74" s="26"/>
      <c r="X74" s="8"/>
      <c r="Z74" s="8"/>
      <c r="AB74" s="8"/>
      <c r="AG74" s="8"/>
      <c r="AH74" s="24"/>
      <c r="AI74" s="24"/>
      <c r="AK74"/>
      <c r="AL74" s="5"/>
      <c r="BC74"/>
      <c r="BD74"/>
      <c r="BE74"/>
      <c r="BF74"/>
      <c r="BG74"/>
      <c r="BH74"/>
      <c r="BI74"/>
      <c r="BJ74"/>
      <c r="BK74"/>
      <c r="BL74"/>
      <c r="BM74"/>
      <c r="BN74"/>
      <c r="BO74"/>
      <c r="BP74"/>
      <c r="BQ74"/>
    </row>
    <row r="75" spans="1:70" ht="13" x14ac:dyDescent="0.3">
      <c r="G75" s="2"/>
      <c r="H75" s="8"/>
      <c r="I75" s="2"/>
      <c r="J75" s="8"/>
      <c r="BC75" s="2"/>
      <c r="BD75" s="2"/>
      <c r="BE75" s="2"/>
      <c r="BF75" s="2"/>
      <c r="BG75" s="2"/>
      <c r="BH75" s="2"/>
      <c r="BI75" s="2"/>
      <c r="BJ75" s="2"/>
      <c r="BK75" s="2"/>
      <c r="BL75" s="2"/>
      <c r="BM75" s="2"/>
      <c r="BN75" s="2"/>
      <c r="BO75" s="2"/>
      <c r="BP75" s="2"/>
      <c r="BQ75" s="2"/>
    </row>
    <row r="76" spans="1:70" ht="13" x14ac:dyDescent="0.3">
      <c r="A76" s="2"/>
      <c r="G76" s="14">
        <f>B65-H72-H71</f>
        <v>0</v>
      </c>
      <c r="AL76" s="5"/>
    </row>
    <row r="79" spans="1:70" x14ac:dyDescent="0.25">
      <c r="C79" s="7"/>
      <c r="D79" s="5"/>
    </row>
    <row r="80" spans="1:70" x14ac:dyDescent="0.25">
      <c r="C80" s="7"/>
      <c r="D80" s="5"/>
    </row>
    <row r="81" spans="1:69" x14ac:dyDescent="0.25">
      <c r="G81" s="7"/>
      <c r="H81" s="5"/>
    </row>
    <row r="82" spans="1:69" x14ac:dyDescent="0.25">
      <c r="G82" s="7"/>
      <c r="H82" s="5"/>
      <c r="O82" s="7"/>
      <c r="P82" s="5"/>
    </row>
    <row r="83" spans="1:69" x14ac:dyDescent="0.25">
      <c r="K83" s="7"/>
      <c r="L83" s="5"/>
      <c r="O83" s="7"/>
      <c r="P83" s="5"/>
    </row>
    <row r="84" spans="1:69" s="2" customFormat="1" ht="13" x14ac:dyDescent="0.3">
      <c r="B84" s="8"/>
      <c r="D84" s="8"/>
      <c r="F84" s="8"/>
      <c r="G84"/>
      <c r="H84"/>
      <c r="I84"/>
      <c r="J84"/>
      <c r="K84" s="25"/>
      <c r="L84" s="8"/>
      <c r="N84" s="8"/>
      <c r="O84" s="25"/>
      <c r="P84" s="8"/>
      <c r="S84" s="8"/>
      <c r="BC84"/>
      <c r="BD84"/>
      <c r="BE84"/>
      <c r="BF84"/>
      <c r="BG84"/>
      <c r="BH84"/>
      <c r="BI84"/>
      <c r="BJ84"/>
      <c r="BK84"/>
      <c r="BL84"/>
      <c r="BM84"/>
      <c r="BN84"/>
      <c r="BO84"/>
      <c r="BP84"/>
      <c r="BQ84"/>
    </row>
    <row r="85" spans="1:69" ht="13" x14ac:dyDescent="0.3">
      <c r="G85" s="2"/>
      <c r="H85" s="8"/>
      <c r="I85" s="2"/>
      <c r="J85" s="8"/>
      <c r="BC85" s="2"/>
      <c r="BD85" s="2"/>
      <c r="BE85" s="2"/>
      <c r="BF85" s="2"/>
      <c r="BG85" s="2"/>
      <c r="BH85" s="2"/>
      <c r="BI85" s="2"/>
      <c r="BJ85" s="2"/>
      <c r="BK85" s="2"/>
      <c r="BL85" s="2"/>
      <c r="BM85" s="2"/>
      <c r="BN85" s="2"/>
      <c r="BO85" s="2"/>
      <c r="BP85" s="2"/>
      <c r="BQ85" s="2"/>
    </row>
    <row r="87" spans="1:69" ht="13" x14ac:dyDescent="0.3">
      <c r="AK87" s="2"/>
      <c r="AL87" s="2"/>
    </row>
    <row r="88" spans="1:69" ht="13" x14ac:dyDescent="0.3">
      <c r="C88" s="4"/>
      <c r="D88" s="5"/>
      <c r="K88" s="4"/>
      <c r="L88" s="5"/>
      <c r="O88" s="4"/>
      <c r="P88" s="5"/>
      <c r="S88" s="4"/>
      <c r="T88" s="5"/>
      <c r="W88" s="4"/>
      <c r="X88" s="5"/>
      <c r="AJ88" s="2"/>
      <c r="AL88" s="5"/>
    </row>
    <row r="89" spans="1:69" ht="13" x14ac:dyDescent="0.3">
      <c r="C89" s="4"/>
      <c r="D89" s="5"/>
      <c r="G89" s="4"/>
      <c r="H89" s="5"/>
      <c r="K89" s="4"/>
      <c r="L89" s="5"/>
      <c r="O89" s="4"/>
      <c r="P89" s="5"/>
      <c r="S89" s="4"/>
      <c r="T89" s="5"/>
      <c r="W89" s="4"/>
      <c r="X89" s="5"/>
      <c r="AA89" s="4"/>
      <c r="AB89" s="5"/>
      <c r="AJ89" s="2"/>
      <c r="AL89" s="5"/>
    </row>
    <row r="90" spans="1:69" ht="13" x14ac:dyDescent="0.3">
      <c r="C90" s="4"/>
      <c r="D90" s="5"/>
      <c r="G90" s="4"/>
      <c r="H90" s="5"/>
      <c r="K90" s="4"/>
      <c r="L90" s="5"/>
      <c r="O90" s="4"/>
      <c r="P90" s="5"/>
      <c r="S90" s="4"/>
      <c r="T90" s="5"/>
      <c r="W90" s="4"/>
      <c r="X90" s="5"/>
      <c r="AA90" s="4"/>
      <c r="AB90" s="5"/>
      <c r="AH90" s="2"/>
      <c r="AJ90" s="2"/>
      <c r="AL90" s="5"/>
    </row>
    <row r="91" spans="1:69" ht="13" x14ac:dyDescent="0.3">
      <c r="C91" s="4"/>
      <c r="D91" s="5"/>
      <c r="G91" s="4"/>
      <c r="H91" s="5"/>
      <c r="K91" s="7"/>
      <c r="L91" s="5"/>
      <c r="O91" s="4"/>
      <c r="P91" s="5"/>
      <c r="S91" s="7"/>
      <c r="T91" s="5"/>
      <c r="W91" s="7"/>
      <c r="X91" s="5"/>
      <c r="AA91" s="7"/>
      <c r="AH91" s="2"/>
      <c r="AI91" s="23"/>
      <c r="AJ91" s="23"/>
      <c r="AL91" s="5"/>
    </row>
    <row r="92" spans="1:69" ht="13" x14ac:dyDescent="0.3">
      <c r="C92" s="4"/>
      <c r="D92" s="5"/>
      <c r="G92" s="7"/>
      <c r="H92" s="5"/>
      <c r="K92" s="4"/>
      <c r="L92" s="5"/>
      <c r="O92" s="4"/>
      <c r="P92" s="5"/>
      <c r="S92" s="4"/>
      <c r="T92" s="5"/>
      <c r="W92" s="4"/>
      <c r="X92" s="5"/>
      <c r="AA92" s="4"/>
      <c r="AB92" s="5"/>
      <c r="AJ92" s="2"/>
      <c r="AL92" s="5"/>
    </row>
    <row r="93" spans="1:69" s="2" customFormat="1" ht="13" x14ac:dyDescent="0.3">
      <c r="B93" s="8"/>
      <c r="C93" s="26"/>
      <c r="D93" s="8"/>
      <c r="F93" s="8"/>
      <c r="G93" s="4"/>
      <c r="H93" s="5"/>
      <c r="I93"/>
      <c r="J93"/>
      <c r="K93" s="26"/>
      <c r="L93" s="8"/>
      <c r="N93" s="8"/>
      <c r="O93" s="26"/>
      <c r="P93" s="8"/>
      <c r="R93" s="8"/>
      <c r="S93" s="26"/>
      <c r="T93" s="8"/>
      <c r="V93" s="8"/>
      <c r="W93" s="26"/>
      <c r="X93" s="8"/>
      <c r="Z93" s="8"/>
      <c r="AA93" s="26"/>
      <c r="AB93" s="8"/>
      <c r="AH93" s="24"/>
      <c r="AI93" s="24"/>
      <c r="AJ93" s="24"/>
      <c r="AK93" s="24"/>
      <c r="AL93" s="24"/>
      <c r="BC93"/>
      <c r="BD93"/>
      <c r="BE93"/>
      <c r="BF93"/>
      <c r="BG93"/>
      <c r="BH93"/>
      <c r="BI93"/>
      <c r="BJ93"/>
      <c r="BK93"/>
      <c r="BL93"/>
      <c r="BM93"/>
      <c r="BN93"/>
      <c r="BO93"/>
      <c r="BP93"/>
      <c r="BQ93"/>
    </row>
    <row r="94" spans="1:69" ht="13" x14ac:dyDescent="0.3">
      <c r="G94" s="26"/>
      <c r="H94" s="8"/>
      <c r="I94" s="2"/>
      <c r="J94" s="8"/>
      <c r="AL94" s="5"/>
      <c r="BC94" s="2"/>
      <c r="BD94" s="2"/>
      <c r="BE94" s="2"/>
      <c r="BF94" s="2"/>
      <c r="BG94" s="2"/>
      <c r="BH94" s="2"/>
      <c r="BI94" s="2"/>
      <c r="BJ94" s="2"/>
      <c r="BK94" s="2"/>
      <c r="BL94" s="2"/>
      <c r="BM94" s="2"/>
      <c r="BN94" s="2"/>
      <c r="BO94" s="2"/>
      <c r="BP94" s="2"/>
      <c r="BQ94" s="2"/>
    </row>
    <row r="95" spans="1:69" ht="13" x14ac:dyDescent="0.3">
      <c r="A95" s="2"/>
    </row>
    <row r="98" spans="2:69" x14ac:dyDescent="0.25">
      <c r="C98" s="7"/>
      <c r="D98" s="5"/>
    </row>
    <row r="99" spans="2:69" x14ac:dyDescent="0.25">
      <c r="G99" s="7"/>
      <c r="H99" s="5"/>
    </row>
    <row r="100" spans="2:69" x14ac:dyDescent="0.25">
      <c r="G100" s="7"/>
      <c r="H100" s="5"/>
    </row>
    <row r="101" spans="2:69" x14ac:dyDescent="0.25">
      <c r="G101" s="7"/>
      <c r="H101" s="5"/>
      <c r="O101" s="7"/>
      <c r="P101" s="5"/>
    </row>
    <row r="102" spans="2:69" x14ac:dyDescent="0.25">
      <c r="K102" s="7"/>
      <c r="L102" s="5"/>
      <c r="O102" s="7"/>
      <c r="P102" s="5"/>
    </row>
    <row r="103" spans="2:69" s="2" customFormat="1" ht="13" x14ac:dyDescent="0.3">
      <c r="B103" s="8"/>
      <c r="D103" s="8"/>
      <c r="F103" s="8"/>
      <c r="G103"/>
      <c r="H103"/>
      <c r="I103"/>
      <c r="J103"/>
      <c r="L103" s="8"/>
      <c r="N103" s="8"/>
      <c r="P103" s="8"/>
      <c r="S103" s="8"/>
      <c r="BC103"/>
      <c r="BD103"/>
      <c r="BE103"/>
      <c r="BF103"/>
      <c r="BG103"/>
      <c r="BH103"/>
      <c r="BI103"/>
      <c r="BJ103"/>
      <c r="BK103"/>
      <c r="BL103"/>
      <c r="BM103"/>
      <c r="BN103"/>
      <c r="BO103"/>
      <c r="BP103"/>
      <c r="BQ103"/>
    </row>
    <row r="104" spans="2:69" ht="13" x14ac:dyDescent="0.3">
      <c r="G104" s="2"/>
      <c r="H104" s="8"/>
      <c r="I104" s="2"/>
      <c r="J104" s="8"/>
      <c r="BC104" s="2"/>
      <c r="BD104" s="2"/>
      <c r="BE104" s="2"/>
      <c r="BF104" s="2"/>
      <c r="BG104" s="2"/>
      <c r="BH104" s="2"/>
      <c r="BI104" s="2"/>
      <c r="BJ104" s="2"/>
      <c r="BK104" s="2"/>
      <c r="BL104" s="2"/>
      <c r="BM104" s="2"/>
      <c r="BN104" s="2"/>
      <c r="BO104" s="2"/>
      <c r="BP104" s="2"/>
      <c r="BQ104" s="2"/>
    </row>
    <row r="106" spans="2:69" ht="13" x14ac:dyDescent="0.3">
      <c r="AK106" s="2"/>
      <c r="AL106" s="2"/>
    </row>
    <row r="107" spans="2:69" ht="13" x14ac:dyDescent="0.3">
      <c r="C107" s="4"/>
      <c r="D107" s="5"/>
      <c r="K107" s="4"/>
      <c r="L107" s="5"/>
      <c r="O107" s="4"/>
      <c r="P107" s="5"/>
      <c r="S107" s="4"/>
      <c r="T107" s="5"/>
      <c r="W107" s="7"/>
      <c r="X107" s="5"/>
      <c r="AA107" s="7"/>
      <c r="AB107" s="5"/>
      <c r="AJ107" s="2"/>
      <c r="AL107" s="5"/>
    </row>
    <row r="108" spans="2:69" ht="13" x14ac:dyDescent="0.3">
      <c r="C108" s="4"/>
      <c r="D108" s="5"/>
      <c r="G108" s="4"/>
      <c r="H108" s="5"/>
      <c r="K108" s="4"/>
      <c r="L108" s="5"/>
      <c r="O108" s="4"/>
      <c r="P108" s="5"/>
      <c r="S108" s="4"/>
      <c r="T108" s="5"/>
      <c r="W108" s="4"/>
      <c r="X108" s="5"/>
      <c r="AA108" s="4"/>
      <c r="AB108" s="5"/>
      <c r="AJ108" s="2"/>
      <c r="AL108" s="5"/>
    </row>
    <row r="109" spans="2:69" ht="13" x14ac:dyDescent="0.3">
      <c r="C109" s="4"/>
      <c r="D109" s="5"/>
      <c r="G109" s="4"/>
      <c r="H109" s="5"/>
      <c r="K109" s="4"/>
      <c r="L109" s="5"/>
      <c r="O109" s="4"/>
      <c r="P109" s="5"/>
      <c r="S109" s="4"/>
      <c r="T109" s="5"/>
      <c r="W109" s="4"/>
      <c r="X109" s="5"/>
      <c r="AA109" s="4"/>
      <c r="AB109" s="5"/>
      <c r="AH109" s="2"/>
      <c r="AJ109" s="2"/>
      <c r="AL109" s="5"/>
    </row>
    <row r="110" spans="2:69" ht="13" x14ac:dyDescent="0.3">
      <c r="C110" s="7"/>
      <c r="D110" s="5"/>
      <c r="G110" s="4"/>
      <c r="H110" s="5"/>
      <c r="K110" s="7"/>
      <c r="L110" s="5"/>
      <c r="AA110" s="7"/>
      <c r="AB110" s="5"/>
      <c r="AG110" s="2"/>
      <c r="AH110" s="2"/>
      <c r="AI110" s="23"/>
      <c r="AJ110" s="23"/>
      <c r="AL110" s="5"/>
    </row>
    <row r="111" spans="2:69" ht="13" x14ac:dyDescent="0.3">
      <c r="C111" s="4"/>
      <c r="D111" s="5"/>
      <c r="G111" s="7"/>
      <c r="H111" s="5"/>
      <c r="K111" s="4"/>
      <c r="L111" s="5"/>
      <c r="O111" s="4"/>
      <c r="P111" s="5"/>
      <c r="S111" s="4"/>
      <c r="T111" s="5"/>
      <c r="W111" s="4"/>
      <c r="X111" s="5"/>
      <c r="AA111" s="4"/>
      <c r="AB111" s="5"/>
      <c r="AJ111" s="2"/>
      <c r="AL111" s="5"/>
    </row>
    <row r="112" spans="2:69" s="2" customFormat="1" ht="13" x14ac:dyDescent="0.3">
      <c r="B112" s="8"/>
      <c r="C112" s="26"/>
      <c r="D112" s="8"/>
      <c r="F112" s="8"/>
      <c r="G112" s="7"/>
      <c r="H112" s="5"/>
      <c r="I112"/>
      <c r="J112"/>
      <c r="K112" s="26"/>
      <c r="L112" s="8"/>
      <c r="N112" s="8"/>
      <c r="O112" s="26"/>
      <c r="P112" s="8"/>
      <c r="R112" s="8"/>
      <c r="S112" s="26"/>
      <c r="T112" s="8"/>
      <c r="V112" s="8"/>
      <c r="W112" s="26"/>
      <c r="X112" s="8"/>
      <c r="Z112" s="8"/>
      <c r="AA112" s="26"/>
      <c r="AB112" s="8"/>
      <c r="AG112" s="8"/>
      <c r="AH112" s="24"/>
      <c r="AI112" s="24"/>
      <c r="AJ112" s="24"/>
      <c r="AK112" s="24"/>
      <c r="AL112" s="24"/>
      <c r="BC112"/>
      <c r="BD112"/>
      <c r="BE112"/>
      <c r="BF112"/>
      <c r="BG112"/>
      <c r="BH112"/>
      <c r="BI112"/>
      <c r="BJ112"/>
      <c r="BK112"/>
      <c r="BL112"/>
      <c r="BM112"/>
      <c r="BN112"/>
      <c r="BO112"/>
      <c r="BP112"/>
      <c r="BQ112"/>
    </row>
    <row r="113" spans="1:69" ht="13" x14ac:dyDescent="0.3">
      <c r="G113" s="2"/>
      <c r="H113" s="8"/>
      <c r="I113" s="2"/>
      <c r="J113" s="8"/>
      <c r="AL113" s="5"/>
      <c r="BC113" s="2"/>
      <c r="BD113" s="2"/>
      <c r="BE113" s="2"/>
      <c r="BF113" s="2"/>
      <c r="BG113" s="2"/>
      <c r="BH113" s="2"/>
      <c r="BI113" s="2"/>
      <c r="BJ113" s="2"/>
      <c r="BK113" s="2"/>
      <c r="BL113" s="2"/>
      <c r="BM113" s="2"/>
      <c r="BN113" s="2"/>
      <c r="BO113" s="2"/>
      <c r="BP113" s="2"/>
      <c r="BQ113" s="2"/>
    </row>
    <row r="114" spans="1:69" ht="13" x14ac:dyDescent="0.3">
      <c r="A114" s="2"/>
    </row>
    <row r="117" spans="1:69" ht="13" x14ac:dyDescent="0.3">
      <c r="C117" s="7"/>
      <c r="D117" s="5"/>
      <c r="AP117" s="2"/>
      <c r="AQ117" s="2"/>
      <c r="AR117" s="2"/>
      <c r="AS117" s="2"/>
      <c r="AT117" s="2"/>
      <c r="AU117" s="2"/>
      <c r="AV117" s="2"/>
      <c r="AW117" s="2"/>
      <c r="AX117" s="2"/>
      <c r="AY117" s="2"/>
    </row>
    <row r="118" spans="1:69" ht="13" x14ac:dyDescent="0.3">
      <c r="C118" s="7"/>
      <c r="D118" s="5"/>
      <c r="G118" s="7"/>
      <c r="H118" s="5"/>
      <c r="K118" s="7"/>
      <c r="L118" s="5"/>
      <c r="AP118" s="2"/>
      <c r="AQ118" s="2"/>
      <c r="AR118" s="2"/>
      <c r="AS118" s="2"/>
      <c r="AT118" s="2"/>
      <c r="AU118" s="2"/>
      <c r="AV118" s="2"/>
      <c r="AW118" s="2"/>
      <c r="AX118" s="2"/>
      <c r="AY118" s="2"/>
    </row>
    <row r="119" spans="1:69" ht="13" x14ac:dyDescent="0.3">
      <c r="C119" s="7"/>
      <c r="D119" s="5"/>
      <c r="G119" s="9"/>
      <c r="K119" s="7"/>
      <c r="L119" s="5"/>
      <c r="AO119" s="23"/>
      <c r="AQ119" s="5"/>
      <c r="AS119" s="5"/>
      <c r="AU119" s="5"/>
      <c r="AW119" s="5"/>
      <c r="AY119" s="5"/>
    </row>
    <row r="120" spans="1:69" ht="13" x14ac:dyDescent="0.3">
      <c r="G120" s="9"/>
      <c r="K120" s="7"/>
      <c r="L120" s="5"/>
      <c r="AO120" s="2"/>
      <c r="AQ120" s="5"/>
      <c r="AS120" s="5"/>
      <c r="AU120" s="5"/>
      <c r="AW120" s="5"/>
      <c r="AY120" s="5"/>
    </row>
    <row r="121" spans="1:69" ht="13" x14ac:dyDescent="0.3">
      <c r="G121" s="9"/>
      <c r="K121" s="7"/>
      <c r="L121" s="5"/>
      <c r="O121" s="7"/>
      <c r="P121" s="5"/>
      <c r="AO121" s="2"/>
      <c r="AQ121" s="5"/>
      <c r="AS121" s="5"/>
      <c r="AU121" s="5"/>
      <c r="AW121" s="5"/>
      <c r="AY121" s="5"/>
    </row>
    <row r="122" spans="1:69" ht="13" x14ac:dyDescent="0.3">
      <c r="G122" s="7"/>
      <c r="H122" s="5"/>
      <c r="O122" s="7"/>
      <c r="P122" s="5"/>
      <c r="AO122" s="2"/>
      <c r="AQ122" s="5"/>
      <c r="AS122" s="5"/>
      <c r="AU122" s="5"/>
      <c r="AW122" s="5"/>
      <c r="AY122" s="5"/>
    </row>
    <row r="123" spans="1:69" s="2" customFormat="1" ht="13" x14ac:dyDescent="0.3">
      <c r="B123" s="8"/>
      <c r="D123" s="8"/>
      <c r="F123" s="8"/>
      <c r="G123"/>
      <c r="H123"/>
      <c r="I123"/>
      <c r="J123"/>
      <c r="L123" s="8"/>
      <c r="N123" s="8"/>
      <c r="O123" s="25"/>
      <c r="P123" s="8"/>
      <c r="AP123"/>
      <c r="AQ123" s="5"/>
      <c r="AR123"/>
      <c r="AS123" s="5"/>
      <c r="AT123"/>
      <c r="AU123" s="5"/>
      <c r="AV123"/>
      <c r="AW123" s="5"/>
      <c r="AX123"/>
      <c r="AY123" s="5"/>
      <c r="BC123"/>
      <c r="BD123"/>
      <c r="BE123"/>
      <c r="BF123"/>
      <c r="BG123"/>
      <c r="BH123"/>
      <c r="BI123"/>
      <c r="BJ123"/>
      <c r="BK123"/>
      <c r="BL123"/>
      <c r="BM123"/>
      <c r="BN123"/>
      <c r="BO123"/>
      <c r="BP123"/>
      <c r="BQ123"/>
    </row>
    <row r="124" spans="1:69" ht="13" x14ac:dyDescent="0.3">
      <c r="G124" s="2"/>
      <c r="H124" s="8"/>
      <c r="I124" s="2"/>
      <c r="J124" s="8"/>
      <c r="AO124" s="2"/>
      <c r="AQ124" s="5"/>
      <c r="AS124" s="5"/>
      <c r="AU124" s="5"/>
      <c r="AW124" s="5"/>
      <c r="AY124" s="5"/>
      <c r="BC124" s="2"/>
      <c r="BD124" s="2"/>
      <c r="BE124" s="2"/>
      <c r="BF124" s="2"/>
      <c r="BG124" s="2"/>
      <c r="BH124" s="2"/>
      <c r="BI124" s="2"/>
      <c r="BJ124" s="2"/>
      <c r="BK124" s="2"/>
      <c r="BL124" s="2"/>
      <c r="BM124" s="2"/>
      <c r="BN124" s="2"/>
      <c r="BO124" s="2"/>
      <c r="BP124" s="2"/>
      <c r="BQ124" s="2"/>
    </row>
    <row r="126" spans="1:69" ht="13" x14ac:dyDescent="0.3">
      <c r="AK126" s="2"/>
      <c r="AL126" s="2"/>
    </row>
    <row r="127" spans="1:69" ht="13" x14ac:dyDescent="0.3">
      <c r="K127" s="4"/>
      <c r="L127" s="5"/>
      <c r="O127" s="4"/>
      <c r="P127" s="5"/>
      <c r="S127" s="4"/>
      <c r="T127" s="5"/>
      <c r="W127" s="4"/>
      <c r="X127" s="5"/>
      <c r="AA127" s="7"/>
      <c r="AB127" s="5"/>
      <c r="AJ127" s="2"/>
      <c r="AL127" s="5"/>
      <c r="AN127" s="2"/>
      <c r="AQ127" s="5"/>
      <c r="AS127" s="5"/>
      <c r="AU127" s="5"/>
      <c r="AW127" s="5"/>
      <c r="AY127" s="5"/>
    </row>
    <row r="128" spans="1:69" ht="13" x14ac:dyDescent="0.3">
      <c r="G128" s="4"/>
      <c r="H128" s="5"/>
      <c r="K128" s="4"/>
      <c r="L128" s="5"/>
      <c r="O128" s="4"/>
      <c r="P128" s="5"/>
      <c r="S128" s="4"/>
      <c r="T128" s="5"/>
      <c r="W128" s="4"/>
      <c r="X128" s="5"/>
      <c r="AA128" s="4"/>
      <c r="AB128" s="5"/>
      <c r="AJ128" s="2"/>
      <c r="AL128" s="5"/>
      <c r="AN128" s="2"/>
      <c r="AP128" s="5"/>
      <c r="AQ128" s="5"/>
      <c r="AR128" s="5"/>
      <c r="AS128" s="5"/>
      <c r="AT128" s="5"/>
      <c r="AU128" s="5"/>
      <c r="AV128" s="5"/>
      <c r="AW128" s="5"/>
      <c r="AX128" s="5"/>
      <c r="AY128" s="5"/>
    </row>
    <row r="129" spans="2:69" ht="13" x14ac:dyDescent="0.3">
      <c r="G129" s="4"/>
      <c r="H129" s="5"/>
      <c r="K129" s="4"/>
      <c r="L129" s="5"/>
      <c r="O129" s="4"/>
      <c r="P129" s="5"/>
      <c r="S129" s="4"/>
      <c r="T129" s="5"/>
      <c r="W129" s="4"/>
      <c r="X129" s="5"/>
      <c r="AA129" s="4"/>
      <c r="AB129" s="5"/>
      <c r="AH129" s="2"/>
      <c r="AJ129" s="2"/>
      <c r="AL129" s="5"/>
    </row>
    <row r="130" spans="2:69" ht="13" x14ac:dyDescent="0.3">
      <c r="G130" s="4"/>
      <c r="H130" s="5"/>
      <c r="K130" s="7"/>
      <c r="L130" s="5"/>
      <c r="O130" s="7"/>
      <c r="P130" s="5"/>
      <c r="W130" s="7"/>
      <c r="X130" s="5"/>
      <c r="AA130" s="7"/>
      <c r="AB130" s="5"/>
      <c r="AG130" s="2"/>
      <c r="AH130" s="2"/>
      <c r="AI130" s="23"/>
      <c r="AJ130" s="23"/>
      <c r="AL130" s="5"/>
    </row>
    <row r="131" spans="2:69" ht="13" x14ac:dyDescent="0.3">
      <c r="G131" s="4"/>
      <c r="H131" s="5"/>
      <c r="K131" s="4"/>
      <c r="L131" s="5"/>
      <c r="O131" s="4"/>
      <c r="P131" s="5"/>
      <c r="S131" s="4"/>
      <c r="T131" s="5"/>
      <c r="W131" s="4"/>
      <c r="X131" s="5"/>
      <c r="AA131" s="4"/>
      <c r="AB131" s="5"/>
      <c r="AJ131" s="2"/>
      <c r="AL131" s="5"/>
    </row>
    <row r="132" spans="2:69" s="2" customFormat="1" ht="13" x14ac:dyDescent="0.3">
      <c r="B132" s="8"/>
      <c r="F132" s="8"/>
      <c r="G132" s="4"/>
      <c r="H132" s="5"/>
      <c r="I132"/>
      <c r="J132"/>
      <c r="L132" s="8"/>
      <c r="N132" s="8"/>
      <c r="P132" s="8"/>
      <c r="R132" s="8"/>
      <c r="T132" s="8"/>
      <c r="V132" s="8"/>
      <c r="X132" s="8"/>
      <c r="Z132" s="8"/>
      <c r="AB132" s="8"/>
      <c r="AG132" s="8"/>
      <c r="AH132" s="24"/>
      <c r="AI132" s="24"/>
      <c r="AJ132" s="24"/>
      <c r="AK132" s="24"/>
      <c r="AL132" s="24"/>
      <c r="BC132"/>
      <c r="BD132"/>
      <c r="BE132"/>
      <c r="BF132"/>
      <c r="BG132"/>
      <c r="BH132"/>
      <c r="BI132"/>
      <c r="BJ132"/>
      <c r="BK132"/>
      <c r="BL132"/>
      <c r="BM132"/>
      <c r="BN132"/>
      <c r="BO132"/>
      <c r="BP132"/>
      <c r="BQ132"/>
    </row>
    <row r="133" spans="2:69" ht="13" x14ac:dyDescent="0.3">
      <c r="G133" s="2"/>
      <c r="H133" s="8"/>
      <c r="I133" s="2"/>
      <c r="J133" s="8"/>
      <c r="AL133" s="5"/>
      <c r="BC133" s="2"/>
      <c r="BD133" s="2"/>
      <c r="BE133" s="2"/>
      <c r="BF133" s="2"/>
      <c r="BG133" s="2"/>
      <c r="BH133" s="2"/>
      <c r="BI133" s="2"/>
      <c r="BJ133" s="2"/>
      <c r="BK133" s="2"/>
      <c r="BL133" s="2"/>
      <c r="BM133" s="2"/>
      <c r="BN133" s="2"/>
      <c r="BO133" s="2"/>
      <c r="BP133" s="2"/>
      <c r="BQ133" s="2"/>
    </row>
    <row r="137" spans="2:69" x14ac:dyDescent="0.25">
      <c r="F137" s="19"/>
    </row>
    <row r="138" spans="2:69" x14ac:dyDescent="0.25">
      <c r="F138" s="19"/>
    </row>
    <row r="139" spans="2:69" x14ac:dyDescent="0.25">
      <c r="F139" s="19"/>
    </row>
    <row r="140" spans="2:69" x14ac:dyDescent="0.25">
      <c r="F140" s="19"/>
    </row>
    <row r="141" spans="2:69" x14ac:dyDescent="0.25">
      <c r="F141" s="19"/>
    </row>
  </sheetData>
  <phoneticPr fontId="4" type="noConversion"/>
  <pageMargins left="0.75" right="0.75" top="1" bottom="1" header="0.5" footer="0.5"/>
  <pageSetup orientation="portrait" horizontalDpi="4294967293" verticalDpi="0" r:id="rId1"/>
  <headerFooter alignWithMargins="0"/>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L88"/>
  <sheetViews>
    <sheetView workbookViewId="0">
      <pane xSplit="1" ySplit="5" topLeftCell="B23" activePane="bottomRight" state="frozen"/>
      <selection activeCell="I30" sqref="I30"/>
      <selection pane="topRight" activeCell="I30" sqref="I30"/>
      <selection pane="bottomLeft" activeCell="I30" sqref="I30"/>
      <selection pane="bottomRight" activeCell="I30" sqref="I30"/>
    </sheetView>
  </sheetViews>
  <sheetFormatPr defaultRowHeight="12.5" x14ac:dyDescent="0.25"/>
  <cols>
    <col min="1" max="1" width="11.7265625" customWidth="1"/>
    <col min="3" max="4" width="11.7265625" customWidth="1"/>
    <col min="5" max="5" width="2.26953125" customWidth="1"/>
    <col min="7" max="8" width="11.7265625" customWidth="1"/>
    <col min="9" max="9" width="2.26953125" customWidth="1"/>
    <col min="11" max="12" width="11.7265625" customWidth="1"/>
    <col min="13" max="13" width="2.26953125" customWidth="1"/>
    <col min="15" max="16" width="11.7265625" customWidth="1"/>
    <col min="17" max="17" width="2.26953125" customWidth="1"/>
    <col min="19" max="20" width="11.7265625" customWidth="1"/>
    <col min="21" max="21" width="2.26953125" customWidth="1"/>
    <col min="23" max="24" width="11.7265625" customWidth="1"/>
    <col min="25" max="25" width="2.26953125" customWidth="1"/>
    <col min="27" max="28" width="11.7265625" customWidth="1"/>
    <col min="29" max="29" width="2.26953125" customWidth="1"/>
    <col min="31" max="32" width="11.7265625" customWidth="1"/>
    <col min="33" max="33" width="2.26953125" customWidth="1"/>
    <col min="36" max="36" width="2.81640625" customWidth="1"/>
    <col min="37" max="37" width="11.26953125" customWidth="1"/>
    <col min="40" max="40" width="4.7265625" customWidth="1"/>
    <col min="42" max="42" width="11.81640625" customWidth="1"/>
    <col min="44" max="44" width="10.7265625" customWidth="1"/>
    <col min="61" max="61" width="12.453125" customWidth="1"/>
  </cols>
  <sheetData>
    <row r="1" spans="1:24" ht="15.5" x14ac:dyDescent="0.35">
      <c r="A1" s="1" t="s">
        <v>154</v>
      </c>
    </row>
    <row r="2" spans="1:24" ht="13" x14ac:dyDescent="0.3">
      <c r="A2" s="2" t="s">
        <v>53</v>
      </c>
    </row>
    <row r="3" spans="1:24" s="2" customFormat="1" ht="13" x14ac:dyDescent="0.3">
      <c r="C3" s="2" t="s">
        <v>35</v>
      </c>
      <c r="G3" s="2" t="s">
        <v>34</v>
      </c>
      <c r="K3" s="2" t="s">
        <v>20</v>
      </c>
      <c r="O3" s="2" t="s">
        <v>21</v>
      </c>
      <c r="S3" s="2" t="s">
        <v>22</v>
      </c>
      <c r="W3" s="2" t="s">
        <v>23</v>
      </c>
    </row>
    <row r="4" spans="1:24" s="2" customFormat="1" ht="13" x14ac:dyDescent="0.3">
      <c r="B4" s="27" t="s">
        <v>44</v>
      </c>
      <c r="F4" s="27" t="s">
        <v>44</v>
      </c>
      <c r="J4" s="27" t="s">
        <v>44</v>
      </c>
      <c r="N4" s="27" t="s">
        <v>44</v>
      </c>
      <c r="R4" s="27" t="s">
        <v>44</v>
      </c>
      <c r="V4" s="27" t="s">
        <v>44</v>
      </c>
    </row>
    <row r="5" spans="1:24" x14ac:dyDescent="0.25">
      <c r="B5" t="s">
        <v>13</v>
      </c>
      <c r="C5" t="s">
        <v>51</v>
      </c>
      <c r="D5" t="s">
        <v>14</v>
      </c>
      <c r="F5" t="s">
        <v>13</v>
      </c>
      <c r="G5" t="s">
        <v>51</v>
      </c>
      <c r="H5" t="s">
        <v>14</v>
      </c>
      <c r="J5" t="s">
        <v>13</v>
      </c>
      <c r="K5" t="s">
        <v>51</v>
      </c>
      <c r="L5" t="s">
        <v>14</v>
      </c>
      <c r="N5" t="s">
        <v>13</v>
      </c>
      <c r="O5" t="s">
        <v>51</v>
      </c>
      <c r="P5" t="s">
        <v>14</v>
      </c>
      <c r="R5" t="s">
        <v>13</v>
      </c>
      <c r="S5" t="s">
        <v>51</v>
      </c>
      <c r="T5" t="s">
        <v>14</v>
      </c>
      <c r="V5" t="s">
        <v>13</v>
      </c>
      <c r="W5" t="s">
        <v>51</v>
      </c>
      <c r="X5" t="s">
        <v>14</v>
      </c>
    </row>
    <row r="6" spans="1:24" x14ac:dyDescent="0.25">
      <c r="A6" t="s">
        <v>178</v>
      </c>
      <c r="V6">
        <v>80</v>
      </c>
      <c r="W6">
        <v>1</v>
      </c>
      <c r="X6" s="3">
        <f>W6/V6</f>
        <v>1.2500000000000001E-2</v>
      </c>
    </row>
    <row r="7" spans="1:24" x14ac:dyDescent="0.25">
      <c r="A7" t="s">
        <v>31</v>
      </c>
      <c r="B7">
        <v>0</v>
      </c>
      <c r="F7">
        <v>1</v>
      </c>
      <c r="G7">
        <v>0</v>
      </c>
      <c r="H7" s="3">
        <f>G7/F7</f>
        <v>0</v>
      </c>
      <c r="J7">
        <v>2</v>
      </c>
      <c r="K7">
        <v>0</v>
      </c>
      <c r="L7" s="3">
        <f>K7/J7</f>
        <v>0</v>
      </c>
      <c r="N7">
        <v>122</v>
      </c>
      <c r="O7">
        <v>1</v>
      </c>
      <c r="P7" s="3">
        <f>O7/N7</f>
        <v>8.1967213114754103E-3</v>
      </c>
      <c r="R7">
        <v>129</v>
      </c>
      <c r="S7">
        <v>0</v>
      </c>
      <c r="T7" s="3">
        <f>S7/R7</f>
        <v>0</v>
      </c>
      <c r="V7">
        <v>147</v>
      </c>
      <c r="W7">
        <v>2</v>
      </c>
      <c r="X7" s="3">
        <f>W7/V7</f>
        <v>1.3605442176870748E-2</v>
      </c>
    </row>
    <row r="8" spans="1:24" x14ac:dyDescent="0.25">
      <c r="A8" t="s">
        <v>32</v>
      </c>
      <c r="B8">
        <v>0</v>
      </c>
      <c r="F8">
        <v>0</v>
      </c>
      <c r="J8">
        <v>0</v>
      </c>
      <c r="N8">
        <v>0</v>
      </c>
      <c r="R8">
        <v>0</v>
      </c>
      <c r="T8" s="3"/>
      <c r="V8">
        <v>89</v>
      </c>
      <c r="W8">
        <v>3</v>
      </c>
      <c r="X8" s="3">
        <f>W8/V8</f>
        <v>3.3707865168539325E-2</v>
      </c>
    </row>
    <row r="9" spans="1:24" s="42" customFormat="1" x14ac:dyDescent="0.25">
      <c r="A9" s="42" t="s">
        <v>45</v>
      </c>
      <c r="B9" s="42">
        <v>0</v>
      </c>
      <c r="F9" s="42">
        <v>0</v>
      </c>
      <c r="J9" s="42">
        <v>0</v>
      </c>
      <c r="N9" s="42">
        <v>0</v>
      </c>
      <c r="R9" s="42">
        <v>0</v>
      </c>
      <c r="V9" s="42">
        <v>140</v>
      </c>
      <c r="W9" s="42">
        <v>7</v>
      </c>
      <c r="X9" s="43">
        <f>W9/V9</f>
        <v>0.05</v>
      </c>
    </row>
    <row r="10" spans="1:24" s="99" customFormat="1" ht="13" x14ac:dyDescent="0.3">
      <c r="A10" s="99" t="s">
        <v>61</v>
      </c>
      <c r="B10" s="99">
        <f>SUM(B7:B9)</f>
        <v>0</v>
      </c>
      <c r="D10" s="101"/>
      <c r="F10" s="99">
        <f>SUM(F7:F9)</f>
        <v>1</v>
      </c>
      <c r="G10" s="99">
        <f>SUM(G7:G9)</f>
        <v>0</v>
      </c>
      <c r="H10" s="101">
        <f>G10/F10</f>
        <v>0</v>
      </c>
      <c r="J10" s="99">
        <f>SUM(J7:J9)</f>
        <v>2</v>
      </c>
      <c r="K10" s="99">
        <f>SUM(K7:K9)</f>
        <v>0</v>
      </c>
      <c r="L10" s="101">
        <f>K10/J10</f>
        <v>0</v>
      </c>
      <c r="N10" s="99">
        <f>SUM(N7:N9)</f>
        <v>122</v>
      </c>
      <c r="O10" s="99">
        <f>SUM(O7:O9)</f>
        <v>1</v>
      </c>
      <c r="P10" s="101">
        <f>O10/N10</f>
        <v>8.1967213114754103E-3</v>
      </c>
      <c r="R10" s="99">
        <f>SUM(R7:R9)</f>
        <v>129</v>
      </c>
      <c r="S10" s="99">
        <f>SUM(S7:S9)</f>
        <v>0</v>
      </c>
      <c r="T10" s="101">
        <f>S10/R10</f>
        <v>0</v>
      </c>
      <c r="V10" s="99">
        <f>SUM(V6:V9)</f>
        <v>456</v>
      </c>
      <c r="W10" s="99">
        <f>SUM(W6:W9)</f>
        <v>13</v>
      </c>
      <c r="X10" s="101">
        <f>W10/V10</f>
        <v>2.850877192982456E-2</v>
      </c>
    </row>
    <row r="11" spans="1:24" s="2" customFormat="1" ht="13" x14ac:dyDescent="0.3">
      <c r="A11" s="23" t="s">
        <v>63</v>
      </c>
      <c r="D11" s="55"/>
      <c r="F11" s="222">
        <v>14</v>
      </c>
      <c r="G11" s="27">
        <v>3</v>
      </c>
      <c r="H11" s="110">
        <f>G11/F11</f>
        <v>0.21428571428571427</v>
      </c>
      <c r="J11" s="72">
        <v>14</v>
      </c>
      <c r="K11" s="27">
        <v>14</v>
      </c>
      <c r="L11" s="110">
        <f>K11/J11</f>
        <v>1</v>
      </c>
      <c r="N11" s="27">
        <v>0</v>
      </c>
      <c r="O11" s="27"/>
      <c r="P11" s="220"/>
      <c r="T11" s="55"/>
      <c r="X11" s="55"/>
    </row>
    <row r="12" spans="1:24" s="2" customFormat="1" ht="13" x14ac:dyDescent="0.3">
      <c r="A12" s="2">
        <v>2</v>
      </c>
      <c r="D12" s="55"/>
      <c r="F12" s="222">
        <v>2</v>
      </c>
      <c r="G12" s="27">
        <v>1</v>
      </c>
      <c r="H12" s="110">
        <f>G12/F12</f>
        <v>0.5</v>
      </c>
      <c r="J12" s="27">
        <v>54</v>
      </c>
      <c r="K12" s="27">
        <v>15</v>
      </c>
      <c r="L12" s="110">
        <f>K12/J12</f>
        <v>0.27777777777777779</v>
      </c>
      <c r="N12" s="27">
        <v>0</v>
      </c>
      <c r="O12" s="27"/>
      <c r="P12" s="220"/>
      <c r="T12" s="55"/>
      <c r="X12" s="55"/>
    </row>
    <row r="13" spans="1:24" s="2" customFormat="1" ht="13" x14ac:dyDescent="0.3">
      <c r="A13" s="2">
        <v>3</v>
      </c>
      <c r="D13" s="55"/>
      <c r="F13" s="222">
        <v>6</v>
      </c>
      <c r="G13" s="27">
        <v>4</v>
      </c>
      <c r="H13" s="110">
        <f>G13/F13</f>
        <v>0.66666666666666663</v>
      </c>
      <c r="J13" s="27">
        <v>19</v>
      </c>
      <c r="K13" s="27">
        <v>4</v>
      </c>
      <c r="L13" s="110">
        <f>K13/J13</f>
        <v>0.21052631578947367</v>
      </c>
      <c r="N13" s="27">
        <v>77</v>
      </c>
      <c r="O13" s="27">
        <v>22</v>
      </c>
      <c r="P13" s="110">
        <f>O13/N13</f>
        <v>0.2857142857142857</v>
      </c>
      <c r="T13" s="55"/>
      <c r="X13" s="55"/>
    </row>
    <row r="14" spans="1:24" s="2" customFormat="1" ht="13" x14ac:dyDescent="0.3">
      <c r="A14" s="2">
        <v>4</v>
      </c>
      <c r="D14" s="55"/>
      <c r="F14" s="222">
        <v>0</v>
      </c>
      <c r="G14" s="27"/>
      <c r="H14" s="220"/>
      <c r="L14" s="55"/>
      <c r="N14" s="27">
        <v>14</v>
      </c>
      <c r="O14" s="72">
        <v>14</v>
      </c>
      <c r="P14" s="110"/>
      <c r="T14" s="55"/>
      <c r="X14" s="55"/>
    </row>
    <row r="15" spans="1:24" s="41" customFormat="1" ht="13" x14ac:dyDescent="0.3">
      <c r="A15" s="41">
        <v>5</v>
      </c>
      <c r="D15" s="97"/>
      <c r="F15" s="221">
        <v>0</v>
      </c>
      <c r="G15" s="221"/>
      <c r="H15" s="216"/>
      <c r="L15" s="97"/>
      <c r="P15" s="97"/>
      <c r="T15" s="97"/>
      <c r="X15" s="97"/>
    </row>
    <row r="16" spans="1:24" s="41" customFormat="1" ht="13" x14ac:dyDescent="0.3">
      <c r="A16" s="41" t="s">
        <v>170</v>
      </c>
      <c r="B16" s="202">
        <v>0</v>
      </c>
      <c r="F16" s="202">
        <f>SUM(F11:F15)</f>
        <v>22</v>
      </c>
      <c r="G16" s="41">
        <f>SUM(G11:G15)</f>
        <v>8</v>
      </c>
      <c r="H16" s="101">
        <f>G16/F16</f>
        <v>0.36363636363636365</v>
      </c>
      <c r="J16" s="41">
        <f>SUM(J11:J15)</f>
        <v>87</v>
      </c>
      <c r="K16" s="41">
        <f>SUM(K11:K15)</f>
        <v>33</v>
      </c>
      <c r="L16" s="223">
        <f>K16/J16</f>
        <v>0.37931034482758619</v>
      </c>
      <c r="N16" s="41">
        <f>SUM(N11:N15)</f>
        <v>91</v>
      </c>
      <c r="O16" s="41">
        <f>SUM(O13:O15)</f>
        <v>36</v>
      </c>
      <c r="P16" s="97">
        <f>O16/N16</f>
        <v>0.39560439560439559</v>
      </c>
    </row>
    <row r="17" spans="1:64" s="46" customFormat="1" ht="13" x14ac:dyDescent="0.3">
      <c r="B17" s="208"/>
      <c r="F17" s="208"/>
      <c r="H17" s="67"/>
      <c r="L17" s="110"/>
      <c r="P17" s="67"/>
    </row>
    <row r="19" spans="1:64" s="2" customFormat="1" ht="13" x14ac:dyDescent="0.3">
      <c r="C19" s="2" t="s">
        <v>12</v>
      </c>
      <c r="G19" s="2" t="s">
        <v>5</v>
      </c>
      <c r="K19" s="2" t="s">
        <v>6</v>
      </c>
      <c r="O19" s="2" t="s">
        <v>7</v>
      </c>
      <c r="S19" s="2" t="s">
        <v>8</v>
      </c>
      <c r="W19" s="2" t="s">
        <v>9</v>
      </c>
      <c r="AA19" s="2" t="s">
        <v>10</v>
      </c>
      <c r="AE19" s="2" t="s">
        <v>11</v>
      </c>
    </row>
    <row r="20" spans="1:64" s="2" customFormat="1" ht="13" x14ac:dyDescent="0.3">
      <c r="B20" s="27" t="s">
        <v>44</v>
      </c>
      <c r="F20" s="27" t="s">
        <v>44</v>
      </c>
      <c r="J20" s="27" t="s">
        <v>44</v>
      </c>
      <c r="N20" s="27" t="s">
        <v>44</v>
      </c>
      <c r="R20" s="27" t="s">
        <v>44</v>
      </c>
      <c r="V20" s="27" t="s">
        <v>44</v>
      </c>
      <c r="Z20" s="27" t="s">
        <v>44</v>
      </c>
      <c r="AD20" s="27" t="s">
        <v>44</v>
      </c>
    </row>
    <row r="21" spans="1:64" x14ac:dyDescent="0.25">
      <c r="B21" t="s">
        <v>13</v>
      </c>
      <c r="C21" t="s">
        <v>51</v>
      </c>
      <c r="D21" t="s">
        <v>14</v>
      </c>
      <c r="F21" t="s">
        <v>13</v>
      </c>
      <c r="G21" t="s">
        <v>51</v>
      </c>
      <c r="H21" t="s">
        <v>14</v>
      </c>
      <c r="J21" t="s">
        <v>13</v>
      </c>
      <c r="K21" t="s">
        <v>51</v>
      </c>
      <c r="L21" t="s">
        <v>14</v>
      </c>
      <c r="N21" t="s">
        <v>13</v>
      </c>
      <c r="O21" t="s">
        <v>51</v>
      </c>
      <c r="P21" t="s">
        <v>14</v>
      </c>
      <c r="R21" t="s">
        <v>13</v>
      </c>
      <c r="S21" t="s">
        <v>51</v>
      </c>
      <c r="T21" t="s">
        <v>14</v>
      </c>
      <c r="V21" t="s">
        <v>13</v>
      </c>
      <c r="W21" t="s">
        <v>51</v>
      </c>
      <c r="X21" t="s">
        <v>14</v>
      </c>
      <c r="Z21" t="s">
        <v>13</v>
      </c>
      <c r="AA21" t="s">
        <v>51</v>
      </c>
      <c r="AB21" t="s">
        <v>14</v>
      </c>
      <c r="AD21" t="s">
        <v>13</v>
      </c>
      <c r="AE21" t="s">
        <v>51</v>
      </c>
      <c r="AF21" t="s">
        <v>14</v>
      </c>
    </row>
    <row r="22" spans="1:64" x14ac:dyDescent="0.25">
      <c r="A22" s="32" t="s">
        <v>65</v>
      </c>
    </row>
    <row r="23" spans="1:64" x14ac:dyDescent="0.25">
      <c r="A23" s="32" t="s">
        <v>178</v>
      </c>
      <c r="B23">
        <v>70</v>
      </c>
      <c r="C23">
        <v>7</v>
      </c>
      <c r="D23" s="3">
        <f>C23/B23</f>
        <v>0.1</v>
      </c>
      <c r="F23">
        <v>119</v>
      </c>
      <c r="G23">
        <v>4</v>
      </c>
      <c r="H23" s="3">
        <f t="shared" ref="H23:H33" si="0">G23/F23</f>
        <v>3.3613445378151259E-2</v>
      </c>
      <c r="J23">
        <v>101</v>
      </c>
      <c r="K23">
        <v>0</v>
      </c>
      <c r="L23" s="3">
        <f t="shared" ref="L23:L33" si="1">K23/J23</f>
        <v>0</v>
      </c>
      <c r="N23">
        <v>98</v>
      </c>
      <c r="O23">
        <v>0</v>
      </c>
      <c r="P23" s="3">
        <f t="shared" ref="P23:P33" si="2">O23/N23</f>
        <v>0</v>
      </c>
      <c r="R23">
        <v>136</v>
      </c>
      <c r="S23">
        <v>0</v>
      </c>
      <c r="T23" s="110">
        <f>S23/R23</f>
        <v>0</v>
      </c>
      <c r="V23">
        <v>57</v>
      </c>
      <c r="W23">
        <v>0</v>
      </c>
      <c r="X23" s="3">
        <f>W23/V23</f>
        <v>0</v>
      </c>
    </row>
    <row r="24" spans="1:64" x14ac:dyDescent="0.25">
      <c r="A24" t="s">
        <v>31</v>
      </c>
      <c r="B24">
        <v>108</v>
      </c>
      <c r="C24">
        <v>14</v>
      </c>
      <c r="D24" s="3">
        <f>C24/B24</f>
        <v>0.12962962962962962</v>
      </c>
      <c r="F24">
        <v>62</v>
      </c>
      <c r="G24">
        <v>1</v>
      </c>
      <c r="H24" s="3">
        <f t="shared" si="0"/>
        <v>1.6129032258064516E-2</v>
      </c>
      <c r="J24">
        <v>41</v>
      </c>
      <c r="K24">
        <v>9</v>
      </c>
      <c r="L24" s="3">
        <f t="shared" si="1"/>
        <v>0.21951219512195122</v>
      </c>
      <c r="N24">
        <v>66</v>
      </c>
      <c r="O24">
        <v>9</v>
      </c>
      <c r="P24" s="3">
        <f t="shared" si="2"/>
        <v>0.13636363636363635</v>
      </c>
      <c r="R24">
        <v>6</v>
      </c>
      <c r="S24">
        <v>0</v>
      </c>
      <c r="T24" s="110">
        <f>S24/R24</f>
        <v>0</v>
      </c>
      <c r="V24">
        <v>46</v>
      </c>
      <c r="W24">
        <v>3</v>
      </c>
      <c r="X24" s="3">
        <f>W24/V24</f>
        <v>6.5217391304347824E-2</v>
      </c>
      <c r="Z24">
        <v>64</v>
      </c>
      <c r="AA24">
        <v>4</v>
      </c>
      <c r="AB24" s="3">
        <f>AA24/Z24</f>
        <v>6.25E-2</v>
      </c>
    </row>
    <row r="25" spans="1:64" x14ac:dyDescent="0.25">
      <c r="A25" t="s">
        <v>32</v>
      </c>
      <c r="B25">
        <v>49</v>
      </c>
      <c r="C25">
        <v>9</v>
      </c>
      <c r="D25" s="3">
        <f>C25/B25</f>
        <v>0.18367346938775511</v>
      </c>
      <c r="F25">
        <v>119</v>
      </c>
      <c r="G25">
        <v>7</v>
      </c>
      <c r="H25" s="3">
        <f t="shared" si="0"/>
        <v>5.8823529411764705E-2</v>
      </c>
      <c r="J25">
        <v>60</v>
      </c>
      <c r="K25">
        <v>5</v>
      </c>
      <c r="L25" s="3">
        <f t="shared" si="1"/>
        <v>8.3333333333333329E-2</v>
      </c>
      <c r="N25">
        <v>65</v>
      </c>
      <c r="O25">
        <v>6</v>
      </c>
      <c r="P25" s="3">
        <f t="shared" si="2"/>
        <v>9.2307692307692313E-2</v>
      </c>
      <c r="R25">
        <v>80</v>
      </c>
      <c r="S25">
        <v>10</v>
      </c>
      <c r="T25" s="110">
        <f>S25/R25</f>
        <v>0.125</v>
      </c>
      <c r="V25">
        <v>20</v>
      </c>
      <c r="W25">
        <v>0</v>
      </c>
      <c r="X25" s="3">
        <f>W25/V25</f>
        <v>0</v>
      </c>
      <c r="AB25" s="3"/>
    </row>
    <row r="26" spans="1:64" s="42" customFormat="1" x14ac:dyDescent="0.25">
      <c r="A26" s="42" t="s">
        <v>45</v>
      </c>
      <c r="B26" s="42">
        <v>81</v>
      </c>
      <c r="C26" s="42">
        <v>11</v>
      </c>
      <c r="D26" s="43">
        <f>C26/B26</f>
        <v>0.13580246913580246</v>
      </c>
      <c r="F26" s="42">
        <v>90</v>
      </c>
      <c r="G26" s="42">
        <v>10</v>
      </c>
      <c r="H26" s="43">
        <f t="shared" si="0"/>
        <v>0.1111111111111111</v>
      </c>
      <c r="J26" s="42">
        <v>77</v>
      </c>
      <c r="K26" s="42">
        <v>4</v>
      </c>
      <c r="L26" s="43">
        <f t="shared" si="1"/>
        <v>5.1948051948051951E-2</v>
      </c>
      <c r="N26" s="42">
        <v>58</v>
      </c>
      <c r="O26" s="42">
        <v>8</v>
      </c>
      <c r="P26" s="43">
        <f t="shared" si="2"/>
        <v>0.13793103448275862</v>
      </c>
    </row>
    <row r="27" spans="1:64" s="99" customFormat="1" ht="13" x14ac:dyDescent="0.3">
      <c r="A27" s="99" t="s">
        <v>61</v>
      </c>
      <c r="B27" s="99">
        <f>SUM(B23:B26)</f>
        <v>308</v>
      </c>
      <c r="C27" s="99">
        <f>SUM(C23:C26)</f>
        <v>41</v>
      </c>
      <c r="D27" s="101">
        <f>C27/B27</f>
        <v>0.13311688311688311</v>
      </c>
      <c r="F27" s="99">
        <f>SUM(F23:F26)</f>
        <v>390</v>
      </c>
      <c r="G27" s="99">
        <f>SUM(G23:G26)</f>
        <v>22</v>
      </c>
      <c r="H27" s="101">
        <f t="shared" si="0"/>
        <v>5.6410256410256411E-2</v>
      </c>
      <c r="J27" s="99">
        <f>SUM(J23:J26)</f>
        <v>279</v>
      </c>
      <c r="K27" s="99">
        <f>SUM(K23:K26)</f>
        <v>18</v>
      </c>
      <c r="L27" s="101">
        <f t="shared" si="1"/>
        <v>6.4516129032258063E-2</v>
      </c>
      <c r="N27" s="99">
        <f>SUM(N23:N26)</f>
        <v>287</v>
      </c>
      <c r="O27" s="99">
        <f>SUM(O23:O26)</f>
        <v>23</v>
      </c>
      <c r="P27" s="101">
        <f t="shared" si="2"/>
        <v>8.0139372822299645E-2</v>
      </c>
      <c r="R27" s="99">
        <f>SUM(R23:R26)</f>
        <v>222</v>
      </c>
      <c r="S27" s="99">
        <f>SUM(S23:S26)</f>
        <v>10</v>
      </c>
      <c r="T27" s="101">
        <f>S27/R27</f>
        <v>4.5045045045045043E-2</v>
      </c>
      <c r="V27" s="99">
        <f>SUM(V23:V26)</f>
        <v>123</v>
      </c>
      <c r="W27" s="99">
        <f>SUM(W23:W26)</f>
        <v>3</v>
      </c>
      <c r="X27" s="101">
        <f>W27/V27</f>
        <v>2.4390243902439025E-2</v>
      </c>
      <c r="Z27" s="99">
        <f>SUM(Z24:Z26)</f>
        <v>64</v>
      </c>
      <c r="AA27" s="99">
        <f>SUM(AA24:AA26)</f>
        <v>4</v>
      </c>
      <c r="AB27" s="101">
        <f>AA27/Z27</f>
        <v>6.25E-2</v>
      </c>
      <c r="AD27" s="99">
        <f>SUM(AD24:AD26)</f>
        <v>0</v>
      </c>
      <c r="AF27" s="101"/>
    </row>
    <row r="28" spans="1:64" ht="13" x14ac:dyDescent="0.3">
      <c r="A28" s="23" t="s">
        <v>63</v>
      </c>
      <c r="B28" s="73"/>
      <c r="D28" s="3"/>
      <c r="F28" s="73">
        <v>47</v>
      </c>
      <c r="G28" s="73">
        <v>15</v>
      </c>
      <c r="H28" s="110">
        <f t="shared" si="0"/>
        <v>0.31914893617021278</v>
      </c>
      <c r="J28" s="73">
        <v>51</v>
      </c>
      <c r="K28" s="73">
        <v>4</v>
      </c>
      <c r="L28" s="110">
        <f t="shared" si="1"/>
        <v>7.8431372549019607E-2</v>
      </c>
      <c r="N28" s="73">
        <v>60</v>
      </c>
      <c r="O28" s="73">
        <v>13</v>
      </c>
      <c r="P28" s="110">
        <f t="shared" si="2"/>
        <v>0.21666666666666667</v>
      </c>
      <c r="R28" s="73">
        <v>72</v>
      </c>
      <c r="S28" s="73">
        <v>13</v>
      </c>
      <c r="T28" s="110">
        <f t="shared" ref="T28:T33" si="3">S28/R28</f>
        <v>0.18055555555555555</v>
      </c>
      <c r="V28" s="73">
        <v>34</v>
      </c>
      <c r="W28" s="73">
        <v>7</v>
      </c>
      <c r="X28" s="110">
        <f>W28/V28</f>
        <v>0.20588235294117646</v>
      </c>
      <c r="Z28" s="73">
        <v>59</v>
      </c>
      <c r="AA28" s="73">
        <v>9</v>
      </c>
      <c r="AB28" s="110">
        <f>AA28/Z28</f>
        <v>0.15254237288135594</v>
      </c>
      <c r="AH28" s="4"/>
      <c r="AM28" s="3"/>
    </row>
    <row r="29" spans="1:64" ht="13" x14ac:dyDescent="0.3">
      <c r="A29" s="2">
        <v>2</v>
      </c>
      <c r="B29" s="73"/>
      <c r="D29" s="3"/>
      <c r="F29" s="73">
        <v>167</v>
      </c>
      <c r="G29" s="73">
        <v>24</v>
      </c>
      <c r="H29" s="110">
        <f t="shared" si="0"/>
        <v>0.1437125748502994</v>
      </c>
      <c r="J29" s="73">
        <v>148</v>
      </c>
      <c r="K29" s="73">
        <v>30</v>
      </c>
      <c r="L29" s="110">
        <f t="shared" si="1"/>
        <v>0.20270270270270271</v>
      </c>
      <c r="N29" s="73">
        <v>99</v>
      </c>
      <c r="O29" s="73">
        <v>17</v>
      </c>
      <c r="P29" s="110">
        <f t="shared" si="2"/>
        <v>0.17171717171717171</v>
      </c>
      <c r="R29" s="73">
        <v>49</v>
      </c>
      <c r="S29" s="73">
        <v>7</v>
      </c>
      <c r="T29" s="110">
        <f t="shared" si="3"/>
        <v>0.14285714285714285</v>
      </c>
      <c r="V29" s="73">
        <v>37</v>
      </c>
      <c r="W29" s="73">
        <v>6</v>
      </c>
      <c r="X29" s="110">
        <f>W29/V29</f>
        <v>0.16216216216216217</v>
      </c>
      <c r="Z29" s="73">
        <v>14</v>
      </c>
      <c r="AA29" s="73">
        <v>3</v>
      </c>
      <c r="AB29" s="110">
        <f>AA29/Z29</f>
        <v>0.21428571428571427</v>
      </c>
      <c r="AH29" s="4"/>
      <c r="AM29" s="3"/>
    </row>
    <row r="30" spans="1:64" ht="13" x14ac:dyDescent="0.3">
      <c r="A30" s="2">
        <v>3</v>
      </c>
      <c r="B30" s="73"/>
      <c r="D30" s="3"/>
      <c r="F30" s="73">
        <v>17</v>
      </c>
      <c r="G30" s="73">
        <v>8</v>
      </c>
      <c r="H30" s="110">
        <f t="shared" si="0"/>
        <v>0.47058823529411764</v>
      </c>
      <c r="J30" s="73">
        <v>76</v>
      </c>
      <c r="K30" s="73">
        <v>19</v>
      </c>
      <c r="L30" s="110">
        <f t="shared" si="1"/>
        <v>0.25</v>
      </c>
      <c r="N30" s="73">
        <v>43</v>
      </c>
      <c r="O30" s="73">
        <v>15</v>
      </c>
      <c r="P30" s="110">
        <f t="shared" si="2"/>
        <v>0.34883720930232559</v>
      </c>
      <c r="R30" s="73">
        <v>81</v>
      </c>
      <c r="S30" s="73">
        <v>15</v>
      </c>
      <c r="T30" s="110">
        <f t="shared" si="3"/>
        <v>0.18518518518518517</v>
      </c>
      <c r="V30" s="73">
        <v>71</v>
      </c>
      <c r="W30" s="73">
        <v>18</v>
      </c>
      <c r="X30" s="110">
        <f>W30/V30</f>
        <v>0.25352112676056338</v>
      </c>
      <c r="Z30" s="73"/>
      <c r="AA30" s="73"/>
      <c r="AB30" s="110"/>
      <c r="AH30" s="4"/>
      <c r="AM30" s="3"/>
    </row>
    <row r="31" spans="1:64" ht="13" x14ac:dyDescent="0.3">
      <c r="A31" s="2">
        <v>4</v>
      </c>
      <c r="B31" s="73"/>
      <c r="F31" s="73">
        <v>19</v>
      </c>
      <c r="G31" s="73">
        <v>7</v>
      </c>
      <c r="H31" s="110">
        <f t="shared" si="0"/>
        <v>0.36842105263157893</v>
      </c>
      <c r="J31" s="73">
        <v>11</v>
      </c>
      <c r="K31" s="73">
        <v>6</v>
      </c>
      <c r="L31" s="110">
        <f t="shared" si="1"/>
        <v>0.54545454545454541</v>
      </c>
      <c r="N31" s="73">
        <v>14</v>
      </c>
      <c r="O31" s="73">
        <v>3</v>
      </c>
      <c r="P31" s="110">
        <f t="shared" si="2"/>
        <v>0.21428571428571427</v>
      </c>
      <c r="R31" s="73">
        <v>0</v>
      </c>
      <c r="S31" s="73"/>
      <c r="T31" s="110"/>
      <c r="V31" s="73">
        <v>0</v>
      </c>
      <c r="W31" s="73"/>
      <c r="X31" s="110"/>
      <c r="Z31" s="73"/>
      <c r="BL31" s="4"/>
    </row>
    <row r="32" spans="1:64" s="42" customFormat="1" ht="13" x14ac:dyDescent="0.3">
      <c r="A32" s="41">
        <v>5</v>
      </c>
      <c r="B32" s="71"/>
      <c r="F32" s="71">
        <v>78</v>
      </c>
      <c r="G32" s="71">
        <v>19</v>
      </c>
      <c r="H32" s="216">
        <f t="shared" si="0"/>
        <v>0.24358974358974358</v>
      </c>
      <c r="J32" s="71">
        <v>33</v>
      </c>
      <c r="K32" s="71">
        <v>10</v>
      </c>
      <c r="L32" s="110">
        <f t="shared" si="1"/>
        <v>0.30303030303030304</v>
      </c>
      <c r="N32" s="71">
        <v>53</v>
      </c>
      <c r="O32" s="71">
        <v>17</v>
      </c>
      <c r="P32" s="216">
        <f t="shared" si="2"/>
        <v>0.32075471698113206</v>
      </c>
      <c r="R32" s="71">
        <v>91</v>
      </c>
      <c r="S32" s="71">
        <v>30</v>
      </c>
      <c r="T32" s="216">
        <f t="shared" si="3"/>
        <v>0.32967032967032966</v>
      </c>
      <c r="V32" s="42">
        <v>11</v>
      </c>
      <c r="W32" s="42">
        <v>6</v>
      </c>
      <c r="X32" s="216">
        <f>W32/V32</f>
        <v>0.54545454545454541</v>
      </c>
      <c r="Z32" s="71"/>
      <c r="AH32" s="49"/>
      <c r="BL32" s="49"/>
    </row>
    <row r="33" spans="1:64" s="41" customFormat="1" ht="13" x14ac:dyDescent="0.3">
      <c r="A33" s="41" t="s">
        <v>44</v>
      </c>
      <c r="B33" s="202">
        <v>0</v>
      </c>
      <c r="D33" s="97"/>
      <c r="F33" s="202">
        <f>SUM(F28:F32)</f>
        <v>328</v>
      </c>
      <c r="G33" s="41">
        <f>SUM(G28:G32)</f>
        <v>73</v>
      </c>
      <c r="H33" s="97">
        <f t="shared" si="0"/>
        <v>0.2225609756097561</v>
      </c>
      <c r="J33" s="202">
        <v>319</v>
      </c>
      <c r="K33" s="202">
        <v>69</v>
      </c>
      <c r="L33" s="97">
        <f t="shared" si="1"/>
        <v>0.21630094043887146</v>
      </c>
      <c r="N33" s="202">
        <f>SUM(N28:N32)</f>
        <v>269</v>
      </c>
      <c r="O33" s="202">
        <f>SUM(O28:O32)</f>
        <v>65</v>
      </c>
      <c r="P33" s="101">
        <f t="shared" si="2"/>
        <v>0.24163568773234201</v>
      </c>
      <c r="R33" s="202">
        <f>SUM(R28:R32)</f>
        <v>293</v>
      </c>
      <c r="S33" s="202">
        <f>SUM(S28:S32)</f>
        <v>65</v>
      </c>
      <c r="T33" s="101">
        <f t="shared" si="3"/>
        <v>0.22184300341296928</v>
      </c>
      <c r="V33" s="41">
        <f>SUM(V28:V32)</f>
        <v>153</v>
      </c>
      <c r="W33" s="41">
        <f>SUM(W28:W32)</f>
        <v>37</v>
      </c>
      <c r="X33" s="101">
        <f>W33/V33</f>
        <v>0.24183006535947713</v>
      </c>
      <c r="Z33" s="202">
        <f>SUM(Z28:Z32)</f>
        <v>73</v>
      </c>
      <c r="AA33" s="41">
        <f>SUM(AA28:AA32)</f>
        <v>12</v>
      </c>
      <c r="AB33" s="101">
        <f>AA33/Z33</f>
        <v>0.16438356164383561</v>
      </c>
      <c r="AH33" s="203"/>
      <c r="BL33" s="203"/>
    </row>
    <row r="34" spans="1:64" x14ac:dyDescent="0.25">
      <c r="BL34" s="4"/>
    </row>
    <row r="35" spans="1:64" ht="15.5" x14ac:dyDescent="0.35">
      <c r="A35" s="1" t="s">
        <v>171</v>
      </c>
      <c r="BJ35" s="14"/>
      <c r="BL35" s="4"/>
    </row>
    <row r="36" spans="1:64" ht="13" x14ac:dyDescent="0.3">
      <c r="A36" s="2"/>
      <c r="BJ36" s="14"/>
      <c r="BL36" s="4"/>
    </row>
    <row r="37" spans="1:64" ht="13" x14ac:dyDescent="0.3">
      <c r="B37" s="27" t="s">
        <v>44</v>
      </c>
      <c r="C37" s="2"/>
      <c r="D37" s="2"/>
      <c r="AT37" s="4"/>
      <c r="AU37" s="4"/>
      <c r="AV37" s="4"/>
      <c r="AW37" s="4"/>
      <c r="AX37" s="4"/>
      <c r="BJ37" s="14"/>
      <c r="BL37" s="4"/>
    </row>
    <row r="38" spans="1:64" x14ac:dyDescent="0.25">
      <c r="B38" t="s">
        <v>13</v>
      </c>
      <c r="C38" t="s">
        <v>51</v>
      </c>
      <c r="D38" t="s">
        <v>14</v>
      </c>
      <c r="AT38" s="4"/>
      <c r="AU38" s="4"/>
      <c r="AV38" s="4"/>
      <c r="AW38" s="4"/>
      <c r="AX38" s="4"/>
      <c r="BJ38" s="14"/>
      <c r="BL38" s="4"/>
    </row>
    <row r="39" spans="1:64" x14ac:dyDescent="0.25">
      <c r="B39">
        <f t="shared" ref="B39:C42" si="4">B23+F23+J23+N23+R23+V23+Z23+AD23+B6+F6+J6+N6+R6+V6</f>
        <v>661</v>
      </c>
      <c r="C39">
        <f t="shared" si="4"/>
        <v>12</v>
      </c>
      <c r="AT39" s="4"/>
      <c r="AU39" s="4"/>
      <c r="AV39" s="4"/>
      <c r="AW39" s="4"/>
      <c r="AX39" s="4"/>
      <c r="BJ39" s="14"/>
      <c r="BL39" s="4"/>
    </row>
    <row r="40" spans="1:64" x14ac:dyDescent="0.25">
      <c r="A40" t="s">
        <v>31</v>
      </c>
      <c r="B40">
        <f t="shared" si="4"/>
        <v>794</v>
      </c>
      <c r="C40">
        <f t="shared" si="4"/>
        <v>43</v>
      </c>
      <c r="D40" s="3">
        <f t="shared" ref="D40:D46" si="5">C40/B40</f>
        <v>5.4156171284634763E-2</v>
      </c>
      <c r="K40" t="s">
        <v>174</v>
      </c>
      <c r="AT40" s="4"/>
      <c r="AU40" s="4"/>
      <c r="AV40" s="4"/>
      <c r="AW40" s="4"/>
      <c r="AX40" s="4"/>
      <c r="BJ40" s="14"/>
      <c r="BL40" s="4"/>
    </row>
    <row r="41" spans="1:64" x14ac:dyDescent="0.25">
      <c r="A41" t="s">
        <v>32</v>
      </c>
      <c r="B41">
        <f t="shared" si="4"/>
        <v>482</v>
      </c>
      <c r="C41">
        <f t="shared" si="4"/>
        <v>40</v>
      </c>
      <c r="D41" s="3">
        <f t="shared" si="5"/>
        <v>8.2987551867219914E-2</v>
      </c>
      <c r="K41" s="15">
        <v>0.52608388431837694</v>
      </c>
      <c r="L41" t="s">
        <v>175</v>
      </c>
      <c r="AT41" s="4"/>
      <c r="AU41" s="4"/>
      <c r="AV41" s="4"/>
      <c r="AW41" s="4"/>
      <c r="AX41" s="4"/>
      <c r="BJ41" s="14"/>
      <c r="BL41" s="4"/>
    </row>
    <row r="42" spans="1:64" x14ac:dyDescent="0.25">
      <c r="A42" s="44" t="s">
        <v>45</v>
      </c>
      <c r="B42" s="44">
        <f t="shared" si="4"/>
        <v>446</v>
      </c>
      <c r="C42" s="44">
        <f t="shared" si="4"/>
        <v>40</v>
      </c>
      <c r="D42" s="3">
        <f t="shared" si="5"/>
        <v>8.9686098654708515E-2</v>
      </c>
      <c r="K42" s="15">
        <v>0.57499394253663216</v>
      </c>
      <c r="L42" t="s">
        <v>172</v>
      </c>
      <c r="AT42" s="4"/>
      <c r="AU42" s="4"/>
      <c r="AV42" s="4"/>
      <c r="AW42" s="4"/>
      <c r="AX42" s="4"/>
      <c r="BJ42" s="14"/>
      <c r="BL42" s="4"/>
    </row>
    <row r="43" spans="1:64" ht="13" x14ac:dyDescent="0.3">
      <c r="A43" s="46" t="s">
        <v>61</v>
      </c>
      <c r="B43" s="46">
        <f>SUM(B39:B42)</f>
        <v>2383</v>
      </c>
      <c r="C43" s="46">
        <f>SUM(C39:C42)</f>
        <v>135</v>
      </c>
      <c r="D43" s="67">
        <f t="shared" si="5"/>
        <v>5.6651279899286616E-2</v>
      </c>
      <c r="K43" s="15">
        <v>0.31230019265398085</v>
      </c>
      <c r="L43" t="s">
        <v>176</v>
      </c>
      <c r="AT43" s="4"/>
      <c r="AU43" s="4"/>
      <c r="AV43" s="4"/>
      <c r="AW43" s="4"/>
      <c r="AX43" s="4"/>
      <c r="BJ43" s="14"/>
      <c r="BL43" s="4"/>
    </row>
    <row r="44" spans="1:64" ht="13" x14ac:dyDescent="0.3">
      <c r="A44" s="2">
        <v>1</v>
      </c>
      <c r="B44">
        <f t="shared" ref="B44:C48" si="6">B28+F28+J28+N28+R28+V28+Z28+AD28+B11+F11+J11+N11+R11+V11</f>
        <v>351</v>
      </c>
      <c r="C44">
        <f t="shared" si="6"/>
        <v>78</v>
      </c>
      <c r="D44" s="3">
        <f t="shared" si="5"/>
        <v>0.22222222222222221</v>
      </c>
      <c r="G44" s="5">
        <f>F16+J16+N16</f>
        <v>200</v>
      </c>
      <c r="H44">
        <f>G16+K16+O16</f>
        <v>77</v>
      </c>
      <c r="AT44" s="4"/>
      <c r="AU44" s="4"/>
      <c r="AV44" s="4"/>
      <c r="AW44" s="4"/>
      <c r="AX44" s="4"/>
    </row>
    <row r="45" spans="1:64" ht="13" x14ac:dyDescent="0.3">
      <c r="A45" s="2">
        <v>2</v>
      </c>
      <c r="B45">
        <f t="shared" si="6"/>
        <v>570</v>
      </c>
      <c r="C45">
        <f t="shared" si="6"/>
        <v>103</v>
      </c>
      <c r="D45" s="3">
        <f t="shared" si="5"/>
        <v>0.18070175438596492</v>
      </c>
      <c r="G45" s="5">
        <f>(F33*K41)+(J33*K42)+(K43*N33)</f>
        <v>439.98733354953413</v>
      </c>
      <c r="H45" s="30">
        <f>(G33*K41)+(K33*K42)+(O33*K43)</f>
        <v>98.378218112777887</v>
      </c>
      <c r="L45" s="3"/>
      <c r="P45" s="3"/>
      <c r="T45" s="3"/>
      <c r="AH45" s="4"/>
      <c r="AM45" s="3"/>
      <c r="AT45" s="4"/>
      <c r="AU45" s="4"/>
      <c r="AV45" s="4"/>
      <c r="AW45" s="4"/>
      <c r="AX45" s="4"/>
    </row>
    <row r="46" spans="1:64" ht="13" x14ac:dyDescent="0.3">
      <c r="A46" s="2">
        <v>3</v>
      </c>
      <c r="B46">
        <f t="shared" si="6"/>
        <v>390</v>
      </c>
      <c r="C46">
        <f t="shared" si="6"/>
        <v>105</v>
      </c>
      <c r="D46" s="3">
        <f t="shared" si="5"/>
        <v>0.26923076923076922</v>
      </c>
      <c r="G46" s="5">
        <f>SUM(G44:G45)</f>
        <v>639.98733354953413</v>
      </c>
      <c r="H46" s="5">
        <f>SUM(H44:H45)</f>
        <v>175.37821811277789</v>
      </c>
      <c r="J46" s="19">
        <f>H46/G46</f>
        <v>0.27403388929603534</v>
      </c>
      <c r="K46" s="161">
        <f>1-J46</f>
        <v>0.72596611070396466</v>
      </c>
      <c r="L46" s="3"/>
      <c r="P46" s="3"/>
      <c r="T46" s="3"/>
      <c r="X46" s="3"/>
      <c r="AB46" s="3"/>
      <c r="AH46" s="4"/>
      <c r="AM46" s="3"/>
      <c r="AT46" s="4"/>
      <c r="AU46" s="4"/>
      <c r="AV46" s="4"/>
      <c r="AW46" s="4"/>
      <c r="AX46" s="4"/>
    </row>
    <row r="47" spans="1:64" ht="13" x14ac:dyDescent="0.3">
      <c r="A47" s="2">
        <v>4</v>
      </c>
      <c r="B47">
        <f t="shared" si="6"/>
        <v>58</v>
      </c>
      <c r="C47">
        <f t="shared" si="6"/>
        <v>30</v>
      </c>
      <c r="D47" s="48"/>
      <c r="H47" s="3"/>
      <c r="L47" s="3"/>
      <c r="P47" s="3"/>
      <c r="T47" s="3"/>
      <c r="X47" s="3"/>
      <c r="AB47" s="3"/>
      <c r="AH47" s="4"/>
      <c r="AM47" s="3"/>
      <c r="AT47" s="4"/>
      <c r="AU47" s="4"/>
      <c r="AV47" s="4"/>
      <c r="AW47" s="4"/>
      <c r="AX47" s="4"/>
    </row>
    <row r="48" spans="1:64" ht="13" x14ac:dyDescent="0.3">
      <c r="A48" s="2">
        <v>5</v>
      </c>
      <c r="B48">
        <f t="shared" si="6"/>
        <v>266</v>
      </c>
      <c r="C48">
        <f t="shared" si="6"/>
        <v>82</v>
      </c>
      <c r="D48" s="3">
        <f>C48/B48</f>
        <v>0.30827067669172931</v>
      </c>
      <c r="G48" s="5">
        <f>(F33*(1-K41))+(J33*(1-K42))+(N33*(1-K43))</f>
        <v>476.01266645046587</v>
      </c>
      <c r="H48" s="5">
        <f>(G33*(1-K41))+(K33*(1-K42))+(O33*(1-K43))</f>
        <v>108.62178188722211</v>
      </c>
    </row>
    <row r="49" spans="1:55" x14ac:dyDescent="0.25">
      <c r="G49">
        <f>R33</f>
        <v>293</v>
      </c>
      <c r="H49">
        <f>S33</f>
        <v>65</v>
      </c>
      <c r="P49" s="3"/>
      <c r="T49" s="3"/>
      <c r="AH49" s="4"/>
      <c r="AM49" s="3"/>
    </row>
    <row r="50" spans="1:55" x14ac:dyDescent="0.25">
      <c r="B50">
        <f>SUM(B44:B49)</f>
        <v>1635</v>
      </c>
      <c r="C50">
        <f>SUM(C44:C49)</f>
        <v>398</v>
      </c>
      <c r="D50" s="19">
        <f>C50/B50</f>
        <v>0.24342507645259939</v>
      </c>
      <c r="G50" s="5">
        <f>SUM(G48:G49)</f>
        <v>769.01266645046587</v>
      </c>
      <c r="H50" s="5">
        <f>SUM(H48:H49)</f>
        <v>173.62178188722211</v>
      </c>
      <c r="J50" s="19">
        <f>H50/G50</f>
        <v>0.22577233049828516</v>
      </c>
      <c r="K50" s="161">
        <f>1-J50</f>
        <v>0.77422766950171484</v>
      </c>
    </row>
    <row r="51" spans="1:55" ht="13" x14ac:dyDescent="0.3">
      <c r="A51" s="2"/>
    </row>
    <row r="53" spans="1:55" x14ac:dyDescent="0.25">
      <c r="AV53" s="4"/>
      <c r="AW53" s="4"/>
      <c r="AX53" s="4"/>
      <c r="AY53" s="4"/>
      <c r="AZ53" s="4"/>
      <c r="BA53" s="4"/>
    </row>
    <row r="54" spans="1:55" x14ac:dyDescent="0.25">
      <c r="AV54" s="4"/>
      <c r="AW54" s="4"/>
      <c r="AX54" s="4"/>
      <c r="AY54" s="4"/>
      <c r="AZ54" s="4"/>
      <c r="BA54" s="4"/>
      <c r="BB54" s="3"/>
      <c r="BC54" s="3"/>
    </row>
    <row r="55" spans="1:55" x14ac:dyDescent="0.25">
      <c r="D55" s="3"/>
      <c r="H55" s="3"/>
      <c r="L55" s="3"/>
      <c r="P55" s="3"/>
      <c r="T55" s="3"/>
      <c r="X55" s="3"/>
      <c r="AH55" s="4"/>
      <c r="AM55" s="3"/>
      <c r="AV55" s="4"/>
      <c r="AW55" s="4"/>
      <c r="AX55" s="4"/>
      <c r="AY55" s="4"/>
      <c r="AZ55" s="4"/>
      <c r="BA55" s="4"/>
      <c r="BB55" s="3"/>
      <c r="BC55" s="3"/>
    </row>
    <row r="56" spans="1:55" x14ac:dyDescent="0.25">
      <c r="D56" s="3"/>
      <c r="H56" s="3"/>
      <c r="L56" s="3"/>
      <c r="P56" s="3"/>
      <c r="T56" s="3"/>
      <c r="X56" s="3"/>
      <c r="AB56" s="3"/>
      <c r="AH56" s="4"/>
      <c r="AM56" s="3"/>
      <c r="AV56" s="4"/>
      <c r="AW56" s="4"/>
      <c r="AX56" s="4"/>
      <c r="AY56" s="4"/>
      <c r="AZ56" s="4"/>
      <c r="BA56" s="4"/>
    </row>
    <row r="57" spans="1:55" x14ac:dyDescent="0.25">
      <c r="D57" s="3"/>
      <c r="H57" s="3"/>
      <c r="L57" s="3"/>
      <c r="P57" s="3"/>
      <c r="T57" s="3"/>
      <c r="X57" s="3"/>
      <c r="AB57" s="3"/>
      <c r="AH57" s="4"/>
      <c r="AM57" s="3"/>
      <c r="AV57" s="4"/>
      <c r="AW57" s="4"/>
      <c r="AX57" s="4"/>
      <c r="AY57" s="4"/>
      <c r="AZ57" s="4"/>
      <c r="BA57" s="4"/>
      <c r="BB57" s="3"/>
    </row>
    <row r="58" spans="1:55" x14ac:dyDescent="0.25">
      <c r="D58" s="3"/>
      <c r="H58" s="3"/>
      <c r="L58" s="3"/>
      <c r="P58" s="3"/>
      <c r="AH58" s="4"/>
      <c r="AM58" s="3"/>
      <c r="AP58" s="3"/>
      <c r="AQ58" s="3"/>
      <c r="AR58" s="3"/>
      <c r="AS58" s="3"/>
      <c r="AT58" s="3"/>
      <c r="AU58" s="3"/>
      <c r="AV58" s="3"/>
      <c r="AW58" s="3"/>
      <c r="AX58" s="3"/>
      <c r="AY58" s="3"/>
      <c r="AZ58" s="3"/>
      <c r="BA58" s="3"/>
      <c r="BB58" s="3"/>
      <c r="BC58" s="3"/>
    </row>
    <row r="59" spans="1:55" x14ac:dyDescent="0.25">
      <c r="D59" s="3"/>
      <c r="H59" s="3"/>
      <c r="L59" s="3"/>
      <c r="P59" s="3"/>
      <c r="T59" s="3"/>
      <c r="X59" s="3"/>
      <c r="AB59" s="3"/>
      <c r="AH59" s="4"/>
      <c r="AM59" s="3"/>
    </row>
    <row r="61" spans="1:55" ht="13" x14ac:dyDescent="0.3">
      <c r="A61" s="2"/>
    </row>
    <row r="65" spans="1:39" x14ac:dyDescent="0.25">
      <c r="D65" s="3"/>
      <c r="H65" s="3"/>
      <c r="L65" s="3"/>
      <c r="P65" s="3"/>
      <c r="T65" s="3"/>
      <c r="AH65" s="4"/>
      <c r="AM65" s="3"/>
    </row>
    <row r="66" spans="1:39" x14ac:dyDescent="0.25">
      <c r="D66" s="3"/>
      <c r="H66" s="3"/>
      <c r="L66" s="3"/>
      <c r="P66" s="3"/>
      <c r="T66" s="3"/>
      <c r="X66" s="3"/>
      <c r="AB66" s="3"/>
      <c r="AH66" s="4"/>
      <c r="AM66" s="3"/>
    </row>
    <row r="67" spans="1:39" x14ac:dyDescent="0.25">
      <c r="D67" s="3"/>
      <c r="H67" s="3"/>
      <c r="L67" s="3"/>
      <c r="P67" s="3"/>
      <c r="T67" s="3"/>
      <c r="X67" s="3"/>
      <c r="AB67" s="3"/>
      <c r="AH67" s="4"/>
      <c r="AM67" s="3"/>
    </row>
    <row r="68" spans="1:39" x14ac:dyDescent="0.25">
      <c r="D68" s="3"/>
    </row>
    <row r="69" spans="1:39" x14ac:dyDescent="0.25">
      <c r="D69" s="3"/>
      <c r="L69" s="3"/>
      <c r="P69" s="3"/>
      <c r="T69" s="3"/>
      <c r="X69" s="3"/>
      <c r="AB69" s="3"/>
      <c r="AH69" s="4"/>
      <c r="AM69" s="3"/>
    </row>
    <row r="71" spans="1:39" ht="13" x14ac:dyDescent="0.3">
      <c r="A71" s="2"/>
    </row>
    <row r="75" spans="1:39" x14ac:dyDescent="0.25">
      <c r="H75" s="3"/>
      <c r="L75" s="3"/>
      <c r="P75" s="3"/>
      <c r="T75" s="3"/>
      <c r="X75" s="3"/>
      <c r="AH75" s="4"/>
      <c r="AM75" s="3"/>
    </row>
    <row r="76" spans="1:39" x14ac:dyDescent="0.25">
      <c r="H76" s="3"/>
      <c r="L76" s="3"/>
      <c r="P76" s="3"/>
      <c r="T76" s="3"/>
      <c r="X76" s="3"/>
      <c r="AB76" s="3"/>
      <c r="AH76" s="4"/>
      <c r="AM76" s="3"/>
    </row>
    <row r="77" spans="1:39" x14ac:dyDescent="0.25">
      <c r="H77" s="3"/>
      <c r="L77" s="3"/>
      <c r="P77" s="3"/>
      <c r="T77" s="3"/>
      <c r="X77" s="3"/>
      <c r="AB77" s="3"/>
      <c r="AH77" s="4"/>
      <c r="AM77" s="3"/>
    </row>
    <row r="78" spans="1:39" x14ac:dyDescent="0.25">
      <c r="H78" s="3"/>
      <c r="AH78" s="4"/>
      <c r="AM78" s="3"/>
    </row>
    <row r="79" spans="1:39" x14ac:dyDescent="0.25">
      <c r="H79" s="3"/>
      <c r="L79" s="3"/>
      <c r="P79" s="3"/>
      <c r="T79" s="3"/>
      <c r="X79" s="3"/>
      <c r="AB79" s="3"/>
      <c r="AH79" s="4"/>
      <c r="AM79" s="3"/>
    </row>
    <row r="80" spans="1:39" x14ac:dyDescent="0.25">
      <c r="H80" s="3"/>
      <c r="L80" s="3"/>
      <c r="P80" s="3"/>
      <c r="T80" s="3"/>
      <c r="X80" s="3"/>
      <c r="AB80" s="3"/>
      <c r="AH80" s="4"/>
      <c r="AM80" s="3"/>
    </row>
    <row r="84" spans="4:32" x14ac:dyDescent="0.25">
      <c r="D84" s="3"/>
      <c r="H84" s="3"/>
      <c r="L84" s="3"/>
      <c r="P84" s="3"/>
      <c r="T84" s="3"/>
      <c r="X84" s="3"/>
    </row>
    <row r="85" spans="4:32" x14ac:dyDescent="0.25">
      <c r="D85" s="3"/>
      <c r="H85" s="3"/>
      <c r="L85" s="3"/>
      <c r="P85" s="3"/>
      <c r="T85" s="3"/>
      <c r="X85" s="3"/>
      <c r="AB85" s="3"/>
      <c r="AF85" s="3"/>
    </row>
    <row r="86" spans="4:32" x14ac:dyDescent="0.25">
      <c r="D86" s="3"/>
      <c r="H86" s="3"/>
      <c r="L86" s="3"/>
      <c r="P86" s="3"/>
      <c r="T86" s="3"/>
      <c r="X86" s="3"/>
      <c r="AB86" s="3"/>
      <c r="AF86" s="3"/>
    </row>
    <row r="87" spans="4:32" x14ac:dyDescent="0.25">
      <c r="D87" s="3"/>
      <c r="H87" s="3"/>
      <c r="P87" s="3"/>
    </row>
    <row r="88" spans="4:32" x14ac:dyDescent="0.25">
      <c r="D88" s="3"/>
      <c r="H88" s="3"/>
      <c r="L88" s="3"/>
      <c r="P88" s="3"/>
      <c r="T88" s="3"/>
      <c r="X88" s="3"/>
      <c r="AB88" s="3"/>
    </row>
  </sheetData>
  <phoneticPr fontId="4" type="noConversion"/>
  <pageMargins left="0.75" right="0.75" top="1" bottom="1" header="0.5" footer="0.5"/>
  <pageSetup orientation="portrait" horizontalDpi="4294967292" r:id="rId1"/>
  <headerFooter alignWithMargins="0"/>
  <drawing r:id="rId2"/>
  <legacyDrawing r:id="rId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L24"/>
  <sheetViews>
    <sheetView workbookViewId="0">
      <selection activeCell="I30" sqref="I30"/>
    </sheetView>
  </sheetViews>
  <sheetFormatPr defaultRowHeight="12.5" x14ac:dyDescent="0.25"/>
  <cols>
    <col min="1" max="1" width="11" bestFit="1" customWidth="1"/>
    <col min="2" max="4" width="6.1796875" bestFit="1" customWidth="1"/>
    <col min="5" max="6" width="10.26953125" bestFit="1" customWidth="1"/>
    <col min="7" max="7" width="10.81640625" bestFit="1" customWidth="1"/>
    <col min="8" max="8" width="3" customWidth="1"/>
    <col min="9" max="9" width="7.26953125" bestFit="1" customWidth="1"/>
    <col min="10" max="10" width="6.453125" bestFit="1" customWidth="1"/>
  </cols>
  <sheetData>
    <row r="1" spans="1:12" ht="13" x14ac:dyDescent="0.3">
      <c r="B1" s="934" t="s">
        <v>44</v>
      </c>
      <c r="C1" s="935"/>
      <c r="D1" s="936"/>
      <c r="E1" s="934" t="s">
        <v>94</v>
      </c>
      <c r="F1" s="935"/>
      <c r="G1" s="936"/>
      <c r="K1" t="s">
        <v>228</v>
      </c>
      <c r="L1" t="s">
        <v>161</v>
      </c>
    </row>
    <row r="2" spans="1:12" ht="13" x14ac:dyDescent="0.3">
      <c r="A2" s="333" t="s">
        <v>168</v>
      </c>
      <c r="B2" s="334" t="s">
        <v>160</v>
      </c>
      <c r="C2" s="335" t="s">
        <v>161</v>
      </c>
      <c r="D2" s="336" t="s">
        <v>44</v>
      </c>
      <c r="E2" s="334" t="s">
        <v>94</v>
      </c>
      <c r="F2" s="335" t="s">
        <v>94</v>
      </c>
      <c r="G2" s="336" t="s">
        <v>215</v>
      </c>
      <c r="I2" s="329" t="s">
        <v>174</v>
      </c>
      <c r="J2" s="330"/>
      <c r="K2">
        <v>0.74921728525401821</v>
      </c>
      <c r="L2">
        <v>0.76156770518192096</v>
      </c>
    </row>
    <row r="3" spans="1:12" ht="13" x14ac:dyDescent="0.3">
      <c r="A3" s="337" t="s">
        <v>134</v>
      </c>
      <c r="B3" s="338" t="s">
        <v>131</v>
      </c>
      <c r="C3" s="174" t="s">
        <v>131</v>
      </c>
      <c r="D3" s="339" t="s">
        <v>131</v>
      </c>
      <c r="E3" s="338" t="s">
        <v>160</v>
      </c>
      <c r="F3" s="174" t="s">
        <v>161</v>
      </c>
      <c r="G3" s="339" t="s">
        <v>44</v>
      </c>
      <c r="I3" s="331">
        <v>1</v>
      </c>
      <c r="J3" s="277" t="s">
        <v>206</v>
      </c>
    </row>
    <row r="4" spans="1:12" ht="13" x14ac:dyDescent="0.3">
      <c r="A4" s="340">
        <v>31</v>
      </c>
      <c r="B4" s="324">
        <v>4</v>
      </c>
      <c r="C4" s="282">
        <v>0</v>
      </c>
      <c r="D4" s="325">
        <f t="shared" ref="D4:D9" si="0">C4+B4</f>
        <v>4</v>
      </c>
      <c r="E4" s="324">
        <f t="shared" ref="E4:E15" si="1">((B4/$K$2)-B4)*0.21</f>
        <v>0.28117007513408132</v>
      </c>
      <c r="F4">
        <f t="shared" ref="F4:F15" si="2">((C4/$L$2)-C4)*0.21</f>
        <v>0</v>
      </c>
      <c r="G4" s="325">
        <f>F4+E4</f>
        <v>0.28117007513408132</v>
      </c>
      <c r="I4" s="278">
        <v>0.5</v>
      </c>
      <c r="J4" s="130" t="s">
        <v>204</v>
      </c>
    </row>
    <row r="5" spans="1:12" ht="13" x14ac:dyDescent="0.3">
      <c r="A5" s="340">
        <v>32</v>
      </c>
      <c r="B5" s="324">
        <v>11.031428571428572</v>
      </c>
      <c r="C5" s="282">
        <v>0</v>
      </c>
      <c r="D5" s="325">
        <f t="shared" si="0"/>
        <v>11.031428571428572</v>
      </c>
      <c r="E5" s="324">
        <f t="shared" si="1"/>
        <v>0.77542690006620552</v>
      </c>
      <c r="F5">
        <f t="shared" si="2"/>
        <v>0</v>
      </c>
      <c r="G5" s="325">
        <f t="shared" ref="G5:G15" si="3">F5+E5</f>
        <v>0.77542690006620552</v>
      </c>
      <c r="I5" s="278">
        <v>0.5</v>
      </c>
      <c r="J5" s="130" t="s">
        <v>175</v>
      </c>
    </row>
    <row r="6" spans="1:12" ht="13" x14ac:dyDescent="0.3">
      <c r="A6" s="340">
        <v>33</v>
      </c>
      <c r="B6" s="324">
        <v>90.947764130228322</v>
      </c>
      <c r="C6" s="282">
        <v>0</v>
      </c>
      <c r="D6" s="325">
        <f t="shared" si="0"/>
        <v>90.947764130228322</v>
      </c>
      <c r="E6" s="324">
        <f t="shared" si="1"/>
        <v>6.3929474184432493</v>
      </c>
      <c r="F6">
        <f t="shared" si="2"/>
        <v>0</v>
      </c>
      <c r="G6" s="325">
        <f t="shared" si="3"/>
        <v>6.3929474184432493</v>
      </c>
      <c r="I6" s="278">
        <v>0.5</v>
      </c>
      <c r="J6" s="130" t="s">
        <v>172</v>
      </c>
    </row>
    <row r="7" spans="1:12" ht="13" x14ac:dyDescent="0.3">
      <c r="A7" s="340">
        <v>34</v>
      </c>
      <c r="B7" s="324">
        <v>1695.3038810505814</v>
      </c>
      <c r="C7" s="282">
        <v>0</v>
      </c>
      <c r="D7" s="325">
        <f t="shared" si="0"/>
        <v>1695.3038810505814</v>
      </c>
      <c r="E7" s="324">
        <f t="shared" si="1"/>
        <v>119.16717990252293</v>
      </c>
      <c r="F7">
        <f t="shared" si="2"/>
        <v>0</v>
      </c>
      <c r="G7" s="325">
        <f t="shared" si="3"/>
        <v>119.16717990252293</v>
      </c>
      <c r="I7" s="278">
        <v>0</v>
      </c>
      <c r="J7" s="130" t="s">
        <v>176</v>
      </c>
    </row>
    <row r="8" spans="1:12" ht="13" x14ac:dyDescent="0.3">
      <c r="A8" s="340">
        <v>35</v>
      </c>
      <c r="B8" s="324">
        <v>3460.8753094927747</v>
      </c>
      <c r="C8" s="282">
        <v>0</v>
      </c>
      <c r="D8" s="325">
        <f t="shared" si="0"/>
        <v>3460.8753094927747</v>
      </c>
      <c r="E8" s="324">
        <f t="shared" si="1"/>
        <v>243.2736426999426</v>
      </c>
      <c r="F8">
        <f t="shared" si="2"/>
        <v>0</v>
      </c>
      <c r="G8" s="325">
        <f t="shared" si="3"/>
        <v>243.2736426999426</v>
      </c>
      <c r="I8" s="332">
        <v>0</v>
      </c>
      <c r="J8" s="134" t="s">
        <v>205</v>
      </c>
    </row>
    <row r="9" spans="1:12" ht="13" x14ac:dyDescent="0.3">
      <c r="A9" s="340">
        <v>36</v>
      </c>
      <c r="B9" s="324">
        <v>2577</v>
      </c>
      <c r="C9" s="282">
        <v>0</v>
      </c>
      <c r="D9" s="325">
        <f t="shared" si="0"/>
        <v>2577</v>
      </c>
      <c r="E9" s="324">
        <f t="shared" si="1"/>
        <v>181.14382090513189</v>
      </c>
      <c r="F9">
        <f t="shared" si="2"/>
        <v>0</v>
      </c>
      <c r="G9" s="325">
        <f t="shared" si="3"/>
        <v>181.14382090513189</v>
      </c>
    </row>
    <row r="10" spans="1:12" ht="13" x14ac:dyDescent="0.3">
      <c r="A10" s="340">
        <v>37</v>
      </c>
      <c r="B10" s="324">
        <v>195</v>
      </c>
      <c r="C10" s="282">
        <v>0</v>
      </c>
      <c r="D10" s="325">
        <v>195</v>
      </c>
      <c r="E10" s="324">
        <f t="shared" si="1"/>
        <v>13.707041162786467</v>
      </c>
      <c r="F10">
        <f t="shared" si="2"/>
        <v>0</v>
      </c>
      <c r="G10" s="325">
        <f t="shared" si="3"/>
        <v>13.707041162786467</v>
      </c>
    </row>
    <row r="11" spans="1:12" ht="13" x14ac:dyDescent="0.3">
      <c r="A11" s="340">
        <v>38</v>
      </c>
      <c r="B11" s="324">
        <f>1/2*D11</f>
        <v>114.5</v>
      </c>
      <c r="C11" s="282">
        <f>1/2*D11</f>
        <v>114.5</v>
      </c>
      <c r="D11" s="325">
        <v>229</v>
      </c>
      <c r="E11" s="324">
        <f t="shared" si="1"/>
        <v>8.0484934007130775</v>
      </c>
      <c r="F11" s="5">
        <f t="shared" si="2"/>
        <v>7.528029996402231</v>
      </c>
      <c r="G11" s="325">
        <f t="shared" si="3"/>
        <v>15.576523397115309</v>
      </c>
    </row>
    <row r="12" spans="1:12" ht="13" x14ac:dyDescent="0.3">
      <c r="A12" s="340">
        <v>39</v>
      </c>
      <c r="B12" s="324">
        <f>1/2*D12</f>
        <v>1</v>
      </c>
      <c r="C12" s="282">
        <f>1/2*D12</f>
        <v>1</v>
      </c>
      <c r="D12" s="325">
        <v>2</v>
      </c>
      <c r="E12" s="324">
        <f t="shared" si="1"/>
        <v>7.029251878352033E-2</v>
      </c>
      <c r="F12" s="5">
        <f t="shared" si="2"/>
        <v>6.5746986868141732E-2</v>
      </c>
      <c r="G12" s="325">
        <f t="shared" si="3"/>
        <v>0.13603950565166206</v>
      </c>
    </row>
    <row r="13" spans="1:12" ht="13" x14ac:dyDescent="0.3">
      <c r="A13" s="340">
        <v>40</v>
      </c>
      <c r="B13" s="324">
        <f>1/2*D13</f>
        <v>0</v>
      </c>
      <c r="C13" s="282">
        <f>1/2*D13</f>
        <v>0</v>
      </c>
      <c r="D13" s="325">
        <v>0</v>
      </c>
      <c r="E13" s="324">
        <f t="shared" si="1"/>
        <v>0</v>
      </c>
      <c r="F13">
        <f t="shared" si="2"/>
        <v>0</v>
      </c>
      <c r="G13" s="325">
        <f t="shared" si="3"/>
        <v>0</v>
      </c>
    </row>
    <row r="14" spans="1:12" ht="13" x14ac:dyDescent="0.3">
      <c r="A14" s="340">
        <v>41</v>
      </c>
      <c r="B14" s="324">
        <v>0</v>
      </c>
      <c r="C14" s="282">
        <f>D14</f>
        <v>0</v>
      </c>
      <c r="D14" s="325">
        <v>0</v>
      </c>
      <c r="E14" s="324">
        <f t="shared" si="1"/>
        <v>0</v>
      </c>
      <c r="F14">
        <f t="shared" si="2"/>
        <v>0</v>
      </c>
      <c r="G14" s="325">
        <f t="shared" si="3"/>
        <v>0</v>
      </c>
    </row>
    <row r="15" spans="1:12" ht="13" x14ac:dyDescent="0.3">
      <c r="A15" s="337">
        <v>42</v>
      </c>
      <c r="B15" s="324">
        <v>0</v>
      </c>
      <c r="C15" s="282">
        <f>D15</f>
        <v>0</v>
      </c>
      <c r="D15" s="328">
        <v>0</v>
      </c>
      <c r="E15" s="324">
        <f t="shared" si="1"/>
        <v>0</v>
      </c>
      <c r="F15">
        <f t="shared" si="2"/>
        <v>0</v>
      </c>
      <c r="G15" s="325">
        <f t="shared" si="3"/>
        <v>0</v>
      </c>
    </row>
    <row r="16" spans="1:12" ht="13" x14ac:dyDescent="0.3">
      <c r="A16" s="273" t="s">
        <v>184</v>
      </c>
      <c r="B16" s="342">
        <f>SUM(B4:B15)</f>
        <v>8149.6583832450133</v>
      </c>
      <c r="C16" s="341">
        <f>SUM(C4:C15)</f>
        <v>115.5</v>
      </c>
      <c r="D16" s="343">
        <f>SUM(D4:D15)</f>
        <v>8265.1583832450124</v>
      </c>
      <c r="E16" s="341">
        <f>SUM(E4:E15)</f>
        <v>572.86001498352391</v>
      </c>
      <c r="F16" s="341">
        <f>SUM(F4:F15)</f>
        <v>7.5937769832703728</v>
      </c>
      <c r="G16" s="343">
        <f>F16+E16</f>
        <v>580.45379196679426</v>
      </c>
    </row>
    <row r="17" spans="1:11" ht="13" x14ac:dyDescent="0.3">
      <c r="E17" s="937" t="s">
        <v>229</v>
      </c>
      <c r="F17" s="938"/>
      <c r="G17" s="939"/>
    </row>
    <row r="18" spans="1:11" ht="13" x14ac:dyDescent="0.3">
      <c r="A18" s="333" t="s">
        <v>214</v>
      </c>
      <c r="B18" s="334" t="s">
        <v>160</v>
      </c>
      <c r="C18" s="335" t="s">
        <v>161</v>
      </c>
      <c r="D18" s="336" t="s">
        <v>44</v>
      </c>
      <c r="E18" s="334" t="s">
        <v>94</v>
      </c>
      <c r="F18" s="335" t="s">
        <v>94</v>
      </c>
      <c r="G18" s="336" t="s">
        <v>215</v>
      </c>
    </row>
    <row r="19" spans="1:11" ht="13" x14ac:dyDescent="0.3">
      <c r="A19" s="337" t="s">
        <v>231</v>
      </c>
      <c r="B19" s="338" t="s">
        <v>232</v>
      </c>
      <c r="C19" s="174" t="s">
        <v>232</v>
      </c>
      <c r="D19" s="339" t="s">
        <v>232</v>
      </c>
      <c r="E19" s="338" t="s">
        <v>160</v>
      </c>
      <c r="F19" s="174" t="s">
        <v>161</v>
      </c>
      <c r="G19" s="339" t="s">
        <v>44</v>
      </c>
    </row>
    <row r="20" spans="1:11" ht="13" x14ac:dyDescent="0.3">
      <c r="A20" s="340" t="s">
        <v>216</v>
      </c>
      <c r="B20" s="324">
        <v>142</v>
      </c>
      <c r="C20" s="282">
        <v>0</v>
      </c>
      <c r="D20" s="325">
        <f>C20+B20</f>
        <v>142</v>
      </c>
      <c r="E20" s="324">
        <f>(35*0.1)</f>
        <v>3.5</v>
      </c>
      <c r="F20" s="324">
        <v>0</v>
      </c>
      <c r="G20" s="325">
        <f>F20+E20</f>
        <v>3.5</v>
      </c>
      <c r="I20" t="s">
        <v>219</v>
      </c>
    </row>
    <row r="21" spans="1:11" ht="13" x14ac:dyDescent="0.3">
      <c r="A21" s="340" t="s">
        <v>217</v>
      </c>
      <c r="B21" s="324">
        <f>0.75*539</f>
        <v>404.25</v>
      </c>
      <c r="C21" s="282">
        <f>0.25*539</f>
        <v>134.75</v>
      </c>
      <c r="D21" s="325">
        <f>C21+B21</f>
        <v>539</v>
      </c>
      <c r="E21" s="324">
        <f>(195*0.75)*0.1</f>
        <v>14.625</v>
      </c>
      <c r="F21" s="324">
        <f>((195*0.25)*0.1)</f>
        <v>4.875</v>
      </c>
      <c r="G21" s="325">
        <f>F21+E21</f>
        <v>19.5</v>
      </c>
      <c r="I21" t="s">
        <v>220</v>
      </c>
    </row>
    <row r="22" spans="1:11" ht="13" x14ac:dyDescent="0.3">
      <c r="A22" s="337" t="s">
        <v>218</v>
      </c>
      <c r="B22" s="326">
        <v>0</v>
      </c>
      <c r="C22" s="327">
        <v>200</v>
      </c>
      <c r="D22" s="328">
        <f>C22+B22</f>
        <v>200</v>
      </c>
      <c r="E22" s="324">
        <f>((B22/$K$2)-B22)*0.1</f>
        <v>0</v>
      </c>
      <c r="F22" s="324">
        <f>(69)*0.1</f>
        <v>6.9</v>
      </c>
      <c r="G22" s="328">
        <f>F22+E22</f>
        <v>6.9</v>
      </c>
      <c r="I22" s="42" t="s">
        <v>221</v>
      </c>
      <c r="J22" s="42"/>
      <c r="K22" s="42"/>
    </row>
    <row r="23" spans="1:11" ht="13" x14ac:dyDescent="0.3">
      <c r="A23" s="273" t="s">
        <v>184</v>
      </c>
      <c r="B23" s="342">
        <f t="shared" ref="B23:G23" si="4">SUM(B20:B22)</f>
        <v>546.25</v>
      </c>
      <c r="C23" s="341">
        <f t="shared" si="4"/>
        <v>334.75</v>
      </c>
      <c r="D23" s="343">
        <f t="shared" si="4"/>
        <v>881</v>
      </c>
      <c r="E23" s="341">
        <f t="shared" si="4"/>
        <v>18.125</v>
      </c>
      <c r="F23" s="341">
        <f t="shared" si="4"/>
        <v>11.775</v>
      </c>
      <c r="G23" s="343">
        <f t="shared" si="4"/>
        <v>29.9</v>
      </c>
      <c r="I23" s="345" t="s">
        <v>222</v>
      </c>
    </row>
    <row r="24" spans="1:11" ht="13" x14ac:dyDescent="0.3">
      <c r="A24" s="350" t="s">
        <v>230</v>
      </c>
    </row>
  </sheetData>
  <mergeCells count="3">
    <mergeCell ref="B1:D1"/>
    <mergeCell ref="E1:G1"/>
    <mergeCell ref="E17:G17"/>
  </mergeCells>
  <phoneticPr fontId="4" type="noConversion"/>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F89C2-8B09-45BD-B650-1F56750AB7CB}">
  <dimension ref="A2:S43"/>
  <sheetViews>
    <sheetView topLeftCell="A22" zoomScaleNormal="100" workbookViewId="0">
      <pane xSplit="2" topLeftCell="D1" activePane="topRight" state="frozen"/>
      <selection activeCell="R23" sqref="R23"/>
      <selection pane="topRight" activeCell="R23" sqref="R23"/>
    </sheetView>
  </sheetViews>
  <sheetFormatPr defaultRowHeight="12.5" x14ac:dyDescent="0.25"/>
  <cols>
    <col min="1" max="1" width="20.7265625" bestFit="1" customWidth="1"/>
    <col min="2" max="2" width="5.81640625" bestFit="1" customWidth="1"/>
    <col min="3" max="3" width="11.1796875" bestFit="1" customWidth="1"/>
    <col min="4" max="4" width="9.453125" bestFit="1" customWidth="1"/>
    <col min="5" max="5" width="7.453125" bestFit="1" customWidth="1"/>
    <col min="6" max="6" width="7.1796875" bestFit="1" customWidth="1"/>
    <col min="7" max="7" width="11.1796875" bestFit="1" customWidth="1"/>
    <col min="8" max="8" width="9.453125" bestFit="1" customWidth="1"/>
    <col min="9" max="9" width="7.453125" bestFit="1" customWidth="1"/>
    <col min="10" max="10" width="7.1796875" bestFit="1" customWidth="1"/>
    <col min="11" max="11" width="11.1796875" bestFit="1" customWidth="1"/>
    <col min="12" max="12" width="9.453125" bestFit="1" customWidth="1"/>
    <col min="13" max="14" width="8.26953125" customWidth="1"/>
    <col min="15" max="15" width="7" bestFit="1" customWidth="1"/>
    <col min="16" max="17" width="8.26953125" bestFit="1" customWidth="1"/>
  </cols>
  <sheetData>
    <row r="2" spans="1:14" ht="13" x14ac:dyDescent="0.3">
      <c r="C2" s="34" t="s">
        <v>330</v>
      </c>
    </row>
    <row r="3" spans="1:14" x14ac:dyDescent="0.25">
      <c r="C3" s="900" t="s">
        <v>265</v>
      </c>
      <c r="D3" s="901"/>
      <c r="E3" s="901"/>
      <c r="F3" s="902"/>
      <c r="G3" s="900" t="s">
        <v>266</v>
      </c>
      <c r="H3" s="901"/>
      <c r="I3" s="901"/>
      <c r="J3" s="902"/>
      <c r="K3" s="900" t="s">
        <v>267</v>
      </c>
      <c r="L3" s="901"/>
      <c r="M3" s="901"/>
      <c r="N3" s="902"/>
    </row>
    <row r="4" spans="1:14" x14ac:dyDescent="0.25">
      <c r="B4" t="s">
        <v>134</v>
      </c>
      <c r="C4" s="286" t="s">
        <v>31</v>
      </c>
      <c r="D4" s="810" t="s">
        <v>62</v>
      </c>
      <c r="E4" s="810" t="s">
        <v>260</v>
      </c>
      <c r="F4" s="811" t="s">
        <v>203</v>
      </c>
      <c r="G4" s="286" t="s">
        <v>31</v>
      </c>
      <c r="H4" s="810" t="s">
        <v>62</v>
      </c>
      <c r="I4" s="810" t="s">
        <v>260</v>
      </c>
      <c r="J4" s="811" t="s">
        <v>203</v>
      </c>
      <c r="K4" s="274" t="s">
        <v>31</v>
      </c>
      <c r="L4" s="42" t="s">
        <v>62</v>
      </c>
      <c r="M4" s="42" t="s">
        <v>260</v>
      </c>
      <c r="N4" s="134" t="s">
        <v>203</v>
      </c>
    </row>
    <row r="5" spans="1:14" x14ac:dyDescent="0.25">
      <c r="B5">
        <v>31</v>
      </c>
      <c r="C5" s="813"/>
      <c r="D5" s="813"/>
      <c r="E5" s="813"/>
      <c r="F5" s="814"/>
      <c r="G5" s="813"/>
      <c r="H5" s="813"/>
      <c r="I5" s="813"/>
      <c r="J5" s="813"/>
      <c r="K5" s="521" t="str">
        <f t="shared" ref="K5:N21" si="0">IF(C5&gt;0,G5/C5,"na")</f>
        <v>na</v>
      </c>
      <c r="L5" s="522" t="str">
        <f t="shared" si="0"/>
        <v>na</v>
      </c>
      <c r="M5" s="522" t="str">
        <f t="shared" si="0"/>
        <v>na</v>
      </c>
      <c r="N5" s="523" t="str">
        <f t="shared" si="0"/>
        <v>na</v>
      </c>
    </row>
    <row r="6" spans="1:14" x14ac:dyDescent="0.25">
      <c r="B6">
        <v>32</v>
      </c>
      <c r="C6" s="813"/>
      <c r="D6" s="813"/>
      <c r="E6" s="813"/>
      <c r="F6" s="815"/>
      <c r="G6" s="813"/>
      <c r="H6" s="817"/>
      <c r="I6" s="817"/>
      <c r="J6" s="817"/>
      <c r="K6" s="524" t="str">
        <f t="shared" si="0"/>
        <v>na</v>
      </c>
      <c r="L6" s="525" t="str">
        <f t="shared" si="0"/>
        <v>na</v>
      </c>
      <c r="M6" s="525" t="str">
        <f t="shared" si="0"/>
        <v>na</v>
      </c>
      <c r="N6" s="526" t="str">
        <f t="shared" si="0"/>
        <v>na</v>
      </c>
    </row>
    <row r="7" spans="1:14" x14ac:dyDescent="0.25">
      <c r="B7">
        <v>33</v>
      </c>
      <c r="C7" s="813"/>
      <c r="D7" s="813"/>
      <c r="E7" s="813"/>
      <c r="F7" s="815"/>
      <c r="G7" s="813"/>
      <c r="H7" s="813"/>
      <c r="I7" s="813"/>
      <c r="J7" s="813"/>
      <c r="K7" s="524" t="str">
        <f t="shared" si="0"/>
        <v>na</v>
      </c>
      <c r="L7" s="525" t="str">
        <f t="shared" si="0"/>
        <v>na</v>
      </c>
      <c r="M7" s="525" t="str">
        <f t="shared" si="0"/>
        <v>na</v>
      </c>
      <c r="N7" s="526" t="str">
        <f t="shared" si="0"/>
        <v>na</v>
      </c>
    </row>
    <row r="8" spans="1:14" x14ac:dyDescent="0.25">
      <c r="B8">
        <v>34</v>
      </c>
      <c r="C8" s="813"/>
      <c r="D8" s="813"/>
      <c r="E8" s="813"/>
      <c r="F8" s="815"/>
      <c r="G8" s="813"/>
      <c r="H8" s="813"/>
      <c r="I8" s="813"/>
      <c r="J8" s="813"/>
      <c r="K8" s="524" t="str">
        <f t="shared" si="0"/>
        <v>na</v>
      </c>
      <c r="L8" s="525" t="str">
        <f t="shared" si="0"/>
        <v>na</v>
      </c>
      <c r="M8" s="525" t="str">
        <f t="shared" si="0"/>
        <v>na</v>
      </c>
      <c r="N8" s="526" t="str">
        <f t="shared" si="0"/>
        <v>na</v>
      </c>
    </row>
    <row r="9" spans="1:14" x14ac:dyDescent="0.25">
      <c r="B9">
        <v>35</v>
      </c>
      <c r="C9" s="812">
        <v>164</v>
      </c>
      <c r="D9" s="812">
        <v>216</v>
      </c>
      <c r="E9" s="812">
        <v>167</v>
      </c>
      <c r="F9" s="815"/>
      <c r="G9" s="812">
        <v>6</v>
      </c>
      <c r="H9" s="812">
        <v>14</v>
      </c>
      <c r="I9" s="812">
        <v>3</v>
      </c>
      <c r="J9" s="813"/>
      <c r="K9" s="524">
        <f t="shared" si="0"/>
        <v>3.6585365853658534E-2</v>
      </c>
      <c r="L9" s="525">
        <f t="shared" si="0"/>
        <v>6.4814814814814811E-2</v>
      </c>
      <c r="M9" s="525">
        <f t="shared" si="0"/>
        <v>1.7964071856287425E-2</v>
      </c>
      <c r="N9" s="526" t="str">
        <f t="shared" si="0"/>
        <v>na</v>
      </c>
    </row>
    <row r="10" spans="1:14" x14ac:dyDescent="0.25">
      <c r="B10">
        <v>36</v>
      </c>
      <c r="C10" s="812">
        <v>830</v>
      </c>
      <c r="D10" s="812">
        <v>1035</v>
      </c>
      <c r="E10" s="812">
        <v>40</v>
      </c>
      <c r="F10" s="815"/>
      <c r="G10" s="812">
        <v>22</v>
      </c>
      <c r="H10" s="812">
        <v>62</v>
      </c>
      <c r="I10" s="812">
        <v>3</v>
      </c>
      <c r="J10" s="813"/>
      <c r="K10" s="524">
        <f t="shared" si="0"/>
        <v>2.6506024096385541E-2</v>
      </c>
      <c r="L10" s="525">
        <f t="shared" si="0"/>
        <v>5.9903381642512077E-2</v>
      </c>
      <c r="M10" s="525">
        <f t="shared" si="0"/>
        <v>7.4999999999999997E-2</v>
      </c>
      <c r="N10" s="526" t="str">
        <f t="shared" si="0"/>
        <v>na</v>
      </c>
    </row>
    <row r="11" spans="1:14" x14ac:dyDescent="0.25">
      <c r="B11">
        <v>37</v>
      </c>
      <c r="C11" s="812">
        <v>3496</v>
      </c>
      <c r="D11" s="812">
        <v>919</v>
      </c>
      <c r="E11" s="812">
        <v>1217</v>
      </c>
      <c r="F11" s="815"/>
      <c r="G11" s="812">
        <v>129</v>
      </c>
      <c r="H11" s="812">
        <v>36</v>
      </c>
      <c r="I11" s="812">
        <v>28</v>
      </c>
      <c r="J11" s="813"/>
      <c r="K11" s="524">
        <f t="shared" si="0"/>
        <v>3.6899313501144164E-2</v>
      </c>
      <c r="L11" s="525">
        <f t="shared" si="0"/>
        <v>3.9173014145810661E-2</v>
      </c>
      <c r="M11" s="525">
        <f t="shared" si="0"/>
        <v>2.3007395234182416E-2</v>
      </c>
      <c r="N11" s="526" t="str">
        <f t="shared" si="0"/>
        <v>na</v>
      </c>
    </row>
    <row r="12" spans="1:14" x14ac:dyDescent="0.25">
      <c r="B12">
        <v>38</v>
      </c>
      <c r="C12" s="812">
        <v>2467</v>
      </c>
      <c r="D12" s="812">
        <v>1507</v>
      </c>
      <c r="E12" s="812">
        <v>806</v>
      </c>
      <c r="F12" s="818">
        <v>204</v>
      </c>
      <c r="G12" s="812">
        <v>82</v>
      </c>
      <c r="H12" s="812">
        <v>61</v>
      </c>
      <c r="I12" s="812">
        <v>22</v>
      </c>
      <c r="J12" s="812">
        <v>21</v>
      </c>
      <c r="K12" s="524">
        <f t="shared" si="0"/>
        <v>3.3238751520064856E-2</v>
      </c>
      <c r="L12" s="525">
        <f t="shared" si="0"/>
        <v>4.0477770404777701E-2</v>
      </c>
      <c r="M12" s="525">
        <f t="shared" si="0"/>
        <v>2.729528535980149E-2</v>
      </c>
      <c r="N12" s="526">
        <f t="shared" si="0"/>
        <v>0.10294117647058823</v>
      </c>
    </row>
    <row r="13" spans="1:14" x14ac:dyDescent="0.25">
      <c r="B13">
        <v>39</v>
      </c>
      <c r="C13" s="812">
        <v>2456</v>
      </c>
      <c r="D13" s="812">
        <v>1996</v>
      </c>
      <c r="E13" s="812">
        <v>1935</v>
      </c>
      <c r="F13" s="818">
        <v>279</v>
      </c>
      <c r="G13" s="812">
        <v>77</v>
      </c>
      <c r="H13" s="812">
        <v>73</v>
      </c>
      <c r="I13" s="812">
        <v>92</v>
      </c>
      <c r="J13" s="812">
        <v>30</v>
      </c>
      <c r="K13" s="524">
        <f t="shared" si="0"/>
        <v>3.1351791530944625E-2</v>
      </c>
      <c r="L13" s="525">
        <f t="shared" si="0"/>
        <v>3.6573146292585172E-2</v>
      </c>
      <c r="M13" s="525">
        <f t="shared" si="0"/>
        <v>4.7545219638242896E-2</v>
      </c>
      <c r="N13" s="526">
        <f t="shared" si="0"/>
        <v>0.10752688172043011</v>
      </c>
    </row>
    <row r="14" spans="1:14" x14ac:dyDescent="0.25">
      <c r="B14">
        <v>40</v>
      </c>
      <c r="C14" s="812">
        <v>897</v>
      </c>
      <c r="D14" s="812">
        <v>993</v>
      </c>
      <c r="E14" s="812">
        <v>697</v>
      </c>
      <c r="F14" s="818">
        <v>146</v>
      </c>
      <c r="G14" s="812">
        <v>19</v>
      </c>
      <c r="H14" s="812">
        <v>36</v>
      </c>
      <c r="I14" s="812">
        <v>23</v>
      </c>
      <c r="J14" s="812">
        <v>8</v>
      </c>
      <c r="K14" s="524">
        <f t="shared" si="0"/>
        <v>2.1181716833890748E-2</v>
      </c>
      <c r="L14" s="525">
        <f t="shared" si="0"/>
        <v>3.6253776435045321E-2</v>
      </c>
      <c r="M14" s="525">
        <f t="shared" si="0"/>
        <v>3.2998565279770443E-2</v>
      </c>
      <c r="N14" s="526">
        <f t="shared" si="0"/>
        <v>5.4794520547945202E-2</v>
      </c>
    </row>
    <row r="15" spans="1:14" x14ac:dyDescent="0.25">
      <c r="A15" s="11"/>
      <c r="B15">
        <v>41</v>
      </c>
      <c r="C15" s="812">
        <v>432</v>
      </c>
      <c r="D15" s="812">
        <v>465</v>
      </c>
      <c r="E15" s="812">
        <v>668</v>
      </c>
      <c r="F15" s="818">
        <v>539</v>
      </c>
      <c r="G15" s="812">
        <v>23</v>
      </c>
      <c r="H15" s="812">
        <v>18</v>
      </c>
      <c r="I15" s="812">
        <v>22</v>
      </c>
      <c r="J15" s="812">
        <v>15</v>
      </c>
      <c r="K15" s="524">
        <f t="shared" si="0"/>
        <v>5.3240740740740741E-2</v>
      </c>
      <c r="L15" s="525">
        <f t="shared" si="0"/>
        <v>3.870967741935484E-2</v>
      </c>
      <c r="M15" s="525">
        <f t="shared" si="0"/>
        <v>3.2934131736526949E-2</v>
      </c>
      <c r="N15" s="526">
        <f t="shared" si="0"/>
        <v>2.7829313543599257E-2</v>
      </c>
    </row>
    <row r="16" spans="1:14" x14ac:dyDescent="0.25">
      <c r="B16">
        <v>42</v>
      </c>
      <c r="C16" s="812">
        <v>217</v>
      </c>
      <c r="D16" s="812">
        <v>553</v>
      </c>
      <c r="E16" s="812">
        <v>487</v>
      </c>
      <c r="F16" s="818">
        <v>305</v>
      </c>
      <c r="G16" s="812">
        <v>11</v>
      </c>
      <c r="H16" s="812">
        <v>19</v>
      </c>
      <c r="I16" s="812">
        <v>41</v>
      </c>
      <c r="J16" s="812">
        <v>3</v>
      </c>
      <c r="K16" s="524">
        <f t="shared" si="0"/>
        <v>5.0691244239631339E-2</v>
      </c>
      <c r="L16" s="525">
        <f t="shared" si="0"/>
        <v>3.4358047016274866E-2</v>
      </c>
      <c r="M16" s="525">
        <f t="shared" si="0"/>
        <v>8.4188911704312114E-2</v>
      </c>
      <c r="N16" s="526">
        <f t="shared" si="0"/>
        <v>9.8360655737704927E-3</v>
      </c>
    </row>
    <row r="17" spans="1:19" x14ac:dyDescent="0.25">
      <c r="B17">
        <v>43</v>
      </c>
      <c r="C17" s="812">
        <v>240</v>
      </c>
      <c r="D17" s="812">
        <v>865</v>
      </c>
      <c r="E17" s="812">
        <v>451</v>
      </c>
      <c r="F17" s="818">
        <v>305</v>
      </c>
      <c r="G17" s="812">
        <v>8</v>
      </c>
      <c r="H17" s="812">
        <v>30</v>
      </c>
      <c r="I17" s="812">
        <v>36</v>
      </c>
      <c r="J17" s="812">
        <v>1</v>
      </c>
      <c r="K17" s="524">
        <f t="shared" si="0"/>
        <v>3.3333333333333333E-2</v>
      </c>
      <c r="L17" s="525">
        <f t="shared" si="0"/>
        <v>3.4682080924855488E-2</v>
      </c>
      <c r="M17" s="525">
        <f t="shared" si="0"/>
        <v>7.9822616407982258E-2</v>
      </c>
      <c r="N17" s="526">
        <f t="shared" si="0"/>
        <v>3.2786885245901639E-3</v>
      </c>
    </row>
    <row r="18" spans="1:19" x14ac:dyDescent="0.25">
      <c r="B18">
        <v>44</v>
      </c>
      <c r="C18" s="821">
        <v>35</v>
      </c>
      <c r="D18" s="816">
        <v>180</v>
      </c>
      <c r="E18" s="816">
        <v>617</v>
      </c>
      <c r="F18" s="818">
        <v>891</v>
      </c>
      <c r="G18" s="816">
        <v>0</v>
      </c>
      <c r="H18" s="816">
        <v>14</v>
      </c>
      <c r="I18" s="816">
        <v>60</v>
      </c>
      <c r="J18" s="816">
        <v>8</v>
      </c>
      <c r="K18" s="524">
        <f>IF(C18&gt;0,G18/C18,"na")</f>
        <v>0</v>
      </c>
      <c r="L18" s="525">
        <f>IF(D18&gt;0,H18/D18,"na")</f>
        <v>7.7777777777777779E-2</v>
      </c>
      <c r="M18" s="525">
        <f>IF(E18&gt;0,I18/E18,"na")</f>
        <v>9.7244732576985418E-2</v>
      </c>
      <c r="N18" s="526">
        <f>IF(F18&gt;0,J18/F18,"na")</f>
        <v>8.9786756453423128E-3</v>
      </c>
    </row>
    <row r="19" spans="1:19" x14ac:dyDescent="0.25">
      <c r="B19">
        <v>45</v>
      </c>
      <c r="C19" s="826"/>
      <c r="D19" s="817"/>
      <c r="E19" s="817"/>
      <c r="F19" s="818">
        <v>978</v>
      </c>
      <c r="G19" s="817"/>
      <c r="H19" s="817"/>
      <c r="I19" s="817"/>
      <c r="J19" s="816">
        <v>7</v>
      </c>
      <c r="K19" s="410" t="str">
        <f t="shared" si="0"/>
        <v>na</v>
      </c>
      <c r="L19" s="402" t="str">
        <f t="shared" si="0"/>
        <v>na</v>
      </c>
      <c r="M19" s="402" t="str">
        <f t="shared" si="0"/>
        <v>na</v>
      </c>
      <c r="N19" s="411">
        <f t="shared" si="0"/>
        <v>7.1574642126789366E-3</v>
      </c>
    </row>
    <row r="20" spans="1:19" x14ac:dyDescent="0.25">
      <c r="B20">
        <v>46</v>
      </c>
      <c r="C20" s="826"/>
      <c r="D20" s="817"/>
      <c r="E20" s="817"/>
      <c r="F20" s="816">
        <v>283</v>
      </c>
      <c r="G20" s="826"/>
      <c r="H20" s="817"/>
      <c r="I20" s="817"/>
      <c r="J20" s="816">
        <v>3</v>
      </c>
      <c r="K20" s="410" t="str">
        <f t="shared" si="0"/>
        <v>na</v>
      </c>
      <c r="L20" s="402" t="str">
        <f t="shared" si="0"/>
        <v>na</v>
      </c>
      <c r="M20" s="402" t="str">
        <f t="shared" si="0"/>
        <v>na</v>
      </c>
      <c r="N20" s="411">
        <f t="shared" si="0"/>
        <v>1.0600706713780919E-2</v>
      </c>
    </row>
    <row r="21" spans="1:19" x14ac:dyDescent="0.25">
      <c r="B21">
        <v>47</v>
      </c>
      <c r="C21" s="822"/>
      <c r="D21" s="823"/>
      <c r="E21" s="823"/>
      <c r="F21" s="890">
        <v>0</v>
      </c>
      <c r="G21" s="822"/>
      <c r="H21" s="817"/>
      <c r="I21" s="817"/>
      <c r="J21" s="816">
        <v>0</v>
      </c>
      <c r="K21" s="412" t="str">
        <f t="shared" si="0"/>
        <v>na</v>
      </c>
      <c r="L21" s="229" t="str">
        <f t="shared" si="0"/>
        <v>na</v>
      </c>
      <c r="M21" s="229" t="str">
        <f t="shared" si="0"/>
        <v>na</v>
      </c>
      <c r="N21" s="413" t="str">
        <f t="shared" si="0"/>
        <v>na</v>
      </c>
    </row>
    <row r="22" spans="1:19" x14ac:dyDescent="0.25">
      <c r="B22" t="s">
        <v>184</v>
      </c>
      <c r="C22" s="286">
        <f t="shared" ref="C22:I22" si="1">SUM(C6:C19)</f>
        <v>11234</v>
      </c>
      <c r="D22" s="810">
        <f t="shared" si="1"/>
        <v>8729</v>
      </c>
      <c r="E22" s="810">
        <f t="shared" si="1"/>
        <v>7085</v>
      </c>
      <c r="F22" s="810">
        <f>SUM(F6:F21)</f>
        <v>3930</v>
      </c>
      <c r="G22" s="827">
        <f t="shared" si="1"/>
        <v>377</v>
      </c>
      <c r="H22" s="828">
        <f t="shared" si="1"/>
        <v>363</v>
      </c>
      <c r="I22" s="828">
        <f t="shared" si="1"/>
        <v>330</v>
      </c>
      <c r="J22" s="831">
        <f>SUM(J6:J21)</f>
        <v>96</v>
      </c>
      <c r="K22" s="527">
        <f>IF(C22&gt;0,G22/C22,"na")</f>
        <v>3.3558839238027417E-2</v>
      </c>
      <c r="L22" s="528">
        <f>IF(D22&gt;0,H22/D22,"na")</f>
        <v>4.1585519532592506E-2</v>
      </c>
      <c r="M22" s="528">
        <f>IF(E22&gt;0,I22/E22,"na")</f>
        <v>4.6577275935074103E-2</v>
      </c>
      <c r="N22" s="529">
        <f>IF(F22&gt;0,J22/F22,"na")</f>
        <v>2.4427480916030534E-2</v>
      </c>
    </row>
    <row r="23" spans="1:19" x14ac:dyDescent="0.25">
      <c r="C23" s="153"/>
      <c r="D23" s="153"/>
      <c r="E23" s="153"/>
      <c r="F23" s="893">
        <f>SUM(C22:F22)</f>
        <v>30978</v>
      </c>
      <c r="G23" s="153"/>
      <c r="H23" s="153"/>
      <c r="I23" s="153"/>
      <c r="J23" s="893">
        <f>SUM(G22:J22)</f>
        <v>1166</v>
      </c>
      <c r="N23" s="894">
        <f>J23/F23</f>
        <v>3.7639615210794758E-2</v>
      </c>
    </row>
    <row r="25" spans="1:19" ht="13" x14ac:dyDescent="0.3">
      <c r="C25" s="34" t="s">
        <v>123</v>
      </c>
    </row>
    <row r="26" spans="1:19" x14ac:dyDescent="0.25">
      <c r="C26" s="900" t="s">
        <v>268</v>
      </c>
      <c r="D26" s="901"/>
      <c r="E26" s="901"/>
      <c r="F26" s="901"/>
      <c r="G26" s="902"/>
      <c r="H26" s="900" t="s">
        <v>269</v>
      </c>
      <c r="I26" s="901"/>
      <c r="J26" s="901"/>
      <c r="K26" s="901"/>
      <c r="L26" s="902"/>
      <c r="M26" s="900" t="s">
        <v>56</v>
      </c>
      <c r="N26" s="901"/>
      <c r="O26" s="901"/>
      <c r="P26" s="901"/>
      <c r="Q26" s="902"/>
      <c r="R26" s="417"/>
    </row>
    <row r="27" spans="1:19" x14ac:dyDescent="0.25">
      <c r="B27" t="s">
        <v>134</v>
      </c>
      <c r="C27" s="286">
        <v>1</v>
      </c>
      <c r="D27" s="810">
        <v>2</v>
      </c>
      <c r="E27" s="810">
        <v>3</v>
      </c>
      <c r="F27" s="810">
        <v>4</v>
      </c>
      <c r="G27" s="811">
        <v>5</v>
      </c>
      <c r="H27" s="286">
        <v>1</v>
      </c>
      <c r="I27" s="810">
        <v>2</v>
      </c>
      <c r="J27" s="810">
        <v>3</v>
      </c>
      <c r="K27" s="810">
        <v>4</v>
      </c>
      <c r="L27" s="811">
        <v>5</v>
      </c>
      <c r="M27" s="274">
        <v>1</v>
      </c>
      <c r="N27" s="42">
        <v>2</v>
      </c>
      <c r="O27" s="42">
        <v>3</v>
      </c>
      <c r="P27" s="42">
        <v>4</v>
      </c>
      <c r="Q27" s="134">
        <v>5</v>
      </c>
      <c r="R27" s="44" t="s">
        <v>282</v>
      </c>
      <c r="S27" t="s">
        <v>283</v>
      </c>
    </row>
    <row r="28" spans="1:19" ht="13" x14ac:dyDescent="0.3">
      <c r="A28" s="34">
        <f>'2021 Comm catch'!A28</f>
        <v>0</v>
      </c>
      <c r="B28">
        <v>32</v>
      </c>
      <c r="C28" s="835"/>
      <c r="D28" s="835"/>
      <c r="E28" s="835"/>
      <c r="F28" s="835"/>
      <c r="G28" s="883"/>
      <c r="H28" s="840"/>
      <c r="I28" s="840"/>
      <c r="J28" s="840"/>
      <c r="K28" s="840"/>
      <c r="L28" s="883"/>
      <c r="M28" s="3" t="str">
        <f t="shared" ref="M28:Q40" si="2">IF(C28&gt;0,H28/C28,"na")</f>
        <v>na</v>
      </c>
      <c r="N28" s="3" t="str">
        <f t="shared" si="2"/>
        <v>na</v>
      </c>
      <c r="O28" s="3" t="str">
        <f t="shared" si="2"/>
        <v>na</v>
      </c>
      <c r="P28" s="3" t="str">
        <f t="shared" si="2"/>
        <v>na</v>
      </c>
      <c r="Q28" s="407" t="str">
        <f t="shared" si="2"/>
        <v>na</v>
      </c>
      <c r="R28" s="525"/>
    </row>
    <row r="29" spans="1:19" ht="13" x14ac:dyDescent="0.3">
      <c r="A29" s="34" t="str">
        <f>'2021 Comm catch'!A29</f>
        <v>9-inch</v>
      </c>
      <c r="B29">
        <v>33</v>
      </c>
      <c r="C29" s="807"/>
      <c r="D29" s="807"/>
      <c r="E29" s="807"/>
      <c r="F29" s="865">
        <v>1</v>
      </c>
      <c r="G29" s="886">
        <v>1</v>
      </c>
      <c r="H29" s="840"/>
      <c r="I29" s="840"/>
      <c r="J29" s="840"/>
      <c r="K29" s="871">
        <v>1</v>
      </c>
      <c r="L29" s="886">
        <v>1</v>
      </c>
      <c r="M29" s="3" t="str">
        <f t="shared" si="2"/>
        <v>na</v>
      </c>
      <c r="N29" s="3" t="str">
        <f t="shared" si="2"/>
        <v>na</v>
      </c>
      <c r="O29" s="3" t="str">
        <f t="shared" si="2"/>
        <v>na</v>
      </c>
      <c r="P29" s="3">
        <f t="shared" si="2"/>
        <v>1</v>
      </c>
      <c r="Q29" s="409">
        <f t="shared" si="2"/>
        <v>1</v>
      </c>
      <c r="R29" s="525"/>
      <c r="S29" s="656"/>
    </row>
    <row r="30" spans="1:19" ht="13" x14ac:dyDescent="0.3">
      <c r="A30" s="34" t="str">
        <f>'2021 Comm catch'!A30</f>
        <v>9-inch</v>
      </c>
      <c r="B30">
        <v>34</v>
      </c>
      <c r="C30" s="807"/>
      <c r="D30" s="807"/>
      <c r="E30" s="807"/>
      <c r="F30" s="865">
        <v>5</v>
      </c>
      <c r="G30" s="886">
        <v>0</v>
      </c>
      <c r="H30" s="840"/>
      <c r="I30" s="840"/>
      <c r="J30" s="840"/>
      <c r="K30" s="871">
        <v>4</v>
      </c>
      <c r="L30" s="886">
        <v>0</v>
      </c>
      <c r="M30" s="3" t="str">
        <f t="shared" si="2"/>
        <v>na</v>
      </c>
      <c r="N30" s="3" t="str">
        <f t="shared" si="2"/>
        <v>na</v>
      </c>
      <c r="O30" s="3" t="str">
        <f t="shared" si="2"/>
        <v>na</v>
      </c>
      <c r="P30" s="3">
        <f t="shared" si="2"/>
        <v>0.8</v>
      </c>
      <c r="Q30" s="409" t="str">
        <f t="shared" si="2"/>
        <v>na</v>
      </c>
      <c r="R30" s="525"/>
      <c r="S30" s="656"/>
    </row>
    <row r="31" spans="1:19" ht="13" x14ac:dyDescent="0.3">
      <c r="A31" s="34" t="str">
        <f>'2021 Comm catch'!A31</f>
        <v>9-inch</v>
      </c>
      <c r="B31">
        <v>35</v>
      </c>
      <c r="C31" s="807"/>
      <c r="D31" s="807"/>
      <c r="E31" s="807"/>
      <c r="F31" s="865">
        <v>317</v>
      </c>
      <c r="G31" s="886">
        <v>60</v>
      </c>
      <c r="H31" s="840"/>
      <c r="I31" s="840"/>
      <c r="J31" s="840"/>
      <c r="K31" s="871">
        <v>276</v>
      </c>
      <c r="L31" s="886">
        <v>50</v>
      </c>
      <c r="M31" s="3" t="str">
        <f t="shared" si="2"/>
        <v>na</v>
      </c>
      <c r="N31" s="3" t="str">
        <f t="shared" si="2"/>
        <v>na</v>
      </c>
      <c r="O31" s="3" t="str">
        <f t="shared" si="2"/>
        <v>na</v>
      </c>
      <c r="P31" s="3">
        <f t="shared" si="2"/>
        <v>0.87066246056782337</v>
      </c>
      <c r="Q31" s="409">
        <f t="shared" si="2"/>
        <v>0.83333333333333337</v>
      </c>
      <c r="R31" s="525"/>
      <c r="S31" s="656"/>
    </row>
    <row r="32" spans="1:19" ht="13" x14ac:dyDescent="0.3">
      <c r="A32" s="34" t="str">
        <f>'2021 Comm catch'!A32</f>
        <v>9-inch</v>
      </c>
      <c r="B32">
        <v>36</v>
      </c>
      <c r="C32" s="807"/>
      <c r="D32" s="807"/>
      <c r="E32" s="807"/>
      <c r="F32" s="865">
        <v>395</v>
      </c>
      <c r="G32" s="886">
        <v>47</v>
      </c>
      <c r="H32" s="840"/>
      <c r="I32" s="840"/>
      <c r="J32" s="840"/>
      <c r="K32" s="871">
        <v>295</v>
      </c>
      <c r="L32" s="886">
        <v>35</v>
      </c>
      <c r="M32" s="3" t="str">
        <f t="shared" si="2"/>
        <v>na</v>
      </c>
      <c r="N32" s="3" t="str">
        <f t="shared" si="2"/>
        <v>na</v>
      </c>
      <c r="O32" s="3" t="str">
        <f t="shared" si="2"/>
        <v>na</v>
      </c>
      <c r="P32" s="3">
        <f t="shared" si="2"/>
        <v>0.74683544303797467</v>
      </c>
      <c r="Q32" s="409">
        <f t="shared" si="2"/>
        <v>0.74468085106382975</v>
      </c>
      <c r="R32" s="525"/>
      <c r="S32" s="656">
        <f t="shared" ref="S32" si="3">SUM(K32:L32)/SUM(F32:G32)</f>
        <v>0.74660633484162897</v>
      </c>
    </row>
    <row r="33" spans="1:19" ht="13" x14ac:dyDescent="0.3">
      <c r="A33" s="34">
        <f>'2021 Comm catch'!A33</f>
        <v>0</v>
      </c>
      <c r="B33">
        <v>37</v>
      </c>
      <c r="C33" s="807"/>
      <c r="D33" s="807"/>
      <c r="E33" s="807"/>
      <c r="F33" s="807"/>
      <c r="G33" s="863"/>
      <c r="H33" s="840"/>
      <c r="I33" s="840"/>
      <c r="J33" s="840"/>
      <c r="K33" s="840"/>
      <c r="L33" s="863"/>
      <c r="M33" s="3" t="str">
        <f t="shared" si="2"/>
        <v>na</v>
      </c>
      <c r="N33" s="3" t="str">
        <f t="shared" si="2"/>
        <v>na</v>
      </c>
      <c r="O33" s="3" t="str">
        <f t="shared" si="2"/>
        <v>na</v>
      </c>
      <c r="P33" s="3" t="str">
        <f t="shared" si="2"/>
        <v>na</v>
      </c>
      <c r="Q33" s="409" t="str">
        <f t="shared" si="2"/>
        <v>na</v>
      </c>
      <c r="R33" s="525"/>
    </row>
    <row r="34" spans="1:19" ht="13" x14ac:dyDescent="0.3">
      <c r="A34" s="34">
        <f>'2021 Comm catch'!A34</f>
        <v>0</v>
      </c>
      <c r="B34">
        <v>38</v>
      </c>
      <c r="C34" s="807"/>
      <c r="D34" s="807"/>
      <c r="E34" s="807"/>
      <c r="F34" s="807"/>
      <c r="G34" s="863"/>
      <c r="H34" s="840"/>
      <c r="I34" s="840"/>
      <c r="J34" s="840"/>
      <c r="K34" s="840"/>
      <c r="L34" s="863"/>
      <c r="M34" s="3" t="str">
        <f t="shared" si="2"/>
        <v>na</v>
      </c>
      <c r="N34" s="3" t="str">
        <f t="shared" si="2"/>
        <v>na</v>
      </c>
      <c r="O34" s="3" t="str">
        <f t="shared" si="2"/>
        <v>na</v>
      </c>
      <c r="P34" s="3" t="str">
        <f t="shared" si="2"/>
        <v>na</v>
      </c>
      <c r="Q34" s="409" t="str">
        <f t="shared" si="2"/>
        <v>na</v>
      </c>
      <c r="R34" s="525"/>
      <c r="S34" s="656"/>
    </row>
    <row r="35" spans="1:19" ht="13" x14ac:dyDescent="0.3">
      <c r="A35" s="34" t="str">
        <f>'2021 Comm catch'!A35</f>
        <v>8-inch</v>
      </c>
      <c r="B35">
        <v>39</v>
      </c>
      <c r="C35" s="807"/>
      <c r="D35" s="807"/>
      <c r="E35" s="807"/>
      <c r="F35" s="865">
        <v>353</v>
      </c>
      <c r="G35" s="865">
        <v>109</v>
      </c>
      <c r="H35" s="884"/>
      <c r="I35" s="840"/>
      <c r="J35" s="840"/>
      <c r="K35" s="871">
        <v>158</v>
      </c>
      <c r="L35" s="886">
        <v>49</v>
      </c>
      <c r="M35" s="3" t="str">
        <f t="shared" si="2"/>
        <v>na</v>
      </c>
      <c r="N35" s="3" t="str">
        <f t="shared" si="2"/>
        <v>na</v>
      </c>
      <c r="O35" s="3" t="str">
        <f t="shared" si="2"/>
        <v>na</v>
      </c>
      <c r="P35" s="3">
        <f t="shared" si="2"/>
        <v>0.44759206798866857</v>
      </c>
      <c r="Q35" s="409">
        <f t="shared" si="2"/>
        <v>0.44954128440366975</v>
      </c>
      <c r="R35" s="525"/>
      <c r="S35" s="656"/>
    </row>
    <row r="36" spans="1:19" ht="13" x14ac:dyDescent="0.3">
      <c r="A36" s="34" t="str">
        <f>'2021 Comm catch'!A36</f>
        <v>1-3=tangle, 4-5=8-inch</v>
      </c>
      <c r="B36" s="32">
        <v>40</v>
      </c>
      <c r="C36" s="865">
        <v>0</v>
      </c>
      <c r="D36" s="865">
        <v>495</v>
      </c>
      <c r="E36" s="865">
        <v>900</v>
      </c>
      <c r="F36" s="865">
        <v>53</v>
      </c>
      <c r="G36" s="886">
        <v>78</v>
      </c>
      <c r="H36" s="871">
        <v>0</v>
      </c>
      <c r="I36" s="871">
        <v>0</v>
      </c>
      <c r="J36" s="871">
        <v>0</v>
      </c>
      <c r="K36" s="871">
        <v>20</v>
      </c>
      <c r="L36" s="886">
        <v>19</v>
      </c>
      <c r="M36" s="3" t="str">
        <f>IF(C36&gt;0,H36/C36,"na")</f>
        <v>na</v>
      </c>
      <c r="N36" s="3">
        <f>IF(D36&gt;0,I36/D36,"na")</f>
        <v>0</v>
      </c>
      <c r="O36" s="3">
        <f>IF(E36&gt;0,J36/E36,"na")</f>
        <v>0</v>
      </c>
      <c r="P36" s="3">
        <f>IF(F36&gt;0,K36/F36,"na")</f>
        <v>0.37735849056603776</v>
      </c>
      <c r="Q36" s="409">
        <f>IF(G36&gt;0,L36/G36,"na")</f>
        <v>0.24358974358974358</v>
      </c>
      <c r="R36" s="656"/>
      <c r="S36" s="656"/>
    </row>
    <row r="37" spans="1:19" ht="13" x14ac:dyDescent="0.3">
      <c r="A37" s="34" t="str">
        <f>'2021 Comm catch'!A37</f>
        <v>1-3=tangle, 4-5=8-inch</v>
      </c>
      <c r="B37" s="32">
        <v>41</v>
      </c>
      <c r="C37" s="865">
        <v>0</v>
      </c>
      <c r="D37" s="865">
        <v>183</v>
      </c>
      <c r="E37" s="865">
        <v>189</v>
      </c>
      <c r="F37" s="865">
        <v>0</v>
      </c>
      <c r="G37" s="886">
        <v>54</v>
      </c>
      <c r="H37" s="871">
        <v>0</v>
      </c>
      <c r="I37" s="871">
        <v>0</v>
      </c>
      <c r="J37" s="871">
        <v>0</v>
      </c>
      <c r="K37" s="871">
        <v>0</v>
      </c>
      <c r="L37" s="886">
        <v>12</v>
      </c>
      <c r="M37" s="3" t="str">
        <f t="shared" si="2"/>
        <v>na</v>
      </c>
      <c r="N37" s="3">
        <f t="shared" si="2"/>
        <v>0</v>
      </c>
      <c r="O37" s="3">
        <f t="shared" si="2"/>
        <v>0</v>
      </c>
      <c r="P37" s="3" t="str">
        <f t="shared" si="2"/>
        <v>na</v>
      </c>
      <c r="Q37" s="409">
        <f t="shared" si="2"/>
        <v>0.22222222222222221</v>
      </c>
      <c r="R37" s="525"/>
      <c r="S37" s="656">
        <f>SUM(K37:L37)/SUM(F37:G37)</f>
        <v>0.22222222222222221</v>
      </c>
    </row>
    <row r="38" spans="1:19" ht="13" x14ac:dyDescent="0.3">
      <c r="A38" s="34" t="str">
        <f>'2021 Comm catch'!A38</f>
        <v>1-3=tangle, 4-5=8-inch</v>
      </c>
      <c r="B38" s="32">
        <v>42</v>
      </c>
      <c r="C38" s="865">
        <v>0</v>
      </c>
      <c r="D38" s="865">
        <v>441</v>
      </c>
      <c r="E38" s="865">
        <v>0</v>
      </c>
      <c r="F38" s="865">
        <v>0</v>
      </c>
      <c r="G38" s="865">
        <v>42</v>
      </c>
      <c r="H38" s="873">
        <v>0</v>
      </c>
      <c r="I38" s="871">
        <v>0</v>
      </c>
      <c r="J38" s="871">
        <v>0</v>
      </c>
      <c r="K38" s="871">
        <v>0</v>
      </c>
      <c r="L38" s="886">
        <v>4</v>
      </c>
      <c r="M38" s="3">
        <f>N38</f>
        <v>0</v>
      </c>
      <c r="N38" s="3">
        <f t="shared" si="2"/>
        <v>0</v>
      </c>
      <c r="O38" s="3" t="str">
        <f t="shared" si="2"/>
        <v>na</v>
      </c>
      <c r="P38" s="3" t="str">
        <f t="shared" si="2"/>
        <v>na</v>
      </c>
      <c r="Q38" s="409">
        <f t="shared" si="2"/>
        <v>9.5238095238095233E-2</v>
      </c>
      <c r="R38" s="656"/>
      <c r="S38" s="656"/>
    </row>
    <row r="39" spans="1:19" ht="13" x14ac:dyDescent="0.3">
      <c r="A39" s="34" t="str">
        <f>'2021 Comm catch'!A39</f>
        <v>1-3=tangle</v>
      </c>
      <c r="B39">
        <v>43</v>
      </c>
      <c r="C39" s="865">
        <v>0</v>
      </c>
      <c r="D39" s="865">
        <v>91</v>
      </c>
      <c r="E39" s="865">
        <v>55</v>
      </c>
      <c r="F39" s="807"/>
      <c r="G39" s="863"/>
      <c r="H39" s="871">
        <v>0</v>
      </c>
      <c r="I39" s="871">
        <v>0</v>
      </c>
      <c r="J39" s="871">
        <v>0</v>
      </c>
      <c r="K39" s="840"/>
      <c r="L39" s="863"/>
      <c r="M39" s="3" t="str">
        <f>IF(C39&gt;0,H39/C39,"na")</f>
        <v>na</v>
      </c>
      <c r="N39" s="3">
        <f t="shared" si="2"/>
        <v>0</v>
      </c>
      <c r="O39" s="3">
        <f t="shared" si="2"/>
        <v>0</v>
      </c>
      <c r="P39" s="3" t="str">
        <f t="shared" si="2"/>
        <v>na</v>
      </c>
      <c r="Q39" s="409" t="str">
        <f t="shared" si="2"/>
        <v>na</v>
      </c>
      <c r="R39" s="525"/>
      <c r="S39" s="656"/>
    </row>
    <row r="40" spans="1:19" ht="13" x14ac:dyDescent="0.3">
      <c r="A40" s="34" t="str">
        <f>'2021 Comm catch'!A40</f>
        <v>1-3=tangle</v>
      </c>
      <c r="B40">
        <v>44</v>
      </c>
      <c r="C40" s="865">
        <v>0</v>
      </c>
      <c r="D40" s="865">
        <v>29</v>
      </c>
      <c r="E40" s="865">
        <v>39</v>
      </c>
      <c r="F40" s="807"/>
      <c r="G40" s="863"/>
      <c r="H40" s="871">
        <v>0</v>
      </c>
      <c r="I40" s="871">
        <v>0</v>
      </c>
      <c r="J40" s="871">
        <v>0</v>
      </c>
      <c r="K40" s="840"/>
      <c r="L40" s="863"/>
      <c r="M40" s="3" t="str">
        <f>IF(C40&gt;0,H40/C40,"na")</f>
        <v>na</v>
      </c>
      <c r="N40" s="3">
        <f>IF(D40&gt;0,I40/D40,"na")</f>
        <v>0</v>
      </c>
      <c r="O40" s="3">
        <f t="shared" si="2"/>
        <v>0</v>
      </c>
      <c r="P40" s="3" t="str">
        <f t="shared" si="2"/>
        <v>na</v>
      </c>
      <c r="Q40" s="409" t="str">
        <f t="shared" si="2"/>
        <v>na</v>
      </c>
      <c r="R40" s="656"/>
      <c r="S40" s="656"/>
    </row>
    <row r="41" spans="1:19" ht="13" x14ac:dyDescent="0.3">
      <c r="A41" s="2">
        <f>'2021 Comm catch'!A41</f>
        <v>0</v>
      </c>
      <c r="B41">
        <v>45</v>
      </c>
      <c r="C41" s="868"/>
      <c r="D41" s="868"/>
      <c r="E41" s="868"/>
      <c r="F41" s="868"/>
      <c r="G41" s="885"/>
      <c r="H41" s="840"/>
      <c r="I41" s="840"/>
      <c r="J41" s="840"/>
      <c r="K41" s="840"/>
      <c r="L41" s="863"/>
      <c r="M41" s="3" t="str">
        <f>IF(C41&gt;0,H41/C41,"na")</f>
        <v>na</v>
      </c>
      <c r="N41" s="3" t="str">
        <f t="shared" ref="N41:P42" si="4">IF(D41&gt;0,I41/D41,"na")</f>
        <v>na</v>
      </c>
      <c r="O41" s="3" t="str">
        <f t="shared" si="4"/>
        <v>na</v>
      </c>
      <c r="P41" s="3" t="str">
        <f t="shared" si="4"/>
        <v>na</v>
      </c>
      <c r="Q41" s="409" t="str">
        <f>IF(G41&gt;0,L41/G41,"na")</f>
        <v>na</v>
      </c>
      <c r="R41" s="402"/>
    </row>
    <row r="42" spans="1:19" x14ac:dyDescent="0.25">
      <c r="B42" t="s">
        <v>184</v>
      </c>
      <c r="C42" s="827">
        <f>SUM(C28:C41)</f>
        <v>0</v>
      </c>
      <c r="D42" s="828">
        <f t="shared" ref="D42:L42" si="5">SUM(D28:D41)</f>
        <v>1239</v>
      </c>
      <c r="E42" s="828">
        <f t="shared" si="5"/>
        <v>1183</v>
      </c>
      <c r="F42" s="828">
        <f t="shared" si="5"/>
        <v>1124</v>
      </c>
      <c r="G42" s="829">
        <f t="shared" si="5"/>
        <v>391</v>
      </c>
      <c r="H42" s="827">
        <f t="shared" si="5"/>
        <v>0</v>
      </c>
      <c r="I42" s="828">
        <f t="shared" si="5"/>
        <v>0</v>
      </c>
      <c r="J42" s="828">
        <f t="shared" si="5"/>
        <v>0</v>
      </c>
      <c r="K42" s="828">
        <f t="shared" si="5"/>
        <v>754</v>
      </c>
      <c r="L42" s="830">
        <f t="shared" si="5"/>
        <v>170</v>
      </c>
      <c r="M42" s="223" t="str">
        <f>IF(C42&gt;0,H42/C42,"na")</f>
        <v>na</v>
      </c>
      <c r="N42" s="528">
        <f t="shared" si="4"/>
        <v>0</v>
      </c>
      <c r="O42" s="528">
        <f t="shared" si="4"/>
        <v>0</v>
      </c>
      <c r="P42" s="528">
        <f t="shared" si="4"/>
        <v>0.6708185053380783</v>
      </c>
      <c r="Q42" s="529">
        <f>IF(G42&gt;0,L42/G42,"na")</f>
        <v>0.43478260869565216</v>
      </c>
      <c r="R42" s="525"/>
    </row>
    <row r="43" spans="1:19" x14ac:dyDescent="0.25">
      <c r="C43" s="44"/>
      <c r="D43" s="44"/>
      <c r="E43" s="44"/>
      <c r="F43" s="44"/>
      <c r="G43" s="44"/>
      <c r="H43" s="44"/>
      <c r="I43" s="44"/>
      <c r="J43" s="44"/>
      <c r="K43" s="44"/>
      <c r="L43" s="44"/>
      <c r="M43" s="44"/>
      <c r="N43" s="44"/>
      <c r="O43" s="44"/>
      <c r="P43" s="44"/>
      <c r="Q43" s="531"/>
      <c r="R43" s="531"/>
    </row>
  </sheetData>
  <mergeCells count="6">
    <mergeCell ref="C3:F3"/>
    <mergeCell ref="G3:J3"/>
    <mergeCell ref="K3:N3"/>
    <mergeCell ref="C26:G26"/>
    <mergeCell ref="H26:L26"/>
    <mergeCell ref="M26:Q26"/>
  </mergeCells>
  <pageMargins left="0.75" right="0.75" top="1" bottom="1" header="0.5" footer="0.5"/>
  <pageSetup orientation="portrait" r:id="rId1"/>
  <headerFooter alignWithMargins="0"/>
  <drawing r:id="rId2"/>
  <legacyDrawing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S136"/>
  <sheetViews>
    <sheetView zoomScale="75" workbookViewId="0">
      <pane xSplit="1" ySplit="2" topLeftCell="B33" activePane="bottomRight" state="frozen"/>
      <selection activeCell="I30" sqref="I30"/>
      <selection pane="topRight" activeCell="I30" sqref="I30"/>
      <selection pane="bottomLeft" activeCell="I30" sqref="I30"/>
      <selection pane="bottomRight" activeCell="I30" sqref="I30"/>
    </sheetView>
  </sheetViews>
  <sheetFormatPr defaultRowHeight="12.5" x14ac:dyDescent="0.25"/>
  <cols>
    <col min="1" max="1" width="13.1796875" customWidth="1"/>
    <col min="2" max="2" width="10.26953125" customWidth="1"/>
    <col min="3" max="4" width="13.453125" customWidth="1"/>
    <col min="5" max="5" width="1.1796875" customWidth="1"/>
    <col min="6" max="6" width="11.453125" bestFit="1" customWidth="1"/>
    <col min="7" max="8" width="13.453125" customWidth="1"/>
    <col min="9" max="9" width="1.1796875" customWidth="1"/>
    <col min="10" max="10" width="10.26953125" customWidth="1"/>
    <col min="11" max="12" width="13.453125" customWidth="1"/>
    <col min="13" max="13" width="1.1796875" customWidth="1"/>
    <col min="14" max="14" width="10.26953125" customWidth="1"/>
    <col min="15" max="16" width="13.453125" customWidth="1"/>
    <col min="17" max="17" width="0.81640625" customWidth="1"/>
    <col min="18" max="18" width="10.26953125" customWidth="1"/>
    <col min="19" max="19" width="13.453125" customWidth="1"/>
    <col min="20" max="20" width="10.7265625" bestFit="1" customWidth="1"/>
    <col min="21" max="21" width="1.1796875" customWidth="1"/>
    <col min="22" max="22" width="10.26953125" customWidth="1"/>
    <col min="23" max="24" width="13.453125" customWidth="1"/>
    <col min="25" max="25" width="1.26953125" customWidth="1"/>
    <col min="26" max="26" width="10.26953125" customWidth="1"/>
    <col min="27" max="28" width="13.453125" customWidth="1"/>
    <col min="29" max="29" width="1.7265625" customWidth="1"/>
    <col min="30" max="30" width="10.26953125" customWidth="1"/>
    <col min="31" max="32" width="13.453125" customWidth="1"/>
    <col min="34" max="34" width="9.81640625" customWidth="1"/>
    <col min="35" max="35" width="13.54296875" bestFit="1" customWidth="1"/>
    <col min="36" max="38" width="13.54296875" customWidth="1"/>
    <col min="56" max="56" width="11.26953125" bestFit="1" customWidth="1"/>
    <col min="57" max="57" width="10.26953125" bestFit="1" customWidth="1"/>
    <col min="58" max="58" width="11.26953125" bestFit="1" customWidth="1"/>
    <col min="61" max="61" width="11.81640625" customWidth="1"/>
    <col min="62" max="62" width="9.7265625" bestFit="1" customWidth="1"/>
    <col min="63" max="63" width="9.54296875" customWidth="1"/>
  </cols>
  <sheetData>
    <row r="1" spans="1:69" ht="15.5" x14ac:dyDescent="0.35">
      <c r="A1" s="1" t="s">
        <v>223</v>
      </c>
    </row>
    <row r="2" spans="1:69" s="27" customFormat="1" ht="13" x14ac:dyDescent="0.3">
      <c r="A2" s="2" t="s">
        <v>54</v>
      </c>
    </row>
    <row r="3" spans="1:69" s="27" customFormat="1" ht="13" x14ac:dyDescent="0.3">
      <c r="B3" s="36" t="s">
        <v>57</v>
      </c>
    </row>
    <row r="4" spans="1:69" s="27" customFormat="1" ht="13" x14ac:dyDescent="0.3">
      <c r="B4" s="37" t="s">
        <v>75</v>
      </c>
    </row>
    <row r="5" spans="1:69" s="27" customFormat="1" ht="13" x14ac:dyDescent="0.3">
      <c r="B5" s="38" t="s">
        <v>76</v>
      </c>
    </row>
    <row r="6" spans="1:69" s="27" customFormat="1" ht="13" x14ac:dyDescent="0.3">
      <c r="B6" s="201" t="s">
        <v>155</v>
      </c>
    </row>
    <row r="7" spans="1:69" ht="15.5" x14ac:dyDescent="0.35">
      <c r="A7" s="1" t="s">
        <v>47</v>
      </c>
      <c r="BI7" s="2"/>
    </row>
    <row r="8" spans="1:69" ht="13" x14ac:dyDescent="0.3">
      <c r="A8" s="2"/>
      <c r="BI8" s="2"/>
      <c r="BJ8" s="2"/>
      <c r="BK8" s="2"/>
    </row>
    <row r="9" spans="1:69" ht="13" x14ac:dyDescent="0.3">
      <c r="C9" s="2" t="s">
        <v>0</v>
      </c>
      <c r="G9" s="2" t="s">
        <v>2</v>
      </c>
      <c r="K9" s="2" t="s">
        <v>3</v>
      </c>
      <c r="O9" s="2" t="s">
        <v>4</v>
      </c>
      <c r="S9" s="2" t="s">
        <v>67</v>
      </c>
      <c r="W9" s="2" t="s">
        <v>68</v>
      </c>
      <c r="BI9" s="14"/>
      <c r="BJ9" s="30"/>
      <c r="BK9" s="30"/>
    </row>
    <row r="10" spans="1:69" x14ac:dyDescent="0.25">
      <c r="B10" t="s">
        <v>43</v>
      </c>
      <c r="C10" t="s">
        <v>50</v>
      </c>
      <c r="D10" t="s">
        <v>51</v>
      </c>
      <c r="F10" t="s">
        <v>43</v>
      </c>
      <c r="G10" t="s">
        <v>50</v>
      </c>
      <c r="H10" t="s">
        <v>51</v>
      </c>
      <c r="J10" t="s">
        <v>43</v>
      </c>
      <c r="K10" t="s">
        <v>50</v>
      </c>
      <c r="L10" t="s">
        <v>51</v>
      </c>
      <c r="N10" t="s">
        <v>43</v>
      </c>
      <c r="O10" t="s">
        <v>50</v>
      </c>
      <c r="P10" t="s">
        <v>51</v>
      </c>
      <c r="R10" t="s">
        <v>43</v>
      </c>
      <c r="S10" t="s">
        <v>50</v>
      </c>
      <c r="T10" t="s">
        <v>51</v>
      </c>
      <c r="V10" t="s">
        <v>43</v>
      </c>
      <c r="W10" t="s">
        <v>50</v>
      </c>
      <c r="X10" t="s">
        <v>51</v>
      </c>
      <c r="BI10" s="14"/>
      <c r="BJ10" s="30"/>
      <c r="BK10" s="30"/>
      <c r="BN10" s="6"/>
    </row>
    <row r="11" spans="1:69" x14ac:dyDescent="0.25">
      <c r="A11" s="32"/>
      <c r="BI11" s="14"/>
      <c r="BJ11" s="30"/>
      <c r="BK11" s="30"/>
      <c r="BN11" s="6"/>
    </row>
    <row r="12" spans="1:69" x14ac:dyDescent="0.25">
      <c r="A12" s="32" t="s">
        <v>203</v>
      </c>
      <c r="B12">
        <v>0</v>
      </c>
      <c r="F12">
        <v>0</v>
      </c>
      <c r="J12">
        <v>0</v>
      </c>
      <c r="N12">
        <v>0</v>
      </c>
      <c r="R12">
        <v>211</v>
      </c>
      <c r="S12" s="10">
        <f>'Mean Unmarked Rates'!D8</f>
        <v>0</v>
      </c>
      <c r="T12" s="5">
        <f>S12*R12</f>
        <v>0</v>
      </c>
      <c r="V12">
        <v>373</v>
      </c>
      <c r="W12" s="7">
        <f>'Mean Unmarked Rates'!D8</f>
        <v>0</v>
      </c>
      <c r="X12" s="5">
        <f>W12*V12</f>
        <v>0</v>
      </c>
      <c r="BI12" s="14"/>
      <c r="BJ12" s="30"/>
      <c r="BK12" s="30"/>
      <c r="BN12" s="6"/>
    </row>
    <row r="13" spans="1:69" x14ac:dyDescent="0.25">
      <c r="A13" t="s">
        <v>31</v>
      </c>
      <c r="B13" s="11">
        <v>0</v>
      </c>
      <c r="C13" s="7"/>
      <c r="D13" s="5"/>
      <c r="F13" s="11">
        <v>0</v>
      </c>
      <c r="G13" s="4"/>
      <c r="H13" s="5"/>
      <c r="J13" s="11">
        <v>1</v>
      </c>
      <c r="K13" s="7">
        <f>'Mean Unmarked Rates'!L27</f>
        <v>0</v>
      </c>
      <c r="L13" s="5">
        <f>K13*J13</f>
        <v>0</v>
      </c>
      <c r="N13" s="11">
        <v>133</v>
      </c>
      <c r="O13" s="4">
        <f>'2007 Comm Sampling'!P7</f>
        <v>9.2592592592592587E-2</v>
      </c>
      <c r="P13" s="351">
        <f>O13*N13</f>
        <v>12.314814814814815</v>
      </c>
      <c r="R13" s="11">
        <v>499</v>
      </c>
      <c r="S13" s="112">
        <f>'2007 Comm Sampling'!T7</f>
        <v>7.6923076923076927E-2</v>
      </c>
      <c r="T13" s="5">
        <f>S13*R13</f>
        <v>38.384615384615387</v>
      </c>
      <c r="V13" s="11">
        <v>1254</v>
      </c>
      <c r="W13" s="4">
        <f>'2007 Comm Sampling'!X7</f>
        <v>8.1593927893738136E-2</v>
      </c>
      <c r="X13" s="5">
        <f>W13*V13</f>
        <v>102.31878557874762</v>
      </c>
      <c r="AA13" s="4"/>
      <c r="AB13" s="5"/>
      <c r="AE13" s="4"/>
      <c r="AF13" s="5"/>
      <c r="AI13" s="4"/>
      <c r="AJ13" s="5"/>
      <c r="AM13" s="4"/>
      <c r="AN13" s="5"/>
      <c r="AQ13" s="4"/>
      <c r="AR13" s="5"/>
      <c r="AU13" s="4"/>
      <c r="AV13" s="5"/>
      <c r="AY13" s="7"/>
      <c r="AZ13" s="5"/>
    </row>
    <row r="14" spans="1:69" x14ac:dyDescent="0.25">
      <c r="A14" t="s">
        <v>32</v>
      </c>
      <c r="B14" s="11">
        <v>0</v>
      </c>
      <c r="F14" s="11">
        <v>0</v>
      </c>
      <c r="J14" s="11">
        <v>0</v>
      </c>
      <c r="N14" s="11">
        <v>0</v>
      </c>
      <c r="R14" s="11">
        <v>93</v>
      </c>
      <c r="S14" s="112">
        <f>'2007 Comm Sampling'!T8</f>
        <v>1.1363636363636364E-2</v>
      </c>
      <c r="T14" s="5">
        <f>S14*R14</f>
        <v>1.0568181818181819</v>
      </c>
      <c r="V14" s="11">
        <v>281</v>
      </c>
      <c r="W14" s="4">
        <f>'2007 Comm Sampling'!X8</f>
        <v>3.783783783783784E-2</v>
      </c>
      <c r="X14" s="5">
        <f>W14*V14</f>
        <v>10.632432432432433</v>
      </c>
      <c r="AA14" s="4"/>
      <c r="AB14" s="5"/>
      <c r="AE14" s="4"/>
      <c r="AF14" s="5"/>
      <c r="AI14" s="4"/>
      <c r="AJ14" s="5"/>
      <c r="AM14" s="4"/>
      <c r="AN14" s="5"/>
      <c r="AQ14" s="4"/>
      <c r="AR14" s="5"/>
      <c r="AU14" s="4"/>
      <c r="AV14" s="5"/>
      <c r="AY14" s="4"/>
      <c r="AZ14" s="5"/>
      <c r="BD14" s="5"/>
      <c r="BE14" s="3"/>
      <c r="BG14" s="5"/>
      <c r="BH14" s="3"/>
      <c r="BJ14" s="5"/>
      <c r="BK14" s="3"/>
      <c r="BM14" s="5"/>
      <c r="BN14" s="3"/>
      <c r="BP14" s="5"/>
      <c r="BQ14" s="3"/>
    </row>
    <row r="15" spans="1:69" s="42" customFormat="1" x14ac:dyDescent="0.25">
      <c r="A15" s="42" t="s">
        <v>45</v>
      </c>
      <c r="B15" s="47">
        <v>0</v>
      </c>
      <c r="F15" s="47">
        <v>0</v>
      </c>
      <c r="J15" s="47">
        <v>0</v>
      </c>
      <c r="N15" s="47">
        <v>0</v>
      </c>
      <c r="R15" s="47">
        <v>410</v>
      </c>
      <c r="S15" s="112">
        <f>'2007 Comm Sampling'!T9</f>
        <v>3.2786885245901641E-2</v>
      </c>
      <c r="T15" s="50">
        <f>S15*R15</f>
        <v>13.442622950819672</v>
      </c>
      <c r="V15" s="47">
        <v>900</v>
      </c>
      <c r="W15" s="4">
        <f>'2007 Comm Sampling'!X9</f>
        <v>8.1218274111675121E-2</v>
      </c>
      <c r="X15" s="50">
        <f>W15*V15</f>
        <v>73.096446700507613</v>
      </c>
      <c r="AA15" s="49"/>
      <c r="AB15" s="50"/>
      <c r="AE15" s="49"/>
      <c r="AF15" s="50"/>
      <c r="AI15" s="49"/>
      <c r="AJ15" s="50"/>
      <c r="AM15" s="49"/>
      <c r="AN15" s="50"/>
      <c r="AQ15" s="51"/>
      <c r="AR15" s="50"/>
      <c r="AT15" s="47"/>
      <c r="BD15" s="50"/>
      <c r="BE15" s="43"/>
      <c r="BG15" s="50"/>
      <c r="BH15" s="43"/>
      <c r="BJ15" s="50"/>
      <c r="BK15" s="43"/>
      <c r="BM15" s="50"/>
      <c r="BN15" s="43"/>
      <c r="BP15" s="50"/>
      <c r="BQ15" s="43"/>
    </row>
    <row r="16" spans="1:69" s="80" customFormat="1" ht="14" x14ac:dyDescent="0.3">
      <c r="A16" s="80" t="s">
        <v>61</v>
      </c>
      <c r="B16" s="80">
        <f>SUM(B12:B15)</f>
        <v>0</v>
      </c>
      <c r="C16" s="81" t="e">
        <f>D16/B16</f>
        <v>#DIV/0!</v>
      </c>
      <c r="D16" s="80">
        <f>SUM(D12:D15)</f>
        <v>0</v>
      </c>
      <c r="F16" s="80">
        <f>SUM(F12:F15)</f>
        <v>0</v>
      </c>
      <c r="G16" s="81" t="e">
        <f>H16/F16</f>
        <v>#DIV/0!</v>
      </c>
      <c r="H16" s="80">
        <f>SUM(H12:H15)</f>
        <v>0</v>
      </c>
      <c r="J16" s="80">
        <f>SUM(J12:J15)</f>
        <v>1</v>
      </c>
      <c r="K16" s="81">
        <f>L16/J16</f>
        <v>0</v>
      </c>
      <c r="L16" s="80">
        <f>SUM(L12:L15)</f>
        <v>0</v>
      </c>
      <c r="N16" s="80">
        <f>SUM(N12:N15)</f>
        <v>133</v>
      </c>
      <c r="O16" s="81">
        <f>P16/N16</f>
        <v>9.2592592592592587E-2</v>
      </c>
      <c r="P16" s="82">
        <f>SUM(P12:P15)</f>
        <v>12.314814814814815</v>
      </c>
      <c r="R16" s="80">
        <f>SUM(R12:R15)</f>
        <v>1213</v>
      </c>
      <c r="S16" s="81">
        <f>T16/R16</f>
        <v>4.3597738266490722E-2</v>
      </c>
      <c r="T16" s="82">
        <f>SUM(T12:T15)</f>
        <v>52.884056517253242</v>
      </c>
      <c r="V16" s="80">
        <f>SUM(V12:V15)</f>
        <v>2808</v>
      </c>
      <c r="W16" s="81">
        <f>X16/V16</f>
        <v>6.6256290851740618E-2</v>
      </c>
      <c r="X16" s="82">
        <f>SUM(X12:X15)</f>
        <v>186.04766471168767</v>
      </c>
      <c r="BI16" s="86"/>
      <c r="BJ16" s="87"/>
      <c r="BK16" s="87"/>
      <c r="BN16" s="88"/>
    </row>
    <row r="17" spans="1:63" x14ac:dyDescent="0.25">
      <c r="A17">
        <v>1</v>
      </c>
      <c r="B17" s="111">
        <v>10</v>
      </c>
      <c r="C17" s="119">
        <f>'2007 Comm Sampling'!D11</f>
        <v>0.5</v>
      </c>
      <c r="D17" s="5">
        <f>C17*B17</f>
        <v>5</v>
      </c>
      <c r="F17" s="111"/>
      <c r="G17" s="119"/>
      <c r="H17" s="5"/>
      <c r="J17" s="111"/>
      <c r="K17" s="4"/>
      <c r="L17" s="5"/>
      <c r="N17" s="111"/>
      <c r="O17" s="4"/>
      <c r="R17" s="73"/>
      <c r="V17" s="73"/>
      <c r="BI17" s="14"/>
      <c r="BJ17" s="30"/>
      <c r="BK17" s="30"/>
    </row>
    <row r="18" spans="1:63" x14ac:dyDescent="0.25">
      <c r="A18">
        <v>2</v>
      </c>
      <c r="B18" s="111">
        <v>4</v>
      </c>
      <c r="C18" s="119">
        <f>'2007 Comm Sampling'!D12</f>
        <v>0</v>
      </c>
      <c r="D18" s="5">
        <f>C18*B18</f>
        <v>0</v>
      </c>
      <c r="F18" s="111"/>
      <c r="G18" s="119"/>
      <c r="H18" s="5"/>
      <c r="J18" s="111"/>
      <c r="K18" s="4"/>
      <c r="L18" s="5"/>
      <c r="N18" s="111"/>
      <c r="O18" s="4"/>
      <c r="R18" s="73"/>
      <c r="V18" s="73"/>
      <c r="BI18" s="14"/>
      <c r="BJ18" s="30"/>
      <c r="BK18" s="30"/>
    </row>
    <row r="19" spans="1:63" ht="13" x14ac:dyDescent="0.3">
      <c r="A19">
        <v>3</v>
      </c>
      <c r="B19" s="73"/>
      <c r="C19" s="119"/>
      <c r="D19" s="5"/>
      <c r="F19" s="111"/>
      <c r="G19" s="119"/>
      <c r="H19" s="5"/>
      <c r="J19" s="111"/>
      <c r="K19" s="4"/>
      <c r="L19" s="5"/>
      <c r="N19" s="111"/>
      <c r="O19" s="4"/>
      <c r="P19" s="5"/>
      <c r="R19" s="73"/>
      <c r="V19" s="73"/>
      <c r="AO19" s="2"/>
      <c r="AP19" s="2"/>
      <c r="AQ19" s="2"/>
      <c r="AR19" s="2"/>
      <c r="AS19" s="2"/>
      <c r="AT19" s="2"/>
      <c r="AU19" s="2"/>
      <c r="AV19" s="2"/>
      <c r="AW19" s="2"/>
      <c r="AX19" s="2"/>
      <c r="AY19" s="2"/>
      <c r="AZ19" s="2"/>
      <c r="BA19" s="2"/>
      <c r="BB19" s="2"/>
      <c r="BI19" s="14"/>
      <c r="BJ19" s="30"/>
      <c r="BK19" s="30"/>
    </row>
    <row r="20" spans="1:63" ht="13" x14ac:dyDescent="0.3">
      <c r="A20">
        <v>4</v>
      </c>
      <c r="B20" s="73"/>
      <c r="C20" s="119"/>
      <c r="D20" s="5"/>
      <c r="F20" s="111"/>
      <c r="G20" s="119"/>
      <c r="J20" s="111">
        <v>36</v>
      </c>
      <c r="K20" s="4">
        <f>'2007 Comm Sampling'!L14</f>
        <v>0.66666666666666663</v>
      </c>
      <c r="L20" s="5">
        <f>K20*J20</f>
        <v>24</v>
      </c>
      <c r="N20" s="111"/>
      <c r="O20" s="4"/>
      <c r="P20" s="5"/>
      <c r="R20" s="73"/>
      <c r="V20" s="73"/>
      <c r="AO20" s="2"/>
      <c r="AP20" s="2"/>
      <c r="AQ20" s="2"/>
      <c r="AR20" s="2"/>
      <c r="AS20" s="2"/>
      <c r="AT20" s="2"/>
      <c r="AU20" s="2"/>
      <c r="AV20" s="2"/>
      <c r="AW20" s="2"/>
      <c r="AX20" s="2"/>
      <c r="AY20" s="2"/>
      <c r="AZ20" s="2"/>
      <c r="BA20" s="2"/>
      <c r="BB20" s="2"/>
      <c r="BD20" s="2"/>
    </row>
    <row r="21" spans="1:63" s="42" customFormat="1" ht="13" x14ac:dyDescent="0.3">
      <c r="A21" s="42">
        <v>5</v>
      </c>
      <c r="B21" s="73"/>
      <c r="C21" s="119"/>
      <c r="D21" s="5"/>
      <c r="F21" s="71"/>
      <c r="G21" s="119"/>
      <c r="J21" s="71">
        <v>7</v>
      </c>
      <c r="K21" s="49">
        <f>'2007 Comm Sampling'!L15</f>
        <v>0.75</v>
      </c>
      <c r="L21" s="5">
        <f>K21*J21</f>
        <v>5.25</v>
      </c>
      <c r="O21" s="49"/>
      <c r="P21" s="5"/>
      <c r="R21" s="71"/>
      <c r="V21" s="71"/>
      <c r="AO21" s="41"/>
      <c r="AP21" s="41"/>
      <c r="AQ21" s="41"/>
      <c r="AR21" s="41"/>
      <c r="AS21" s="41"/>
      <c r="AT21" s="41"/>
      <c r="AU21" s="41"/>
      <c r="AV21" s="41"/>
      <c r="AW21" s="41"/>
      <c r="AX21" s="41"/>
      <c r="AY21" s="41"/>
      <c r="AZ21" s="41"/>
      <c r="BA21" s="41"/>
      <c r="BB21" s="41"/>
      <c r="BD21" s="41"/>
      <c r="BE21" s="41"/>
      <c r="BF21" s="41"/>
      <c r="BG21" s="41"/>
    </row>
    <row r="22" spans="1:63" s="89" customFormat="1" ht="14" x14ac:dyDescent="0.3">
      <c r="A22" s="89" t="s">
        <v>60</v>
      </c>
      <c r="B22" s="80">
        <f>SUM(B17:B21)</f>
        <v>14</v>
      </c>
      <c r="C22" s="81">
        <f>D22/B22</f>
        <v>0.35714285714285715</v>
      </c>
      <c r="D22" s="82">
        <f>SUM(D17:D21)</f>
        <v>5</v>
      </c>
      <c r="F22" s="80">
        <f>SUM(F17:F21)</f>
        <v>0</v>
      </c>
      <c r="G22" s="81" t="e">
        <f>H22/F22</f>
        <v>#DIV/0!</v>
      </c>
      <c r="H22" s="82">
        <f>SUM(H17:H21)</f>
        <v>0</v>
      </c>
      <c r="J22" s="80">
        <f>SUM(J17:J21)</f>
        <v>43</v>
      </c>
      <c r="K22" s="81">
        <f>L22/J22</f>
        <v>0.68023255813953487</v>
      </c>
      <c r="L22" s="82">
        <f>SUM(L17:L21)</f>
        <v>29.25</v>
      </c>
      <c r="N22" s="80">
        <f>SUM(N17:N21)</f>
        <v>0</v>
      </c>
      <c r="O22" s="81" t="e">
        <f>P22/N22</f>
        <v>#DIV/0!</v>
      </c>
      <c r="P22" s="82">
        <f>SUM(P17:P21)</f>
        <v>0</v>
      </c>
      <c r="R22" s="80">
        <f>SUM(R17:R21)</f>
        <v>0</v>
      </c>
      <c r="S22" s="81" t="e">
        <f>T22/R22</f>
        <v>#DIV/0!</v>
      </c>
      <c r="T22" s="82">
        <f>SUM(T17:T21)</f>
        <v>0</v>
      </c>
      <c r="V22" s="80">
        <f>SUM(V17:V21)</f>
        <v>0</v>
      </c>
      <c r="W22" s="81" t="e">
        <f>X22/V22</f>
        <v>#DIV/0!</v>
      </c>
      <c r="X22" s="82">
        <f>SUM(X17:X21)</f>
        <v>0</v>
      </c>
      <c r="AN22" s="92"/>
      <c r="AO22" s="92"/>
      <c r="AP22" s="92"/>
      <c r="AQ22" s="92"/>
      <c r="AR22" s="92"/>
      <c r="AS22" s="92"/>
      <c r="AT22" s="92"/>
      <c r="AU22" s="92"/>
      <c r="AV22" s="92"/>
      <c r="AW22" s="92"/>
      <c r="AX22" s="92"/>
      <c r="AY22" s="92"/>
      <c r="AZ22" s="92"/>
      <c r="BA22" s="92"/>
      <c r="BB22" s="92"/>
      <c r="BD22" s="93"/>
      <c r="BE22" s="93"/>
      <c r="BF22" s="93"/>
      <c r="BG22" s="94"/>
    </row>
    <row r="23" spans="1:63" s="2" customFormat="1" ht="13" x14ac:dyDescent="0.3">
      <c r="A23" s="2" t="s">
        <v>318</v>
      </c>
      <c r="B23" s="694">
        <f>SUM(B17:B19)</f>
        <v>14</v>
      </c>
      <c r="C23" s="694">
        <f t="shared" ref="C23:L23" si="0">SUM(C17:C19)</f>
        <v>0.5</v>
      </c>
      <c r="D23" s="694">
        <f t="shared" si="0"/>
        <v>5</v>
      </c>
      <c r="E23" s="694">
        <f t="shared" si="0"/>
        <v>0</v>
      </c>
      <c r="F23" s="694">
        <f t="shared" si="0"/>
        <v>0</v>
      </c>
      <c r="G23" s="694">
        <f t="shared" si="0"/>
        <v>0</v>
      </c>
      <c r="H23" s="694">
        <f t="shared" si="0"/>
        <v>0</v>
      </c>
      <c r="I23" s="694">
        <f t="shared" si="0"/>
        <v>0</v>
      </c>
      <c r="J23" s="694">
        <f t="shared" si="0"/>
        <v>0</v>
      </c>
      <c r="K23" s="694">
        <f t="shared" si="0"/>
        <v>0</v>
      </c>
      <c r="L23" s="694">
        <f t="shared" si="0"/>
        <v>0</v>
      </c>
      <c r="N23" s="8"/>
      <c r="O23" s="25"/>
      <c r="P23" s="8" t="e">
        <f>SUM(P17:P19)/SUM(N17:N19)</f>
        <v>#DIV/0!</v>
      </c>
      <c r="T23" s="8" t="e">
        <f>SUM(T17:T19)/SUM(R17:R19)</f>
        <v>#DIV/0!</v>
      </c>
      <c r="X23" s="8" t="e">
        <f>SUM(X17:X19)/SUM(V17:V19)</f>
        <v>#DIV/0!</v>
      </c>
      <c r="AN23" s="27"/>
      <c r="AO23" s="27"/>
      <c r="AP23" s="27"/>
      <c r="AQ23" s="27"/>
      <c r="AR23" s="27"/>
      <c r="AS23" s="27"/>
      <c r="AT23" s="27"/>
      <c r="AU23" s="27"/>
      <c r="AV23" s="27"/>
      <c r="AW23" s="27"/>
      <c r="AX23" s="27"/>
      <c r="AY23" s="27"/>
      <c r="AZ23" s="27"/>
      <c r="BA23" s="27"/>
      <c r="BB23" s="27"/>
      <c r="BD23" s="29"/>
      <c r="BE23" s="29"/>
      <c r="BF23" s="29"/>
      <c r="BG23" s="28"/>
    </row>
    <row r="24" spans="1:63" s="2" customFormat="1" ht="13" x14ac:dyDescent="0.3">
      <c r="B24" s="694">
        <f>SUM(B20:B21)</f>
        <v>0</v>
      </c>
      <c r="C24" s="694">
        <f t="shared" ref="C24:L24" si="1">SUM(C20:C21)</f>
        <v>0</v>
      </c>
      <c r="D24" s="694">
        <f t="shared" si="1"/>
        <v>0</v>
      </c>
      <c r="E24" s="694">
        <f t="shared" si="1"/>
        <v>0</v>
      </c>
      <c r="F24" s="694">
        <f t="shared" si="1"/>
        <v>0</v>
      </c>
      <c r="G24" s="694">
        <f t="shared" si="1"/>
        <v>0</v>
      </c>
      <c r="H24" s="694">
        <f t="shared" si="1"/>
        <v>0</v>
      </c>
      <c r="I24" s="694">
        <f t="shared" si="1"/>
        <v>0</v>
      </c>
      <c r="J24" s="694">
        <f t="shared" si="1"/>
        <v>43</v>
      </c>
      <c r="K24" s="694">
        <f t="shared" si="1"/>
        <v>1.4166666666666665</v>
      </c>
      <c r="L24" s="694">
        <f t="shared" si="1"/>
        <v>29.25</v>
      </c>
      <c r="N24" s="8"/>
      <c r="O24" s="25"/>
      <c r="P24" s="8" t="e">
        <f>SUM(P20:P21)/SUM(N20:N21)</f>
        <v>#DIV/0!</v>
      </c>
      <c r="T24" s="8" t="e">
        <f>SUM(T20:T21)/SUM(R20:R21)</f>
        <v>#DIV/0!</v>
      </c>
      <c r="X24" s="8" t="e">
        <f>SUM(X20:X21)/SUM(V20:V21)</f>
        <v>#DIV/0!</v>
      </c>
      <c r="AN24" s="27"/>
      <c r="AO24" s="27"/>
      <c r="AP24" s="27"/>
      <c r="AQ24" s="27"/>
      <c r="AR24" s="27"/>
      <c r="AS24" s="27"/>
      <c r="AT24" s="27"/>
      <c r="AU24" s="27"/>
      <c r="AV24" s="27"/>
      <c r="AW24" s="27"/>
      <c r="AX24" s="27"/>
      <c r="AY24" s="27"/>
      <c r="AZ24" s="27"/>
      <c r="BA24" s="27"/>
      <c r="BB24" s="27"/>
      <c r="BD24" s="29"/>
      <c r="BE24" s="29"/>
      <c r="BF24" s="29"/>
      <c r="BG24" s="28"/>
    </row>
    <row r="25" spans="1:63" s="2" customFormat="1" ht="13" x14ac:dyDescent="0.3">
      <c r="D25" s="8"/>
      <c r="F25" s="8"/>
      <c r="H25" s="8"/>
      <c r="J25" s="8"/>
      <c r="L25" s="8"/>
      <c r="N25" s="8"/>
      <c r="O25" s="25"/>
      <c r="P25" s="8"/>
      <c r="AN25" s="27"/>
      <c r="AO25" s="27"/>
      <c r="AP25" s="27"/>
      <c r="AQ25" s="27"/>
      <c r="AR25" s="27"/>
      <c r="AS25" s="27"/>
      <c r="AT25" s="27"/>
      <c r="AU25" s="27"/>
      <c r="AV25" s="27"/>
      <c r="AW25" s="27"/>
      <c r="AX25" s="27"/>
      <c r="AY25" s="27"/>
      <c r="AZ25" s="27"/>
      <c r="BA25" s="27"/>
      <c r="BB25" s="27"/>
      <c r="BD25" s="29"/>
      <c r="BE25" s="29"/>
      <c r="BF25" s="29"/>
      <c r="BG25" s="28"/>
    </row>
    <row r="26" spans="1:63" s="113" customFormat="1" ht="14" x14ac:dyDescent="0.3">
      <c r="A26" s="113" t="s">
        <v>44</v>
      </c>
      <c r="B26" s="113">
        <f>B16+B22</f>
        <v>14</v>
      </c>
      <c r="C26" s="114"/>
      <c r="D26" s="115">
        <f>D16+D22</f>
        <v>5</v>
      </c>
      <c r="F26" s="113">
        <f>F16+F22</f>
        <v>0</v>
      </c>
      <c r="G26" s="114" t="e">
        <f>H26/F26</f>
        <v>#DIV/0!</v>
      </c>
      <c r="H26" s="115">
        <f>H16+H22</f>
        <v>0</v>
      </c>
      <c r="J26" s="113">
        <f>J16+J22</f>
        <v>44</v>
      </c>
      <c r="K26" s="114">
        <f>L26/J26</f>
        <v>0.66477272727272729</v>
      </c>
      <c r="L26" s="115">
        <f>L16+L22</f>
        <v>29.25</v>
      </c>
      <c r="N26" s="113">
        <f>N16+N22</f>
        <v>133</v>
      </c>
      <c r="O26" s="114">
        <f>P26/N26</f>
        <v>9.2592592592592587E-2</v>
      </c>
      <c r="P26" s="115">
        <f>P16+P22</f>
        <v>12.314814814814815</v>
      </c>
      <c r="R26" s="113">
        <v>0</v>
      </c>
      <c r="V26" s="113">
        <v>0</v>
      </c>
      <c r="AN26" s="116"/>
      <c r="AO26" s="116"/>
      <c r="AP26" s="116"/>
      <c r="AQ26" s="116"/>
      <c r="AR26" s="116"/>
      <c r="AS26" s="116"/>
      <c r="AT26" s="116"/>
      <c r="AU26" s="116"/>
      <c r="AV26" s="116"/>
      <c r="AW26" s="116"/>
      <c r="AX26" s="116"/>
      <c r="AY26" s="116"/>
      <c r="AZ26" s="116"/>
      <c r="BA26" s="116"/>
      <c r="BB26" s="116"/>
      <c r="BD26" s="117"/>
      <c r="BE26" s="117"/>
      <c r="BF26" s="117"/>
      <c r="BG26" s="118"/>
    </row>
    <row r="27" spans="1:63" s="2" customFormat="1" ht="13" x14ac:dyDescent="0.3">
      <c r="D27" s="8"/>
      <c r="F27" s="8"/>
      <c r="H27" s="8"/>
      <c r="J27" s="8"/>
      <c r="L27" s="8"/>
      <c r="N27" s="8"/>
      <c r="O27" s="25"/>
      <c r="P27" s="8"/>
      <c r="AN27" s="27"/>
      <c r="AO27" s="27"/>
      <c r="AP27" s="27"/>
      <c r="AQ27" s="27"/>
      <c r="AR27" s="27"/>
      <c r="AS27" s="27"/>
      <c r="AT27" s="27"/>
      <c r="AU27" s="27"/>
      <c r="AV27" s="27"/>
      <c r="AW27" s="27"/>
      <c r="AX27" s="27"/>
      <c r="AY27" s="27"/>
      <c r="AZ27" s="27"/>
      <c r="BA27" s="27"/>
      <c r="BB27" s="27"/>
      <c r="BD27" s="29"/>
      <c r="BE27" s="29"/>
      <c r="BF27" s="29"/>
      <c r="BG27" s="28"/>
    </row>
    <row r="28" spans="1:63" s="2" customFormat="1" ht="15.5" x14ac:dyDescent="0.35">
      <c r="A28" s="1" t="s">
        <v>48</v>
      </c>
      <c r="D28" s="8"/>
      <c r="F28" s="8"/>
      <c r="H28" s="8"/>
      <c r="J28" s="8"/>
      <c r="L28" s="8"/>
      <c r="N28" s="8"/>
      <c r="O28" s="25"/>
      <c r="P28" s="8"/>
      <c r="AN28" s="27"/>
      <c r="AO28" s="27"/>
      <c r="AP28" s="27"/>
      <c r="AQ28" s="27"/>
      <c r="AR28" s="27"/>
      <c r="AS28" s="27"/>
      <c r="AT28" s="27"/>
      <c r="AU28" s="27"/>
      <c r="AV28" s="27"/>
      <c r="AW28" s="27"/>
      <c r="AX28" s="27"/>
      <c r="AY28" s="27"/>
      <c r="AZ28" s="27"/>
      <c r="BA28" s="27"/>
      <c r="BB28" s="27"/>
      <c r="BD28" s="29"/>
      <c r="BE28" s="29"/>
      <c r="BF28" s="29"/>
      <c r="BG28" s="28"/>
    </row>
    <row r="29" spans="1:63" x14ac:dyDescent="0.25">
      <c r="D29" s="5"/>
      <c r="P29" s="5"/>
      <c r="BD29" s="29"/>
      <c r="BE29" s="13"/>
      <c r="BF29" s="13"/>
      <c r="BG29" s="6"/>
    </row>
    <row r="30" spans="1:63" s="2" customFormat="1" ht="13" x14ac:dyDescent="0.3">
      <c r="C30" s="2" t="s">
        <v>12</v>
      </c>
      <c r="G30" s="2" t="s">
        <v>5</v>
      </c>
      <c r="K30" s="2" t="s">
        <v>6</v>
      </c>
      <c r="O30" s="2" t="s">
        <v>7</v>
      </c>
      <c r="S30" s="2" t="s">
        <v>8</v>
      </c>
      <c r="W30" s="2" t="s">
        <v>9</v>
      </c>
      <c r="AA30" s="2" t="s">
        <v>10</v>
      </c>
      <c r="AE30" s="2" t="s">
        <v>11</v>
      </c>
      <c r="BD30" s="24"/>
      <c r="BE30" s="24"/>
      <c r="BF30" s="24"/>
      <c r="BG30" s="22"/>
    </row>
    <row r="31" spans="1:63" ht="13" x14ac:dyDescent="0.3">
      <c r="B31" t="s">
        <v>43</v>
      </c>
      <c r="C31" t="s">
        <v>50</v>
      </c>
      <c r="D31" t="s">
        <v>51</v>
      </c>
      <c r="F31" t="s">
        <v>43</v>
      </c>
      <c r="G31" t="s">
        <v>50</v>
      </c>
      <c r="H31" t="s">
        <v>51</v>
      </c>
      <c r="J31" t="s">
        <v>43</v>
      </c>
      <c r="K31" t="s">
        <v>50</v>
      </c>
      <c r="L31" t="s">
        <v>51</v>
      </c>
      <c r="N31" t="s">
        <v>43</v>
      </c>
      <c r="O31" t="s">
        <v>50</v>
      </c>
      <c r="P31" t="s">
        <v>51</v>
      </c>
      <c r="R31" t="s">
        <v>43</v>
      </c>
      <c r="S31" t="s">
        <v>50</v>
      </c>
      <c r="T31" t="s">
        <v>51</v>
      </c>
      <c r="V31" t="s">
        <v>43</v>
      </c>
      <c r="W31" t="s">
        <v>50</v>
      </c>
      <c r="X31" t="s">
        <v>51</v>
      </c>
      <c r="Z31" t="s">
        <v>43</v>
      </c>
      <c r="AA31" t="s">
        <v>50</v>
      </c>
      <c r="AB31" t="s">
        <v>51</v>
      </c>
      <c r="AD31" t="s">
        <v>43</v>
      </c>
      <c r="AE31" t="s">
        <v>50</v>
      </c>
      <c r="AF31" t="s">
        <v>51</v>
      </c>
      <c r="AK31" s="2"/>
      <c r="AL31" s="2"/>
      <c r="BD31" s="29"/>
      <c r="BE31" s="13"/>
      <c r="BF31" s="13"/>
      <c r="BG31" s="6"/>
    </row>
    <row r="32" spans="1:63" ht="13" x14ac:dyDescent="0.3">
      <c r="A32" s="32"/>
      <c r="AK32" s="2"/>
      <c r="AL32" s="2"/>
      <c r="BD32" s="29"/>
      <c r="BE32" s="13"/>
      <c r="BF32" s="13"/>
      <c r="BG32" s="6"/>
    </row>
    <row r="33" spans="1:69" ht="13" x14ac:dyDescent="0.3">
      <c r="A33" s="32" t="s">
        <v>203</v>
      </c>
      <c r="B33">
        <v>755</v>
      </c>
      <c r="C33" s="7">
        <f>'Mean Unmarked Rates'!D42</f>
        <v>0</v>
      </c>
      <c r="D33" s="5">
        <f>C33*B33</f>
        <v>0</v>
      </c>
      <c r="F33">
        <v>586</v>
      </c>
      <c r="G33" s="7">
        <f>'Mean Unmarked Rates'!H42</f>
        <v>0</v>
      </c>
      <c r="H33" s="5">
        <f>G33*F33</f>
        <v>0</v>
      </c>
      <c r="J33">
        <v>633</v>
      </c>
      <c r="K33" s="7">
        <f>'Mean Unmarked Rates'!L42</f>
        <v>0</v>
      </c>
      <c r="L33" s="5">
        <f>K33*J33</f>
        <v>0</v>
      </c>
      <c r="N33">
        <v>116</v>
      </c>
      <c r="O33" s="7">
        <f>'Mean Unmarked Rates'!P42</f>
        <v>0</v>
      </c>
      <c r="P33" s="5">
        <f>O33*N33</f>
        <v>0</v>
      </c>
      <c r="S33" s="4"/>
      <c r="T33" s="5"/>
      <c r="W33" s="4"/>
      <c r="X33" s="5"/>
      <c r="AK33" s="2"/>
      <c r="AL33" s="2"/>
      <c r="BD33" s="29"/>
      <c r="BE33" s="13"/>
      <c r="BF33" s="13"/>
      <c r="BG33" s="6"/>
    </row>
    <row r="34" spans="1:69" ht="13" x14ac:dyDescent="0.3">
      <c r="A34" t="s">
        <v>31</v>
      </c>
      <c r="B34" s="11">
        <v>819</v>
      </c>
      <c r="C34" s="4">
        <f>'2007 Comm Sampling'!D24</f>
        <v>6.3736263736263732E-2</v>
      </c>
      <c r="D34" s="5">
        <f>C34*B34</f>
        <v>52.199999999999996</v>
      </c>
      <c r="F34">
        <v>369</v>
      </c>
      <c r="G34" s="4">
        <f>'2007 Comm Sampling'!H24</f>
        <v>5.2631578947368418E-2</v>
      </c>
      <c r="H34" s="5">
        <f>G34*F34</f>
        <v>19.421052631578945</v>
      </c>
      <c r="J34">
        <v>93</v>
      </c>
      <c r="K34" s="4">
        <f>'2007 Comm Sampling'!L24</f>
        <v>0.12820512820512819</v>
      </c>
      <c r="L34" s="5">
        <f>K34*J34</f>
        <v>11.923076923076922</v>
      </c>
      <c r="N34">
        <v>44</v>
      </c>
      <c r="O34" s="4">
        <f>'2007 Comm Sampling'!P24</f>
        <v>0</v>
      </c>
      <c r="P34" s="5">
        <f>O34*N34</f>
        <v>0</v>
      </c>
      <c r="R34">
        <v>6</v>
      </c>
      <c r="S34" s="7">
        <f>'Mean Unmarked Rates'!T43</f>
        <v>0</v>
      </c>
      <c r="T34" s="5">
        <f>S34*R34</f>
        <v>0</v>
      </c>
      <c r="V34">
        <v>54</v>
      </c>
      <c r="W34" s="7">
        <f>'Mean Unmarked Rates'!X43</f>
        <v>0</v>
      </c>
      <c r="X34" s="5">
        <f>W34*V34</f>
        <v>0</v>
      </c>
      <c r="Z34">
        <v>29</v>
      </c>
      <c r="AA34" s="4">
        <f>'2007 Comm Sampling'!AB24</f>
        <v>0.52631578947368418</v>
      </c>
      <c r="AB34" s="5">
        <f>AA34*Z34</f>
        <v>15.263157894736841</v>
      </c>
      <c r="AE34" s="39"/>
      <c r="AF34" s="5">
        <f>AD34*AE34</f>
        <v>0</v>
      </c>
      <c r="AK34" s="2"/>
      <c r="AL34" s="2"/>
      <c r="BD34" s="29"/>
      <c r="BE34" s="13"/>
      <c r="BF34" s="13"/>
      <c r="BG34" s="6"/>
    </row>
    <row r="35" spans="1:69" ht="13" x14ac:dyDescent="0.3">
      <c r="A35" t="s">
        <v>32</v>
      </c>
      <c r="B35" s="11">
        <v>687</v>
      </c>
      <c r="C35" s="4">
        <f>'2007 Comm Sampling'!D25</f>
        <v>6.3291139240506333E-2</v>
      </c>
      <c r="D35" s="5">
        <f>C35*B35</f>
        <v>43.481012658227854</v>
      </c>
      <c r="F35">
        <v>681</v>
      </c>
      <c r="G35" s="4">
        <f>'2007 Comm Sampling'!H25</f>
        <v>7.4534161490683232E-2</v>
      </c>
      <c r="H35" s="5">
        <f>G35*F35</f>
        <v>50.757763975155278</v>
      </c>
      <c r="J35">
        <v>472</v>
      </c>
      <c r="K35" s="4">
        <f>'2007 Comm Sampling'!L25</f>
        <v>3.7037037037037035E-2</v>
      </c>
      <c r="L35" s="5">
        <f>K35*J35</f>
        <v>17.481481481481481</v>
      </c>
      <c r="N35">
        <v>212</v>
      </c>
      <c r="O35" s="4">
        <f>'2007 Comm Sampling'!P25</f>
        <v>9.405940594059406E-2</v>
      </c>
      <c r="P35" s="5">
        <f>O35*N35</f>
        <v>19.940594059405942</v>
      </c>
      <c r="R35">
        <v>53</v>
      </c>
      <c r="S35" s="4">
        <f>'2007 Comm Sampling'!T25</f>
        <v>9.6153846153846159E-2</v>
      </c>
      <c r="T35" s="5">
        <f>S35*R35</f>
        <v>5.0961538461538467</v>
      </c>
      <c r="V35">
        <v>19</v>
      </c>
      <c r="W35" s="4">
        <f>'2007 Comm Sampling'!X25</f>
        <v>0.10526315789473684</v>
      </c>
      <c r="X35" s="5">
        <f>W35*V35</f>
        <v>2</v>
      </c>
      <c r="Z35">
        <v>0</v>
      </c>
      <c r="AA35" s="4">
        <f>'2007 Comm Sampling'!AB25</f>
        <v>0</v>
      </c>
      <c r="AB35" s="5">
        <v>0</v>
      </c>
      <c r="AF35" s="5"/>
      <c r="AK35" s="2"/>
      <c r="AL35" s="2"/>
      <c r="BD35" s="29"/>
      <c r="BE35" s="13"/>
      <c r="BF35" s="13"/>
      <c r="BG35" s="6"/>
    </row>
    <row r="36" spans="1:69" s="42" customFormat="1" ht="13" x14ac:dyDescent="0.3">
      <c r="A36" s="42" t="s">
        <v>62</v>
      </c>
      <c r="B36" s="47">
        <v>489</v>
      </c>
      <c r="C36" s="4">
        <f>'2007 Comm Sampling'!D26</f>
        <v>8.4210526315789472E-2</v>
      </c>
      <c r="D36" s="50">
        <f>C36*B36</f>
        <v>41.178947368421049</v>
      </c>
      <c r="F36" s="42">
        <v>74</v>
      </c>
      <c r="G36" s="7">
        <f>'Mean Unmarked Rates'!H45</f>
        <v>0</v>
      </c>
      <c r="H36" s="50">
        <f>G36*F36</f>
        <v>0</v>
      </c>
      <c r="J36" s="42">
        <v>123</v>
      </c>
      <c r="K36" s="4">
        <f>'2007 Comm Sampling'!L26</f>
        <v>0.1111111111111111</v>
      </c>
      <c r="L36" s="5">
        <f>K36*J36</f>
        <v>13.666666666666666</v>
      </c>
      <c r="N36" s="47">
        <v>24</v>
      </c>
      <c r="O36" s="4">
        <f>'2007 Comm Sampling'!P26</f>
        <v>8.6956521739130432E-2</v>
      </c>
      <c r="P36" s="5">
        <f>O36*N36</f>
        <v>2.0869565217391304</v>
      </c>
      <c r="R36" s="42">
        <v>23</v>
      </c>
      <c r="S36" s="4">
        <f>'2007 Comm Sampling'!T26</f>
        <v>0.10526315789473684</v>
      </c>
      <c r="T36" s="5">
        <f>S36*R36</f>
        <v>2.4210526315789473</v>
      </c>
      <c r="V36" s="42">
        <v>0</v>
      </c>
      <c r="W36" s="4">
        <f>'2007 Comm Sampling'!X26</f>
        <v>0</v>
      </c>
      <c r="X36" s="5">
        <v>0</v>
      </c>
      <c r="Z36" s="42">
        <v>0</v>
      </c>
      <c r="AA36" s="4">
        <f>'2007 Comm Sampling'!AB26</f>
        <v>0</v>
      </c>
      <c r="AB36" s="42">
        <v>0</v>
      </c>
      <c r="AF36" s="50"/>
      <c r="AK36" s="41"/>
      <c r="AL36" s="41"/>
      <c r="BD36" s="52"/>
      <c r="BE36" s="53"/>
      <c r="BF36" s="53"/>
      <c r="BG36" s="54"/>
    </row>
    <row r="37" spans="1:69" s="83" customFormat="1" ht="14" x14ac:dyDescent="0.3">
      <c r="A37" s="79" t="s">
        <v>61</v>
      </c>
      <c r="B37" s="80">
        <f>SUM(B33:B36)</f>
        <v>2750</v>
      </c>
      <c r="C37" s="81">
        <f>D37/B37</f>
        <v>4.9767258191508686E-2</v>
      </c>
      <c r="D37" s="82">
        <f>SUM(D33:D36)</f>
        <v>136.85996002664888</v>
      </c>
      <c r="F37" s="80">
        <f>SUM(F33:F36)</f>
        <v>1710</v>
      </c>
      <c r="G37" s="81">
        <f>H37/F37</f>
        <v>4.1040243629669133E-2</v>
      </c>
      <c r="H37" s="82">
        <f>SUM(H33:H36)</f>
        <v>70.178816606734216</v>
      </c>
      <c r="J37" s="80">
        <f>SUM(J33:J36)</f>
        <v>1321</v>
      </c>
      <c r="K37" s="81">
        <f>L37/J37</f>
        <v>3.2605015193962958E-2</v>
      </c>
      <c r="L37" s="80">
        <f>SUM(L33:L36)</f>
        <v>43.071225071225065</v>
      </c>
      <c r="N37" s="80">
        <f>SUM(N33:N36)</f>
        <v>396</v>
      </c>
      <c r="O37" s="81">
        <f>P37/N37</f>
        <v>5.5625127730164321E-2</v>
      </c>
      <c r="P37" s="80">
        <f>SUM(P33:P36)</f>
        <v>22.027550581145071</v>
      </c>
      <c r="R37" s="80">
        <f>SUM(R33:R36)</f>
        <v>82</v>
      </c>
      <c r="S37" s="81">
        <f>T37/R37</f>
        <v>9.1673249728448702E-2</v>
      </c>
      <c r="T37" s="80">
        <f>SUM(T33:T36)</f>
        <v>7.5172064777327936</v>
      </c>
      <c r="V37" s="80">
        <f>SUM(V33:V36)</f>
        <v>73</v>
      </c>
      <c r="W37" s="81">
        <f>X37/V37</f>
        <v>2.7397260273972601E-2</v>
      </c>
      <c r="X37" s="80">
        <f>SUM(X33:X36)</f>
        <v>2</v>
      </c>
      <c r="Z37" s="80">
        <f>SUM(Z33:Z36)</f>
        <v>29</v>
      </c>
      <c r="AA37" s="81">
        <f>AB37/Z37</f>
        <v>0.52631578947368418</v>
      </c>
      <c r="AB37" s="80">
        <f>SUM(AB33:AB36)</f>
        <v>15.263157894736841</v>
      </c>
      <c r="AD37" s="80">
        <f>SUM(AD33:AD36)</f>
        <v>0</v>
      </c>
      <c r="AE37" s="81" t="e">
        <f>AF37/AD37</f>
        <v>#DIV/0!</v>
      </c>
      <c r="AF37" s="80">
        <f>SUM(AF33:AF36)</f>
        <v>0</v>
      </c>
      <c r="AK37" s="79"/>
      <c r="AL37" s="79"/>
    </row>
    <row r="38" spans="1:69" ht="13" x14ac:dyDescent="0.3">
      <c r="A38">
        <v>1</v>
      </c>
      <c r="B38" s="111">
        <v>11</v>
      </c>
      <c r="C38" s="4">
        <f>'2007 Comm Sampling'!D28</f>
        <v>0</v>
      </c>
      <c r="D38" s="69">
        <f>C38*B38</f>
        <v>0</v>
      </c>
      <c r="F38" s="73">
        <v>3601</v>
      </c>
      <c r="G38" s="4">
        <f>'2007 Comm Sampling'!H28</f>
        <v>0.22159090909090909</v>
      </c>
      <c r="H38" s="69">
        <f>G38*F38</f>
        <v>797.94886363636363</v>
      </c>
      <c r="J38" s="73">
        <v>769</v>
      </c>
      <c r="K38" s="4">
        <f>'2007 Comm Sampling'!L28</f>
        <v>0.21527213647441104</v>
      </c>
      <c r="L38" s="69">
        <f>K38*J38</f>
        <v>165.54427294882208</v>
      </c>
      <c r="N38" s="111">
        <v>1656</v>
      </c>
      <c r="O38" s="4">
        <f>'2007 Comm Sampling'!P28</f>
        <v>0.14448398576512456</v>
      </c>
      <c r="P38" s="69">
        <f>O38*N38</f>
        <v>239.26548042704627</v>
      </c>
      <c r="R38" s="73">
        <v>35</v>
      </c>
      <c r="S38" s="4">
        <f>'2007 Comm Sampling'!T28</f>
        <v>0.16666666666666666</v>
      </c>
      <c r="T38" s="69">
        <f>S38*R38</f>
        <v>5.833333333333333</v>
      </c>
      <c r="V38" s="73">
        <v>593</v>
      </c>
      <c r="W38" s="4">
        <f>'2007 Comm Sampling'!X28</f>
        <v>0.13725490196078433</v>
      </c>
      <c r="X38" s="69">
        <f>W38*V38</f>
        <v>81.392156862745111</v>
      </c>
      <c r="Z38" s="73"/>
      <c r="AA38" s="4"/>
      <c r="AB38" s="5"/>
      <c r="AD38" s="73"/>
      <c r="AF38" s="5"/>
      <c r="AJ38" s="2"/>
      <c r="AL38" s="5"/>
      <c r="BD38" s="29"/>
      <c r="BE38" s="13"/>
      <c r="BF38" s="13"/>
      <c r="BG38" s="6"/>
    </row>
    <row r="39" spans="1:69" ht="13" x14ac:dyDescent="0.3">
      <c r="A39">
        <v>2</v>
      </c>
      <c r="B39" s="111">
        <v>13</v>
      </c>
      <c r="C39" s="4">
        <f>'2007 Comm Sampling'!D29</f>
        <v>0</v>
      </c>
      <c r="D39" s="69">
        <f>C39*B39</f>
        <v>0</v>
      </c>
      <c r="F39" s="73">
        <v>3343</v>
      </c>
      <c r="G39" s="4">
        <f>'2007 Comm Sampling'!H29</f>
        <v>0.25114155251141551</v>
      </c>
      <c r="H39" s="69">
        <f>G39*F39</f>
        <v>839.56621004566205</v>
      </c>
      <c r="J39" s="73">
        <v>5495</v>
      </c>
      <c r="K39" s="4">
        <f>'2007 Comm Sampling'!L29</f>
        <v>0.18134034165571616</v>
      </c>
      <c r="L39" s="69">
        <f>K39*J39</f>
        <v>996.46517739816034</v>
      </c>
      <c r="N39" s="111">
        <v>3387</v>
      </c>
      <c r="O39" s="4">
        <f>'2007 Comm Sampling'!P29</f>
        <v>0.15362811791383221</v>
      </c>
      <c r="P39" s="69">
        <f>O39*N39</f>
        <v>520.33843537414975</v>
      </c>
      <c r="R39" s="73">
        <v>1351</v>
      </c>
      <c r="S39" s="4">
        <f>'2007 Comm Sampling'!T29</f>
        <v>0.16348773841961853</v>
      </c>
      <c r="T39" s="69">
        <f>S39*R39</f>
        <v>220.87193460490462</v>
      </c>
      <c r="V39" s="73">
        <v>4827</v>
      </c>
      <c r="W39" s="4">
        <f>'2007 Comm Sampling'!X29</f>
        <v>0.11482622085349758</v>
      </c>
      <c r="X39" s="69">
        <f>W39*V39</f>
        <v>554.26616805983281</v>
      </c>
      <c r="Z39" s="73"/>
      <c r="AA39" s="4"/>
      <c r="AB39" s="5"/>
      <c r="AD39" s="73"/>
      <c r="AJ39" s="2"/>
      <c r="AL39" s="5"/>
    </row>
    <row r="40" spans="1:69" ht="13" x14ac:dyDescent="0.3">
      <c r="A40">
        <v>3</v>
      </c>
      <c r="B40" s="111">
        <v>32</v>
      </c>
      <c r="C40" s="4">
        <f>'2007 Comm Sampling'!D30</f>
        <v>0.1111111111111111</v>
      </c>
      <c r="D40" s="69">
        <f>C40*B40</f>
        <v>3.5555555555555554</v>
      </c>
      <c r="F40" s="73">
        <v>865</v>
      </c>
      <c r="G40" s="4">
        <f>'2007 Comm Sampling'!H30</f>
        <v>0.39790575916230364</v>
      </c>
      <c r="H40" s="69">
        <f>G40*F40</f>
        <v>344.18848167539267</v>
      </c>
      <c r="J40" s="73">
        <v>1084</v>
      </c>
      <c r="K40" s="4">
        <f>'2007 Comm Sampling'!L30</f>
        <v>0.29342723004694837</v>
      </c>
      <c r="L40" s="69">
        <f>K40*J40</f>
        <v>318.07511737089203</v>
      </c>
      <c r="N40" s="111">
        <v>863</v>
      </c>
      <c r="O40" s="4">
        <f>'2007 Comm Sampling'!P30</f>
        <v>0.13806970509383379</v>
      </c>
      <c r="P40" s="69">
        <f>O40*N40</f>
        <v>119.15415549597856</v>
      </c>
      <c r="R40" s="73">
        <v>594</v>
      </c>
      <c r="S40" s="4">
        <f>'2007 Comm Sampling'!T30</f>
        <v>0.13953488372093023</v>
      </c>
      <c r="T40" s="69">
        <f>S40*R40</f>
        <v>82.883720930232556</v>
      </c>
      <c r="V40" s="73">
        <v>1013</v>
      </c>
      <c r="W40" s="4">
        <f>'2007 Comm Sampling'!X30</f>
        <v>0.14866666666666667</v>
      </c>
      <c r="X40" s="69">
        <f>W40*V40</f>
        <v>150.59933333333333</v>
      </c>
      <c r="Z40" s="73"/>
      <c r="AA40" s="7"/>
      <c r="AB40" s="5"/>
      <c r="AD40" s="73"/>
      <c r="AH40" s="2"/>
      <c r="AJ40" s="2"/>
      <c r="AL40" s="5"/>
    </row>
    <row r="41" spans="1:69" ht="13" x14ac:dyDescent="0.3">
      <c r="A41">
        <v>4</v>
      </c>
      <c r="B41" s="111">
        <v>228</v>
      </c>
      <c r="C41" s="4">
        <f>'2007 Comm Sampling'!D31</f>
        <v>0</v>
      </c>
      <c r="D41" s="44">
        <f>C41*B41</f>
        <v>0</v>
      </c>
      <c r="F41" s="73">
        <v>48</v>
      </c>
      <c r="G41" s="7">
        <f>'Mean Unmarked Rates'!H50</f>
        <v>0</v>
      </c>
      <c r="H41" s="69">
        <f>G41*F41</f>
        <v>0</v>
      </c>
      <c r="J41" s="73">
        <v>4</v>
      </c>
      <c r="K41" s="4">
        <f>'2007 Comm Sampling'!L31</f>
        <v>0.5</v>
      </c>
      <c r="L41" s="69">
        <f>K41*J41</f>
        <v>2</v>
      </c>
      <c r="N41" s="111">
        <v>42</v>
      </c>
      <c r="O41" s="4">
        <f>'2007 Comm Sampling'!P31</f>
        <v>0</v>
      </c>
      <c r="P41" s="69">
        <f>O41*N41</f>
        <v>0</v>
      </c>
      <c r="R41" s="73">
        <v>15</v>
      </c>
      <c r="S41" s="4">
        <f>'2007 Comm Sampling'!T31</f>
        <v>0</v>
      </c>
      <c r="T41" s="69">
        <f>S41*R41</f>
        <v>0</v>
      </c>
      <c r="V41" s="73">
        <v>27</v>
      </c>
      <c r="W41" s="4">
        <f>'2007 Comm Sampling'!X31</f>
        <v>0.125</v>
      </c>
      <c r="X41" s="69">
        <f>W41*V41</f>
        <v>3.375</v>
      </c>
      <c r="Z41" s="73"/>
      <c r="AA41" s="39"/>
      <c r="AB41" s="5"/>
      <c r="AD41" s="73"/>
      <c r="AH41" s="2"/>
      <c r="AI41" s="23"/>
      <c r="AJ41" s="23"/>
      <c r="AL41" s="5"/>
    </row>
    <row r="42" spans="1:69" ht="13" x14ac:dyDescent="0.3">
      <c r="A42">
        <v>5</v>
      </c>
      <c r="B42" s="111">
        <v>170</v>
      </c>
      <c r="C42" s="4">
        <f>'2007 Comm Sampling'!D32</f>
        <v>0.19879518072289157</v>
      </c>
      <c r="D42" s="69">
        <f>C42*B42</f>
        <v>33.795180722891565</v>
      </c>
      <c r="F42" s="73">
        <v>20</v>
      </c>
      <c r="G42" s="4">
        <f>'2007 Comm Sampling'!H32</f>
        <v>0.39130434782608697</v>
      </c>
      <c r="H42" s="69">
        <f>G42*F42</f>
        <v>7.8260869565217392</v>
      </c>
      <c r="J42" s="73">
        <v>23</v>
      </c>
      <c r="K42" s="4">
        <f>'2007 Comm Sampling'!L32</f>
        <v>0.2</v>
      </c>
      <c r="L42" s="69">
        <f>K42*J42</f>
        <v>4.6000000000000005</v>
      </c>
      <c r="N42" s="111">
        <v>5</v>
      </c>
      <c r="O42" s="4">
        <f>'2007 Comm Sampling'!P32</f>
        <v>1</v>
      </c>
      <c r="P42" s="69">
        <f>O42*N42</f>
        <v>5</v>
      </c>
      <c r="R42" s="73">
        <v>19</v>
      </c>
      <c r="S42" s="4">
        <f>'2007 Comm Sampling'!T32</f>
        <v>0.66666666666666663</v>
      </c>
      <c r="T42" s="69">
        <f>S42*R42</f>
        <v>12.666666666666666</v>
      </c>
      <c r="V42" s="73">
        <v>2</v>
      </c>
      <c r="W42" s="4">
        <f>'2007 Comm Sampling'!X32</f>
        <v>0.66666666666666663</v>
      </c>
      <c r="X42" s="69">
        <f>W42*V42</f>
        <v>1.3333333333333333</v>
      </c>
      <c r="Z42" s="73">
        <v>1</v>
      </c>
      <c r="AA42" s="4">
        <f>'2007 Comm Sampling'!AB32</f>
        <v>0</v>
      </c>
      <c r="AB42" s="69">
        <f>AA42*Z42</f>
        <v>0</v>
      </c>
      <c r="AD42" s="73"/>
      <c r="AJ42" s="2"/>
      <c r="AL42" s="5"/>
    </row>
    <row r="43" spans="1:69" s="226" customFormat="1" ht="14" x14ac:dyDescent="0.3">
      <c r="A43" s="79" t="s">
        <v>60</v>
      </c>
      <c r="B43" s="80">
        <f>SUM(B38:B42)</f>
        <v>454</v>
      </c>
      <c r="C43" s="81">
        <f>D43/B43</f>
        <v>8.2270344225654449E-2</v>
      </c>
      <c r="D43" s="82">
        <f>SUM(D38:D42)</f>
        <v>37.350736278447123</v>
      </c>
      <c r="E43" s="84"/>
      <c r="F43" s="80">
        <f>SUM(F38:F42)</f>
        <v>7877</v>
      </c>
      <c r="G43" s="81">
        <f>H43/F43</f>
        <v>0.25257453882365621</v>
      </c>
      <c r="H43" s="82">
        <f>SUM(H38:H42)</f>
        <v>1989.52964231394</v>
      </c>
      <c r="I43" s="84"/>
      <c r="J43" s="80">
        <f>SUM(J38:J42)</f>
        <v>7375</v>
      </c>
      <c r="K43" s="81">
        <f>L43/J43</f>
        <v>0.20158434816513551</v>
      </c>
      <c r="L43" s="82">
        <f>SUM(L38:L42)</f>
        <v>1486.6845677178744</v>
      </c>
      <c r="M43" s="84"/>
      <c r="N43" s="80">
        <f>SUM(N38:N42)</f>
        <v>5953</v>
      </c>
      <c r="O43" s="81">
        <f>P43/N43</f>
        <v>0.14845591656260282</v>
      </c>
      <c r="P43" s="82">
        <f>SUM(P38:P42)</f>
        <v>883.75807129717464</v>
      </c>
      <c r="Q43" s="84"/>
      <c r="R43" s="80">
        <f>SUM(R38:R42)</f>
        <v>2014</v>
      </c>
      <c r="S43" s="81">
        <f>T43/R43</f>
        <v>0.16000777335409</v>
      </c>
      <c r="T43" s="82">
        <f>SUM(T38:T42)</f>
        <v>322.25565553513724</v>
      </c>
      <c r="U43" s="84"/>
      <c r="V43" s="80">
        <f>SUM(V38:V42)</f>
        <v>6462</v>
      </c>
      <c r="W43" s="81">
        <f>X43/V43</f>
        <v>0.12240266041306787</v>
      </c>
      <c r="X43" s="82">
        <f>SUM(X38:X42)</f>
        <v>790.9659915892446</v>
      </c>
      <c r="Y43" s="84"/>
      <c r="Z43" s="80">
        <f>SUM(Z38:Z42)</f>
        <v>1</v>
      </c>
      <c r="AA43" s="81">
        <f>AB43/Z43</f>
        <v>0</v>
      </c>
      <c r="AB43" s="82">
        <f>SUM(AB38:AB42)</f>
        <v>0</v>
      </c>
      <c r="AC43" s="84"/>
      <c r="AD43" s="80">
        <f>SUM(AD38:AD42)</f>
        <v>0</v>
      </c>
      <c r="AE43" s="81" t="e">
        <f>AF43/AD43</f>
        <v>#DIV/0!</v>
      </c>
      <c r="AF43" s="82">
        <f>SUM(AF38:AF42)</f>
        <v>0</v>
      </c>
      <c r="AG43" s="84"/>
    </row>
    <row r="44" spans="1:69" s="2" customFormat="1" ht="13" x14ac:dyDescent="0.3">
      <c r="A44" s="2" t="s">
        <v>318</v>
      </c>
      <c r="B44" s="694">
        <f>SUM(B38:B40)</f>
        <v>56</v>
      </c>
      <c r="C44" s="695"/>
      <c r="D44" s="694">
        <f>SUM(D38:D40)</f>
        <v>3.5555555555555554</v>
      </c>
      <c r="E44" s="695"/>
      <c r="F44" s="694">
        <f>SUM(F38:F40)</f>
        <v>7809</v>
      </c>
      <c r="G44" s="695"/>
      <c r="H44" s="694">
        <f>SUM(H38:H40)</f>
        <v>1981.7035553574183</v>
      </c>
      <c r="I44" s="695"/>
      <c r="J44" s="694">
        <f>SUM(J38:J40)</f>
        <v>7348</v>
      </c>
      <c r="K44" s="695"/>
      <c r="L44" s="694">
        <f>SUM(L38:L40)</f>
        <v>1480.0845677178745</v>
      </c>
      <c r="M44" s="695"/>
      <c r="N44" s="694">
        <f>SUM(N38:N40)</f>
        <v>5906</v>
      </c>
      <c r="O44" s="696"/>
      <c r="P44" s="694">
        <f>SUM(P38:P40)</f>
        <v>878.75807129717464</v>
      </c>
      <c r="Q44" s="695"/>
      <c r="R44" s="694">
        <f>SUM(R38:R40)</f>
        <v>1980</v>
      </c>
      <c r="S44" s="695"/>
      <c r="T44" s="694">
        <f>SUM(T38:T40)</f>
        <v>309.58898886847055</v>
      </c>
      <c r="U44" s="695"/>
      <c r="V44" s="694">
        <f>SUM(V38:V40)</f>
        <v>6433</v>
      </c>
      <c r="W44" s="695"/>
      <c r="X44" s="694">
        <f>SUM(X38:X40)</f>
        <v>786.25765825591122</v>
      </c>
      <c r="Y44" s="695"/>
      <c r="Z44" s="694">
        <f>SUM(Z38:Z40)</f>
        <v>0</v>
      </c>
      <c r="AA44" s="695"/>
      <c r="AB44" s="694">
        <f>SUM(AB38:AB40)</f>
        <v>0</v>
      </c>
      <c r="AC44" s="695"/>
      <c r="AD44" s="695"/>
      <c r="AE44" s="695"/>
      <c r="AF44" s="695" t="e">
        <f>SUM(AF38:AF40)/SUM(AD38:AD40)</f>
        <v>#DIV/0!</v>
      </c>
      <c r="AN44" s="27"/>
      <c r="AO44" s="27"/>
      <c r="AP44" s="27"/>
      <c r="AQ44" s="27"/>
      <c r="AR44" s="27"/>
      <c r="AS44" s="27"/>
      <c r="AT44" s="27"/>
      <c r="AU44" s="27"/>
      <c r="AV44" s="27"/>
      <c r="AW44" s="27"/>
      <c r="AX44" s="27"/>
      <c r="AY44" s="27"/>
      <c r="AZ44" s="27"/>
      <c r="BA44" s="27"/>
      <c r="BB44" s="27"/>
      <c r="BD44" s="29"/>
      <c r="BE44" s="29"/>
      <c r="BF44" s="29"/>
      <c r="BG44" s="28"/>
    </row>
    <row r="45" spans="1:69" s="2" customFormat="1" ht="13" x14ac:dyDescent="0.3">
      <c r="B45" s="694">
        <f>SUM(B41:B42)</f>
        <v>398</v>
      </c>
      <c r="C45" s="695"/>
      <c r="D45" s="694">
        <f>SUM(D41:D42)</f>
        <v>33.795180722891565</v>
      </c>
      <c r="E45" s="695"/>
      <c r="F45" s="694">
        <f>SUM(F41:F42)</f>
        <v>68</v>
      </c>
      <c r="G45" s="695"/>
      <c r="H45" s="694">
        <f>SUM(H41:H42)</f>
        <v>7.8260869565217392</v>
      </c>
      <c r="I45" s="695"/>
      <c r="J45" s="694">
        <f>SUM(J41:J42)</f>
        <v>27</v>
      </c>
      <c r="K45" s="695"/>
      <c r="L45" s="694">
        <f>SUM(L41:L42)</f>
        <v>6.6000000000000005</v>
      </c>
      <c r="M45" s="695"/>
      <c r="N45" s="694">
        <f>SUM(N41:N42)</f>
        <v>47</v>
      </c>
      <c r="O45" s="696"/>
      <c r="P45" s="694">
        <f>SUM(P41:P42)</f>
        <v>5</v>
      </c>
      <c r="Q45" s="695"/>
      <c r="R45" s="694">
        <f>SUM(R41:R42)</f>
        <v>34</v>
      </c>
      <c r="S45" s="695"/>
      <c r="T45" s="694">
        <f>SUM(T41:T42)</f>
        <v>12.666666666666666</v>
      </c>
      <c r="U45" s="695"/>
      <c r="V45" s="694">
        <f>SUM(V41:V42)</f>
        <v>29</v>
      </c>
      <c r="W45" s="695"/>
      <c r="X45" s="694">
        <f>SUM(X41:X42)</f>
        <v>4.708333333333333</v>
      </c>
      <c r="Y45" s="695"/>
      <c r="Z45" s="694">
        <f>SUM(Z41:Z42)</f>
        <v>1</v>
      </c>
      <c r="AA45" s="695"/>
      <c r="AB45" s="694">
        <f>SUM(AB41:AB42)</f>
        <v>0</v>
      </c>
      <c r="AC45" s="695"/>
      <c r="AD45" s="695"/>
      <c r="AE45" s="695"/>
      <c r="AF45" s="695" t="e">
        <f>SUM(AF41:AF42)/SUM(AD41:AD42)</f>
        <v>#DIV/0!</v>
      </c>
      <c r="AN45" s="27"/>
      <c r="AO45" s="27"/>
      <c r="AP45" s="27"/>
      <c r="AQ45" s="27"/>
      <c r="AR45" s="27"/>
      <c r="AS45" s="27"/>
      <c r="AT45" s="27"/>
      <c r="AU45" s="27"/>
      <c r="AV45" s="27"/>
      <c r="AW45" s="27"/>
      <c r="AX45" s="27"/>
      <c r="AY45" s="27"/>
      <c r="AZ45" s="27"/>
      <c r="BA45" s="27"/>
      <c r="BB45" s="27"/>
      <c r="BD45" s="29"/>
      <c r="BE45" s="29"/>
      <c r="BF45" s="29"/>
      <c r="BG45" s="28"/>
    </row>
    <row r="46" spans="1:69" s="24" customFormat="1" ht="13" x14ac:dyDescent="0.3">
      <c r="G46" s="56"/>
      <c r="S46" s="56"/>
      <c r="W46" s="56"/>
      <c r="AD46" s="70"/>
    </row>
    <row r="47" spans="1:69" s="141" customFormat="1" ht="15.5" x14ac:dyDescent="0.35">
      <c r="A47" s="141" t="s">
        <v>44</v>
      </c>
      <c r="B47" s="141">
        <f>B37+B43</f>
        <v>3204</v>
      </c>
      <c r="C47" s="199">
        <f>D47/B47</f>
        <v>5.4372876499717858E-2</v>
      </c>
      <c r="D47" s="141">
        <f>D37+D43</f>
        <v>174.21069630509601</v>
      </c>
      <c r="F47" s="141">
        <f>F37+F43</f>
        <v>9587</v>
      </c>
      <c r="G47" s="199">
        <f>H47/F47</f>
        <v>0.21484389891735414</v>
      </c>
      <c r="H47" s="141">
        <f>H37+H43</f>
        <v>2059.7084589206743</v>
      </c>
      <c r="J47" s="141">
        <f>J37+J43</f>
        <v>8696</v>
      </c>
      <c r="K47" s="199">
        <f>L47/J47</f>
        <v>0.17591487957556343</v>
      </c>
      <c r="L47" s="141">
        <f>L37+L43</f>
        <v>1529.7557927890996</v>
      </c>
      <c r="N47" s="141">
        <f>N37+N43</f>
        <v>6349</v>
      </c>
      <c r="O47" s="199">
        <f>P47/N47</f>
        <v>0.14266587208667816</v>
      </c>
      <c r="P47" s="141">
        <f>P37+P43</f>
        <v>905.78562187831972</v>
      </c>
      <c r="R47" s="141">
        <f>R37+R43</f>
        <v>2096</v>
      </c>
      <c r="S47" s="199">
        <f>T47/R47</f>
        <v>0.1573343807313311</v>
      </c>
      <c r="T47" s="141">
        <f>T37+T43</f>
        <v>329.77286201287001</v>
      </c>
      <c r="V47" s="141">
        <f>V37+V43</f>
        <v>6535</v>
      </c>
      <c r="W47" s="199">
        <f>X47/V47</f>
        <v>0.12134139121488058</v>
      </c>
      <c r="X47" s="141">
        <f>X37+X43</f>
        <v>792.9659915892446</v>
      </c>
      <c r="Z47" s="141">
        <f>Z37+Z43</f>
        <v>30</v>
      </c>
      <c r="AA47" s="199">
        <f>AB47/Z47</f>
        <v>0.50877192982456132</v>
      </c>
      <c r="AB47" s="141">
        <f>AB37+AB43</f>
        <v>15.263157894736841</v>
      </c>
      <c r="AD47" s="197">
        <f>AD37+AD43</f>
        <v>0</v>
      </c>
      <c r="AE47" s="199"/>
      <c r="AF47" s="239">
        <f>AF37+AF43</f>
        <v>0</v>
      </c>
    </row>
    <row r="48" spans="1:69" ht="13" x14ac:dyDescent="0.3">
      <c r="A48" s="2"/>
      <c r="AD48" s="44"/>
      <c r="BD48" s="2"/>
      <c r="BE48" s="2"/>
      <c r="BF48" s="2"/>
      <c r="BG48" s="2"/>
      <c r="BH48" s="2"/>
      <c r="BI48" s="2"/>
      <c r="BJ48" s="2"/>
      <c r="BK48" s="2"/>
      <c r="BL48" s="2"/>
      <c r="BM48" s="2"/>
      <c r="BN48" s="2"/>
      <c r="BO48" s="2"/>
      <c r="BP48" s="2"/>
      <c r="BQ48" s="2"/>
    </row>
    <row r="49" spans="1:71" ht="13" x14ac:dyDescent="0.3">
      <c r="A49" s="2"/>
      <c r="BD49" s="2"/>
      <c r="BE49" s="2"/>
      <c r="BF49" s="2"/>
      <c r="BG49" s="2"/>
      <c r="BH49" s="2"/>
      <c r="BI49" s="2"/>
      <c r="BJ49" s="2"/>
      <c r="BK49" s="2"/>
      <c r="BL49" s="2"/>
      <c r="BM49" s="2"/>
      <c r="BN49" s="2"/>
      <c r="BO49" s="2"/>
      <c r="BP49" s="2"/>
      <c r="BQ49" s="2"/>
    </row>
    <row r="50" spans="1:71" x14ac:dyDescent="0.25">
      <c r="BD50" s="5"/>
      <c r="BE50" s="5"/>
      <c r="BF50" s="5"/>
      <c r="BG50" s="5"/>
      <c r="BH50" s="5"/>
      <c r="BI50" s="5"/>
      <c r="BJ50" s="5"/>
      <c r="BK50" s="5"/>
      <c r="BL50" s="5"/>
      <c r="BM50" s="5"/>
      <c r="BN50" s="5"/>
      <c r="BO50" s="5"/>
      <c r="BP50" s="5"/>
      <c r="BQ50" s="5"/>
      <c r="BR50" s="5"/>
    </row>
    <row r="51" spans="1:71" ht="15.5" x14ac:dyDescent="0.35">
      <c r="A51" s="1" t="s">
        <v>227</v>
      </c>
      <c r="BD51" s="5"/>
      <c r="BE51" s="5"/>
      <c r="BJ51" s="5"/>
      <c r="BK51" s="5"/>
      <c r="BL51" s="5"/>
      <c r="BM51" s="5"/>
      <c r="BN51" s="5"/>
      <c r="BO51" s="5"/>
      <c r="BP51" s="5"/>
      <c r="BQ51" s="5"/>
      <c r="BR51" s="5"/>
    </row>
    <row r="52" spans="1:71" ht="15.5" x14ac:dyDescent="0.35">
      <c r="A52" s="1"/>
      <c r="BD52" s="5"/>
      <c r="BE52" s="5"/>
      <c r="BJ52" s="5"/>
      <c r="BK52" s="5"/>
      <c r="BL52" s="5"/>
      <c r="BM52" s="5"/>
      <c r="BN52" s="5"/>
      <c r="BO52" s="5"/>
      <c r="BP52" s="5"/>
      <c r="BQ52" s="5"/>
      <c r="BR52" s="5"/>
    </row>
    <row r="53" spans="1:71" ht="15" x14ac:dyDescent="0.3">
      <c r="B53" s="2" t="s">
        <v>44</v>
      </c>
      <c r="C53" s="2" t="s">
        <v>55</v>
      </c>
      <c r="D53" s="2" t="s">
        <v>56</v>
      </c>
      <c r="F53" s="934" t="s">
        <v>209</v>
      </c>
      <c r="G53" s="935"/>
      <c r="H53" s="936"/>
      <c r="I53" s="153"/>
      <c r="J53" s="280"/>
      <c r="K53" s="276" t="s">
        <v>174</v>
      </c>
      <c r="L53" s="277"/>
      <c r="BD53" s="5"/>
      <c r="BE53" s="5"/>
      <c r="BF53" s="5"/>
      <c r="BJ53" s="5"/>
      <c r="BK53" s="5"/>
      <c r="BL53" s="5"/>
      <c r="BM53" s="5"/>
      <c r="BN53" s="5"/>
      <c r="BO53" s="5"/>
      <c r="BP53" s="5"/>
      <c r="BQ53" s="5"/>
      <c r="BR53" s="5"/>
    </row>
    <row r="54" spans="1:71" ht="13" x14ac:dyDescent="0.3">
      <c r="A54" s="32"/>
      <c r="B54" s="2"/>
      <c r="C54" s="2"/>
      <c r="D54" s="2"/>
      <c r="F54" s="271"/>
      <c r="G54" s="132" t="s">
        <v>160</v>
      </c>
      <c r="H54" s="272" t="s">
        <v>161</v>
      </c>
      <c r="I54" s="153"/>
      <c r="J54" s="281" t="s">
        <v>44</v>
      </c>
      <c r="K54" s="278">
        <v>1</v>
      </c>
      <c r="L54" s="130" t="s">
        <v>206</v>
      </c>
      <c r="BD54" s="5"/>
      <c r="BE54" s="5"/>
      <c r="BF54" s="5"/>
      <c r="BJ54" s="5"/>
      <c r="BK54" s="5"/>
      <c r="BL54" s="5"/>
      <c r="BM54" s="5"/>
      <c r="BN54" s="5"/>
      <c r="BO54" s="5"/>
      <c r="BP54" s="5"/>
      <c r="BQ54" s="5"/>
      <c r="BR54" s="5"/>
    </row>
    <row r="55" spans="1:71" x14ac:dyDescent="0.25">
      <c r="A55" s="32" t="s">
        <v>203</v>
      </c>
      <c r="B55" s="29">
        <f>B12+F12+J12+N12+R12+V12+B33+F33+J33+N33+R33+V33+Z33+AD33</f>
        <v>2674</v>
      </c>
      <c r="C55" s="65">
        <f>D12+H12+L12+P12+T12+X12+D33+H33+L33+P33+T33+X33+AB33+AF33</f>
        <v>0</v>
      </c>
      <c r="D55" s="3">
        <f t="shared" ref="D55:D68" si="2">C55/B55</f>
        <v>0</v>
      </c>
      <c r="F55" s="271" t="s">
        <v>203</v>
      </c>
      <c r="G55" s="282">
        <f>(D12+H12+L12+P12+T12+X12+D33+H33+L33+P33+T33+X33+AB33+AF33)*K62</f>
        <v>0</v>
      </c>
      <c r="H55" s="272"/>
      <c r="I55" s="153"/>
      <c r="J55" s="285">
        <f>H55+G55</f>
        <v>0</v>
      </c>
      <c r="K55" s="278">
        <v>0.5</v>
      </c>
      <c r="L55" s="130" t="s">
        <v>204</v>
      </c>
      <c r="BD55" s="5"/>
      <c r="BE55" s="5"/>
      <c r="BF55" s="5"/>
      <c r="BJ55" s="5"/>
      <c r="BK55" s="5"/>
      <c r="BL55" s="5"/>
      <c r="BM55" s="5"/>
      <c r="BN55" s="5"/>
      <c r="BO55" s="5"/>
      <c r="BP55" s="5"/>
      <c r="BQ55" s="5"/>
      <c r="BR55" s="5"/>
    </row>
    <row r="56" spans="1:71" x14ac:dyDescent="0.25">
      <c r="A56" t="s">
        <v>31</v>
      </c>
      <c r="B56" s="29">
        <f>B13+F13+J13+N13+R13+V13+B34+F34+J34+N34+R34+V34+Z34+AD34</f>
        <v>3301</v>
      </c>
      <c r="C56" s="65">
        <f>D13+H13+L13+P13+T13+X13+D34+H34+L34+P34+T34+X34+AB34+AF34</f>
        <v>251.82550322757055</v>
      </c>
      <c r="D56" s="3">
        <f t="shared" si="2"/>
        <v>7.6287641086813254E-2</v>
      </c>
      <c r="F56" s="271" t="s">
        <v>31</v>
      </c>
      <c r="G56" s="283">
        <f>(D13+H13+L13+P13+T13+X13+D34+H34+L34+P34+T34+X34+AB34+AF34)*K63</f>
        <v>30.219060387308463</v>
      </c>
      <c r="H56" s="284"/>
      <c r="I56" s="153"/>
      <c r="J56" s="285">
        <f t="shared" ref="J56:J66" si="3">H56+G56</f>
        <v>30.219060387308463</v>
      </c>
      <c r="K56" s="278">
        <v>0.5</v>
      </c>
      <c r="L56" s="130" t="s">
        <v>175</v>
      </c>
      <c r="BD56" s="5"/>
      <c r="BE56" s="5"/>
      <c r="BF56" s="5"/>
      <c r="BJ56" s="5"/>
      <c r="BK56" s="5"/>
      <c r="BL56" s="5"/>
      <c r="BM56" s="5"/>
      <c r="BN56" s="5"/>
      <c r="BO56" s="5"/>
      <c r="BP56" s="5"/>
      <c r="BQ56" s="5"/>
      <c r="BR56" s="5"/>
    </row>
    <row r="57" spans="1:71" x14ac:dyDescent="0.25">
      <c r="A57" t="s">
        <v>32</v>
      </c>
      <c r="B57" s="29">
        <f>B14+F14+J14+N14+R14+V14+B35+F35+J35+N35+R35+V35+Z35+AD35</f>
        <v>2498</v>
      </c>
      <c r="C57" s="65">
        <f>D14+H14+L14+P14+T14+X14+D35+H35+L35+P35+T35+X35+AB35+AF35</f>
        <v>150.446256634675</v>
      </c>
      <c r="D57" s="3">
        <f t="shared" si="2"/>
        <v>6.0226684001070854E-2</v>
      </c>
      <c r="F57" s="271" t="s">
        <v>32</v>
      </c>
      <c r="G57" s="283">
        <f>(D14+H14+L14+P14+T14+X14+D35+H35+L35+P35+T35+X35+AB35+AF35)*K64</f>
        <v>19.558013362507751</v>
      </c>
      <c r="H57" s="284"/>
      <c r="I57" s="153"/>
      <c r="J57" s="285">
        <f t="shared" si="3"/>
        <v>19.558013362507751</v>
      </c>
      <c r="K57" s="278">
        <v>0.5</v>
      </c>
      <c r="L57" s="130" t="s">
        <v>172</v>
      </c>
      <c r="BD57" s="5"/>
      <c r="BE57" s="5"/>
      <c r="BF57" s="5"/>
      <c r="BJ57" s="5"/>
      <c r="BK57" s="5"/>
      <c r="BL57" s="5"/>
      <c r="BM57" s="5"/>
      <c r="BN57" s="5"/>
      <c r="BO57" s="5"/>
      <c r="BP57" s="5"/>
      <c r="BQ57" s="5"/>
      <c r="BR57" s="5"/>
    </row>
    <row r="58" spans="1:71" ht="13" x14ac:dyDescent="0.3">
      <c r="A58" s="42" t="s">
        <v>62</v>
      </c>
      <c r="B58" s="52">
        <f>B15+F15+J15+N15+R15+V15+B36+F36+J36+N36+R36+V36+Z36+AD36</f>
        <v>2043</v>
      </c>
      <c r="C58" s="66">
        <f>D15+H15+L15+P15+T15+X15+D36+H36+L36+P36+T36+X36+AB36+AF36</f>
        <v>145.89269283973309</v>
      </c>
      <c r="D58" s="43">
        <f t="shared" si="2"/>
        <v>7.141100971107836E-2</v>
      </c>
      <c r="F58" s="286" t="s">
        <v>62</v>
      </c>
      <c r="G58" s="287">
        <f>(D15+H15+L15+P15+T15+X15+D36+H36+L36+P36+T36+X36+AB36+AF36)*K65</f>
        <v>29.178538567946617</v>
      </c>
      <c r="H58" s="288"/>
      <c r="I58" s="151"/>
      <c r="J58" s="289">
        <f t="shared" si="3"/>
        <v>29.178538567946617</v>
      </c>
      <c r="K58" s="278">
        <v>0</v>
      </c>
      <c r="L58" s="130" t="s">
        <v>176</v>
      </c>
      <c r="BE58" s="5"/>
      <c r="BF58" s="5"/>
      <c r="BG58" s="5"/>
      <c r="BK58" s="5"/>
      <c r="BL58" s="5"/>
      <c r="BM58" s="5"/>
      <c r="BN58" s="5"/>
      <c r="BO58" s="5"/>
      <c r="BP58" s="5"/>
      <c r="BQ58" s="5"/>
      <c r="BR58" s="5"/>
      <c r="BS58" s="5"/>
    </row>
    <row r="59" spans="1:71" ht="13" x14ac:dyDescent="0.3">
      <c r="A59" s="2" t="s">
        <v>61</v>
      </c>
      <c r="B59" s="24">
        <f>SUM(B54:B58)</f>
        <v>10516</v>
      </c>
      <c r="C59" s="24">
        <f>SUM(C54:C58)</f>
        <v>548.16445270197858</v>
      </c>
      <c r="D59" s="67">
        <f t="shared" si="2"/>
        <v>5.2126707179724091E-2</v>
      </c>
      <c r="F59" s="290" t="s">
        <v>61</v>
      </c>
      <c r="G59" s="291">
        <f>SUM(G55:G58)</f>
        <v>78.955612317762828</v>
      </c>
      <c r="H59" s="292"/>
      <c r="I59" s="151"/>
      <c r="J59" s="293">
        <f t="shared" si="3"/>
        <v>78.955612317762828</v>
      </c>
      <c r="K59" s="278">
        <v>0</v>
      </c>
      <c r="L59" s="130" t="s">
        <v>205</v>
      </c>
      <c r="BE59" s="5"/>
      <c r="BF59" s="5"/>
      <c r="BG59" s="5"/>
      <c r="BK59" s="5"/>
      <c r="BL59" s="5"/>
      <c r="BM59" s="5"/>
      <c r="BN59" s="5"/>
      <c r="BO59" s="5"/>
      <c r="BP59" s="5"/>
      <c r="BQ59" s="5"/>
      <c r="BR59" s="5"/>
      <c r="BS59" s="5"/>
    </row>
    <row r="60" spans="1:71" ht="13" x14ac:dyDescent="0.3">
      <c r="A60">
        <v>1</v>
      </c>
      <c r="B60" s="29">
        <f t="shared" ref="B60:B65" si="4">B17+F17+J17+N17+B38+F38+J38+N38+R38+V38+Z38+AD38</f>
        <v>6675</v>
      </c>
      <c r="C60" s="64">
        <f t="shared" ref="C60:C65" si="5">D17+H17+L17+P17+D38+H38+L38+P38+T38+X38+AB38+AF38</f>
        <v>1294.9841072083104</v>
      </c>
      <c r="D60" s="112">
        <f t="shared" si="2"/>
        <v>0.1940051096941289</v>
      </c>
      <c r="F60" s="271">
        <v>1</v>
      </c>
      <c r="G60" s="282">
        <f>D17+H17+L17+P17+T17+X17+((D38+H38+L38)*0.5)</f>
        <v>486.74656829259288</v>
      </c>
      <c r="H60" s="282">
        <f>((D38+H38+L38)*0.5)+P38+T38+X38+AB38+AF38</f>
        <v>808.23753891571755</v>
      </c>
      <c r="I60" s="151"/>
      <c r="J60" s="296">
        <f t="shared" si="3"/>
        <v>1294.9841072083104</v>
      </c>
      <c r="K60" s="278"/>
      <c r="L60" s="130"/>
      <c r="BE60" s="5"/>
      <c r="BF60" s="5"/>
      <c r="BG60" s="5"/>
      <c r="BK60" s="5"/>
      <c r="BL60" s="5"/>
      <c r="BM60" s="5"/>
      <c r="BN60" s="5"/>
      <c r="BO60" s="5"/>
      <c r="BP60" s="5"/>
      <c r="BQ60" s="5"/>
      <c r="BR60" s="5"/>
      <c r="BS60" s="5"/>
    </row>
    <row r="61" spans="1:71" ht="13" x14ac:dyDescent="0.3">
      <c r="A61">
        <v>2</v>
      </c>
      <c r="B61" s="29">
        <f t="shared" si="4"/>
        <v>18420</v>
      </c>
      <c r="C61" s="64">
        <f t="shared" si="5"/>
        <v>3131.5079254827097</v>
      </c>
      <c r="D61" s="112">
        <f t="shared" si="2"/>
        <v>0.17000585914672692</v>
      </c>
      <c r="F61" s="271">
        <v>2</v>
      </c>
      <c r="G61" s="282">
        <f>D18+H18+L18+P18+T18+X18+((D39+H39+L39)*0.5)</f>
        <v>918.01569372191125</v>
      </c>
      <c r="H61" s="282">
        <f>((D39+H39+L39)*0.5)+P39+T39+X39+AB39+AF39</f>
        <v>2213.4922317607989</v>
      </c>
      <c r="I61" s="151"/>
      <c r="J61" s="296">
        <f t="shared" si="3"/>
        <v>3131.5079254827101</v>
      </c>
      <c r="K61" s="128" t="s">
        <v>207</v>
      </c>
      <c r="L61" s="130"/>
      <c r="BE61" s="5"/>
      <c r="BF61" s="5"/>
      <c r="BG61" s="5"/>
      <c r="BH61" s="5"/>
      <c r="BK61" s="5"/>
      <c r="BL61" s="5"/>
      <c r="BM61" s="5"/>
      <c r="BN61" s="5"/>
      <c r="BO61" s="5"/>
      <c r="BP61" s="5"/>
      <c r="BQ61" s="5"/>
      <c r="BR61" s="5"/>
      <c r="BS61" s="5"/>
    </row>
    <row r="62" spans="1:71" x14ac:dyDescent="0.25">
      <c r="A62">
        <v>3</v>
      </c>
      <c r="B62" s="29">
        <f t="shared" si="4"/>
        <v>4451</v>
      </c>
      <c r="C62" s="64">
        <f t="shared" si="5"/>
        <v>1018.4563643613847</v>
      </c>
      <c r="D62" s="112">
        <f t="shared" si="2"/>
        <v>0.2288151795914142</v>
      </c>
      <c r="F62" s="271">
        <v>3</v>
      </c>
      <c r="G62" s="282">
        <f>D19+H19+L19+P19+T19+X19+((D40+H40+L40)*0.5)</f>
        <v>332.90957730092009</v>
      </c>
      <c r="H62" s="282">
        <f>((D40+H40+L40)*0.5)+P40+T40+X40+AB40+AF40</f>
        <v>685.54678706046457</v>
      </c>
      <c r="I62" s="153"/>
      <c r="J62" s="296">
        <f t="shared" si="3"/>
        <v>1018.4563643613847</v>
      </c>
      <c r="K62" s="278">
        <v>0.11</v>
      </c>
      <c r="L62" s="130" t="s">
        <v>203</v>
      </c>
      <c r="M62" s="5"/>
      <c r="BE62" s="5"/>
      <c r="BF62" s="5"/>
      <c r="BG62" s="5"/>
      <c r="BH62" s="5"/>
      <c r="BK62" s="5"/>
      <c r="BL62" s="5"/>
      <c r="BM62" s="5"/>
      <c r="BN62" s="5"/>
      <c r="BO62" s="5"/>
      <c r="BP62" s="5"/>
      <c r="BQ62" s="5"/>
      <c r="BR62" s="5"/>
      <c r="BS62" s="5"/>
    </row>
    <row r="63" spans="1:71" x14ac:dyDescent="0.25">
      <c r="A63">
        <v>4</v>
      </c>
      <c r="B63" s="29">
        <f t="shared" si="4"/>
        <v>400</v>
      </c>
      <c r="C63" s="64">
        <f t="shared" si="5"/>
        <v>29.375</v>
      </c>
      <c r="D63" s="112">
        <f t="shared" si="2"/>
        <v>7.3437500000000003E-2</v>
      </c>
      <c r="F63" s="271">
        <v>4</v>
      </c>
      <c r="G63" s="282">
        <f>D20+H20+L20+P20+T20+X20+((D41+H41+L41)*0.5)</f>
        <v>25</v>
      </c>
      <c r="H63" s="282">
        <f>((D41+H41+L41)*0.5)+P41+T41+X41+AB41+AF41</f>
        <v>4.375</v>
      </c>
      <c r="I63" s="154"/>
      <c r="J63" s="296">
        <f t="shared" si="3"/>
        <v>29.375</v>
      </c>
      <c r="K63" s="278">
        <v>0.12</v>
      </c>
      <c r="L63" s="130" t="s">
        <v>31</v>
      </c>
      <c r="M63" s="5"/>
      <c r="BE63" s="5"/>
      <c r="BF63" s="5"/>
      <c r="BG63" s="5"/>
      <c r="BH63" s="5"/>
      <c r="BI63" s="5"/>
      <c r="BJ63" s="5"/>
      <c r="BK63" s="5"/>
      <c r="BL63" s="5"/>
      <c r="BM63" s="5"/>
      <c r="BN63" s="5"/>
      <c r="BO63" s="5"/>
      <c r="BP63" s="5"/>
      <c r="BQ63" s="5"/>
    </row>
    <row r="64" spans="1:71" s="2" customFormat="1" ht="13" x14ac:dyDescent="0.3">
      <c r="A64" s="42">
        <v>5</v>
      </c>
      <c r="B64" s="52">
        <f t="shared" si="4"/>
        <v>247</v>
      </c>
      <c r="C64" s="98">
        <f t="shared" si="5"/>
        <v>70.471267679413302</v>
      </c>
      <c r="D64" s="229">
        <f t="shared" si="2"/>
        <v>0.28530877603001337</v>
      </c>
      <c r="F64" s="286">
        <v>5</v>
      </c>
      <c r="G64" s="282">
        <f>D21+H21+L21+P21+T21+X21+((D42+H42+L42)*0.5)</f>
        <v>28.360633839706654</v>
      </c>
      <c r="H64" s="282">
        <f>((D42+H42+L42)*0.5)+P42+T42+X42+AB42+AF42</f>
        <v>42.110633839706658</v>
      </c>
      <c r="I64" s="154"/>
      <c r="J64" s="344">
        <f t="shared" si="3"/>
        <v>70.471267679413316</v>
      </c>
      <c r="K64" s="278">
        <v>0.13</v>
      </c>
      <c r="L64" s="130" t="s">
        <v>32</v>
      </c>
      <c r="M64" s="8"/>
      <c r="BD64"/>
      <c r="BE64"/>
      <c r="BF64"/>
      <c r="BG64"/>
      <c r="BH64"/>
      <c r="BI64"/>
      <c r="BJ64"/>
      <c r="BK64"/>
      <c r="BL64"/>
      <c r="BM64"/>
      <c r="BN64"/>
      <c r="BO64"/>
      <c r="BP64"/>
      <c r="BQ64"/>
      <c r="BR64"/>
    </row>
    <row r="65" spans="1:70" ht="13" x14ac:dyDescent="0.3">
      <c r="A65" s="2" t="s">
        <v>60</v>
      </c>
      <c r="B65" s="24">
        <f t="shared" si="4"/>
        <v>30193</v>
      </c>
      <c r="C65" s="24">
        <f t="shared" si="5"/>
        <v>5544.7946647318186</v>
      </c>
      <c r="D65" s="55">
        <f t="shared" si="2"/>
        <v>0.18364503907302415</v>
      </c>
      <c r="F65" s="273" t="s">
        <v>60</v>
      </c>
      <c r="G65" s="303">
        <f>SUM(G60:G64)</f>
        <v>1791.0324731551309</v>
      </c>
      <c r="H65" s="292">
        <f>SUM(H60:H64)</f>
        <v>3753.7621915766877</v>
      </c>
      <c r="I65" s="151"/>
      <c r="J65" s="293">
        <f t="shared" si="3"/>
        <v>5544.7946647318186</v>
      </c>
      <c r="K65" s="279">
        <v>0.2</v>
      </c>
      <c r="L65" s="130" t="s">
        <v>62</v>
      </c>
      <c r="BD65" s="2"/>
      <c r="BE65" s="2"/>
      <c r="BF65" s="2"/>
      <c r="BG65" s="2"/>
      <c r="BH65" s="2"/>
      <c r="BI65" s="2"/>
      <c r="BJ65" s="2"/>
      <c r="BK65" s="2"/>
      <c r="BL65" s="2"/>
      <c r="BM65" s="2"/>
      <c r="BN65" s="2"/>
      <c r="BO65" s="2"/>
      <c r="BP65" s="2"/>
      <c r="BQ65" s="2"/>
      <c r="BR65" s="2"/>
    </row>
    <row r="66" spans="1:70" ht="13" x14ac:dyDescent="0.3">
      <c r="A66" s="2"/>
      <c r="B66" s="218" t="str">
        <f>IF(B65=(H65+H66),"T","F")</f>
        <v>F</v>
      </c>
      <c r="C66" s="218" t="str">
        <f>IF(C65+(H59+H60),"T","F")</f>
        <v>T</v>
      </c>
      <c r="D66" s="204" t="e">
        <f t="shared" si="2"/>
        <v>#VALUE!</v>
      </c>
      <c r="F66" s="300" t="s">
        <v>44</v>
      </c>
      <c r="G66" s="304">
        <f>G65+G59</f>
        <v>1869.9880854728938</v>
      </c>
      <c r="H66" s="301">
        <f>H65+H59</f>
        <v>3753.7621915766877</v>
      </c>
      <c r="I66" s="151"/>
      <c r="J66" s="302">
        <f t="shared" si="3"/>
        <v>5623.7502770495812</v>
      </c>
      <c r="K66" s="274"/>
      <c r="L66" s="134"/>
    </row>
    <row r="67" spans="1:70" ht="13" x14ac:dyDescent="0.3">
      <c r="A67" s="2"/>
      <c r="F67" s="940" t="s">
        <v>210</v>
      </c>
      <c r="G67" s="940"/>
      <c r="H67" s="940"/>
    </row>
    <row r="68" spans="1:70" ht="13" x14ac:dyDescent="0.3">
      <c r="A68" s="2" t="s">
        <v>69</v>
      </c>
      <c r="B68" s="40">
        <f>B59+B65</f>
        <v>40709</v>
      </c>
      <c r="C68" s="40">
        <f>C59+C65</f>
        <v>6092.9591174337975</v>
      </c>
      <c r="D68" s="55">
        <f t="shared" si="2"/>
        <v>0.14967105842525724</v>
      </c>
      <c r="G68" s="24"/>
      <c r="I68" s="153"/>
    </row>
    <row r="69" spans="1:70" ht="13" x14ac:dyDescent="0.3">
      <c r="C69" s="4"/>
      <c r="D69" s="5"/>
      <c r="F69" s="934" t="s">
        <v>208</v>
      </c>
      <c r="G69" s="935"/>
      <c r="H69" s="936"/>
      <c r="I69" s="153"/>
      <c r="J69" s="280"/>
      <c r="L69" s="4"/>
      <c r="M69" s="5"/>
      <c r="P69" s="4"/>
      <c r="Q69" s="5"/>
      <c r="T69" s="4"/>
      <c r="U69" s="5"/>
      <c r="X69" s="7"/>
      <c r="Y69" s="5"/>
      <c r="AL69" s="2"/>
      <c r="AM69" s="2"/>
    </row>
    <row r="70" spans="1:70" ht="13" x14ac:dyDescent="0.3">
      <c r="C70" s="8"/>
      <c r="D70" s="5"/>
      <c r="F70" s="271"/>
      <c r="G70" s="132" t="s">
        <v>160</v>
      </c>
      <c r="H70" s="272" t="s">
        <v>161</v>
      </c>
      <c r="I70" s="153"/>
      <c r="J70" s="281" t="s">
        <v>44</v>
      </c>
      <c r="L70" s="4"/>
      <c r="M70" s="5"/>
      <c r="P70" s="4"/>
      <c r="Q70" s="5"/>
      <c r="T70" s="4"/>
      <c r="U70" s="5"/>
      <c r="X70" s="4"/>
      <c r="Y70" s="5"/>
      <c r="AB70" s="4"/>
      <c r="AC70" s="5"/>
      <c r="AK70" s="2"/>
      <c r="AM70" s="5"/>
    </row>
    <row r="71" spans="1:70" ht="13" x14ac:dyDescent="0.3">
      <c r="C71" s="4"/>
      <c r="D71" s="5"/>
      <c r="F71" s="353" t="s">
        <v>203</v>
      </c>
      <c r="G71" s="282">
        <f>B12+F12+J12+N12+R12+V12+B33+F33+J33+N33+R33+V33+Z33+AD33</f>
        <v>2674</v>
      </c>
      <c r="H71" s="272"/>
      <c r="I71" s="153"/>
      <c r="J71" s="352">
        <f t="shared" ref="J71:J82" si="6">H71+G71</f>
        <v>2674</v>
      </c>
      <c r="L71" s="4"/>
      <c r="M71" s="5"/>
      <c r="P71" s="4"/>
      <c r="Q71" s="5"/>
      <c r="T71" s="4"/>
      <c r="U71" s="5"/>
      <c r="X71" s="4"/>
      <c r="Y71" s="5"/>
      <c r="AB71" s="4"/>
      <c r="AC71" s="5"/>
      <c r="AI71" s="2"/>
      <c r="AK71" s="2"/>
      <c r="AM71" s="5"/>
    </row>
    <row r="72" spans="1:70" ht="13" x14ac:dyDescent="0.3">
      <c r="C72" s="8"/>
      <c r="D72" s="5"/>
      <c r="F72" s="271" t="s">
        <v>31</v>
      </c>
      <c r="G72" s="283">
        <f>B13+F13+J13+N13+R13+V13+B34+F34+J34+N34+R34+V34+Z34+AD34</f>
        <v>3301</v>
      </c>
      <c r="H72" s="284"/>
      <c r="I72" s="153"/>
      <c r="J72" s="285">
        <f t="shared" si="6"/>
        <v>3301</v>
      </c>
      <c r="T72" s="7"/>
      <c r="U72" s="5"/>
      <c r="AB72" s="7"/>
      <c r="AC72" s="5"/>
      <c r="AH72" s="2"/>
      <c r="AI72" s="2"/>
      <c r="AJ72" s="23"/>
      <c r="AK72" s="2"/>
      <c r="AM72" s="5"/>
    </row>
    <row r="73" spans="1:70" ht="13" x14ac:dyDescent="0.3">
      <c r="C73" s="7"/>
      <c r="D73" s="5"/>
      <c r="F73" s="271" t="s">
        <v>32</v>
      </c>
      <c r="G73" s="283">
        <f>B14+F14+J14+N14+R14+V14+B35+F35+J35+N35+R35+V35+Z35+AD35</f>
        <v>2498</v>
      </c>
      <c r="H73" s="284"/>
      <c r="I73" s="151"/>
      <c r="J73" s="285">
        <f t="shared" si="6"/>
        <v>2498</v>
      </c>
      <c r="K73" s="7"/>
      <c r="L73" s="5"/>
      <c r="O73" s="4"/>
      <c r="P73" s="5"/>
      <c r="S73" s="4"/>
      <c r="T73" s="5"/>
      <c r="W73" s="7"/>
      <c r="X73" s="5"/>
      <c r="AA73" s="7"/>
      <c r="AB73" s="5"/>
      <c r="AJ73" s="23"/>
      <c r="AL73" s="5"/>
    </row>
    <row r="74" spans="1:70" s="2" customFormat="1" ht="13" x14ac:dyDescent="0.3">
      <c r="B74" s="8"/>
      <c r="D74" s="8"/>
      <c r="F74" s="286" t="s">
        <v>62</v>
      </c>
      <c r="G74" s="287">
        <f>B15+F15+J15+N15+R15+V15+B36+F36+J36+N36+R36+V36+Z36+AD36</f>
        <v>2043</v>
      </c>
      <c r="H74" s="288"/>
      <c r="I74" s="151"/>
      <c r="J74" s="289">
        <f t="shared" si="6"/>
        <v>2043</v>
      </c>
      <c r="L74" s="8"/>
      <c r="N74" s="8"/>
      <c r="O74" s="26"/>
      <c r="P74" s="8"/>
      <c r="R74" s="8"/>
      <c r="S74" s="26"/>
      <c r="T74" s="8"/>
      <c r="V74" s="8"/>
      <c r="W74" s="26"/>
      <c r="X74" s="8"/>
      <c r="Z74" s="8"/>
      <c r="AB74" s="8"/>
      <c r="AG74" s="8"/>
      <c r="AH74" s="24"/>
      <c r="AI74" s="24"/>
      <c r="AK74"/>
      <c r="AL74" s="5"/>
      <c r="BC74"/>
      <c r="BD74"/>
      <c r="BE74"/>
      <c r="BF74"/>
      <c r="BG74"/>
      <c r="BH74"/>
      <c r="BI74"/>
      <c r="BJ74"/>
      <c r="BK74"/>
      <c r="BL74"/>
      <c r="BM74"/>
      <c r="BN74"/>
      <c r="BO74"/>
      <c r="BP74"/>
      <c r="BQ74"/>
    </row>
    <row r="75" spans="1:70" ht="13" x14ac:dyDescent="0.3">
      <c r="F75" s="290" t="s">
        <v>61</v>
      </c>
      <c r="G75" s="291">
        <f>SUM(G71:G74)</f>
        <v>10516</v>
      </c>
      <c r="H75" s="292"/>
      <c r="I75" s="151"/>
      <c r="J75" s="293">
        <f t="shared" si="6"/>
        <v>10516</v>
      </c>
      <c r="BC75" s="2"/>
      <c r="BD75" s="2"/>
      <c r="BE75" s="2"/>
      <c r="BF75" s="2"/>
      <c r="BG75" s="2"/>
      <c r="BH75" s="2"/>
      <c r="BI75" s="2"/>
      <c r="BJ75" s="2"/>
      <c r="BK75" s="2"/>
      <c r="BL75" s="2"/>
      <c r="BM75" s="2"/>
      <c r="BN75" s="2"/>
      <c r="BO75" s="2"/>
      <c r="BP75" s="2"/>
      <c r="BQ75" s="2"/>
    </row>
    <row r="76" spans="1:70" ht="13" x14ac:dyDescent="0.3">
      <c r="A76" s="2"/>
      <c r="F76" s="271">
        <v>1</v>
      </c>
      <c r="G76" s="294">
        <f>B17+F17+J17+N17+R17+V17+((B38+F38+J38)*0.5)</f>
        <v>2200.5</v>
      </c>
      <c r="H76" s="295">
        <f>((B38+F38+J38)*0.5)+N38+R38+V38+Z38+AD38</f>
        <v>4474.5</v>
      </c>
      <c r="I76" s="151"/>
      <c r="J76" s="296">
        <f t="shared" si="6"/>
        <v>6675</v>
      </c>
      <c r="AL76" s="5"/>
    </row>
    <row r="77" spans="1:70" x14ac:dyDescent="0.25">
      <c r="F77" s="271">
        <v>2</v>
      </c>
      <c r="G77" s="294">
        <f>B18+F18+J18+N18+R18+V18+((B39+F39+J39)*0.5)</f>
        <v>4429.5</v>
      </c>
      <c r="H77" s="295">
        <f>((B39+F39+J39)*0.5)+N39+R39+V39+Z39+AD39</f>
        <v>13990.5</v>
      </c>
      <c r="I77" s="153"/>
      <c r="J77" s="296">
        <f t="shared" si="6"/>
        <v>18420</v>
      </c>
    </row>
    <row r="78" spans="1:70" x14ac:dyDescent="0.25">
      <c r="F78" s="271">
        <v>3</v>
      </c>
      <c r="G78" s="294">
        <f>B19+F19+J19+N19+R19+V19+((B40+F40+J40)*0.5)</f>
        <v>990.5</v>
      </c>
      <c r="H78" s="295">
        <f>((B40+F40+J40)*0.5)+N40+R40+V40+Z40+AD40</f>
        <v>3460.5</v>
      </c>
      <c r="I78" s="154"/>
      <c r="J78" s="296">
        <f t="shared" si="6"/>
        <v>4451</v>
      </c>
    </row>
    <row r="79" spans="1:70" x14ac:dyDescent="0.25">
      <c r="C79" s="7"/>
      <c r="D79" s="5"/>
      <c r="F79" s="271">
        <v>4</v>
      </c>
      <c r="G79" s="294">
        <f>B20+F20+J20+N20+R20+V20+((B41+F41+J41)*0.5)</f>
        <v>176</v>
      </c>
      <c r="H79" s="295">
        <f>((B41+F41+J41)*0.5)+N41+R41+V41+Z41+AD41</f>
        <v>224</v>
      </c>
      <c r="I79" s="154"/>
      <c r="J79" s="296">
        <f t="shared" si="6"/>
        <v>400</v>
      </c>
    </row>
    <row r="80" spans="1:70" ht="13" x14ac:dyDescent="0.3">
      <c r="C80" s="7"/>
      <c r="D80" s="5"/>
      <c r="F80" s="286">
        <v>5</v>
      </c>
      <c r="G80" s="297">
        <f>B21+F21+J21+N21+R21+V21+((B42+F42+J42)*0.5)</f>
        <v>113.5</v>
      </c>
      <c r="H80" s="298">
        <f>((B42+F42+J42)*0.5)+N42+R42+V42+Z42+AD42</f>
        <v>133.5</v>
      </c>
      <c r="I80" s="151"/>
      <c r="J80" s="299">
        <f t="shared" si="6"/>
        <v>247</v>
      </c>
    </row>
    <row r="81" spans="1:69" ht="13" x14ac:dyDescent="0.3">
      <c r="F81" s="273" t="s">
        <v>60</v>
      </c>
      <c r="G81" s="303">
        <f>SUM(G76:G80)</f>
        <v>7910</v>
      </c>
      <c r="H81" s="292">
        <f>SUM(H76:H80)</f>
        <v>22283</v>
      </c>
      <c r="I81" s="151"/>
      <c r="J81" s="293">
        <f t="shared" si="6"/>
        <v>30193</v>
      </c>
    </row>
    <row r="82" spans="1:69" ht="13" x14ac:dyDescent="0.3">
      <c r="F82" s="300" t="s">
        <v>44</v>
      </c>
      <c r="G82" s="304">
        <f>G81+G75</f>
        <v>18426</v>
      </c>
      <c r="H82" s="301">
        <f>H81+H75</f>
        <v>22283</v>
      </c>
      <c r="J82" s="302">
        <f t="shared" si="6"/>
        <v>40709</v>
      </c>
      <c r="O82" s="7"/>
      <c r="P82" s="5"/>
    </row>
    <row r="83" spans="1:69" x14ac:dyDescent="0.25">
      <c r="K83" s="7"/>
      <c r="L83" s="5"/>
      <c r="O83" s="7"/>
      <c r="P83" s="5"/>
    </row>
    <row r="84" spans="1:69" s="2" customFormat="1" ht="13" x14ac:dyDescent="0.3">
      <c r="B84" s="8"/>
      <c r="D84" s="8"/>
      <c r="F84"/>
      <c r="G84" s="4"/>
      <c r="H84" s="5"/>
      <c r="I84"/>
      <c r="J84"/>
      <c r="K84" s="25"/>
      <c r="L84" s="8"/>
      <c r="N84" s="8"/>
      <c r="O84" s="25"/>
      <c r="P84" s="8"/>
      <c r="S84" s="8"/>
      <c r="BC84"/>
      <c r="BD84"/>
      <c r="BE84"/>
      <c r="BF84"/>
      <c r="BG84"/>
      <c r="BH84"/>
      <c r="BI84"/>
      <c r="BJ84"/>
      <c r="BK84"/>
      <c r="BL84"/>
      <c r="BM84"/>
      <c r="BN84"/>
      <c r="BO84"/>
      <c r="BP84"/>
      <c r="BQ84"/>
    </row>
    <row r="85" spans="1:69" ht="13" x14ac:dyDescent="0.3">
      <c r="G85" s="4"/>
      <c r="H85" s="5"/>
      <c r="BC85" s="2"/>
      <c r="BD85" s="2"/>
      <c r="BE85" s="2"/>
      <c r="BF85" s="2"/>
      <c r="BG85" s="2"/>
      <c r="BH85" s="2"/>
      <c r="BI85" s="2"/>
      <c r="BJ85" s="2"/>
      <c r="BK85" s="2"/>
      <c r="BL85" s="2"/>
      <c r="BM85" s="2"/>
      <c r="BN85" s="2"/>
      <c r="BO85" s="2"/>
      <c r="BP85" s="2"/>
      <c r="BQ85" s="2"/>
    </row>
    <row r="86" spans="1:69" x14ac:dyDescent="0.25">
      <c r="G86" s="4"/>
      <c r="H86" s="5"/>
    </row>
    <row r="87" spans="1:69" ht="13" x14ac:dyDescent="0.3">
      <c r="G87" s="7"/>
      <c r="H87" s="5"/>
      <c r="AK87" s="2"/>
      <c r="AL87" s="2"/>
    </row>
    <row r="88" spans="1:69" ht="13" x14ac:dyDescent="0.3">
      <c r="C88" s="4"/>
      <c r="D88" s="5"/>
      <c r="F88" s="8"/>
      <c r="G88" s="4"/>
      <c r="H88" s="5"/>
      <c r="I88" s="2"/>
      <c r="J88" s="8"/>
      <c r="K88" s="4"/>
      <c r="L88" s="5"/>
      <c r="O88" s="4"/>
      <c r="P88" s="5"/>
      <c r="S88" s="4"/>
      <c r="T88" s="5"/>
      <c r="W88" s="4"/>
      <c r="X88" s="5"/>
      <c r="AJ88" s="2"/>
      <c r="AL88" s="5"/>
    </row>
    <row r="89" spans="1:69" ht="13" x14ac:dyDescent="0.3">
      <c r="C89" s="4"/>
      <c r="D89" s="5"/>
      <c r="G89" s="26"/>
      <c r="H89" s="8"/>
      <c r="K89" s="4"/>
      <c r="L89" s="5"/>
      <c r="O89" s="4"/>
      <c r="P89" s="5"/>
      <c r="S89" s="4"/>
      <c r="T89" s="5"/>
      <c r="W89" s="4"/>
      <c r="X89" s="5"/>
      <c r="AA89" s="4"/>
      <c r="AB89" s="5"/>
      <c r="AJ89" s="2"/>
      <c r="AL89" s="5"/>
    </row>
    <row r="90" spans="1:69" ht="13" x14ac:dyDescent="0.3">
      <c r="C90" s="4"/>
      <c r="D90" s="5"/>
      <c r="K90" s="4"/>
      <c r="L90" s="5"/>
      <c r="O90" s="4"/>
      <c r="P90" s="5"/>
      <c r="S90" s="4"/>
      <c r="T90" s="5"/>
      <c r="W90" s="4"/>
      <c r="X90" s="5"/>
      <c r="AA90" s="4"/>
      <c r="AB90" s="5"/>
      <c r="AH90" s="2"/>
      <c r="AJ90" s="2"/>
      <c r="AL90" s="5"/>
    </row>
    <row r="91" spans="1:69" ht="13" x14ac:dyDescent="0.3">
      <c r="C91" s="4"/>
      <c r="D91" s="5"/>
      <c r="K91" s="7"/>
      <c r="L91" s="5"/>
      <c r="O91" s="4"/>
      <c r="P91" s="5"/>
      <c r="S91" s="7"/>
      <c r="T91" s="5"/>
      <c r="W91" s="7"/>
      <c r="X91" s="5"/>
      <c r="AA91" s="7"/>
      <c r="AH91" s="2"/>
      <c r="AI91" s="23"/>
      <c r="AJ91" s="23"/>
      <c r="AL91" s="5"/>
    </row>
    <row r="92" spans="1:69" ht="13" x14ac:dyDescent="0.3">
      <c r="C92" s="4"/>
      <c r="D92" s="5"/>
      <c r="K92" s="4"/>
      <c r="L92" s="5"/>
      <c r="O92" s="4"/>
      <c r="P92" s="5"/>
      <c r="S92" s="4"/>
      <c r="T92" s="5"/>
      <c r="W92" s="4"/>
      <c r="X92" s="5"/>
      <c r="AA92" s="4"/>
      <c r="AB92" s="5"/>
      <c r="AJ92" s="2"/>
      <c r="AL92" s="5"/>
    </row>
    <row r="93" spans="1:69" s="2" customFormat="1" ht="13" x14ac:dyDescent="0.3">
      <c r="B93" s="8"/>
      <c r="C93" s="26"/>
      <c r="D93" s="8"/>
      <c r="F93"/>
      <c r="G93"/>
      <c r="H93"/>
      <c r="I93"/>
      <c r="J93"/>
      <c r="K93" s="26"/>
      <c r="L93" s="8"/>
      <c r="N93" s="8"/>
      <c r="O93" s="26"/>
      <c r="P93" s="8"/>
      <c r="R93" s="8"/>
      <c r="S93" s="26"/>
      <c r="T93" s="8"/>
      <c r="V93" s="8"/>
      <c r="W93" s="26"/>
      <c r="X93" s="8"/>
      <c r="Z93" s="8"/>
      <c r="AA93" s="26"/>
      <c r="AB93" s="8"/>
      <c r="AH93" s="24"/>
      <c r="AI93" s="24"/>
      <c r="AJ93" s="24"/>
      <c r="AK93" s="24"/>
      <c r="AL93" s="24"/>
      <c r="BC93"/>
      <c r="BD93"/>
      <c r="BE93"/>
      <c r="BF93"/>
      <c r="BG93"/>
      <c r="BH93"/>
      <c r="BI93"/>
      <c r="BJ93"/>
      <c r="BK93"/>
      <c r="BL93"/>
      <c r="BM93"/>
      <c r="BN93"/>
      <c r="BO93"/>
      <c r="BP93"/>
      <c r="BQ93"/>
    </row>
    <row r="94" spans="1:69" ht="13" x14ac:dyDescent="0.3">
      <c r="G94" s="7"/>
      <c r="H94" s="5"/>
      <c r="AL94" s="5"/>
      <c r="BC94" s="2"/>
      <c r="BD94" s="2"/>
      <c r="BE94" s="2"/>
      <c r="BF94" s="2"/>
      <c r="BG94" s="2"/>
      <c r="BH94" s="2"/>
      <c r="BI94" s="2"/>
      <c r="BJ94" s="2"/>
      <c r="BK94" s="2"/>
      <c r="BL94" s="2"/>
      <c r="BM94" s="2"/>
      <c r="BN94" s="2"/>
      <c r="BO94" s="2"/>
      <c r="BP94" s="2"/>
      <c r="BQ94" s="2"/>
    </row>
    <row r="95" spans="1:69" ht="13" x14ac:dyDescent="0.3">
      <c r="A95" s="2"/>
      <c r="G95" s="7"/>
      <c r="H95" s="5"/>
    </row>
    <row r="96" spans="1:69" x14ac:dyDescent="0.25">
      <c r="G96" s="7"/>
      <c r="H96" s="5"/>
    </row>
    <row r="98" spans="2:69" ht="13" x14ac:dyDescent="0.3">
      <c r="C98" s="7"/>
      <c r="D98" s="5"/>
      <c r="F98" s="8"/>
      <c r="I98" s="2"/>
      <c r="J98" s="8"/>
    </row>
    <row r="99" spans="2:69" ht="13" x14ac:dyDescent="0.3">
      <c r="G99" s="2"/>
      <c r="H99" s="8"/>
    </row>
    <row r="101" spans="2:69" x14ac:dyDescent="0.25">
      <c r="O101" s="7"/>
      <c r="P101" s="5"/>
    </row>
    <row r="102" spans="2:69" x14ac:dyDescent="0.25">
      <c r="K102" s="7"/>
      <c r="L102" s="5"/>
      <c r="O102" s="7"/>
      <c r="P102" s="5"/>
    </row>
    <row r="103" spans="2:69" s="2" customFormat="1" ht="13" x14ac:dyDescent="0.3">
      <c r="B103" s="8"/>
      <c r="D103" s="8"/>
      <c r="F103"/>
      <c r="G103" s="4"/>
      <c r="H103" s="5"/>
      <c r="I103"/>
      <c r="J103"/>
      <c r="L103" s="8"/>
      <c r="N103" s="8"/>
      <c r="P103" s="8"/>
      <c r="S103" s="8"/>
      <c r="BC103"/>
      <c r="BD103"/>
      <c r="BE103"/>
      <c r="BF103"/>
      <c r="BG103"/>
      <c r="BH103"/>
      <c r="BI103"/>
      <c r="BJ103"/>
      <c r="BK103"/>
      <c r="BL103"/>
      <c r="BM103"/>
      <c r="BN103"/>
      <c r="BO103"/>
      <c r="BP103"/>
      <c r="BQ103"/>
    </row>
    <row r="104" spans="2:69" ht="13" x14ac:dyDescent="0.3">
      <c r="G104" s="4"/>
      <c r="H104" s="5"/>
      <c r="BC104" s="2"/>
      <c r="BD104" s="2"/>
      <c r="BE104" s="2"/>
      <c r="BF104" s="2"/>
      <c r="BG104" s="2"/>
      <c r="BH104" s="2"/>
      <c r="BI104" s="2"/>
      <c r="BJ104" s="2"/>
      <c r="BK104" s="2"/>
      <c r="BL104" s="2"/>
      <c r="BM104" s="2"/>
      <c r="BN104" s="2"/>
      <c r="BO104" s="2"/>
      <c r="BP104" s="2"/>
      <c r="BQ104" s="2"/>
    </row>
    <row r="105" spans="2:69" x14ac:dyDescent="0.25">
      <c r="G105" s="4"/>
      <c r="H105" s="5"/>
    </row>
    <row r="106" spans="2:69" ht="13" x14ac:dyDescent="0.3">
      <c r="G106" s="7"/>
      <c r="H106" s="5"/>
      <c r="AK106" s="2"/>
      <c r="AL106" s="2"/>
    </row>
    <row r="107" spans="2:69" ht="13" x14ac:dyDescent="0.3">
      <c r="C107" s="4"/>
      <c r="D107" s="5"/>
      <c r="F107" s="8"/>
      <c r="G107" s="7"/>
      <c r="H107" s="5"/>
      <c r="I107" s="2"/>
      <c r="J107" s="8"/>
      <c r="K107" s="4"/>
      <c r="L107" s="5"/>
      <c r="O107" s="4"/>
      <c r="P107" s="5"/>
      <c r="S107" s="4"/>
      <c r="T107" s="5"/>
      <c r="W107" s="7"/>
      <c r="X107" s="5"/>
      <c r="AA107" s="7"/>
      <c r="AB107" s="5"/>
      <c r="AJ107" s="2"/>
      <c r="AL107" s="5"/>
    </row>
    <row r="108" spans="2:69" ht="13" x14ac:dyDescent="0.3">
      <c r="C108" s="4"/>
      <c r="D108" s="5"/>
      <c r="G108" s="2"/>
      <c r="H108" s="8"/>
      <c r="K108" s="4"/>
      <c r="L108" s="5"/>
      <c r="O108" s="4"/>
      <c r="P108" s="5"/>
      <c r="S108" s="4"/>
      <c r="T108" s="5"/>
      <c r="W108" s="4"/>
      <c r="X108" s="5"/>
      <c r="AA108" s="4"/>
      <c r="AB108" s="5"/>
      <c r="AJ108" s="2"/>
      <c r="AL108" s="5"/>
    </row>
    <row r="109" spans="2:69" ht="13" x14ac:dyDescent="0.3">
      <c r="C109" s="4"/>
      <c r="D109" s="5"/>
      <c r="K109" s="4"/>
      <c r="L109" s="5"/>
      <c r="O109" s="4"/>
      <c r="P109" s="5"/>
      <c r="S109" s="4"/>
      <c r="T109" s="5"/>
      <c r="W109" s="4"/>
      <c r="X109" s="5"/>
      <c r="AA109" s="4"/>
      <c r="AB109" s="5"/>
      <c r="AH109" s="2"/>
      <c r="AJ109" s="2"/>
      <c r="AL109" s="5"/>
    </row>
    <row r="110" spans="2:69" ht="13" x14ac:dyDescent="0.3">
      <c r="C110" s="7"/>
      <c r="D110" s="5"/>
      <c r="K110" s="7"/>
      <c r="L110" s="5"/>
      <c r="AA110" s="7"/>
      <c r="AB110" s="5"/>
      <c r="AG110" s="2"/>
      <c r="AH110" s="2"/>
      <c r="AI110" s="23"/>
      <c r="AJ110" s="23"/>
      <c r="AL110" s="5"/>
    </row>
    <row r="111" spans="2:69" ht="13" x14ac:dyDescent="0.3">
      <c r="C111" s="4"/>
      <c r="D111" s="5"/>
      <c r="K111" s="4"/>
      <c r="L111" s="5"/>
      <c r="O111" s="4"/>
      <c r="P111" s="5"/>
      <c r="S111" s="4"/>
      <c r="T111" s="5"/>
      <c r="W111" s="4"/>
      <c r="X111" s="5"/>
      <c r="AA111" s="4"/>
      <c r="AB111" s="5"/>
      <c r="AJ111" s="2"/>
      <c r="AL111" s="5"/>
    </row>
    <row r="112" spans="2:69" s="2" customFormat="1" ht="13" x14ac:dyDescent="0.3">
      <c r="B112" s="8"/>
      <c r="C112" s="26"/>
      <c r="D112" s="8"/>
      <c r="F112"/>
      <c r="G112"/>
      <c r="H112"/>
      <c r="I112"/>
      <c r="J112"/>
      <c r="K112" s="26"/>
      <c r="L112" s="8"/>
      <c r="N112" s="8"/>
      <c r="O112" s="26"/>
      <c r="P112" s="8"/>
      <c r="R112" s="8"/>
      <c r="S112" s="26"/>
      <c r="T112" s="8"/>
      <c r="V112" s="8"/>
      <c r="W112" s="26"/>
      <c r="X112" s="8"/>
      <c r="Z112" s="8"/>
      <c r="AA112" s="26"/>
      <c r="AB112" s="8"/>
      <c r="AG112" s="8"/>
      <c r="AH112" s="24"/>
      <c r="AI112" s="24"/>
      <c r="AJ112" s="24"/>
      <c r="AK112" s="24"/>
      <c r="AL112" s="24"/>
      <c r="BC112"/>
      <c r="BD112"/>
      <c r="BE112"/>
      <c r="BF112"/>
      <c r="BG112"/>
      <c r="BH112"/>
      <c r="BI112"/>
      <c r="BJ112"/>
      <c r="BK112"/>
      <c r="BL112"/>
      <c r="BM112"/>
      <c r="BN112"/>
      <c r="BO112"/>
      <c r="BP112"/>
      <c r="BQ112"/>
    </row>
    <row r="113" spans="1:69" ht="13" x14ac:dyDescent="0.3">
      <c r="G113" s="7"/>
      <c r="H113" s="5"/>
      <c r="AL113" s="5"/>
      <c r="BC113" s="2"/>
      <c r="BD113" s="2"/>
      <c r="BE113" s="2"/>
      <c r="BF113" s="2"/>
      <c r="BG113" s="2"/>
      <c r="BH113" s="2"/>
      <c r="BI113" s="2"/>
      <c r="BJ113" s="2"/>
      <c r="BK113" s="2"/>
      <c r="BL113" s="2"/>
      <c r="BM113" s="2"/>
      <c r="BN113" s="2"/>
      <c r="BO113" s="2"/>
      <c r="BP113" s="2"/>
      <c r="BQ113" s="2"/>
    </row>
    <row r="114" spans="1:69" ht="13" x14ac:dyDescent="0.3">
      <c r="A114" s="2"/>
      <c r="G114" s="9"/>
    </row>
    <row r="115" spans="1:69" x14ac:dyDescent="0.25">
      <c r="G115" s="9"/>
    </row>
    <row r="116" spans="1:69" x14ac:dyDescent="0.25">
      <c r="G116" s="9"/>
    </row>
    <row r="117" spans="1:69" ht="13" x14ac:dyDescent="0.3">
      <c r="C117" s="7"/>
      <c r="D117" s="5"/>
      <c r="G117" s="7"/>
      <c r="H117" s="5"/>
      <c r="AP117" s="2"/>
      <c r="AQ117" s="2"/>
      <c r="AR117" s="2"/>
      <c r="AS117" s="2"/>
      <c r="AT117" s="2"/>
      <c r="AU117" s="2"/>
      <c r="AV117" s="2"/>
      <c r="AW117" s="2"/>
      <c r="AX117" s="2"/>
      <c r="AY117" s="2"/>
    </row>
    <row r="118" spans="1:69" ht="13" x14ac:dyDescent="0.3">
      <c r="C118" s="7"/>
      <c r="D118" s="5"/>
      <c r="F118" s="8"/>
      <c r="I118" s="2"/>
      <c r="J118" s="8"/>
      <c r="K118" s="7"/>
      <c r="L118" s="5"/>
      <c r="AP118" s="2"/>
      <c r="AQ118" s="2"/>
      <c r="AR118" s="2"/>
      <c r="AS118" s="2"/>
      <c r="AT118" s="2"/>
      <c r="AU118" s="2"/>
      <c r="AV118" s="2"/>
      <c r="AW118" s="2"/>
      <c r="AX118" s="2"/>
      <c r="AY118" s="2"/>
    </row>
    <row r="119" spans="1:69" ht="13" x14ac:dyDescent="0.3">
      <c r="C119" s="7"/>
      <c r="D119" s="5"/>
      <c r="G119" s="2"/>
      <c r="H119" s="8"/>
      <c r="K119" s="7"/>
      <c r="L119" s="5"/>
      <c r="AO119" s="23"/>
      <c r="AQ119" s="5"/>
      <c r="AS119" s="5"/>
      <c r="AU119" s="5"/>
      <c r="AW119" s="5"/>
      <c r="AY119" s="5"/>
    </row>
    <row r="120" spans="1:69" ht="13" x14ac:dyDescent="0.3">
      <c r="K120" s="7"/>
      <c r="L120" s="5"/>
      <c r="AO120" s="2"/>
      <c r="AQ120" s="5"/>
      <c r="AS120" s="5"/>
      <c r="AU120" s="5"/>
      <c r="AW120" s="5"/>
      <c r="AY120" s="5"/>
    </row>
    <row r="121" spans="1:69" ht="13" x14ac:dyDescent="0.3">
      <c r="K121" s="7"/>
      <c r="L121" s="5"/>
      <c r="O121" s="7"/>
      <c r="P121" s="5"/>
      <c r="AO121" s="2"/>
      <c r="AQ121" s="5"/>
      <c r="AS121" s="5"/>
      <c r="AU121" s="5"/>
      <c r="AW121" s="5"/>
      <c r="AY121" s="5"/>
    </row>
    <row r="122" spans="1:69" ht="13" x14ac:dyDescent="0.3">
      <c r="O122" s="7"/>
      <c r="P122" s="5"/>
      <c r="AO122" s="2"/>
      <c r="AQ122" s="5"/>
      <c r="AS122" s="5"/>
      <c r="AU122" s="5"/>
      <c r="AW122" s="5"/>
      <c r="AY122" s="5"/>
    </row>
    <row r="123" spans="1:69" s="2" customFormat="1" ht="13" x14ac:dyDescent="0.3">
      <c r="B123" s="8"/>
      <c r="D123" s="8"/>
      <c r="F123"/>
      <c r="G123" s="4"/>
      <c r="H123" s="5"/>
      <c r="I123"/>
      <c r="J123"/>
      <c r="L123" s="8"/>
      <c r="N123" s="8"/>
      <c r="O123" s="25"/>
      <c r="P123" s="8"/>
      <c r="AP123"/>
      <c r="AQ123" s="5"/>
      <c r="AR123"/>
      <c r="AS123" s="5"/>
      <c r="AT123"/>
      <c r="AU123" s="5"/>
      <c r="AV123"/>
      <c r="AW123" s="5"/>
      <c r="AX123"/>
      <c r="AY123" s="5"/>
      <c r="BC123"/>
      <c r="BD123"/>
      <c r="BE123"/>
      <c r="BF123"/>
      <c r="BG123"/>
      <c r="BH123"/>
      <c r="BI123"/>
      <c r="BJ123"/>
      <c r="BK123"/>
      <c r="BL123"/>
      <c r="BM123"/>
      <c r="BN123"/>
      <c r="BO123"/>
      <c r="BP123"/>
      <c r="BQ123"/>
    </row>
    <row r="124" spans="1:69" ht="13" x14ac:dyDescent="0.3">
      <c r="G124" s="4"/>
      <c r="H124" s="5"/>
      <c r="AO124" s="2"/>
      <c r="AQ124" s="5"/>
      <c r="AS124" s="5"/>
      <c r="AU124" s="5"/>
      <c r="AW124" s="5"/>
      <c r="AY124" s="5"/>
      <c r="BC124" s="2"/>
      <c r="BD124" s="2"/>
      <c r="BE124" s="2"/>
      <c r="BF124" s="2"/>
      <c r="BG124" s="2"/>
      <c r="BH124" s="2"/>
      <c r="BI124" s="2"/>
      <c r="BJ124" s="2"/>
      <c r="BK124" s="2"/>
      <c r="BL124" s="2"/>
      <c r="BM124" s="2"/>
      <c r="BN124" s="2"/>
      <c r="BO124" s="2"/>
      <c r="BP124" s="2"/>
      <c r="BQ124" s="2"/>
    </row>
    <row r="125" spans="1:69" x14ac:dyDescent="0.25">
      <c r="G125" s="4"/>
      <c r="H125" s="5"/>
    </row>
    <row r="126" spans="1:69" ht="13" x14ac:dyDescent="0.3">
      <c r="G126" s="4"/>
      <c r="H126" s="5"/>
      <c r="AK126" s="2"/>
      <c r="AL126" s="2"/>
    </row>
    <row r="127" spans="1:69" ht="13" x14ac:dyDescent="0.3">
      <c r="F127" s="8"/>
      <c r="G127" s="4"/>
      <c r="H127" s="5"/>
      <c r="I127" s="2"/>
      <c r="J127" s="8"/>
      <c r="K127" s="4"/>
      <c r="L127" s="5"/>
      <c r="O127" s="4"/>
      <c r="P127" s="5"/>
      <c r="S127" s="4"/>
      <c r="T127" s="5"/>
      <c r="W127" s="4"/>
      <c r="X127" s="5"/>
      <c r="AA127" s="7"/>
      <c r="AB127" s="5"/>
      <c r="AJ127" s="2"/>
      <c r="AL127" s="5"/>
      <c r="AN127" s="2"/>
      <c r="AQ127" s="5"/>
      <c r="AS127" s="5"/>
      <c r="AU127" s="5"/>
      <c r="AW127" s="5"/>
      <c r="AY127" s="5"/>
    </row>
    <row r="128" spans="1:69" ht="13" x14ac:dyDescent="0.3">
      <c r="G128" s="2"/>
      <c r="H128" s="8"/>
      <c r="K128" s="4"/>
      <c r="L128" s="5"/>
      <c r="O128" s="4"/>
      <c r="P128" s="5"/>
      <c r="S128" s="4"/>
      <c r="T128" s="5"/>
      <c r="W128" s="4"/>
      <c r="X128" s="5"/>
      <c r="AA128" s="4"/>
      <c r="AB128" s="5"/>
      <c r="AJ128" s="2"/>
      <c r="AL128" s="5"/>
      <c r="AN128" s="2"/>
      <c r="AP128" s="5"/>
      <c r="AQ128" s="5"/>
      <c r="AR128" s="5"/>
      <c r="AS128" s="5"/>
      <c r="AT128" s="5"/>
      <c r="AU128" s="5"/>
      <c r="AV128" s="5"/>
      <c r="AW128" s="5"/>
      <c r="AX128" s="5"/>
      <c r="AY128" s="5"/>
    </row>
    <row r="129" spans="2:69" ht="13" x14ac:dyDescent="0.3">
      <c r="K129" s="4"/>
      <c r="L129" s="5"/>
      <c r="O129" s="4"/>
      <c r="P129" s="5"/>
      <c r="S129" s="4"/>
      <c r="T129" s="5"/>
      <c r="W129" s="4"/>
      <c r="X129" s="5"/>
      <c r="AA129" s="4"/>
      <c r="AB129" s="5"/>
      <c r="AH129" s="2"/>
      <c r="AJ129" s="2"/>
      <c r="AL129" s="5"/>
    </row>
    <row r="130" spans="2:69" ht="13" x14ac:dyDescent="0.3">
      <c r="K130" s="7"/>
      <c r="L130" s="5"/>
      <c r="O130" s="7"/>
      <c r="P130" s="5"/>
      <c r="W130" s="7"/>
      <c r="X130" s="5"/>
      <c r="AA130" s="7"/>
      <c r="AB130" s="5"/>
      <c r="AG130" s="2"/>
      <c r="AH130" s="2"/>
      <c r="AI130" s="23"/>
      <c r="AJ130" s="23"/>
      <c r="AL130" s="5"/>
    </row>
    <row r="131" spans="2:69" ht="13" x14ac:dyDescent="0.3">
      <c r="K131" s="4"/>
      <c r="L131" s="5"/>
      <c r="O131" s="4"/>
      <c r="P131" s="5"/>
      <c r="S131" s="4"/>
      <c r="T131" s="5"/>
      <c r="W131" s="4"/>
      <c r="X131" s="5"/>
      <c r="AA131" s="4"/>
      <c r="AB131" s="5"/>
      <c r="AJ131" s="2"/>
      <c r="AL131" s="5"/>
    </row>
    <row r="132" spans="2:69" s="2" customFormat="1" ht="13" x14ac:dyDescent="0.3">
      <c r="B132" s="8"/>
      <c r="F132" s="19"/>
      <c r="G132"/>
      <c r="H132"/>
      <c r="I132"/>
      <c r="J132"/>
      <c r="L132" s="8"/>
      <c r="N132" s="8"/>
      <c r="P132" s="8"/>
      <c r="R132" s="8"/>
      <c r="T132" s="8"/>
      <c r="V132" s="8"/>
      <c r="X132" s="8"/>
      <c r="Z132" s="8"/>
      <c r="AB132" s="8"/>
      <c r="AG132" s="8"/>
      <c r="AH132" s="24"/>
      <c r="AI132" s="24"/>
      <c r="AJ132" s="24"/>
      <c r="AK132" s="24"/>
      <c r="AL132" s="24"/>
      <c r="BC132"/>
      <c r="BD132"/>
      <c r="BE132"/>
      <c r="BF132"/>
      <c r="BG132"/>
      <c r="BH132"/>
      <c r="BI132"/>
      <c r="BJ132"/>
      <c r="BK132"/>
      <c r="BL132"/>
      <c r="BM132"/>
      <c r="BN132"/>
      <c r="BO132"/>
      <c r="BP132"/>
      <c r="BQ132"/>
    </row>
    <row r="133" spans="2:69" ht="13" x14ac:dyDescent="0.3">
      <c r="F133" s="19"/>
      <c r="AL133" s="5"/>
      <c r="BC133" s="2"/>
      <c r="BD133" s="2"/>
      <c r="BE133" s="2"/>
      <c r="BF133" s="2"/>
      <c r="BG133" s="2"/>
      <c r="BH133" s="2"/>
      <c r="BI133" s="2"/>
      <c r="BJ133" s="2"/>
      <c r="BK133" s="2"/>
      <c r="BL133" s="2"/>
      <c r="BM133" s="2"/>
      <c r="BN133" s="2"/>
      <c r="BO133" s="2"/>
      <c r="BP133" s="2"/>
      <c r="BQ133" s="2"/>
    </row>
    <row r="134" spans="2:69" x14ac:dyDescent="0.25">
      <c r="F134" s="19"/>
    </row>
    <row r="135" spans="2:69" x14ac:dyDescent="0.25">
      <c r="F135" s="19"/>
    </row>
    <row r="136" spans="2:69" x14ac:dyDescent="0.25">
      <c r="F136" s="19"/>
    </row>
  </sheetData>
  <mergeCells count="3">
    <mergeCell ref="F53:H53"/>
    <mergeCell ref="F69:H69"/>
    <mergeCell ref="F67:H67"/>
  </mergeCells>
  <phoneticPr fontId="4" type="noConversion"/>
  <pageMargins left="0.75" right="0.75" top="1" bottom="1" header="0.5" footer="0.5"/>
  <pageSetup orientation="portrait"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L87"/>
  <sheetViews>
    <sheetView workbookViewId="0">
      <pane xSplit="1" ySplit="1" topLeftCell="B29" activePane="bottomRight" state="frozen"/>
      <selection activeCell="I30" sqref="I30"/>
      <selection pane="topRight" activeCell="I30" sqref="I30"/>
      <selection pane="bottomLeft" activeCell="I30" sqref="I30"/>
      <selection pane="bottomRight" activeCell="I30" sqref="I30"/>
    </sheetView>
  </sheetViews>
  <sheetFormatPr defaultRowHeight="12.5" x14ac:dyDescent="0.25"/>
  <cols>
    <col min="1" max="1" width="11.7265625" customWidth="1"/>
    <col min="3" max="4" width="11.7265625" customWidth="1"/>
    <col min="5" max="5" width="2.26953125" customWidth="1"/>
    <col min="7" max="8" width="11.7265625" customWidth="1"/>
    <col min="9" max="9" width="2.26953125" customWidth="1"/>
    <col min="11" max="12" width="11.7265625" customWidth="1"/>
    <col min="13" max="13" width="2.26953125" customWidth="1"/>
    <col min="15" max="16" width="11.7265625" customWidth="1"/>
    <col min="17" max="17" width="2.26953125" customWidth="1"/>
    <col min="19" max="20" width="11.7265625" customWidth="1"/>
    <col min="21" max="21" width="2.26953125" customWidth="1"/>
    <col min="23" max="24" width="11.7265625" customWidth="1"/>
    <col min="25" max="25" width="2.26953125" customWidth="1"/>
    <col min="27" max="28" width="11.7265625" customWidth="1"/>
    <col min="29" max="29" width="2.26953125" customWidth="1"/>
    <col min="31" max="32" width="11.7265625" customWidth="1"/>
    <col min="33" max="33" width="2.26953125" customWidth="1"/>
    <col min="36" max="36" width="2.81640625" customWidth="1"/>
    <col min="37" max="37" width="11.26953125" customWidth="1"/>
    <col min="40" max="40" width="4.7265625" customWidth="1"/>
    <col min="42" max="42" width="11.81640625" customWidth="1"/>
    <col min="44" max="44" width="10.7265625" customWidth="1"/>
    <col min="61" max="61" width="12.453125" customWidth="1"/>
  </cols>
  <sheetData>
    <row r="1" spans="1:24" ht="15.5" x14ac:dyDescent="0.35">
      <c r="A1" s="1" t="s">
        <v>224</v>
      </c>
    </row>
    <row r="2" spans="1:24" ht="13" x14ac:dyDescent="0.3">
      <c r="A2" s="2" t="s">
        <v>53</v>
      </c>
    </row>
    <row r="3" spans="1:24" s="2" customFormat="1" ht="13" x14ac:dyDescent="0.3">
      <c r="C3" s="2" t="s">
        <v>35</v>
      </c>
      <c r="G3" s="2" t="s">
        <v>34</v>
      </c>
      <c r="K3" s="2" t="s">
        <v>20</v>
      </c>
      <c r="O3" s="2" t="s">
        <v>21</v>
      </c>
      <c r="S3" s="2" t="s">
        <v>22</v>
      </c>
      <c r="W3" s="2" t="s">
        <v>23</v>
      </c>
    </row>
    <row r="4" spans="1:24" s="2" customFormat="1" ht="13" x14ac:dyDescent="0.3">
      <c r="B4" s="27" t="s">
        <v>44</v>
      </c>
      <c r="F4" s="27" t="s">
        <v>44</v>
      </c>
      <c r="J4" s="27" t="s">
        <v>44</v>
      </c>
      <c r="N4" s="27" t="s">
        <v>44</v>
      </c>
      <c r="R4" s="27" t="s">
        <v>44</v>
      </c>
      <c r="V4" s="27" t="s">
        <v>44</v>
      </c>
    </row>
    <row r="5" spans="1:24" x14ac:dyDescent="0.25">
      <c r="B5" t="s">
        <v>13</v>
      </c>
      <c r="C5" t="s">
        <v>51</v>
      </c>
      <c r="D5" t="s">
        <v>14</v>
      </c>
      <c r="F5" t="s">
        <v>13</v>
      </c>
      <c r="G5" t="s">
        <v>51</v>
      </c>
      <c r="H5" t="s">
        <v>14</v>
      </c>
      <c r="J5" t="s">
        <v>13</v>
      </c>
      <c r="K5" t="s">
        <v>51</v>
      </c>
      <c r="L5" t="s">
        <v>14</v>
      </c>
      <c r="N5" t="s">
        <v>13</v>
      </c>
      <c r="O5" t="s">
        <v>51</v>
      </c>
      <c r="P5" t="s">
        <v>14</v>
      </c>
      <c r="R5" t="s">
        <v>13</v>
      </c>
      <c r="S5" t="s">
        <v>51</v>
      </c>
      <c r="T5" t="s">
        <v>14</v>
      </c>
      <c r="V5" t="s">
        <v>13</v>
      </c>
      <c r="W5" t="s">
        <v>51</v>
      </c>
      <c r="X5" t="s">
        <v>14</v>
      </c>
    </row>
    <row r="6" spans="1:24" x14ac:dyDescent="0.25">
      <c r="A6" t="s">
        <v>178</v>
      </c>
      <c r="T6" s="3"/>
      <c r="X6" s="3"/>
    </row>
    <row r="7" spans="1:24" x14ac:dyDescent="0.25">
      <c r="A7" t="s">
        <v>31</v>
      </c>
      <c r="B7">
        <v>0</v>
      </c>
      <c r="H7" s="3"/>
      <c r="L7" s="3"/>
      <c r="N7">
        <v>108</v>
      </c>
      <c r="O7">
        <v>10</v>
      </c>
      <c r="P7" s="3">
        <f t="shared" ref="P7:P16" si="0">O7/N7</f>
        <v>9.2592592592592587E-2</v>
      </c>
      <c r="R7">
        <v>104</v>
      </c>
      <c r="S7">
        <v>8</v>
      </c>
      <c r="T7" s="3">
        <f>S7/R7</f>
        <v>7.6923076923076927E-2</v>
      </c>
      <c r="V7">
        <v>527</v>
      </c>
      <c r="W7">
        <v>43</v>
      </c>
      <c r="X7" s="3">
        <f>W7/V7</f>
        <v>8.1593927893738136E-2</v>
      </c>
    </row>
    <row r="8" spans="1:24" x14ac:dyDescent="0.25">
      <c r="A8" t="s">
        <v>32</v>
      </c>
      <c r="B8">
        <v>0</v>
      </c>
      <c r="P8" s="3"/>
      <c r="R8">
        <v>88</v>
      </c>
      <c r="S8">
        <v>1</v>
      </c>
      <c r="T8" s="3">
        <f>S8/R8</f>
        <v>1.1363636363636364E-2</v>
      </c>
      <c r="V8">
        <v>185</v>
      </c>
      <c r="W8">
        <v>7</v>
      </c>
      <c r="X8" s="3">
        <f>W8/V8</f>
        <v>3.783783783783784E-2</v>
      </c>
    </row>
    <row r="9" spans="1:24" s="42" customFormat="1" x14ac:dyDescent="0.25">
      <c r="A9" s="42" t="s">
        <v>45</v>
      </c>
      <c r="B9" s="42">
        <v>0</v>
      </c>
      <c r="P9" s="3"/>
      <c r="R9" s="42">
        <v>61</v>
      </c>
      <c r="S9" s="42">
        <v>2</v>
      </c>
      <c r="T9" s="3">
        <f>S9/R9</f>
        <v>3.2786885245901641E-2</v>
      </c>
      <c r="V9" s="42">
        <v>197</v>
      </c>
      <c r="W9" s="42">
        <v>16</v>
      </c>
      <c r="X9" s="43">
        <f>W9/V9</f>
        <v>8.1218274111675121E-2</v>
      </c>
    </row>
    <row r="10" spans="1:24" s="99" customFormat="1" ht="13" x14ac:dyDescent="0.3">
      <c r="A10" s="99" t="s">
        <v>61</v>
      </c>
      <c r="B10" s="99">
        <f>SUM(B7:B9)</f>
        <v>0</v>
      </c>
      <c r="D10" s="101"/>
      <c r="F10" s="99">
        <f>SUM(F7:F9)</f>
        <v>0</v>
      </c>
      <c r="G10" s="99">
        <f>SUM(G7:G9)</f>
        <v>0</v>
      </c>
      <c r="H10" s="101" t="e">
        <f t="shared" ref="H10:H16" si="1">G10/F10</f>
        <v>#DIV/0!</v>
      </c>
      <c r="J10" s="99">
        <f>SUM(J7:J9)</f>
        <v>0</v>
      </c>
      <c r="K10" s="99">
        <f>SUM(K7:K9)</f>
        <v>0</v>
      </c>
      <c r="L10" s="101" t="e">
        <f t="shared" ref="L10:L16" si="2">K10/J10</f>
        <v>#DIV/0!</v>
      </c>
      <c r="N10" s="99">
        <f>SUM(N7:N9)</f>
        <v>108</v>
      </c>
      <c r="O10" s="99">
        <f>SUM(O7:O9)</f>
        <v>10</v>
      </c>
      <c r="P10" s="101">
        <f t="shared" si="0"/>
        <v>9.2592592592592587E-2</v>
      </c>
      <c r="R10" s="99">
        <f>SUM(R7:R9)</f>
        <v>253</v>
      </c>
      <c r="S10" s="99">
        <f>SUM(S7:S9)</f>
        <v>11</v>
      </c>
      <c r="T10" s="101">
        <f>S10/R10</f>
        <v>4.3478260869565216E-2</v>
      </c>
      <c r="V10" s="99">
        <f>SUM(V6:V9)</f>
        <v>909</v>
      </c>
      <c r="W10" s="99">
        <f>SUM(W6:W9)</f>
        <v>66</v>
      </c>
      <c r="X10" s="101">
        <f>W10/V10</f>
        <v>7.2607260726072612E-2</v>
      </c>
    </row>
    <row r="11" spans="1:24" s="2" customFormat="1" ht="13" x14ac:dyDescent="0.3">
      <c r="A11" s="23" t="s">
        <v>63</v>
      </c>
      <c r="B11" s="2">
        <v>8</v>
      </c>
      <c r="C11" s="2">
        <v>4</v>
      </c>
      <c r="D11" s="55">
        <f t="shared" ref="D11:D16" si="3">C11/B11</f>
        <v>0.5</v>
      </c>
      <c r="F11" s="222"/>
      <c r="G11" s="27"/>
      <c r="H11" s="110" t="e">
        <f t="shared" si="1"/>
        <v>#DIV/0!</v>
      </c>
      <c r="J11" s="27"/>
      <c r="K11" s="27"/>
      <c r="L11" s="110" t="e">
        <f t="shared" si="2"/>
        <v>#DIV/0!</v>
      </c>
      <c r="N11" s="27"/>
      <c r="O11" s="27"/>
      <c r="P11" s="110" t="e">
        <f t="shared" si="0"/>
        <v>#DIV/0!</v>
      </c>
      <c r="T11" s="55"/>
      <c r="X11" s="55"/>
    </row>
    <row r="12" spans="1:24" s="2" customFormat="1" ht="13" x14ac:dyDescent="0.3">
      <c r="A12" s="2">
        <v>2</v>
      </c>
      <c r="B12" s="2">
        <v>4</v>
      </c>
      <c r="C12" s="2">
        <v>0</v>
      </c>
      <c r="D12" s="55">
        <f t="shared" si="3"/>
        <v>0</v>
      </c>
      <c r="F12" s="222"/>
      <c r="G12" s="27"/>
      <c r="H12" s="110" t="e">
        <f t="shared" si="1"/>
        <v>#DIV/0!</v>
      </c>
      <c r="J12" s="27"/>
      <c r="K12" s="27"/>
      <c r="L12" s="110" t="e">
        <f t="shared" si="2"/>
        <v>#DIV/0!</v>
      </c>
      <c r="N12" s="27"/>
      <c r="O12" s="27"/>
      <c r="P12" s="110" t="e">
        <f t="shared" si="0"/>
        <v>#DIV/0!</v>
      </c>
      <c r="T12" s="55"/>
      <c r="X12" s="55"/>
    </row>
    <row r="13" spans="1:24" s="2" customFormat="1" ht="13" x14ac:dyDescent="0.3">
      <c r="A13" s="2">
        <v>3</v>
      </c>
      <c r="D13" s="55" t="e">
        <f t="shared" si="3"/>
        <v>#DIV/0!</v>
      </c>
      <c r="F13" s="222"/>
      <c r="G13" s="27"/>
      <c r="H13" s="110" t="e">
        <f t="shared" si="1"/>
        <v>#DIV/0!</v>
      </c>
      <c r="J13" s="27"/>
      <c r="K13" s="27"/>
      <c r="L13" s="110" t="e">
        <f t="shared" si="2"/>
        <v>#DIV/0!</v>
      </c>
      <c r="N13" s="27"/>
      <c r="O13" s="27"/>
      <c r="P13" s="110" t="e">
        <f t="shared" si="0"/>
        <v>#DIV/0!</v>
      </c>
      <c r="T13" s="55"/>
      <c r="X13" s="55"/>
    </row>
    <row r="14" spans="1:24" s="2" customFormat="1" ht="13" x14ac:dyDescent="0.3">
      <c r="A14" s="2">
        <v>4</v>
      </c>
      <c r="D14" s="55" t="e">
        <f t="shared" si="3"/>
        <v>#DIV/0!</v>
      </c>
      <c r="F14" s="222"/>
      <c r="G14" s="27"/>
      <c r="H14" s="110" t="e">
        <f t="shared" si="1"/>
        <v>#DIV/0!</v>
      </c>
      <c r="J14" s="2">
        <v>9</v>
      </c>
      <c r="K14" s="2">
        <v>6</v>
      </c>
      <c r="L14" s="110">
        <f t="shared" si="2"/>
        <v>0.66666666666666663</v>
      </c>
      <c r="N14" s="27"/>
      <c r="O14" s="27"/>
      <c r="P14" s="110" t="e">
        <f t="shared" si="0"/>
        <v>#DIV/0!</v>
      </c>
      <c r="T14" s="55"/>
      <c r="X14" s="55"/>
    </row>
    <row r="15" spans="1:24" s="41" customFormat="1" ht="13" x14ac:dyDescent="0.3">
      <c r="A15" s="41">
        <v>5</v>
      </c>
      <c r="D15" s="55" t="e">
        <f t="shared" si="3"/>
        <v>#DIV/0!</v>
      </c>
      <c r="F15" s="221"/>
      <c r="G15" s="221"/>
      <c r="H15" s="110" t="e">
        <f t="shared" si="1"/>
        <v>#DIV/0!</v>
      </c>
      <c r="J15" s="41">
        <v>12</v>
      </c>
      <c r="K15" s="41">
        <v>9</v>
      </c>
      <c r="L15" s="110">
        <f t="shared" si="2"/>
        <v>0.75</v>
      </c>
      <c r="P15" s="110" t="e">
        <f t="shared" si="0"/>
        <v>#DIV/0!</v>
      </c>
      <c r="T15" s="97"/>
      <c r="X15" s="97"/>
    </row>
    <row r="16" spans="1:24" s="41" customFormat="1" ht="13" x14ac:dyDescent="0.3">
      <c r="A16" s="41" t="s">
        <v>170</v>
      </c>
      <c r="B16" s="202">
        <f>SUM(B11:B15)</f>
        <v>12</v>
      </c>
      <c r="C16" s="202">
        <f>SUM(C11:C15)</f>
        <v>4</v>
      </c>
      <c r="D16" s="55">
        <f t="shared" si="3"/>
        <v>0.33333333333333331</v>
      </c>
      <c r="F16" s="202">
        <f>SUM(F11:F15)</f>
        <v>0</v>
      </c>
      <c r="G16" s="41">
        <f>SUM(G11:G15)</f>
        <v>0</v>
      </c>
      <c r="H16" s="101" t="e">
        <f t="shared" si="1"/>
        <v>#DIV/0!</v>
      </c>
      <c r="J16" s="41">
        <f>SUM(J11:J15)</f>
        <v>21</v>
      </c>
      <c r="K16" s="41">
        <f>SUM(K11:K15)</f>
        <v>15</v>
      </c>
      <c r="L16" s="223">
        <f t="shared" si="2"/>
        <v>0.7142857142857143</v>
      </c>
      <c r="N16" s="41">
        <f>SUM(N11:N15)</f>
        <v>0</v>
      </c>
      <c r="O16" s="41">
        <f>SUM(O13:O15)</f>
        <v>0</v>
      </c>
      <c r="P16" s="97" t="e">
        <f t="shared" si="0"/>
        <v>#DIV/0!</v>
      </c>
    </row>
    <row r="17" spans="1:64" s="46" customFormat="1" ht="13" x14ac:dyDescent="0.3">
      <c r="B17" s="208"/>
      <c r="C17" s="208"/>
      <c r="D17" s="55"/>
      <c r="F17" s="208"/>
      <c r="H17" s="67"/>
      <c r="L17" s="110"/>
      <c r="P17" s="67"/>
    </row>
    <row r="19" spans="1:64" s="2" customFormat="1" ht="13" x14ac:dyDescent="0.3">
      <c r="C19" s="2" t="s">
        <v>12</v>
      </c>
      <c r="G19" s="2" t="s">
        <v>5</v>
      </c>
      <c r="K19" s="2" t="s">
        <v>6</v>
      </c>
      <c r="O19" s="2" t="s">
        <v>7</v>
      </c>
      <c r="S19" s="2" t="s">
        <v>8</v>
      </c>
      <c r="W19" s="2" t="s">
        <v>9</v>
      </c>
      <c r="AA19" s="2" t="s">
        <v>10</v>
      </c>
      <c r="AE19" s="2" t="s">
        <v>11</v>
      </c>
    </row>
    <row r="20" spans="1:64" s="2" customFormat="1" ht="13" x14ac:dyDescent="0.3">
      <c r="B20" s="27" t="s">
        <v>44</v>
      </c>
      <c r="F20" s="27" t="s">
        <v>44</v>
      </c>
      <c r="J20" s="27" t="s">
        <v>44</v>
      </c>
      <c r="N20" s="27" t="s">
        <v>44</v>
      </c>
      <c r="R20" s="27" t="s">
        <v>44</v>
      </c>
      <c r="V20" s="27" t="s">
        <v>44</v>
      </c>
      <c r="Z20" s="27" t="s">
        <v>44</v>
      </c>
      <c r="AD20" s="27" t="s">
        <v>44</v>
      </c>
    </row>
    <row r="21" spans="1:64" x14ac:dyDescent="0.25">
      <c r="B21" t="s">
        <v>13</v>
      </c>
      <c r="C21" t="s">
        <v>51</v>
      </c>
      <c r="D21" t="s">
        <v>14</v>
      </c>
      <c r="F21" t="s">
        <v>13</v>
      </c>
      <c r="G21" t="s">
        <v>51</v>
      </c>
      <c r="H21" t="s">
        <v>14</v>
      </c>
      <c r="J21" t="s">
        <v>13</v>
      </c>
      <c r="K21" t="s">
        <v>51</v>
      </c>
      <c r="L21" t="s">
        <v>14</v>
      </c>
      <c r="N21" t="s">
        <v>13</v>
      </c>
      <c r="O21" t="s">
        <v>51</v>
      </c>
      <c r="P21" t="s">
        <v>14</v>
      </c>
      <c r="R21" t="s">
        <v>13</v>
      </c>
      <c r="S21" t="s">
        <v>51</v>
      </c>
      <c r="T21" t="s">
        <v>14</v>
      </c>
      <c r="V21" t="s">
        <v>13</v>
      </c>
      <c r="W21" t="s">
        <v>51</v>
      </c>
      <c r="X21" t="s">
        <v>14</v>
      </c>
      <c r="Z21" t="s">
        <v>13</v>
      </c>
      <c r="AA21" t="s">
        <v>51</v>
      </c>
      <c r="AB21" t="s">
        <v>14</v>
      </c>
      <c r="AD21" t="s">
        <v>13</v>
      </c>
      <c r="AE21" t="s">
        <v>51</v>
      </c>
      <c r="AF21" t="s">
        <v>14</v>
      </c>
    </row>
    <row r="22" spans="1:64" x14ac:dyDescent="0.25">
      <c r="A22" s="32"/>
    </row>
    <row r="23" spans="1:64" x14ac:dyDescent="0.25">
      <c r="A23" s="32" t="s">
        <v>178</v>
      </c>
      <c r="D23" s="3"/>
      <c r="H23" s="3"/>
      <c r="L23" s="3"/>
      <c r="P23" s="3"/>
      <c r="T23" s="110"/>
      <c r="X23" s="3" t="e">
        <f>W23/V23</f>
        <v>#DIV/0!</v>
      </c>
    </row>
    <row r="24" spans="1:64" x14ac:dyDescent="0.25">
      <c r="A24" t="s">
        <v>31</v>
      </c>
      <c r="B24">
        <v>455</v>
      </c>
      <c r="C24">
        <v>29</v>
      </c>
      <c r="D24" s="3">
        <f>C24/B24</f>
        <v>6.3736263736263732E-2</v>
      </c>
      <c r="F24">
        <v>57</v>
      </c>
      <c r="G24">
        <v>3</v>
      </c>
      <c r="H24" s="3">
        <f t="shared" ref="H24:H33" si="4">G24/F24</f>
        <v>5.2631578947368418E-2</v>
      </c>
      <c r="J24">
        <v>39</v>
      </c>
      <c r="K24">
        <v>5</v>
      </c>
      <c r="L24" s="3">
        <f t="shared" ref="L24:L33" si="5">K24/J24</f>
        <v>0.12820512820512819</v>
      </c>
      <c r="N24">
        <v>8</v>
      </c>
      <c r="O24">
        <v>0</v>
      </c>
      <c r="P24" s="3">
        <f t="shared" ref="P24:P33" si="6">O24/N24</f>
        <v>0</v>
      </c>
      <c r="R24">
        <v>0</v>
      </c>
      <c r="S24">
        <v>0</v>
      </c>
      <c r="T24" s="110"/>
      <c r="V24">
        <v>0</v>
      </c>
      <c r="W24">
        <v>0</v>
      </c>
      <c r="X24" s="3"/>
      <c r="Z24">
        <v>19</v>
      </c>
      <c r="AA24">
        <v>10</v>
      </c>
      <c r="AB24" s="3">
        <f>AA24/Z24</f>
        <v>0.52631578947368418</v>
      </c>
    </row>
    <row r="25" spans="1:64" x14ac:dyDescent="0.25">
      <c r="A25" t="s">
        <v>32</v>
      </c>
      <c r="B25">
        <v>553</v>
      </c>
      <c r="C25">
        <v>35</v>
      </c>
      <c r="D25" s="3">
        <f>C25/B25</f>
        <v>6.3291139240506333E-2</v>
      </c>
      <c r="F25">
        <v>161</v>
      </c>
      <c r="G25">
        <v>12</v>
      </c>
      <c r="H25" s="3">
        <f t="shared" si="4"/>
        <v>7.4534161490683232E-2</v>
      </c>
      <c r="J25">
        <v>54</v>
      </c>
      <c r="K25">
        <v>2</v>
      </c>
      <c r="L25" s="3">
        <f t="shared" si="5"/>
        <v>3.7037037037037035E-2</v>
      </c>
      <c r="N25">
        <v>202</v>
      </c>
      <c r="O25">
        <v>19</v>
      </c>
      <c r="P25" s="3">
        <f t="shared" si="6"/>
        <v>9.405940594059406E-2</v>
      </c>
      <c r="R25">
        <v>52</v>
      </c>
      <c r="S25">
        <v>5</v>
      </c>
      <c r="T25" s="110">
        <f>S25/R25</f>
        <v>9.6153846153846159E-2</v>
      </c>
      <c r="V25">
        <v>19</v>
      </c>
      <c r="W25">
        <v>2</v>
      </c>
      <c r="X25" s="3">
        <f>W25/V25</f>
        <v>0.10526315789473684</v>
      </c>
      <c r="AB25" s="3"/>
    </row>
    <row r="26" spans="1:64" s="42" customFormat="1" x14ac:dyDescent="0.25">
      <c r="A26" s="42" t="s">
        <v>45</v>
      </c>
      <c r="B26" s="42">
        <v>95</v>
      </c>
      <c r="C26" s="42">
        <v>8</v>
      </c>
      <c r="D26" s="43">
        <f>C26/B26</f>
        <v>8.4210526315789472E-2</v>
      </c>
      <c r="F26" s="71">
        <v>0</v>
      </c>
      <c r="G26" s="71">
        <v>0</v>
      </c>
      <c r="H26" s="3">
        <v>0</v>
      </c>
      <c r="J26" s="42">
        <v>45</v>
      </c>
      <c r="K26" s="42">
        <v>5</v>
      </c>
      <c r="L26" s="43">
        <f t="shared" si="5"/>
        <v>0.1111111111111111</v>
      </c>
      <c r="N26" s="42">
        <v>23</v>
      </c>
      <c r="O26" s="42">
        <v>2</v>
      </c>
      <c r="P26" s="43">
        <f t="shared" si="6"/>
        <v>8.6956521739130432E-2</v>
      </c>
      <c r="R26" s="42">
        <v>19</v>
      </c>
      <c r="S26" s="42">
        <v>2</v>
      </c>
      <c r="T26" s="110">
        <f>S26/R26</f>
        <v>0.10526315789473684</v>
      </c>
      <c r="V26" s="42">
        <v>0</v>
      </c>
      <c r="W26" s="42">
        <v>0</v>
      </c>
      <c r="X26" s="42">
        <v>0</v>
      </c>
    </row>
    <row r="27" spans="1:64" s="99" customFormat="1" ht="13" x14ac:dyDescent="0.3">
      <c r="A27" s="99" t="s">
        <v>61</v>
      </c>
      <c r="B27" s="99">
        <f>SUM(B23:B26)</f>
        <v>1103</v>
      </c>
      <c r="C27" s="99">
        <f>SUM(C23:C26)</f>
        <v>72</v>
      </c>
      <c r="D27" s="101">
        <f>C27/B27</f>
        <v>6.527651858567543E-2</v>
      </c>
      <c r="F27" s="99">
        <f>SUM(F23:F26)</f>
        <v>218</v>
      </c>
      <c r="G27" s="99">
        <f>SUM(G23:G26)</f>
        <v>15</v>
      </c>
      <c r="H27" s="101">
        <f t="shared" si="4"/>
        <v>6.8807339449541288E-2</v>
      </c>
      <c r="J27" s="99">
        <f>SUM(J23:J26)</f>
        <v>138</v>
      </c>
      <c r="K27" s="99">
        <f>SUM(K23:K26)</f>
        <v>12</v>
      </c>
      <c r="L27" s="101">
        <f t="shared" si="5"/>
        <v>8.6956521739130432E-2</v>
      </c>
      <c r="N27" s="99">
        <f>SUM(N23:N26)</f>
        <v>233</v>
      </c>
      <c r="O27" s="99">
        <f>SUM(O23:O26)</f>
        <v>21</v>
      </c>
      <c r="P27" s="101">
        <f t="shared" si="6"/>
        <v>9.012875536480687E-2</v>
      </c>
      <c r="R27" s="99">
        <f>SUM(R23:R26)</f>
        <v>71</v>
      </c>
      <c r="S27" s="99">
        <f>SUM(S23:S26)</f>
        <v>7</v>
      </c>
      <c r="T27" s="101">
        <f>S27/R27</f>
        <v>9.8591549295774641E-2</v>
      </c>
      <c r="V27" s="99">
        <f>SUM(V23:V26)</f>
        <v>19</v>
      </c>
      <c r="W27" s="99">
        <f>SUM(W23:W26)</f>
        <v>2</v>
      </c>
      <c r="X27" s="101">
        <f t="shared" ref="X27:X33" si="7">W27/V27</f>
        <v>0.10526315789473684</v>
      </c>
      <c r="Z27" s="99">
        <f>SUM(Z24:Z26)</f>
        <v>19</v>
      </c>
      <c r="AA27" s="99">
        <f>SUM(AA24:AA26)</f>
        <v>10</v>
      </c>
      <c r="AB27" s="101">
        <f>AA27/Z27</f>
        <v>0.52631578947368418</v>
      </c>
      <c r="AD27" s="99">
        <f>SUM(AD24:AD26)</f>
        <v>0</v>
      </c>
      <c r="AF27" s="101"/>
    </row>
    <row r="28" spans="1:64" ht="13" x14ac:dyDescent="0.3">
      <c r="A28" s="23" t="s">
        <v>63</v>
      </c>
      <c r="B28" s="73">
        <v>0</v>
      </c>
      <c r="C28" s="73">
        <v>0</v>
      </c>
      <c r="D28" s="3"/>
      <c r="F28" s="73">
        <v>1056</v>
      </c>
      <c r="G28" s="73">
        <v>234</v>
      </c>
      <c r="H28" s="110">
        <f t="shared" si="4"/>
        <v>0.22159090909090909</v>
      </c>
      <c r="J28" s="73">
        <v>1231</v>
      </c>
      <c r="K28" s="73">
        <v>265</v>
      </c>
      <c r="L28" s="110">
        <f t="shared" si="5"/>
        <v>0.21527213647441104</v>
      </c>
      <c r="N28" s="73">
        <v>1405</v>
      </c>
      <c r="O28" s="73">
        <v>203</v>
      </c>
      <c r="P28" s="110">
        <f t="shared" si="6"/>
        <v>0.14448398576512456</v>
      </c>
      <c r="R28" s="73">
        <v>12</v>
      </c>
      <c r="S28" s="73">
        <v>2</v>
      </c>
      <c r="T28" s="110">
        <f t="shared" ref="T28:T33" si="8">S28/R28</f>
        <v>0.16666666666666666</v>
      </c>
      <c r="V28" s="73">
        <v>306</v>
      </c>
      <c r="W28" s="73">
        <v>42</v>
      </c>
      <c r="X28" s="110">
        <f t="shared" si="7"/>
        <v>0.13725490196078433</v>
      </c>
      <c r="Z28" s="73"/>
      <c r="AA28" s="73"/>
      <c r="AB28" s="110" t="e">
        <f>AA28/Z28</f>
        <v>#DIV/0!</v>
      </c>
      <c r="AH28" s="4"/>
      <c r="AM28" s="3"/>
    </row>
    <row r="29" spans="1:64" ht="13" x14ac:dyDescent="0.3">
      <c r="A29" s="2">
        <v>2</v>
      </c>
      <c r="B29" s="73">
        <v>8</v>
      </c>
      <c r="C29">
        <v>0</v>
      </c>
      <c r="D29" s="3">
        <f>C29/B29</f>
        <v>0</v>
      </c>
      <c r="F29" s="73">
        <v>1752</v>
      </c>
      <c r="G29" s="73">
        <v>440</v>
      </c>
      <c r="H29" s="110">
        <f t="shared" si="4"/>
        <v>0.25114155251141551</v>
      </c>
      <c r="J29" s="73">
        <v>3044</v>
      </c>
      <c r="K29" s="73">
        <v>552</v>
      </c>
      <c r="L29" s="110">
        <f t="shared" si="5"/>
        <v>0.18134034165571616</v>
      </c>
      <c r="N29" s="73">
        <v>1764</v>
      </c>
      <c r="O29" s="73">
        <v>271</v>
      </c>
      <c r="P29" s="110">
        <f t="shared" si="6"/>
        <v>0.15362811791383221</v>
      </c>
      <c r="R29" s="73">
        <v>734</v>
      </c>
      <c r="S29" s="73">
        <v>120</v>
      </c>
      <c r="T29" s="110">
        <f t="shared" si="8"/>
        <v>0.16348773841961853</v>
      </c>
      <c r="V29" s="73">
        <v>2273</v>
      </c>
      <c r="W29" s="73">
        <v>261</v>
      </c>
      <c r="X29" s="110">
        <f t="shared" si="7"/>
        <v>0.11482622085349758</v>
      </c>
      <c r="Z29" s="73"/>
      <c r="AA29" s="73"/>
      <c r="AB29" s="110" t="e">
        <f>AA29/Z29</f>
        <v>#DIV/0!</v>
      </c>
      <c r="AH29" s="4"/>
      <c r="AM29" s="3"/>
    </row>
    <row r="30" spans="1:64" ht="13" x14ac:dyDescent="0.3">
      <c r="A30" s="2">
        <v>3</v>
      </c>
      <c r="B30" s="73">
        <v>9</v>
      </c>
      <c r="C30">
        <v>1</v>
      </c>
      <c r="D30" s="3">
        <f>C30/B30</f>
        <v>0.1111111111111111</v>
      </c>
      <c r="F30" s="73">
        <v>573</v>
      </c>
      <c r="G30" s="73">
        <v>228</v>
      </c>
      <c r="H30" s="110">
        <f t="shared" si="4"/>
        <v>0.39790575916230364</v>
      </c>
      <c r="J30" s="73">
        <v>426</v>
      </c>
      <c r="K30" s="73">
        <v>125</v>
      </c>
      <c r="L30" s="110">
        <f t="shared" si="5"/>
        <v>0.29342723004694837</v>
      </c>
      <c r="N30" s="73">
        <v>746</v>
      </c>
      <c r="O30" s="73">
        <v>103</v>
      </c>
      <c r="P30" s="110">
        <f t="shared" si="6"/>
        <v>0.13806970509383379</v>
      </c>
      <c r="R30" s="73">
        <v>172</v>
      </c>
      <c r="S30" s="73">
        <v>24</v>
      </c>
      <c r="T30" s="110">
        <f t="shared" si="8"/>
        <v>0.13953488372093023</v>
      </c>
      <c r="V30" s="73">
        <v>1500</v>
      </c>
      <c r="W30" s="73">
        <v>223</v>
      </c>
      <c r="X30" s="110">
        <f t="shared" si="7"/>
        <v>0.14866666666666667</v>
      </c>
      <c r="Z30" s="73"/>
      <c r="AA30" s="73"/>
      <c r="AB30" s="110"/>
      <c r="AH30" s="4"/>
      <c r="AM30" s="3"/>
    </row>
    <row r="31" spans="1:64" ht="13" x14ac:dyDescent="0.3">
      <c r="A31" s="2">
        <v>4</v>
      </c>
      <c r="B31" s="73">
        <v>0</v>
      </c>
      <c r="C31">
        <v>0</v>
      </c>
      <c r="D31" s="3"/>
      <c r="F31" s="73">
        <v>0</v>
      </c>
      <c r="G31" s="73">
        <v>0</v>
      </c>
      <c r="H31" s="110"/>
      <c r="J31" s="73">
        <v>2</v>
      </c>
      <c r="K31" s="73">
        <v>1</v>
      </c>
      <c r="L31" s="110">
        <f t="shared" si="5"/>
        <v>0.5</v>
      </c>
      <c r="N31" s="73">
        <v>0</v>
      </c>
      <c r="O31" s="73">
        <v>0</v>
      </c>
      <c r="P31" s="110">
        <v>0</v>
      </c>
      <c r="R31" s="73">
        <v>1</v>
      </c>
      <c r="S31" s="73">
        <v>0</v>
      </c>
      <c r="T31" s="110">
        <f t="shared" si="8"/>
        <v>0</v>
      </c>
      <c r="V31" s="73">
        <v>8</v>
      </c>
      <c r="W31" s="73">
        <v>1</v>
      </c>
      <c r="X31" s="110">
        <f t="shared" si="7"/>
        <v>0.125</v>
      </c>
      <c r="Z31" s="73"/>
      <c r="BL31" s="4"/>
    </row>
    <row r="32" spans="1:64" s="42" customFormat="1" ht="13" x14ac:dyDescent="0.3">
      <c r="A32" s="41">
        <v>5</v>
      </c>
      <c r="B32" s="71">
        <v>166</v>
      </c>
      <c r="C32" s="42">
        <v>33</v>
      </c>
      <c r="D32" s="216">
        <f>C32/B32</f>
        <v>0.19879518072289157</v>
      </c>
      <c r="F32" s="71">
        <v>23</v>
      </c>
      <c r="G32" s="71">
        <v>9</v>
      </c>
      <c r="H32" s="216">
        <f t="shared" si="4"/>
        <v>0.39130434782608697</v>
      </c>
      <c r="J32" s="71">
        <v>10</v>
      </c>
      <c r="K32" s="71">
        <v>2</v>
      </c>
      <c r="L32" s="110">
        <f t="shared" si="5"/>
        <v>0.2</v>
      </c>
      <c r="N32" s="71">
        <v>3</v>
      </c>
      <c r="O32" s="71">
        <v>3</v>
      </c>
      <c r="P32" s="216">
        <f t="shared" si="6"/>
        <v>1</v>
      </c>
      <c r="R32" s="71">
        <v>9</v>
      </c>
      <c r="S32" s="71">
        <v>6</v>
      </c>
      <c r="T32" s="216">
        <f t="shared" si="8"/>
        <v>0.66666666666666663</v>
      </c>
      <c r="V32" s="42">
        <v>3</v>
      </c>
      <c r="W32" s="42">
        <v>2</v>
      </c>
      <c r="X32" s="216">
        <f t="shared" si="7"/>
        <v>0.66666666666666663</v>
      </c>
      <c r="Z32" s="71">
        <v>1</v>
      </c>
      <c r="AA32" s="42">
        <v>0</v>
      </c>
      <c r="AB32" s="110">
        <f>AA32/Z32</f>
        <v>0</v>
      </c>
      <c r="AH32" s="49"/>
      <c r="BL32" s="49"/>
    </row>
    <row r="33" spans="1:64" s="41" customFormat="1" ht="13" x14ac:dyDescent="0.3">
      <c r="A33" s="41" t="s">
        <v>44</v>
      </c>
      <c r="B33" s="202">
        <f>SUM(B28:B32)</f>
        <v>183</v>
      </c>
      <c r="C33" s="41">
        <f>SUM(C28:C32)</f>
        <v>34</v>
      </c>
      <c r="D33" s="97">
        <f>C33/B33</f>
        <v>0.18579234972677597</v>
      </c>
      <c r="F33" s="202">
        <f>SUM(F28:F32)</f>
        <v>3404</v>
      </c>
      <c r="G33" s="41">
        <f>SUM(G28:G32)</f>
        <v>911</v>
      </c>
      <c r="H33" s="97">
        <f t="shared" si="4"/>
        <v>0.26762632197414804</v>
      </c>
      <c r="J33" s="202">
        <f>SUM(J28:J32)</f>
        <v>4713</v>
      </c>
      <c r="K33" s="41">
        <f>SUM(K28:K32)</f>
        <v>945</v>
      </c>
      <c r="L33" s="97">
        <f t="shared" si="5"/>
        <v>0.20050922978994271</v>
      </c>
      <c r="N33" s="202">
        <f>SUM(N28:N32)</f>
        <v>3918</v>
      </c>
      <c r="O33" s="202">
        <f>SUM(O28:O32)</f>
        <v>580</v>
      </c>
      <c r="P33" s="101">
        <f t="shared" si="6"/>
        <v>0.14803471158754467</v>
      </c>
      <c r="R33" s="202">
        <f>SUM(R28:R32)</f>
        <v>928</v>
      </c>
      <c r="S33" s="202">
        <f>SUM(S28:S32)</f>
        <v>152</v>
      </c>
      <c r="T33" s="101">
        <f t="shared" si="8"/>
        <v>0.16379310344827586</v>
      </c>
      <c r="V33" s="41">
        <f>SUM(V28:V32)</f>
        <v>4090</v>
      </c>
      <c r="W33" s="41">
        <f>SUM(W28:W32)</f>
        <v>529</v>
      </c>
      <c r="X33" s="101">
        <f t="shared" si="7"/>
        <v>0.1293398533007335</v>
      </c>
      <c r="Z33" s="202">
        <f>SUM(Z28:Z32)</f>
        <v>1</v>
      </c>
      <c r="AA33" s="41">
        <f>SUM(AA28:AA32)</f>
        <v>0</v>
      </c>
      <c r="AB33" s="101">
        <f>AA33/Z33</f>
        <v>0</v>
      </c>
      <c r="AH33" s="203"/>
      <c r="BL33" s="203"/>
    </row>
    <row r="34" spans="1:64" x14ac:dyDescent="0.25">
      <c r="BL34" s="4"/>
    </row>
    <row r="35" spans="1:64" ht="15.5" x14ac:dyDescent="0.35">
      <c r="A35" s="1" t="s">
        <v>226</v>
      </c>
      <c r="BJ35" s="14"/>
      <c r="BL35" s="4"/>
    </row>
    <row r="36" spans="1:64" ht="13" x14ac:dyDescent="0.3">
      <c r="A36" s="2"/>
      <c r="BJ36" s="14"/>
      <c r="BL36" s="4"/>
    </row>
    <row r="37" spans="1:64" ht="13" x14ac:dyDescent="0.3">
      <c r="B37" s="27" t="s">
        <v>44</v>
      </c>
      <c r="C37" s="2"/>
      <c r="D37" s="2"/>
      <c r="AT37" s="4"/>
      <c r="AU37" s="4"/>
      <c r="AV37" s="4"/>
      <c r="AW37" s="4"/>
      <c r="AX37" s="4"/>
      <c r="BJ37" s="14"/>
      <c r="BL37" s="4"/>
    </row>
    <row r="38" spans="1:64" x14ac:dyDescent="0.25">
      <c r="B38" t="s">
        <v>13</v>
      </c>
      <c r="C38" t="s">
        <v>51</v>
      </c>
      <c r="D38" t="s">
        <v>14</v>
      </c>
      <c r="AT38" s="4"/>
      <c r="AU38" s="4"/>
      <c r="AV38" s="4"/>
      <c r="AW38" s="4"/>
      <c r="AX38" s="4"/>
      <c r="BJ38" s="14"/>
      <c r="BL38" s="4"/>
    </row>
    <row r="39" spans="1:64" x14ac:dyDescent="0.25">
      <c r="A39" t="s">
        <v>31</v>
      </c>
      <c r="B39">
        <f t="shared" ref="B39:C41" si="9">B24+F24+J24+N24+R24+V24+Z24+AD24+B7+F7+J7+N7+R7+V7</f>
        <v>1317</v>
      </c>
      <c r="C39">
        <f t="shared" si="9"/>
        <v>108</v>
      </c>
      <c r="D39" s="3">
        <f t="shared" ref="D39:D46" si="10">C39/B39</f>
        <v>8.2004555808656038E-2</v>
      </c>
      <c r="K39" t="s">
        <v>174</v>
      </c>
      <c r="AT39" s="4"/>
      <c r="AU39" s="4"/>
      <c r="AV39" s="4"/>
      <c r="AW39" s="4"/>
      <c r="AX39" s="4"/>
      <c r="BJ39" s="14"/>
      <c r="BL39" s="4"/>
    </row>
    <row r="40" spans="1:64" x14ac:dyDescent="0.25">
      <c r="A40" t="s">
        <v>32</v>
      </c>
      <c r="B40">
        <f t="shared" si="9"/>
        <v>1314</v>
      </c>
      <c r="C40">
        <f t="shared" si="9"/>
        <v>83</v>
      </c>
      <c r="D40" s="3">
        <f t="shared" si="10"/>
        <v>6.3165905631659053E-2</v>
      </c>
      <c r="K40" s="15">
        <v>0.52608388431837694</v>
      </c>
      <c r="L40" t="s">
        <v>175</v>
      </c>
      <c r="AT40" s="4"/>
      <c r="AU40" s="4"/>
      <c r="AV40" s="4"/>
      <c r="AW40" s="4"/>
      <c r="AX40" s="4"/>
      <c r="BJ40" s="14"/>
      <c r="BL40" s="4"/>
    </row>
    <row r="41" spans="1:64" x14ac:dyDescent="0.25">
      <c r="A41" s="44" t="s">
        <v>45</v>
      </c>
      <c r="B41" s="44">
        <f t="shared" si="9"/>
        <v>440</v>
      </c>
      <c r="C41" s="44">
        <f t="shared" si="9"/>
        <v>35</v>
      </c>
      <c r="D41" s="3">
        <f t="shared" si="10"/>
        <v>7.9545454545454544E-2</v>
      </c>
      <c r="K41" s="15">
        <v>0.57499394253663216</v>
      </c>
      <c r="L41" t="s">
        <v>172</v>
      </c>
      <c r="AT41" s="4"/>
      <c r="AU41" s="4"/>
      <c r="AV41" s="4"/>
      <c r="AW41" s="4"/>
      <c r="AX41" s="4"/>
      <c r="BJ41" s="14"/>
      <c r="BL41" s="4"/>
    </row>
    <row r="42" spans="1:64" ht="13" x14ac:dyDescent="0.3">
      <c r="A42" s="46" t="s">
        <v>61</v>
      </c>
      <c r="B42" s="46">
        <f>SUM(B39:B41)</f>
        <v>3071</v>
      </c>
      <c r="C42" s="46">
        <f>SUM(C39:C41)</f>
        <v>226</v>
      </c>
      <c r="D42" s="67">
        <f t="shared" si="10"/>
        <v>7.3591663953109732E-2</v>
      </c>
      <c r="K42" s="15">
        <v>0.31230019265398085</v>
      </c>
      <c r="L42" t="s">
        <v>176</v>
      </c>
      <c r="AT42" s="4"/>
      <c r="AU42" s="4"/>
      <c r="AV42" s="4"/>
      <c r="AW42" s="4"/>
      <c r="AX42" s="4"/>
      <c r="BJ42" s="14"/>
      <c r="BL42" s="4"/>
    </row>
    <row r="43" spans="1:64" ht="13" x14ac:dyDescent="0.3">
      <c r="A43" s="2">
        <v>1</v>
      </c>
      <c r="B43">
        <f>B28+F28+J28+N28+R28+V28+Z28+AD28</f>
        <v>4010</v>
      </c>
      <c r="C43">
        <f>C28+G28+K28+O28+S28+W28+AA28+AE28</f>
        <v>746</v>
      </c>
      <c r="D43" s="3">
        <f t="shared" si="10"/>
        <v>0.18603491271820449</v>
      </c>
      <c r="G43" s="5">
        <f>F16+J16+N16</f>
        <v>21</v>
      </c>
      <c r="H43">
        <f>G16+K16+O16</f>
        <v>15</v>
      </c>
      <c r="AT43" s="4"/>
      <c r="AU43" s="4"/>
      <c r="AV43" s="4"/>
      <c r="AW43" s="4"/>
      <c r="AX43" s="4"/>
    </row>
    <row r="44" spans="1:64" ht="13" x14ac:dyDescent="0.3">
      <c r="A44" s="2">
        <v>2</v>
      </c>
      <c r="B44">
        <f t="shared" ref="B44:C47" si="11">B29+F29+J29+N29+R29+V29+Z29+AD29</f>
        <v>9575</v>
      </c>
      <c r="C44">
        <f t="shared" si="11"/>
        <v>1644</v>
      </c>
      <c r="D44" s="3">
        <f t="shared" si="10"/>
        <v>0.17169712793733682</v>
      </c>
      <c r="G44" s="5">
        <f>(F33*K40)+(J33*K41)+(K42*N33)</f>
        <v>5724.3281482131997</v>
      </c>
      <c r="H44" s="30">
        <f>(G33*K40)+(K33*K41)+(O33*K42)</f>
        <v>1203.7658060504677</v>
      </c>
      <c r="L44" s="3"/>
      <c r="P44" s="3"/>
      <c r="T44" s="3"/>
      <c r="AH44" s="4"/>
      <c r="AM44" s="3"/>
      <c r="AT44" s="4"/>
      <c r="AU44" s="4"/>
      <c r="AV44" s="4"/>
      <c r="AW44" s="4"/>
      <c r="AX44" s="4"/>
    </row>
    <row r="45" spans="1:64" ht="13" x14ac:dyDescent="0.3">
      <c r="A45" s="2">
        <v>3</v>
      </c>
      <c r="B45">
        <f t="shared" si="11"/>
        <v>3426</v>
      </c>
      <c r="C45">
        <f t="shared" si="11"/>
        <v>704</v>
      </c>
      <c r="D45" s="3">
        <f t="shared" si="10"/>
        <v>0.20548744892002335</v>
      </c>
      <c r="G45" s="5">
        <f>SUM(G43:G44)</f>
        <v>5745.3281482131997</v>
      </c>
      <c r="H45" s="5">
        <f>SUM(H43:H44)</f>
        <v>1218.7658060504677</v>
      </c>
      <c r="J45" s="19">
        <f>H45/G45</f>
        <v>0.21213162670778077</v>
      </c>
      <c r="K45" s="161">
        <f>1-J45</f>
        <v>0.78786837329221926</v>
      </c>
      <c r="L45" s="3"/>
      <c r="P45" s="3"/>
      <c r="T45" s="3"/>
      <c r="X45" s="3"/>
      <c r="AB45" s="3"/>
      <c r="AH45" s="4"/>
      <c r="AM45" s="3"/>
      <c r="AT45" s="4"/>
      <c r="AU45" s="4"/>
      <c r="AV45" s="4"/>
      <c r="AW45" s="4"/>
      <c r="AX45" s="4"/>
    </row>
    <row r="46" spans="1:64" ht="13" x14ac:dyDescent="0.3">
      <c r="A46" s="2">
        <v>4</v>
      </c>
      <c r="B46">
        <f t="shared" si="11"/>
        <v>11</v>
      </c>
      <c r="C46">
        <f t="shared" si="11"/>
        <v>2</v>
      </c>
      <c r="D46" s="3">
        <f t="shared" si="10"/>
        <v>0.18181818181818182</v>
      </c>
      <c r="H46" s="3"/>
      <c r="L46" s="3"/>
      <c r="P46" s="3"/>
      <c r="T46" s="3"/>
      <c r="X46" s="3"/>
      <c r="AB46" s="3"/>
      <c r="AH46" s="4"/>
      <c r="AM46" s="3"/>
      <c r="AT46" s="4"/>
      <c r="AU46" s="4"/>
      <c r="AV46" s="4"/>
      <c r="AW46" s="4"/>
      <c r="AX46" s="4"/>
    </row>
    <row r="47" spans="1:64" ht="13" x14ac:dyDescent="0.3">
      <c r="A47" s="2">
        <v>5</v>
      </c>
      <c r="B47">
        <f t="shared" si="11"/>
        <v>215</v>
      </c>
      <c r="C47">
        <f t="shared" si="11"/>
        <v>55</v>
      </c>
      <c r="D47" s="3">
        <f>C47/B47</f>
        <v>0.2558139534883721</v>
      </c>
      <c r="G47" s="5">
        <f>(F33*(1-K40))+(J33*(1-K41))+(N33*(1-K42))</f>
        <v>6310.6718517868012</v>
      </c>
      <c r="H47" s="5">
        <f>(G33*(1-K40))+(K33*(1-K41))+(O33*(1-K42))</f>
        <v>1232.2341939495323</v>
      </c>
    </row>
    <row r="48" spans="1:64" x14ac:dyDescent="0.25">
      <c r="G48">
        <f>R33</f>
        <v>928</v>
      </c>
      <c r="H48">
        <f>S33</f>
        <v>152</v>
      </c>
      <c r="P48" s="3"/>
      <c r="T48" s="3"/>
      <c r="AH48" s="4"/>
      <c r="AM48" s="3"/>
    </row>
    <row r="49" spans="1:55" ht="13" x14ac:dyDescent="0.3">
      <c r="A49" s="2" t="s">
        <v>60</v>
      </c>
      <c r="B49">
        <f>SUM(B43:B48)</f>
        <v>17237</v>
      </c>
      <c r="C49" s="5">
        <f>SUM(C43:C48)</f>
        <v>3151</v>
      </c>
      <c r="D49" s="19">
        <f>C49/B49</f>
        <v>0.18280443232581076</v>
      </c>
      <c r="G49" s="5">
        <f>SUM(G47:G48)</f>
        <v>7238.6718517868012</v>
      </c>
      <c r="H49" s="5">
        <f>SUM(H47:H48)</f>
        <v>1384.2341939495323</v>
      </c>
      <c r="J49" s="19">
        <f>H49/G49</f>
        <v>0.1912276481503781</v>
      </c>
      <c r="K49" s="161">
        <f>1-J49</f>
        <v>0.80877235184962193</v>
      </c>
    </row>
    <row r="50" spans="1:55" ht="13" x14ac:dyDescent="0.3">
      <c r="A50" s="2"/>
    </row>
    <row r="52" spans="1:55" x14ac:dyDescent="0.25">
      <c r="AV52" s="4"/>
      <c r="AW52" s="4"/>
      <c r="AX52" s="4"/>
      <c r="AY52" s="4"/>
      <c r="AZ52" s="4"/>
      <c r="BA52" s="4"/>
    </row>
    <row r="53" spans="1:55" x14ac:dyDescent="0.25">
      <c r="AV53" s="4"/>
      <c r="AW53" s="4"/>
      <c r="AX53" s="4"/>
      <c r="AY53" s="4"/>
      <c r="AZ53" s="4"/>
      <c r="BA53" s="4"/>
      <c r="BB53" s="3"/>
      <c r="BC53" s="3"/>
    </row>
    <row r="54" spans="1:55" x14ac:dyDescent="0.25">
      <c r="D54" s="3"/>
      <c r="H54" s="3"/>
      <c r="L54" s="3"/>
      <c r="P54" s="3"/>
      <c r="T54" s="3"/>
      <c r="X54" s="3"/>
      <c r="AH54" s="4"/>
      <c r="AM54" s="3"/>
      <c r="AV54" s="4"/>
      <c r="AW54" s="4"/>
      <c r="AX54" s="4"/>
      <c r="AY54" s="4"/>
      <c r="AZ54" s="4"/>
      <c r="BA54" s="4"/>
      <c r="BB54" s="3"/>
      <c r="BC54" s="3"/>
    </row>
    <row r="55" spans="1:55" x14ac:dyDescent="0.25">
      <c r="D55" s="3"/>
      <c r="H55" s="3"/>
      <c r="L55" s="3"/>
      <c r="P55" s="3"/>
      <c r="T55" s="3"/>
      <c r="X55" s="3"/>
      <c r="AB55" s="3"/>
      <c r="AH55" s="4"/>
      <c r="AM55" s="3"/>
      <c r="AV55" s="4"/>
      <c r="AW55" s="4"/>
      <c r="AX55" s="4"/>
      <c r="AY55" s="4"/>
      <c r="AZ55" s="4"/>
      <c r="BA55" s="4"/>
    </row>
    <row r="56" spans="1:55" x14ac:dyDescent="0.25">
      <c r="D56" s="3"/>
      <c r="H56" s="3"/>
      <c r="L56" s="3"/>
      <c r="P56" s="3"/>
      <c r="T56" s="3"/>
      <c r="X56" s="3"/>
      <c r="AB56" s="3"/>
      <c r="AH56" s="4"/>
      <c r="AM56" s="3"/>
      <c r="AV56" s="4"/>
      <c r="AW56" s="4"/>
      <c r="AX56" s="4"/>
      <c r="AY56" s="4"/>
      <c r="AZ56" s="4"/>
      <c r="BA56" s="4"/>
      <c r="BB56" s="3"/>
    </row>
    <row r="57" spans="1:55" x14ac:dyDescent="0.25">
      <c r="D57" s="3"/>
      <c r="H57" s="3"/>
      <c r="L57" s="3"/>
      <c r="P57" s="3"/>
      <c r="AH57" s="4"/>
      <c r="AM57" s="3"/>
      <c r="AP57" s="3"/>
      <c r="AQ57" s="3"/>
      <c r="AR57" s="3"/>
      <c r="AS57" s="3"/>
      <c r="AT57" s="3"/>
      <c r="AU57" s="3"/>
      <c r="AV57" s="3"/>
      <c r="AW57" s="3"/>
      <c r="AX57" s="3"/>
      <c r="AY57" s="3"/>
      <c r="AZ57" s="3"/>
      <c r="BA57" s="3"/>
      <c r="BB57" s="3"/>
      <c r="BC57" s="3"/>
    </row>
    <row r="58" spans="1:55" x14ac:dyDescent="0.25">
      <c r="D58" s="3"/>
      <c r="H58" s="3"/>
      <c r="L58" s="3"/>
      <c r="P58" s="3"/>
      <c r="T58" s="3"/>
      <c r="X58" s="3"/>
      <c r="AB58" s="3"/>
      <c r="AH58" s="4"/>
      <c r="AM58" s="3"/>
    </row>
    <row r="60" spans="1:55" ht="13" x14ac:dyDescent="0.3">
      <c r="A60" s="2"/>
    </row>
    <row r="64" spans="1:55" x14ac:dyDescent="0.25">
      <c r="D64" s="3"/>
      <c r="H64" s="3"/>
      <c r="L64" s="3"/>
      <c r="P64" s="3"/>
      <c r="T64" s="3"/>
      <c r="AH64" s="4"/>
      <c r="AM64" s="3"/>
    </row>
    <row r="65" spans="1:39" x14ac:dyDescent="0.25">
      <c r="D65" s="3"/>
      <c r="H65" s="3"/>
      <c r="L65" s="3"/>
      <c r="P65" s="3"/>
      <c r="T65" s="3"/>
      <c r="X65" s="3"/>
      <c r="AB65" s="3"/>
      <c r="AH65" s="4"/>
      <c r="AM65" s="3"/>
    </row>
    <row r="66" spans="1:39" x14ac:dyDescent="0.25">
      <c r="D66" s="3"/>
      <c r="H66" s="3"/>
      <c r="L66" s="3"/>
      <c r="P66" s="3"/>
      <c r="T66" s="3"/>
      <c r="X66" s="3"/>
      <c r="AB66" s="3"/>
      <c r="AH66" s="4"/>
      <c r="AM66" s="3"/>
    </row>
    <row r="67" spans="1:39" x14ac:dyDescent="0.25">
      <c r="D67" s="3"/>
    </row>
    <row r="68" spans="1:39" x14ac:dyDescent="0.25">
      <c r="D68" s="3"/>
      <c r="L68" s="3"/>
      <c r="P68" s="3"/>
      <c r="T68" s="3"/>
      <c r="X68" s="3"/>
      <c r="AB68" s="3"/>
      <c r="AH68" s="4"/>
      <c r="AM68" s="3"/>
    </row>
    <row r="70" spans="1:39" ht="13" x14ac:dyDescent="0.3">
      <c r="A70" s="2"/>
    </row>
    <row r="74" spans="1:39" x14ac:dyDescent="0.25">
      <c r="H74" s="3"/>
      <c r="L74" s="3"/>
      <c r="P74" s="3"/>
      <c r="T74" s="3"/>
      <c r="X74" s="3"/>
      <c r="AH74" s="4"/>
      <c r="AM74" s="3"/>
    </row>
    <row r="75" spans="1:39" x14ac:dyDescent="0.25">
      <c r="H75" s="3"/>
      <c r="L75" s="3"/>
      <c r="P75" s="3"/>
      <c r="T75" s="3"/>
      <c r="X75" s="3"/>
      <c r="AB75" s="3"/>
      <c r="AH75" s="4"/>
      <c r="AM75" s="3"/>
    </row>
    <row r="76" spans="1:39" x14ac:dyDescent="0.25">
      <c r="H76" s="3"/>
      <c r="L76" s="3"/>
      <c r="P76" s="3"/>
      <c r="T76" s="3"/>
      <c r="X76" s="3"/>
      <c r="AB76" s="3"/>
      <c r="AH76" s="4"/>
      <c r="AM76" s="3"/>
    </row>
    <row r="77" spans="1:39" x14ac:dyDescent="0.25">
      <c r="H77" s="3"/>
      <c r="AH77" s="4"/>
      <c r="AM77" s="3"/>
    </row>
    <row r="78" spans="1:39" x14ac:dyDescent="0.25">
      <c r="H78" s="3"/>
      <c r="L78" s="3"/>
      <c r="P78" s="3"/>
      <c r="T78" s="3"/>
      <c r="X78" s="3"/>
      <c r="AB78" s="3"/>
      <c r="AH78" s="4"/>
      <c r="AM78" s="3"/>
    </row>
    <row r="79" spans="1:39" x14ac:dyDescent="0.25">
      <c r="H79" s="3"/>
      <c r="L79" s="3"/>
      <c r="P79" s="3"/>
      <c r="T79" s="3"/>
      <c r="X79" s="3"/>
      <c r="AB79" s="3"/>
      <c r="AH79" s="4"/>
      <c r="AM79" s="3"/>
    </row>
    <row r="83" spans="4:32" x14ac:dyDescent="0.25">
      <c r="D83" s="3"/>
      <c r="H83" s="3"/>
      <c r="L83" s="3"/>
      <c r="P83" s="3"/>
      <c r="T83" s="3"/>
      <c r="X83" s="3"/>
    </row>
    <row r="84" spans="4:32" x14ac:dyDescent="0.25">
      <c r="D84" s="3"/>
      <c r="H84" s="3"/>
      <c r="L84" s="3"/>
      <c r="P84" s="3"/>
      <c r="T84" s="3"/>
      <c r="X84" s="3"/>
      <c r="AB84" s="3"/>
      <c r="AF84" s="3"/>
    </row>
    <row r="85" spans="4:32" x14ac:dyDescent="0.25">
      <c r="D85" s="3"/>
      <c r="H85" s="3"/>
      <c r="L85" s="3"/>
      <c r="P85" s="3"/>
      <c r="T85" s="3"/>
      <c r="X85" s="3"/>
      <c r="AB85" s="3"/>
      <c r="AF85" s="3"/>
    </row>
    <row r="86" spans="4:32" x14ac:dyDescent="0.25">
      <c r="D86" s="3"/>
      <c r="H86" s="3"/>
      <c r="P86" s="3"/>
    </row>
    <row r="87" spans="4:32" x14ac:dyDescent="0.25">
      <c r="D87" s="3"/>
      <c r="H87" s="3"/>
      <c r="L87" s="3"/>
      <c r="P87" s="3"/>
      <c r="T87" s="3"/>
      <c r="X87" s="3"/>
      <c r="AB87" s="3"/>
    </row>
  </sheetData>
  <phoneticPr fontId="4" type="noConversion"/>
  <pageMargins left="0.75" right="0.75" top="1" bottom="1" header="0.5" footer="0.5"/>
  <pageSetup orientation="portrait" r:id="rId1"/>
  <headerFooter alignWithMargins="0"/>
  <drawing r:id="rId2"/>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O24"/>
  <sheetViews>
    <sheetView zoomScale="75" workbookViewId="0">
      <selection activeCell="I30" sqref="I30"/>
    </sheetView>
  </sheetViews>
  <sheetFormatPr defaultRowHeight="12.5" x14ac:dyDescent="0.25"/>
  <cols>
    <col min="1" max="1" width="3" style="44" customWidth="1"/>
    <col min="2" max="2" width="14.26953125" customWidth="1"/>
    <col min="3" max="3" width="14.453125" style="31" bestFit="1" customWidth="1"/>
    <col min="4" max="4" width="13" customWidth="1"/>
    <col min="5" max="5" width="10" customWidth="1"/>
    <col min="6" max="6" width="10.453125" customWidth="1"/>
    <col min="7" max="7" width="14.81640625" bestFit="1" customWidth="1"/>
    <col min="8" max="8" width="14.453125" bestFit="1" customWidth="1"/>
    <col min="9" max="9" width="11.54296875" customWidth="1"/>
    <col min="10" max="10" width="10" customWidth="1"/>
  </cols>
  <sheetData>
    <row r="1" spans="1:11" ht="13.5" thickBot="1" x14ac:dyDescent="0.35">
      <c r="D1" s="151"/>
      <c r="E1" s="151"/>
      <c r="F1" s="151"/>
      <c r="G1" s="151"/>
      <c r="H1" s="151"/>
      <c r="I1" s="151"/>
      <c r="J1" s="151"/>
    </row>
    <row r="2" spans="1:11" ht="13.5" thickBot="1" x14ac:dyDescent="0.35">
      <c r="B2" s="941" t="s">
        <v>199</v>
      </c>
      <c r="C2" s="942"/>
      <c r="D2" s="942"/>
      <c r="E2" s="943"/>
      <c r="F2" s="921" t="s">
        <v>199</v>
      </c>
      <c r="G2" s="922"/>
      <c r="H2" s="922"/>
      <c r="I2" s="923"/>
      <c r="J2" s="2"/>
    </row>
    <row r="3" spans="1:11" ht="13" x14ac:dyDescent="0.3">
      <c r="A3" s="207"/>
      <c r="B3" s="256" t="s">
        <v>198</v>
      </c>
      <c r="C3" s="257" t="s">
        <v>177</v>
      </c>
      <c r="D3" s="257" t="s">
        <v>94</v>
      </c>
      <c r="E3" s="258" t="s">
        <v>184</v>
      </c>
      <c r="F3" s="248" t="s">
        <v>200</v>
      </c>
      <c r="G3" s="249" t="s">
        <v>177</v>
      </c>
      <c r="H3" s="249" t="s">
        <v>94</v>
      </c>
      <c r="I3" s="250" t="s">
        <v>184</v>
      </c>
      <c r="J3" s="19"/>
    </row>
    <row r="4" spans="1:11" ht="13" x14ac:dyDescent="0.3">
      <c r="A4" s="207"/>
      <c r="B4" s="259" t="s">
        <v>160</v>
      </c>
      <c r="C4" s="257">
        <v>331419</v>
      </c>
      <c r="D4" s="257">
        <v>91115</v>
      </c>
      <c r="E4" s="260">
        <f>D4+C4</f>
        <v>422534</v>
      </c>
      <c r="F4" s="251" t="s">
        <v>160</v>
      </c>
      <c r="G4" s="249">
        <v>225699</v>
      </c>
      <c r="H4" s="249">
        <v>62138</v>
      </c>
      <c r="I4" s="252">
        <f>H4+G4</f>
        <v>287837</v>
      </c>
      <c r="J4" s="19"/>
    </row>
    <row r="5" spans="1:11" ht="13" x14ac:dyDescent="0.3">
      <c r="A5" s="207"/>
      <c r="B5" s="259" t="s">
        <v>161</v>
      </c>
      <c r="C5" s="257">
        <v>116223</v>
      </c>
      <c r="D5" s="257">
        <v>23852</v>
      </c>
      <c r="E5" s="260">
        <f>D5+C5</f>
        <v>140075</v>
      </c>
      <c r="F5" s="251" t="s">
        <v>161</v>
      </c>
      <c r="G5" s="249">
        <v>157940</v>
      </c>
      <c r="H5" s="249">
        <v>32315</v>
      </c>
      <c r="I5" s="252">
        <f>H5+G5</f>
        <v>190255</v>
      </c>
      <c r="J5" s="19"/>
    </row>
    <row r="6" spans="1:11" ht="13.5" thickBot="1" x14ac:dyDescent="0.35">
      <c r="A6" s="207"/>
      <c r="B6" s="261" t="s">
        <v>44</v>
      </c>
      <c r="C6" s="262">
        <v>267247</v>
      </c>
      <c r="D6" s="262">
        <v>99672</v>
      </c>
      <c r="E6" s="260">
        <f>D6+C6</f>
        <v>366919</v>
      </c>
      <c r="F6" s="253" t="s">
        <v>44</v>
      </c>
      <c r="G6" s="254">
        <f>G5+G4</f>
        <v>383639</v>
      </c>
      <c r="H6" s="254">
        <f>H5+H4</f>
        <v>94453</v>
      </c>
      <c r="I6" s="255">
        <f>H6+G6</f>
        <v>478092</v>
      </c>
      <c r="J6" s="224"/>
    </row>
    <row r="7" spans="1:11" ht="13" x14ac:dyDescent="0.3">
      <c r="A7" s="207"/>
      <c r="B7" s="209"/>
      <c r="C7" s="210" t="s">
        <v>167</v>
      </c>
      <c r="D7" s="924" t="s">
        <v>164</v>
      </c>
      <c r="E7" s="925"/>
      <c r="F7" s="926"/>
      <c r="G7" s="924" t="s">
        <v>94</v>
      </c>
      <c r="H7" s="925"/>
      <c r="I7" s="926"/>
      <c r="J7" s="19"/>
    </row>
    <row r="8" spans="1:11" ht="13" x14ac:dyDescent="0.3">
      <c r="B8" s="211" t="s">
        <v>162</v>
      </c>
      <c r="C8" s="212" t="s">
        <v>163</v>
      </c>
      <c r="D8" s="211" t="s">
        <v>131</v>
      </c>
      <c r="E8" s="208" t="s">
        <v>165</v>
      </c>
      <c r="F8" s="263" t="s">
        <v>166</v>
      </c>
      <c r="G8" s="211" t="s">
        <v>213</v>
      </c>
      <c r="H8" s="208" t="s">
        <v>165</v>
      </c>
      <c r="I8" s="263" t="s">
        <v>166</v>
      </c>
    </row>
    <row r="9" spans="1:11" ht="15" x14ac:dyDescent="0.3">
      <c r="B9" s="211" t="s">
        <v>211</v>
      </c>
      <c r="C9" s="305">
        <v>39349</v>
      </c>
      <c r="D9" s="306">
        <f>'2007 Comm Catch'!J75</f>
        <v>10516</v>
      </c>
      <c r="E9" s="275">
        <f>'2007 Comm Catch'!G75</f>
        <v>10516</v>
      </c>
      <c r="F9" s="307">
        <f>'2007 Comm Catch'!H75</f>
        <v>0</v>
      </c>
      <c r="G9" s="310">
        <f>'2007 Comm Catch'!J59</f>
        <v>78.955612317762828</v>
      </c>
      <c r="H9" s="311">
        <f>'2007 Comm Catch'!G59</f>
        <v>78.955612317762828</v>
      </c>
      <c r="I9" s="307">
        <f>'2007 Comm Catch'!H59</f>
        <v>0</v>
      </c>
      <c r="J9" s="3">
        <f>G9/$H$6</f>
        <v>8.3592487605224641E-4</v>
      </c>
      <c r="K9" s="6"/>
    </row>
    <row r="10" spans="1:11" ht="13" x14ac:dyDescent="0.3">
      <c r="A10" s="207"/>
      <c r="B10" s="211" t="s">
        <v>123</v>
      </c>
      <c r="C10" s="305">
        <v>39351</v>
      </c>
      <c r="D10" s="306">
        <f>'2007 Comm Catch'!J81</f>
        <v>30193</v>
      </c>
      <c r="E10" s="275">
        <f>'2007 Comm Catch'!G81</f>
        <v>7910</v>
      </c>
      <c r="F10" s="307">
        <f>'2007 Comm Catch'!H81</f>
        <v>22283</v>
      </c>
      <c r="G10" s="310">
        <f>'2007 Comm Catch'!J65</f>
        <v>5544.7946647318186</v>
      </c>
      <c r="H10" s="311">
        <f>'2007 Comm Catch'!G65</f>
        <v>1791.0324731551309</v>
      </c>
      <c r="I10" s="215">
        <f>'2007 Comm Catch'!H65</f>
        <v>3753.7621915766877</v>
      </c>
      <c r="J10" s="3">
        <f>G10/$H$6</f>
        <v>5.8704272651284965E-2</v>
      </c>
      <c r="K10" s="6"/>
    </row>
    <row r="11" spans="1:11" ht="13" x14ac:dyDescent="0.3">
      <c r="A11" s="214"/>
      <c r="B11" s="211" t="s">
        <v>168</v>
      </c>
      <c r="C11" s="305">
        <v>39351</v>
      </c>
      <c r="D11" s="346">
        <f>'2007 B10 and MS Rec'!D16</f>
        <v>8265.1583832450124</v>
      </c>
      <c r="E11" s="102">
        <f>'2007 B10 and MS Rec'!B16</f>
        <v>8149.6583832450133</v>
      </c>
      <c r="F11" s="347">
        <f>'2007 B10 and MS Rec'!C16</f>
        <v>115.5</v>
      </c>
      <c r="G11" s="310">
        <f>H11+I11</f>
        <v>612</v>
      </c>
      <c r="H11" s="311">
        <v>484</v>
      </c>
      <c r="I11" s="215">
        <v>128</v>
      </c>
      <c r="J11" s="3">
        <f>G11/$H$6</f>
        <v>6.479413041406837E-3</v>
      </c>
      <c r="K11" s="6"/>
    </row>
    <row r="12" spans="1:11" ht="13" x14ac:dyDescent="0.3">
      <c r="A12" s="207"/>
      <c r="B12" s="211" t="s">
        <v>169</v>
      </c>
      <c r="C12" s="305">
        <f>C11</f>
        <v>39351</v>
      </c>
      <c r="D12" s="310">
        <f>'2007 B10 and MS Rec'!D23</f>
        <v>881</v>
      </c>
      <c r="E12" s="308"/>
      <c r="F12" s="309"/>
      <c r="G12" s="310">
        <f>H12+I12</f>
        <v>43</v>
      </c>
      <c r="H12" s="311">
        <v>37</v>
      </c>
      <c r="I12" s="349">
        <v>6</v>
      </c>
      <c r="J12" s="3">
        <f>G12/$H$6</f>
        <v>4.5525287709231047E-4</v>
      </c>
      <c r="K12" s="6"/>
    </row>
    <row r="13" spans="1:11" ht="13" x14ac:dyDescent="0.3">
      <c r="A13" s="207"/>
      <c r="B13" s="211"/>
      <c r="C13" s="212"/>
      <c r="D13" s="211"/>
      <c r="E13" s="46"/>
      <c r="F13" s="212"/>
      <c r="G13" s="211"/>
      <c r="H13" s="46"/>
      <c r="I13" s="212"/>
      <c r="J13" s="46"/>
    </row>
    <row r="14" spans="1:11" ht="13.5" thickBot="1" x14ac:dyDescent="0.35">
      <c r="A14" s="207"/>
      <c r="B14" s="266" t="s">
        <v>173</v>
      </c>
      <c r="C14" s="212" t="s">
        <v>131</v>
      </c>
      <c r="D14" s="265">
        <f t="shared" ref="D14:I14" si="0">SUM(D9:D13)</f>
        <v>49855.158383245012</v>
      </c>
      <c r="E14" s="213">
        <f t="shared" si="0"/>
        <v>26575.658383245012</v>
      </c>
      <c r="F14" s="307">
        <f t="shared" si="0"/>
        <v>22398.5</v>
      </c>
      <c r="G14" s="265">
        <f t="shared" si="0"/>
        <v>6278.7502770495812</v>
      </c>
      <c r="H14" s="213">
        <f t="shared" si="0"/>
        <v>2390.9880854728935</v>
      </c>
      <c r="I14" s="215">
        <f t="shared" si="0"/>
        <v>3887.7621915766877</v>
      </c>
      <c r="J14" s="46"/>
    </row>
    <row r="15" spans="1:11" ht="13.5" thickBot="1" x14ac:dyDescent="0.35">
      <c r="A15" s="207"/>
      <c r="B15" s="267" t="s">
        <v>173</v>
      </c>
      <c r="C15" s="322" t="s">
        <v>202</v>
      </c>
      <c r="D15" s="314">
        <f>D14/I6</f>
        <v>0.10427942400886234</v>
      </c>
      <c r="E15" s="312">
        <f>E14/I4</f>
        <v>9.2328847171298384E-2</v>
      </c>
      <c r="F15" s="313">
        <f>F14/I5</f>
        <v>0.11772883761267772</v>
      </c>
      <c r="G15" s="319">
        <f>G14/H6</f>
        <v>6.6474863445836349E-2</v>
      </c>
      <c r="H15" s="312">
        <f>H14/H4</f>
        <v>3.8478677869788112E-2</v>
      </c>
      <c r="I15" s="313">
        <f>I14/H5</f>
        <v>0.12030828381793865</v>
      </c>
      <c r="J15" s="178"/>
    </row>
    <row r="16" spans="1:11" ht="13" x14ac:dyDescent="0.3">
      <c r="A16" s="207"/>
      <c r="B16" s="268"/>
      <c r="C16" s="206">
        <v>0.13300000000000001</v>
      </c>
      <c r="D16" s="269"/>
      <c r="E16" s="269"/>
      <c r="F16" s="269"/>
      <c r="G16" s="269"/>
      <c r="H16" s="269"/>
      <c r="I16" s="270"/>
      <c r="J16" s="46"/>
    </row>
    <row r="17" spans="1:15" ht="13.5" thickBot="1" x14ac:dyDescent="0.35">
      <c r="B17" s="266" t="s">
        <v>201</v>
      </c>
      <c r="C17" s="46" t="s">
        <v>131</v>
      </c>
      <c r="D17" s="70">
        <f>E17+F17</f>
        <v>182026</v>
      </c>
      <c r="E17" s="70">
        <v>96992</v>
      </c>
      <c r="F17" s="70">
        <v>85034</v>
      </c>
      <c r="G17" s="70">
        <f>H17+I17</f>
        <v>11900</v>
      </c>
      <c r="H17" s="70">
        <v>7455</v>
      </c>
      <c r="I17" s="70">
        <v>4445</v>
      </c>
      <c r="J17" s="46"/>
    </row>
    <row r="18" spans="1:15" s="205" customFormat="1" ht="13.5" thickBot="1" x14ac:dyDescent="0.35">
      <c r="A18" s="44"/>
      <c r="B18" s="267" t="s">
        <v>201</v>
      </c>
      <c r="C18" s="323" t="s">
        <v>202</v>
      </c>
      <c r="D18" s="312">
        <f>D17/I6</f>
        <v>0.38073425198497363</v>
      </c>
      <c r="E18" s="312">
        <f>E17/I4</f>
        <v>0.33696849258434464</v>
      </c>
      <c r="F18" s="312">
        <f>F17/I5</f>
        <v>0.4469475178050511</v>
      </c>
      <c r="G18" s="319">
        <f>G17/H6</f>
        <v>0.12598858691624407</v>
      </c>
      <c r="H18" s="312">
        <f>H17/H4</f>
        <v>0.11997489458946216</v>
      </c>
      <c r="I18" s="313">
        <f>I17/H5</f>
        <v>0.13755222033111558</v>
      </c>
      <c r="J18" s="213"/>
      <c r="K18"/>
      <c r="L18"/>
      <c r="M18"/>
      <c r="N18"/>
      <c r="O18"/>
    </row>
    <row r="19" spans="1:15" s="205" customFormat="1" ht="13" x14ac:dyDescent="0.3">
      <c r="A19" s="44"/>
      <c r="B19" s="268"/>
      <c r="C19" s="206"/>
      <c r="D19" s="269"/>
      <c r="E19" s="269"/>
      <c r="F19" s="269"/>
      <c r="G19" s="269"/>
      <c r="H19" s="269"/>
      <c r="I19" s="270"/>
      <c r="J19" s="46"/>
      <c r="K19"/>
      <c r="L19"/>
      <c r="M19"/>
      <c r="N19"/>
      <c r="O19"/>
    </row>
    <row r="20" spans="1:15" s="205" customFormat="1" ht="13.5" thickBot="1" x14ac:dyDescent="0.35">
      <c r="A20" s="44"/>
      <c r="B20" s="315" t="s">
        <v>164</v>
      </c>
      <c r="C20" s="316" t="s">
        <v>131</v>
      </c>
      <c r="D20" s="70">
        <f t="shared" ref="D20:I20" si="1">D17+D14</f>
        <v>231881.158383245</v>
      </c>
      <c r="E20" s="70">
        <f t="shared" si="1"/>
        <v>123567.65838324501</v>
      </c>
      <c r="F20" s="70">
        <f t="shared" si="1"/>
        <v>107432.5</v>
      </c>
      <c r="G20" s="70">
        <f t="shared" si="1"/>
        <v>18178.750277049581</v>
      </c>
      <c r="H20" s="70">
        <f t="shared" si="1"/>
        <v>9845.9880854728945</v>
      </c>
      <c r="I20" s="264">
        <f t="shared" si="1"/>
        <v>8332.7621915766867</v>
      </c>
      <c r="J20" s="46"/>
      <c r="K20"/>
      <c r="L20"/>
      <c r="M20"/>
      <c r="N20"/>
      <c r="O20"/>
    </row>
    <row r="21" spans="1:15" s="205" customFormat="1" ht="13.5" thickBot="1" x14ac:dyDescent="0.35">
      <c r="A21" s="44"/>
      <c r="B21" s="317" t="s">
        <v>164</v>
      </c>
      <c r="C21" s="323" t="s">
        <v>202</v>
      </c>
      <c r="D21" s="312">
        <f>D20/E6</f>
        <v>0.63196825016759828</v>
      </c>
      <c r="E21" s="312">
        <f>E20/E4</f>
        <v>0.29244429651399656</v>
      </c>
      <c r="F21" s="312">
        <f>F20/E5</f>
        <v>0.76696412636087807</v>
      </c>
      <c r="G21" s="348">
        <f>G18+G15</f>
        <v>0.1924634503620804</v>
      </c>
      <c r="H21" s="320">
        <f>H18+H15</f>
        <v>0.15845357245925026</v>
      </c>
      <c r="I21" s="321">
        <f>I18+I15</f>
        <v>0.25786050414905426</v>
      </c>
      <c r="J21" s="46"/>
      <c r="K21"/>
      <c r="L21"/>
      <c r="M21"/>
      <c r="N21"/>
      <c r="O21"/>
    </row>
    <row r="22" spans="1:15" s="205" customFormat="1" ht="13" x14ac:dyDescent="0.3">
      <c r="A22" s="44"/>
      <c r="B22" s="318" t="s">
        <v>212</v>
      </c>
      <c r="C22" s="31"/>
      <c r="D22"/>
      <c r="E22"/>
      <c r="F22"/>
      <c r="G22"/>
      <c r="H22"/>
      <c r="I22"/>
      <c r="J22" s="46"/>
      <c r="K22"/>
      <c r="L22"/>
      <c r="M22"/>
      <c r="N22"/>
      <c r="O22"/>
    </row>
    <row r="23" spans="1:15" s="205" customFormat="1" ht="13" x14ac:dyDescent="0.3">
      <c r="A23" s="44"/>
      <c r="B23"/>
      <c r="C23" s="31"/>
      <c r="D23"/>
      <c r="E23"/>
      <c r="F23" t="s">
        <v>225</v>
      </c>
      <c r="G23" s="26">
        <f>20%-G21</f>
        <v>7.5365496379196095E-3</v>
      </c>
      <c r="H23"/>
      <c r="I23"/>
      <c r="J23" s="46"/>
      <c r="K23"/>
      <c r="L23"/>
      <c r="M23"/>
      <c r="N23"/>
      <c r="O23"/>
    </row>
    <row r="24" spans="1:15" s="205" customFormat="1" x14ac:dyDescent="0.25">
      <c r="A24" s="44"/>
      <c r="B24"/>
      <c r="C24" s="31"/>
      <c r="D24"/>
      <c r="E24"/>
      <c r="F24"/>
      <c r="G24"/>
      <c r="H24"/>
      <c r="I24"/>
      <c r="J24" s="44"/>
      <c r="K24"/>
      <c r="L24"/>
      <c r="M24"/>
      <c r="N24"/>
      <c r="O24"/>
    </row>
  </sheetData>
  <mergeCells count="4">
    <mergeCell ref="B2:E2"/>
    <mergeCell ref="F2:I2"/>
    <mergeCell ref="D7:F7"/>
    <mergeCell ref="G7:I7"/>
  </mergeCells>
  <phoneticPr fontId="4" type="noConversion"/>
  <pageMargins left="0.75" right="0.75" top="1" bottom="1" header="0.5" footer="0.5"/>
  <pageSetup orientation="portrait" horizontalDpi="4294967293" verticalDpi="300" r:id="rId1"/>
  <headerFooter alignWithMargins="0"/>
  <legacyDrawing r:id="rId2"/>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P23"/>
  <sheetViews>
    <sheetView workbookViewId="0">
      <selection activeCell="I30" sqref="I30"/>
    </sheetView>
  </sheetViews>
  <sheetFormatPr defaultRowHeight="12.5" x14ac:dyDescent="0.25"/>
  <cols>
    <col min="1" max="1" width="11" style="32" bestFit="1" customWidth="1"/>
    <col min="2" max="4" width="6.1796875" style="32" bestFit="1" customWidth="1"/>
    <col min="5" max="6" width="6.1796875" style="32" customWidth="1"/>
    <col min="7" max="7" width="5.54296875" style="32" bestFit="1" customWidth="1"/>
    <col min="8" max="8" width="5" style="32" bestFit="1" customWidth="1"/>
    <col min="9" max="9" width="5.54296875" style="32" bestFit="1" customWidth="1"/>
    <col min="10" max="10" width="3" customWidth="1"/>
    <col min="11" max="11" width="7.26953125" style="32" bestFit="1" customWidth="1"/>
    <col min="12" max="12" width="6.453125" bestFit="1" customWidth="1"/>
    <col min="14" max="14" width="15.453125" bestFit="1" customWidth="1"/>
    <col min="15" max="15" width="15.453125" customWidth="1"/>
    <col min="16" max="16" width="14.1796875" customWidth="1"/>
  </cols>
  <sheetData>
    <row r="1" spans="1:16" ht="13" x14ac:dyDescent="0.3">
      <c r="B1" s="944" t="s">
        <v>44</v>
      </c>
      <c r="C1" s="945"/>
      <c r="D1" s="946"/>
      <c r="E1" s="944" t="s">
        <v>215</v>
      </c>
      <c r="F1" s="946"/>
      <c r="G1" s="944" t="s">
        <v>238</v>
      </c>
      <c r="H1" s="945"/>
      <c r="I1" s="946"/>
      <c r="K1" s="34">
        <v>2008</v>
      </c>
      <c r="N1" s="947" t="s">
        <v>256</v>
      </c>
      <c r="O1" s="948"/>
      <c r="P1" s="949"/>
    </row>
    <row r="2" spans="1:16" ht="13" x14ac:dyDescent="0.3">
      <c r="A2" s="362" t="s">
        <v>168</v>
      </c>
      <c r="B2" s="363" t="s">
        <v>160</v>
      </c>
      <c r="C2" s="364" t="s">
        <v>161</v>
      </c>
      <c r="D2" s="365" t="s">
        <v>44</v>
      </c>
      <c r="E2" s="363" t="s">
        <v>160</v>
      </c>
      <c r="F2" s="364" t="s">
        <v>161</v>
      </c>
      <c r="G2" s="363"/>
      <c r="H2" s="364"/>
      <c r="I2" s="365"/>
      <c r="K2" s="386" t="s">
        <v>174</v>
      </c>
      <c r="L2" s="330"/>
      <c r="N2" s="128" t="s">
        <v>234</v>
      </c>
      <c r="O2" s="44" t="s">
        <v>248</v>
      </c>
      <c r="P2" s="130" t="s">
        <v>235</v>
      </c>
    </row>
    <row r="3" spans="1:16" ht="13" x14ac:dyDescent="0.3">
      <c r="A3" s="366" t="s">
        <v>134</v>
      </c>
      <c r="B3" s="367" t="s">
        <v>131</v>
      </c>
      <c r="C3" s="175" t="s">
        <v>131</v>
      </c>
      <c r="D3" s="368" t="s">
        <v>131</v>
      </c>
      <c r="E3" s="367" t="s">
        <v>131</v>
      </c>
      <c r="F3" s="175" t="s">
        <v>131</v>
      </c>
      <c r="G3" s="367" t="s">
        <v>160</v>
      </c>
      <c r="H3" s="175" t="s">
        <v>161</v>
      </c>
      <c r="I3" s="368" t="s">
        <v>44</v>
      </c>
      <c r="K3" s="387">
        <v>1</v>
      </c>
      <c r="L3" s="277" t="s">
        <v>206</v>
      </c>
      <c r="N3" s="128">
        <v>33048</v>
      </c>
      <c r="O3" s="44">
        <v>181660</v>
      </c>
      <c r="P3" s="356">
        <v>6948</v>
      </c>
    </row>
    <row r="4" spans="1:16" ht="13" x14ac:dyDescent="0.3">
      <c r="A4" s="369">
        <v>31</v>
      </c>
      <c r="B4" s="370">
        <v>0</v>
      </c>
      <c r="C4" s="371">
        <v>0</v>
      </c>
      <c r="D4" s="372">
        <f t="shared" ref="D4:D12" si="0">C4+B4</f>
        <v>0</v>
      </c>
      <c r="E4" s="371">
        <v>0</v>
      </c>
      <c r="F4" s="371">
        <v>0</v>
      </c>
      <c r="G4" s="373">
        <f>((E4/$N$10)*$P$10)*0.22</f>
        <v>0</v>
      </c>
      <c r="H4" s="373">
        <f>((F4/$N$13)*$P$13)*0.22</f>
        <v>0</v>
      </c>
      <c r="I4" s="372">
        <f>H4+G4</f>
        <v>0</v>
      </c>
      <c r="K4" s="279">
        <v>0.5</v>
      </c>
      <c r="L4" s="130" t="s">
        <v>204</v>
      </c>
      <c r="N4" s="128"/>
      <c r="O4" s="44"/>
      <c r="P4" s="130"/>
    </row>
    <row r="5" spans="1:16" ht="13" x14ac:dyDescent="0.3">
      <c r="A5" s="369">
        <v>32</v>
      </c>
      <c r="B5" s="370">
        <v>0</v>
      </c>
      <c r="C5" s="371">
        <v>0</v>
      </c>
      <c r="D5" s="372">
        <f t="shared" si="0"/>
        <v>0</v>
      </c>
      <c r="E5" s="371">
        <v>0</v>
      </c>
      <c r="F5" s="371">
        <v>0</v>
      </c>
      <c r="G5" s="373">
        <f t="shared" ref="G5:G15" si="1">((E5/$N$10)*$P$10)*0.22</f>
        <v>0</v>
      </c>
      <c r="H5" s="373">
        <f t="shared" ref="H5:H15" si="2">((F5/$N$13)*$P$13)*0.22</f>
        <v>0</v>
      </c>
      <c r="I5" s="372">
        <f t="shared" ref="I5:I15" si="3">H5+G5</f>
        <v>0</v>
      </c>
      <c r="K5" s="279">
        <v>0.5</v>
      </c>
      <c r="L5" s="130" t="s">
        <v>175</v>
      </c>
      <c r="N5" s="128" t="s">
        <v>236</v>
      </c>
      <c r="O5" s="44" t="s">
        <v>249</v>
      </c>
      <c r="P5" s="130" t="s">
        <v>237</v>
      </c>
    </row>
    <row r="6" spans="1:16" ht="13" x14ac:dyDescent="0.3">
      <c r="A6" s="369">
        <v>33</v>
      </c>
      <c r="B6" s="370">
        <v>236</v>
      </c>
      <c r="C6" s="371">
        <v>0</v>
      </c>
      <c r="D6" s="372">
        <f t="shared" si="0"/>
        <v>236</v>
      </c>
      <c r="E6" s="371">
        <f>(B6/0.669)-B6</f>
        <v>116.76532137518683</v>
      </c>
      <c r="F6" s="371">
        <v>0</v>
      </c>
      <c r="G6" s="373">
        <f t="shared" si="1"/>
        <v>5.409642195035155</v>
      </c>
      <c r="H6" s="373">
        <f t="shared" si="2"/>
        <v>0</v>
      </c>
      <c r="I6" s="372">
        <f t="shared" si="3"/>
        <v>5.409642195035155</v>
      </c>
      <c r="K6" s="279">
        <v>0.5</v>
      </c>
      <c r="L6" s="130" t="s">
        <v>172</v>
      </c>
      <c r="N6" s="274">
        <v>20662</v>
      </c>
      <c r="O6" s="42">
        <v>65341</v>
      </c>
      <c r="P6" s="134">
        <v>6152</v>
      </c>
    </row>
    <row r="7" spans="1:16" ht="13" x14ac:dyDescent="0.3">
      <c r="A7" s="369">
        <v>34</v>
      </c>
      <c r="B7" s="370">
        <v>2560</v>
      </c>
      <c r="C7" s="371">
        <v>0</v>
      </c>
      <c r="D7" s="372">
        <f t="shared" si="0"/>
        <v>2560</v>
      </c>
      <c r="E7" s="371">
        <f>(B7/0.669)-B7</f>
        <v>1266.6068759342302</v>
      </c>
      <c r="F7" s="371">
        <v>0</v>
      </c>
      <c r="G7" s="373">
        <f t="shared" si="1"/>
        <v>58.680864488516939</v>
      </c>
      <c r="H7" s="373">
        <f t="shared" si="2"/>
        <v>0</v>
      </c>
      <c r="I7" s="372">
        <f t="shared" si="3"/>
        <v>58.680864488516939</v>
      </c>
      <c r="K7" s="279">
        <v>0</v>
      </c>
      <c r="L7" s="130" t="s">
        <v>176</v>
      </c>
    </row>
    <row r="8" spans="1:16" ht="13" x14ac:dyDescent="0.3">
      <c r="A8" s="369">
        <v>35</v>
      </c>
      <c r="B8" s="370"/>
      <c r="C8" s="371">
        <v>0</v>
      </c>
      <c r="D8" s="372">
        <f t="shared" si="0"/>
        <v>0</v>
      </c>
      <c r="E8" s="371"/>
      <c r="F8" s="371">
        <v>0</v>
      </c>
      <c r="G8" s="373">
        <f t="shared" si="1"/>
        <v>0</v>
      </c>
      <c r="H8" s="373">
        <f t="shared" si="2"/>
        <v>0</v>
      </c>
      <c r="I8" s="372">
        <f t="shared" si="3"/>
        <v>0</v>
      </c>
      <c r="K8" s="388">
        <v>0</v>
      </c>
      <c r="L8" s="134" t="s">
        <v>205</v>
      </c>
      <c r="N8" s="947" t="s">
        <v>246</v>
      </c>
      <c r="O8" s="948"/>
      <c r="P8" s="949"/>
    </row>
    <row r="9" spans="1:16" ht="13" x14ac:dyDescent="0.3">
      <c r="A9" s="369">
        <v>36</v>
      </c>
      <c r="B9" s="370"/>
      <c r="C9" s="371">
        <v>0</v>
      </c>
      <c r="D9" s="372">
        <f t="shared" si="0"/>
        <v>0</v>
      </c>
      <c r="E9" s="371"/>
      <c r="F9" s="371">
        <v>0</v>
      </c>
      <c r="G9" s="373">
        <f t="shared" si="1"/>
        <v>0</v>
      </c>
      <c r="H9" s="373">
        <f t="shared" si="2"/>
        <v>0</v>
      </c>
      <c r="I9" s="372">
        <f t="shared" si="3"/>
        <v>0</v>
      </c>
      <c r="N9" s="128" t="s">
        <v>234</v>
      </c>
      <c r="O9" s="44" t="s">
        <v>248</v>
      </c>
      <c r="P9" s="130" t="s">
        <v>235</v>
      </c>
    </row>
    <row r="10" spans="1:16" ht="13" x14ac:dyDescent="0.3">
      <c r="A10" s="369">
        <v>37</v>
      </c>
      <c r="B10" s="370"/>
      <c r="C10" s="371">
        <v>0</v>
      </c>
      <c r="D10" s="372">
        <f t="shared" si="0"/>
        <v>0</v>
      </c>
      <c r="E10" s="371"/>
      <c r="F10" s="371">
        <v>0</v>
      </c>
      <c r="G10" s="373">
        <f t="shared" si="1"/>
        <v>0</v>
      </c>
      <c r="H10" s="373">
        <f t="shared" si="2"/>
        <v>0</v>
      </c>
      <c r="I10" s="372">
        <f t="shared" si="3"/>
        <v>0</v>
      </c>
      <c r="N10" s="354">
        <v>31982</v>
      </c>
      <c r="O10" s="44">
        <v>161382</v>
      </c>
      <c r="P10" s="130">
        <v>6735</v>
      </c>
    </row>
    <row r="11" spans="1:16" ht="13" x14ac:dyDescent="0.3">
      <c r="A11" s="369">
        <v>38</v>
      </c>
      <c r="B11" s="370"/>
      <c r="C11" s="371">
        <v>0</v>
      </c>
      <c r="D11" s="372">
        <f t="shared" si="0"/>
        <v>0</v>
      </c>
      <c r="E11" s="371"/>
      <c r="F11" s="371">
        <f>(C11/0.724)-C11</f>
        <v>0</v>
      </c>
      <c r="G11" s="373">
        <f t="shared" si="1"/>
        <v>0</v>
      </c>
      <c r="H11" s="373">
        <f t="shared" si="2"/>
        <v>0</v>
      </c>
      <c r="I11" s="372">
        <f t="shared" si="3"/>
        <v>0</v>
      </c>
      <c r="N11" s="128"/>
      <c r="O11" s="44"/>
      <c r="P11" s="130"/>
    </row>
    <row r="12" spans="1:16" ht="13" x14ac:dyDescent="0.3">
      <c r="A12" s="369">
        <v>39</v>
      </c>
      <c r="B12" s="370"/>
      <c r="C12" s="371">
        <v>0</v>
      </c>
      <c r="D12" s="372">
        <f t="shared" si="0"/>
        <v>0</v>
      </c>
      <c r="E12" s="371"/>
      <c r="F12" s="371"/>
      <c r="G12" s="373">
        <f t="shared" si="1"/>
        <v>0</v>
      </c>
      <c r="H12" s="373">
        <f t="shared" si="2"/>
        <v>0</v>
      </c>
      <c r="I12" s="372">
        <f t="shared" si="3"/>
        <v>0</v>
      </c>
      <c r="N12" s="128" t="s">
        <v>236</v>
      </c>
      <c r="O12" s="44" t="s">
        <v>249</v>
      </c>
      <c r="P12" s="130" t="s">
        <v>237</v>
      </c>
    </row>
    <row r="13" spans="1:16" ht="13" x14ac:dyDescent="0.3">
      <c r="A13" s="369">
        <v>40</v>
      </c>
      <c r="B13" s="370"/>
      <c r="C13" s="371">
        <f>1/2*D13</f>
        <v>0</v>
      </c>
      <c r="D13" s="372">
        <v>0</v>
      </c>
      <c r="E13" s="371"/>
      <c r="F13" s="371"/>
      <c r="G13" s="373">
        <f t="shared" si="1"/>
        <v>0</v>
      </c>
      <c r="H13" s="373">
        <f t="shared" si="2"/>
        <v>0</v>
      </c>
      <c r="I13" s="372">
        <f t="shared" si="3"/>
        <v>0</v>
      </c>
      <c r="N13" s="355">
        <v>19594</v>
      </c>
      <c r="O13" s="50">
        <v>55187</v>
      </c>
      <c r="P13" s="134">
        <v>5869</v>
      </c>
    </row>
    <row r="14" spans="1:16" ht="13" x14ac:dyDescent="0.3">
      <c r="A14" s="369">
        <v>41</v>
      </c>
      <c r="B14" s="370"/>
      <c r="C14" s="371">
        <f>D14</f>
        <v>0</v>
      </c>
      <c r="D14" s="372">
        <v>0</v>
      </c>
      <c r="E14" s="371"/>
      <c r="F14" s="371"/>
      <c r="G14" s="373">
        <f t="shared" si="1"/>
        <v>0</v>
      </c>
      <c r="H14" s="373">
        <f t="shared" si="2"/>
        <v>0</v>
      </c>
      <c r="I14" s="372">
        <f t="shared" si="3"/>
        <v>0</v>
      </c>
    </row>
    <row r="15" spans="1:16" ht="13" x14ac:dyDescent="0.3">
      <c r="A15" s="366">
        <v>42</v>
      </c>
      <c r="B15" s="370"/>
      <c r="C15" s="371">
        <f>D15</f>
        <v>0</v>
      </c>
      <c r="D15" s="374">
        <v>0</v>
      </c>
      <c r="E15" s="371"/>
      <c r="F15" s="371"/>
      <c r="G15" s="373">
        <f t="shared" si="1"/>
        <v>0</v>
      </c>
      <c r="H15" s="373">
        <f t="shared" si="2"/>
        <v>0</v>
      </c>
      <c r="I15" s="372">
        <f t="shared" si="3"/>
        <v>0</v>
      </c>
      <c r="N15" s="947" t="s">
        <v>247</v>
      </c>
      <c r="O15" s="948"/>
      <c r="P15" s="949"/>
    </row>
    <row r="16" spans="1:16" ht="13" x14ac:dyDescent="0.3">
      <c r="A16" s="361" t="s">
        <v>184</v>
      </c>
      <c r="B16" s="375">
        <f t="shared" ref="B16:H16" si="4">SUM(B4:B15)</f>
        <v>2796</v>
      </c>
      <c r="C16" s="376">
        <f t="shared" si="4"/>
        <v>0</v>
      </c>
      <c r="D16" s="377">
        <f t="shared" si="4"/>
        <v>2796</v>
      </c>
      <c r="E16" s="375">
        <f t="shared" si="4"/>
        <v>1383.3721973094171</v>
      </c>
      <c r="F16" s="375">
        <f t="shared" si="4"/>
        <v>0</v>
      </c>
      <c r="G16" s="378">
        <f t="shared" si="4"/>
        <v>64.090506683552093</v>
      </c>
      <c r="H16" s="378">
        <f t="shared" si="4"/>
        <v>0</v>
      </c>
      <c r="I16" s="377">
        <f>H16+G16</f>
        <v>64.090506683552093</v>
      </c>
      <c r="N16" s="128" t="s">
        <v>234</v>
      </c>
      <c r="O16" s="44" t="s">
        <v>248</v>
      </c>
      <c r="P16" s="130" t="s">
        <v>235</v>
      </c>
    </row>
    <row r="17" spans="1:16" ht="13" x14ac:dyDescent="0.3">
      <c r="B17" s="944" t="s">
        <v>44</v>
      </c>
      <c r="C17" s="945"/>
      <c r="D17" s="946"/>
      <c r="E17" s="944" t="s">
        <v>215</v>
      </c>
      <c r="F17" s="946"/>
      <c r="G17" s="379"/>
      <c r="H17" s="380"/>
      <c r="I17" s="381"/>
      <c r="N17" s="44">
        <v>31631</v>
      </c>
      <c r="O17" s="128">
        <v>153342</v>
      </c>
      <c r="P17" s="356">
        <v>6948</v>
      </c>
    </row>
    <row r="18" spans="1:16" ht="13" x14ac:dyDescent="0.3">
      <c r="A18" s="362" t="s">
        <v>214</v>
      </c>
      <c r="B18" s="363" t="s">
        <v>160</v>
      </c>
      <c r="C18" s="364" t="s">
        <v>161</v>
      </c>
      <c r="D18" s="365" t="s">
        <v>44</v>
      </c>
      <c r="E18" s="363" t="s">
        <v>160</v>
      </c>
      <c r="F18" s="364" t="s">
        <v>161</v>
      </c>
      <c r="G18" s="944" t="s">
        <v>273</v>
      </c>
      <c r="H18" s="945"/>
      <c r="I18" s="946"/>
      <c r="N18" s="128"/>
      <c r="O18" s="44"/>
      <c r="P18" s="130"/>
    </row>
    <row r="19" spans="1:16" ht="13" x14ac:dyDescent="0.3">
      <c r="A19" s="366" t="s">
        <v>231</v>
      </c>
      <c r="B19" s="367" t="s">
        <v>232</v>
      </c>
      <c r="C19" s="175" t="s">
        <v>232</v>
      </c>
      <c r="D19" s="368" t="s">
        <v>232</v>
      </c>
      <c r="E19" s="367" t="s">
        <v>131</v>
      </c>
      <c r="F19" s="175" t="s">
        <v>131</v>
      </c>
      <c r="G19" s="367" t="s">
        <v>160</v>
      </c>
      <c r="H19" s="175" t="s">
        <v>161</v>
      </c>
      <c r="I19" s="368" t="s">
        <v>44</v>
      </c>
      <c r="N19" s="128" t="s">
        <v>236</v>
      </c>
      <c r="O19" s="44" t="s">
        <v>249</v>
      </c>
      <c r="P19" s="130" t="s">
        <v>237</v>
      </c>
    </row>
    <row r="20" spans="1:16" ht="13" x14ac:dyDescent="0.3">
      <c r="A20" s="369" t="s">
        <v>216</v>
      </c>
      <c r="B20" s="370">
        <v>97</v>
      </c>
      <c r="C20" s="371">
        <v>0</v>
      </c>
      <c r="D20" s="372">
        <f>C20+B20</f>
        <v>97</v>
      </c>
      <c r="E20" s="371">
        <v>54</v>
      </c>
      <c r="F20" s="371"/>
      <c r="G20" s="382">
        <f>E20*0.1</f>
        <v>5.4</v>
      </c>
      <c r="H20" s="382"/>
      <c r="I20" s="382">
        <f>H20+G20</f>
        <v>5.4</v>
      </c>
      <c r="K20" s="32" t="s">
        <v>219</v>
      </c>
      <c r="N20" s="42">
        <v>19531</v>
      </c>
      <c r="O20" s="42">
        <v>54394</v>
      </c>
      <c r="P20" s="134">
        <v>6152</v>
      </c>
    </row>
    <row r="21" spans="1:16" ht="13" x14ac:dyDescent="0.3">
      <c r="A21" s="369" t="s">
        <v>217</v>
      </c>
      <c r="B21" s="370">
        <f>1533*0.75</f>
        <v>1149.75</v>
      </c>
      <c r="C21" s="371">
        <f>1533*0.25</f>
        <v>383.25</v>
      </c>
      <c r="D21" s="372"/>
      <c r="E21" s="371">
        <f>418*0.75</f>
        <v>313.5</v>
      </c>
      <c r="F21" s="371">
        <f>418*0.25</f>
        <v>104.5</v>
      </c>
      <c r="G21" s="382">
        <f>E21*0.1</f>
        <v>31.35</v>
      </c>
      <c r="H21" s="382">
        <f>F21*0.1</f>
        <v>10.450000000000001</v>
      </c>
      <c r="I21" s="382">
        <f>H21+G21</f>
        <v>41.800000000000004</v>
      </c>
      <c r="K21" s="32" t="s">
        <v>220</v>
      </c>
    </row>
    <row r="22" spans="1:16" ht="13" x14ac:dyDescent="0.3">
      <c r="A22" s="366" t="s">
        <v>218</v>
      </c>
      <c r="B22" s="383">
        <v>0</v>
      </c>
      <c r="C22" s="384">
        <v>1000</v>
      </c>
      <c r="D22" s="374">
        <f>C22+B22</f>
        <v>1000</v>
      </c>
      <c r="E22" s="371"/>
      <c r="F22" s="371">
        <f>(F21/(C21+F21))*C22</f>
        <v>214.2491030240902</v>
      </c>
      <c r="G22" s="385"/>
      <c r="H22" s="385">
        <f>F22*0.1</f>
        <v>21.424910302409021</v>
      </c>
      <c r="I22" s="382">
        <f>H22+G22</f>
        <v>21.424910302409021</v>
      </c>
      <c r="K22" s="71" t="s">
        <v>221</v>
      </c>
      <c r="L22" s="42"/>
    </row>
    <row r="23" spans="1:16" ht="13" x14ac:dyDescent="0.3">
      <c r="A23" s="361" t="s">
        <v>184</v>
      </c>
      <c r="B23" s="377">
        <f t="shared" ref="B23:H23" si="5">SUM(B20:B22)</f>
        <v>1246.75</v>
      </c>
      <c r="C23" s="377">
        <f t="shared" si="5"/>
        <v>1383.25</v>
      </c>
      <c r="D23" s="377">
        <f t="shared" si="5"/>
        <v>1097</v>
      </c>
      <c r="E23" s="377">
        <f t="shared" si="5"/>
        <v>367.5</v>
      </c>
      <c r="F23" s="377">
        <f t="shared" si="5"/>
        <v>318.74910302409023</v>
      </c>
      <c r="G23" s="382">
        <f t="shared" si="5"/>
        <v>36.75</v>
      </c>
      <c r="H23" s="382">
        <f t="shared" si="5"/>
        <v>31.87491030240902</v>
      </c>
      <c r="I23" s="382">
        <f>H23+G23</f>
        <v>68.62491030240902</v>
      </c>
      <c r="K23" s="345" t="s">
        <v>222</v>
      </c>
    </row>
  </sheetData>
  <mergeCells count="9">
    <mergeCell ref="G18:I18"/>
    <mergeCell ref="N15:P15"/>
    <mergeCell ref="B17:D17"/>
    <mergeCell ref="E17:F17"/>
    <mergeCell ref="B1:D1"/>
    <mergeCell ref="G1:I1"/>
    <mergeCell ref="N1:P1"/>
    <mergeCell ref="N8:P8"/>
    <mergeCell ref="E1:F1"/>
  </mergeCells>
  <phoneticPr fontId="4" type="noConversion"/>
  <pageMargins left="0.75" right="0.75" top="1" bottom="1" header="0.5" footer="0.5"/>
  <pageSetup orientation="portrait" r:id="rId1"/>
  <headerFooter alignWithMargins="0"/>
  <legacy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2:W76"/>
  <sheetViews>
    <sheetView workbookViewId="0">
      <pane xSplit="1" topLeftCell="B1" activePane="topRight" state="frozen"/>
      <selection activeCell="I30" sqref="I30"/>
      <selection pane="topRight" activeCell="I30" sqref="I30"/>
    </sheetView>
  </sheetViews>
  <sheetFormatPr defaultRowHeight="13" x14ac:dyDescent="0.3"/>
  <cols>
    <col min="1" max="1" width="11.7265625" style="2" bestFit="1" customWidth="1"/>
    <col min="2" max="2" width="11.54296875" style="27" bestFit="1" customWidth="1"/>
    <col min="3" max="3" width="11.81640625" style="27" bestFit="1" customWidth="1"/>
    <col min="4" max="4" width="12.26953125" style="27" bestFit="1" customWidth="1"/>
    <col min="5" max="5" width="7.54296875" style="27" bestFit="1" customWidth="1"/>
    <col min="6" max="6" width="12.7265625" style="27" bestFit="1" customWidth="1"/>
    <col min="7" max="7" width="10.26953125" style="27" bestFit="1" customWidth="1"/>
    <col min="8" max="8" width="8.1796875" style="27" bestFit="1" customWidth="1"/>
    <col min="9" max="9" width="7.54296875" style="27" bestFit="1" customWidth="1"/>
    <col min="10" max="10" width="11.54296875" style="27" bestFit="1" customWidth="1"/>
    <col min="11" max="11" width="11.453125" style="27" bestFit="1" customWidth="1"/>
    <col min="12" max="12" width="8.26953125" style="27" bestFit="1" customWidth="1"/>
    <col min="13" max="14" width="12" style="27" bestFit="1" customWidth="1"/>
    <col min="15" max="15" width="10.26953125" style="27" bestFit="1" customWidth="1"/>
    <col min="16" max="16" width="8.1796875" style="27" bestFit="1" customWidth="1"/>
    <col min="17" max="17" width="7.54296875" style="27" bestFit="1" customWidth="1"/>
    <col min="18" max="20" width="4" style="27" bestFit="1" customWidth="1"/>
    <col min="21" max="21" width="5" style="27" bestFit="1" customWidth="1"/>
    <col min="22" max="22" width="6.7265625" style="27" bestFit="1" customWidth="1"/>
  </cols>
  <sheetData>
    <row r="2" spans="1:22" x14ac:dyDescent="0.3">
      <c r="B2" s="2" t="s">
        <v>258</v>
      </c>
    </row>
    <row r="3" spans="1:22" x14ac:dyDescent="0.3">
      <c r="B3" s="947" t="s">
        <v>208</v>
      </c>
      <c r="C3" s="948"/>
      <c r="D3" s="948"/>
      <c r="E3" s="949"/>
      <c r="F3" s="947" t="s">
        <v>264</v>
      </c>
      <c r="G3" s="948"/>
      <c r="H3" s="948"/>
      <c r="I3" s="949"/>
      <c r="J3" s="947" t="s">
        <v>261</v>
      </c>
      <c r="K3" s="948"/>
      <c r="L3" s="948"/>
      <c r="M3" s="949"/>
      <c r="N3" s="947" t="s">
        <v>262</v>
      </c>
      <c r="O3" s="948"/>
      <c r="P3" s="948"/>
      <c r="Q3" s="949"/>
      <c r="R3" s="164"/>
      <c r="S3" s="164"/>
      <c r="T3" s="164"/>
      <c r="U3" s="164"/>
      <c r="V3" s="164"/>
    </row>
    <row r="4" spans="1:22" x14ac:dyDescent="0.3">
      <c r="A4" s="2" t="s">
        <v>134</v>
      </c>
      <c r="B4" s="419" t="s">
        <v>31</v>
      </c>
      <c r="C4" s="41" t="s">
        <v>62</v>
      </c>
      <c r="D4" s="41" t="s">
        <v>260</v>
      </c>
      <c r="E4" s="420" t="s">
        <v>203</v>
      </c>
      <c r="F4" s="419" t="s">
        <v>31</v>
      </c>
      <c r="G4" s="41" t="s">
        <v>62</v>
      </c>
      <c r="H4" s="41" t="s">
        <v>260</v>
      </c>
      <c r="I4" s="420" t="s">
        <v>203</v>
      </c>
      <c r="J4" s="422" t="s">
        <v>31</v>
      </c>
      <c r="K4" s="46" t="s">
        <v>62</v>
      </c>
      <c r="L4" s="46" t="s">
        <v>260</v>
      </c>
      <c r="M4" s="135" t="s">
        <v>203</v>
      </c>
      <c r="N4" s="422" t="s">
        <v>31</v>
      </c>
      <c r="O4" s="46" t="s">
        <v>62</v>
      </c>
      <c r="P4" s="46" t="s">
        <v>260</v>
      </c>
      <c r="Q4" s="135" t="s">
        <v>203</v>
      </c>
      <c r="R4" s="46"/>
      <c r="S4" s="46"/>
      <c r="T4" s="46"/>
      <c r="U4" s="46"/>
      <c r="V4" s="46"/>
    </row>
    <row r="5" spans="1:22" x14ac:dyDescent="0.3">
      <c r="A5" s="2">
        <v>32</v>
      </c>
      <c r="B5" s="426">
        <v>0</v>
      </c>
      <c r="C5" s="427">
        <v>0</v>
      </c>
      <c r="D5" s="427">
        <v>0</v>
      </c>
      <c r="E5" s="437">
        <v>0</v>
      </c>
      <c r="F5" s="452" t="str">
        <f>'2008 new sample form'!J4</f>
        <v>na</v>
      </c>
      <c r="G5" s="427" t="str">
        <f>'2008 new sample form'!K4</f>
        <v>na</v>
      </c>
      <c r="H5" s="427" t="str">
        <f>'2008 new sample form'!L4</f>
        <v>na</v>
      </c>
      <c r="I5" s="427" t="str">
        <f>'2008 new sample form'!M4</f>
        <v>na</v>
      </c>
      <c r="J5" s="429" t="str">
        <f>IF(B5&gt;0,'2008 new sample form'!B4/'2008 new catch form'!B5,"na")</f>
        <v>na</v>
      </c>
      <c r="K5" s="430" t="str">
        <f>IF(C5&gt;0,'2008 new sample form'!C4/'2008 new catch form'!C5,"na")</f>
        <v>na</v>
      </c>
      <c r="L5" s="430" t="str">
        <f>IF(D5&gt;0,'2008 new sample form'!D4/'2008 new catch form'!D5,"na")</f>
        <v>na</v>
      </c>
      <c r="M5" s="430" t="str">
        <f>IF(E5&gt;0,'2008 new sample form'!E4/'2008 new catch form'!E5,"na")</f>
        <v>na</v>
      </c>
      <c r="N5" s="439" t="str">
        <f>IF(F5&lt;&gt;"na",B5*F5,"na")</f>
        <v>na</v>
      </c>
      <c r="O5" s="440" t="str">
        <f t="shared" ref="O5:O18" si="0">IF(G5&lt;&gt;"na",C5*G5,"na")</f>
        <v>na</v>
      </c>
      <c r="P5" s="440" t="str">
        <f t="shared" ref="P5:P18" si="1">IF(H5&lt;&gt;"na",D5*H5,"na")</f>
        <v>na</v>
      </c>
      <c r="Q5" s="441" t="str">
        <f t="shared" ref="Q5:Q18" si="2">IF(I5&lt;&gt;"na",E5*I5,"na")</f>
        <v>na</v>
      </c>
      <c r="R5" s="443"/>
      <c r="S5" s="443"/>
      <c r="T5" s="443"/>
      <c r="U5" s="443"/>
      <c r="V5" s="443"/>
    </row>
    <row r="6" spans="1:22" x14ac:dyDescent="0.3">
      <c r="A6" s="2">
        <v>33</v>
      </c>
      <c r="B6" s="426">
        <v>0</v>
      </c>
      <c r="C6" s="427">
        <v>0</v>
      </c>
      <c r="D6" s="427">
        <v>0</v>
      </c>
      <c r="E6" s="437">
        <v>0</v>
      </c>
      <c r="F6" s="426" t="str">
        <f>'2008 new sample form'!J5</f>
        <v>na</v>
      </c>
      <c r="G6" s="427" t="str">
        <f>'2008 new sample form'!K5</f>
        <v>na</v>
      </c>
      <c r="H6" s="427" t="str">
        <f>'2008 new sample form'!L5</f>
        <v>na</v>
      </c>
      <c r="I6" s="427" t="str">
        <f>'2008 new sample form'!M5</f>
        <v>na</v>
      </c>
      <c r="J6" s="431" t="str">
        <f>IF(B6&gt;0,'2008 new sample form'!B5/'2008 new catch form'!B6,"na")</f>
        <v>na</v>
      </c>
      <c r="K6" s="432" t="str">
        <f>IF(C6&gt;0,'2008 new sample form'!C5/'2008 new catch form'!C6,"na")</f>
        <v>na</v>
      </c>
      <c r="L6" s="432" t="str">
        <f>IF(D6&gt;0,'2008 new sample form'!D5/'2008 new catch form'!D6,"na")</f>
        <v>na</v>
      </c>
      <c r="M6" s="432" t="str">
        <f>IF(E6&gt;0,'2008 new sample form'!E5/'2008 new catch form'!E6,"na")</f>
        <v>na</v>
      </c>
      <c r="N6" s="442" t="str">
        <f t="shared" ref="N6:N18" si="3">IF(F6&lt;&gt;"na",B6*F6,"na")</f>
        <v>na</v>
      </c>
      <c r="O6" s="443" t="str">
        <f t="shared" si="0"/>
        <v>na</v>
      </c>
      <c r="P6" s="443" t="str">
        <f t="shared" si="1"/>
        <v>na</v>
      </c>
      <c r="Q6" s="444" t="str">
        <f t="shared" si="2"/>
        <v>na</v>
      </c>
      <c r="R6" s="443"/>
      <c r="S6" s="443"/>
      <c r="T6" s="443"/>
      <c r="U6" s="443"/>
      <c r="V6" s="443"/>
    </row>
    <row r="7" spans="1:22" x14ac:dyDescent="0.3">
      <c r="A7" s="2">
        <v>34</v>
      </c>
      <c r="B7" s="426">
        <v>276</v>
      </c>
      <c r="C7" s="427">
        <v>0</v>
      </c>
      <c r="D7" s="427">
        <v>0</v>
      </c>
      <c r="E7" s="437">
        <v>0</v>
      </c>
      <c r="F7" s="452">
        <f>'2008 new sample form'!J6</f>
        <v>0.10185185185185185</v>
      </c>
      <c r="G7" s="427" t="str">
        <f>'2008 new sample form'!K6</f>
        <v>na</v>
      </c>
      <c r="H7" s="427" t="str">
        <f>'2008 new sample form'!L6</f>
        <v>na</v>
      </c>
      <c r="I7" s="427" t="str">
        <f>'2008 new sample form'!M6</f>
        <v>na</v>
      </c>
      <c r="J7" s="431">
        <f>IF(B7&gt;0,'2008 new sample form'!B6/'2008 new catch form'!B7,"na")</f>
        <v>0.39130434782608697</v>
      </c>
      <c r="K7" s="432" t="str">
        <f>IF(C7&gt;0,'2008 new sample form'!C6/'2008 new catch form'!C7,"na")</f>
        <v>na</v>
      </c>
      <c r="L7" s="432" t="str">
        <f>IF(D7&gt;0,'2008 new sample form'!D6/'2008 new catch form'!D7,"na")</f>
        <v>na</v>
      </c>
      <c r="M7" s="432" t="str">
        <f>IF(E7&gt;0,'2008 new sample form'!E6/'2008 new catch form'!E7,"na")</f>
        <v>na</v>
      </c>
      <c r="N7" s="442">
        <f t="shared" si="3"/>
        <v>28.111111111111111</v>
      </c>
      <c r="O7" s="443" t="str">
        <f t="shared" si="0"/>
        <v>na</v>
      </c>
      <c r="P7" s="443" t="str">
        <f t="shared" si="1"/>
        <v>na</v>
      </c>
      <c r="Q7" s="444" t="str">
        <f t="shared" si="2"/>
        <v>na</v>
      </c>
      <c r="R7" s="443"/>
      <c r="S7" s="443"/>
      <c r="T7" s="443"/>
      <c r="U7" s="443"/>
      <c r="V7" s="443"/>
    </row>
    <row r="8" spans="1:22" x14ac:dyDescent="0.3">
      <c r="A8" s="2">
        <v>35</v>
      </c>
      <c r="B8" s="426">
        <v>162</v>
      </c>
      <c r="C8" s="427">
        <v>0</v>
      </c>
      <c r="D8" s="427">
        <v>0</v>
      </c>
      <c r="E8" s="437">
        <v>0</v>
      </c>
      <c r="F8" s="452">
        <f>'2008 new sample form'!J7</f>
        <v>0</v>
      </c>
      <c r="G8" s="427" t="str">
        <f>'2008 new sample form'!K7</f>
        <v>na</v>
      </c>
      <c r="H8" s="427" t="str">
        <f>'2008 new sample form'!L7</f>
        <v>na</v>
      </c>
      <c r="I8" s="427" t="str">
        <f>'2008 new sample form'!M7</f>
        <v>na</v>
      </c>
      <c r="J8" s="431">
        <f>IF(B8&gt;0,'2008 new sample form'!B7/'2008 new catch form'!B8,"na")</f>
        <v>0.31481481481481483</v>
      </c>
      <c r="K8" s="432" t="str">
        <f>IF(C8&gt;0,'2008 new sample form'!C7/'2008 new catch form'!C8,"na")</f>
        <v>na</v>
      </c>
      <c r="L8" s="432" t="str">
        <f>IF(D8&gt;0,'2008 new sample form'!D7/'2008 new catch form'!D8,"na")</f>
        <v>na</v>
      </c>
      <c r="M8" s="432" t="str">
        <f>IF(E8&gt;0,'2008 new sample form'!E7/'2008 new catch form'!E8,"na")</f>
        <v>na</v>
      </c>
      <c r="N8" s="442">
        <f t="shared" si="3"/>
        <v>0</v>
      </c>
      <c r="O8" s="443" t="str">
        <f t="shared" si="0"/>
        <v>na</v>
      </c>
      <c r="P8" s="443" t="str">
        <f t="shared" si="1"/>
        <v>na</v>
      </c>
      <c r="Q8" s="444" t="str">
        <f t="shared" si="2"/>
        <v>na</v>
      </c>
      <c r="R8" s="443"/>
      <c r="S8" s="443"/>
      <c r="T8" s="443"/>
      <c r="U8" s="443"/>
      <c r="V8" s="443"/>
    </row>
    <row r="9" spans="1:22" x14ac:dyDescent="0.3">
      <c r="A9" s="2">
        <v>36</v>
      </c>
      <c r="B9" s="426">
        <v>6100</v>
      </c>
      <c r="C9" s="427">
        <v>1955</v>
      </c>
      <c r="D9" s="427">
        <v>722</v>
      </c>
      <c r="E9" s="437">
        <v>969</v>
      </c>
      <c r="F9" s="452">
        <f>'2008 new sample form'!J8</f>
        <v>2.7929568913175471E-2</v>
      </c>
      <c r="G9" s="453">
        <f>'2008 new sample form'!K8</f>
        <v>4.2879019908116385E-2</v>
      </c>
      <c r="H9" s="453">
        <f>'2008 new sample form'!L8</f>
        <v>4.3478260869565216E-2</v>
      </c>
      <c r="I9" s="453">
        <f>'2008 new sample form'!M8</f>
        <v>0.12846347607052896</v>
      </c>
      <c r="J9" s="431">
        <f>IF(B9&gt;0,'2008 new sample form'!B8/'2008 new catch form'!B9,"na")</f>
        <v>0.27</v>
      </c>
      <c r="K9" s="432">
        <f>IF(C9&gt;0,'2008 new sample form'!C8/'2008 new catch form'!C9,"na")</f>
        <v>0.33401534526854221</v>
      </c>
      <c r="L9" s="432">
        <f>IF(D9&gt;0,'2008 new sample form'!D8/'2008 new catch form'!D9,"na")</f>
        <v>0.15927977839335181</v>
      </c>
      <c r="M9" s="432">
        <f>IF(E9&gt;0,'2008 new sample form'!E8/'2008 new catch form'!E9,"na")</f>
        <v>0.40970072239422084</v>
      </c>
      <c r="N9" s="442">
        <f t="shared" si="3"/>
        <v>170.37037037037038</v>
      </c>
      <c r="O9" s="443">
        <f t="shared" si="0"/>
        <v>83.828483920367532</v>
      </c>
      <c r="P9" s="443">
        <f t="shared" si="1"/>
        <v>31.391304347826086</v>
      </c>
      <c r="Q9" s="444">
        <f t="shared" si="2"/>
        <v>124.48110831234257</v>
      </c>
      <c r="R9" s="443"/>
      <c r="S9" s="443"/>
      <c r="T9" s="443"/>
      <c r="U9" s="443"/>
      <c r="V9" s="443"/>
    </row>
    <row r="10" spans="1:22" x14ac:dyDescent="0.3">
      <c r="A10" s="2">
        <v>37</v>
      </c>
      <c r="B10" s="426">
        <v>9963</v>
      </c>
      <c r="C10" s="427">
        <v>2175</v>
      </c>
      <c r="D10" s="427">
        <v>627</v>
      </c>
      <c r="E10" s="437">
        <v>1428</v>
      </c>
      <c r="F10" s="452">
        <f>'2008 new sample form'!J9</f>
        <v>2.0520915548539857E-2</v>
      </c>
      <c r="G10" s="453">
        <f>'2008 new sample form'!K9</f>
        <v>5.0241545893719805E-2</v>
      </c>
      <c r="H10" s="453">
        <f>'2008 new sample form'!L9</f>
        <v>5.565217391304348E-2</v>
      </c>
      <c r="I10" s="453">
        <f>'2008 new sample form'!M9</f>
        <v>9.1081593927893736E-2</v>
      </c>
      <c r="J10" s="431">
        <f>IF(B10&gt;0,'2008 new sample form'!B9/'2008 new catch form'!B10,"na")</f>
        <v>0.1271705309645689</v>
      </c>
      <c r="K10" s="432">
        <f>IF(C10&gt;0,'2008 new sample form'!C9/'2008 new catch form'!C10,"na")</f>
        <v>0.47586206896551725</v>
      </c>
      <c r="L10" s="432">
        <f>IF(D10&gt;0,'2008 new sample form'!D9/'2008 new catch form'!D10,"na")</f>
        <v>0.91706539074960125</v>
      </c>
      <c r="M10" s="432">
        <f>IF(E10&gt;0,'2008 new sample form'!E9/'2008 new catch form'!E10,"na")</f>
        <v>0.36904761904761907</v>
      </c>
      <c r="N10" s="442">
        <f t="shared" si="3"/>
        <v>204.44988161010258</v>
      </c>
      <c r="O10" s="443">
        <f t="shared" si="0"/>
        <v>109.27536231884058</v>
      </c>
      <c r="P10" s="443">
        <f t="shared" si="1"/>
        <v>34.893913043478264</v>
      </c>
      <c r="Q10" s="444">
        <f t="shared" si="2"/>
        <v>130.06451612903226</v>
      </c>
      <c r="R10" s="443"/>
      <c r="S10" s="443"/>
      <c r="T10" s="443"/>
      <c r="U10" s="443"/>
      <c r="V10" s="443"/>
    </row>
    <row r="11" spans="1:22" x14ac:dyDescent="0.3">
      <c r="A11" s="2">
        <v>38</v>
      </c>
      <c r="B11" s="426">
        <v>5593</v>
      </c>
      <c r="C11" s="427">
        <v>1019</v>
      </c>
      <c r="D11" s="427">
        <v>1064</v>
      </c>
      <c r="E11" s="437">
        <v>2574</v>
      </c>
      <c r="F11" s="452">
        <f>'2008 new sample form'!J10</f>
        <v>2.6468539586719294E-2</v>
      </c>
      <c r="G11" s="453">
        <f>'2008 new sample form'!K10</f>
        <v>1.912568306010929E-2</v>
      </c>
      <c r="H11" s="453">
        <f>'2008 new sample form'!L10</f>
        <v>3.2476319350473612E-2</v>
      </c>
      <c r="I11" s="453">
        <f>'2008 new sample form'!M10</f>
        <v>9.4812164579606437E-2</v>
      </c>
      <c r="J11" s="431">
        <f>IF(B11&gt;0,'2008 new sample form'!B10/'2008 new catch form'!B11,"na")</f>
        <v>0.77006973001966739</v>
      </c>
      <c r="K11" s="432">
        <f>IF(C11&gt;0,'2008 new sample form'!C10/'2008 new catch form'!C11,"na")</f>
        <v>0.35917566241413151</v>
      </c>
      <c r="L11" s="432">
        <f>IF(D11&gt;0,'2008 new sample form'!D10/'2008 new catch form'!D11,"na")</f>
        <v>0.69454887218045114</v>
      </c>
      <c r="M11" s="432">
        <f>IF(E11&gt;0,'2008 new sample form'!E10/'2008 new catch form'!E11,"na")</f>
        <v>0.43434343434343436</v>
      </c>
      <c r="N11" s="442">
        <f t="shared" si="3"/>
        <v>148.03854190852101</v>
      </c>
      <c r="O11" s="443">
        <f t="shared" si="0"/>
        <v>19.489071038251367</v>
      </c>
      <c r="P11" s="443">
        <f t="shared" si="1"/>
        <v>34.554803788903925</v>
      </c>
      <c r="Q11" s="444">
        <f t="shared" si="2"/>
        <v>244.04651162790697</v>
      </c>
      <c r="R11" s="443"/>
      <c r="S11" s="443"/>
      <c r="T11" s="443"/>
      <c r="U11" s="443"/>
      <c r="V11" s="443"/>
    </row>
    <row r="12" spans="1:22" x14ac:dyDescent="0.3">
      <c r="A12" s="2">
        <v>39</v>
      </c>
      <c r="B12" s="426">
        <v>2830</v>
      </c>
      <c r="C12" s="427">
        <v>1035</v>
      </c>
      <c r="D12" s="427">
        <v>1045</v>
      </c>
      <c r="E12" s="437">
        <v>3686</v>
      </c>
      <c r="F12" s="452">
        <f>'2008 new sample form'!J11</f>
        <v>1.7817371937639197E-2</v>
      </c>
      <c r="G12" s="511">
        <f>'Mean Unmarked Rates'!H45</f>
        <v>0</v>
      </c>
      <c r="H12" s="453">
        <f>'2008 new sample form'!L11</f>
        <v>5.6338028169014086E-2</v>
      </c>
      <c r="I12" s="453">
        <f>'2008 new sample form'!M11</f>
        <v>8.7878787878787876E-2</v>
      </c>
      <c r="J12" s="431">
        <f>IF(B12&gt;0,'2008 new sample form'!B11/'2008 new catch form'!B12,"na")</f>
        <v>0.15865724381625443</v>
      </c>
      <c r="K12" s="504">
        <f>IF(C12&gt;0,'2008 new sample form'!C11/'2008 new catch form'!C12,"na")</f>
        <v>1.3526570048309179E-2</v>
      </c>
      <c r="L12" s="432">
        <f>IF(D12&gt;0,'2008 new sample form'!D11/'2008 new catch form'!D12,"na")</f>
        <v>0.40765550239234449</v>
      </c>
      <c r="M12" s="432">
        <f>IF(E12&gt;0,'2008 new sample form'!E11/'2008 new catch form'!E12,"na")</f>
        <v>0.26858383071079761</v>
      </c>
      <c r="N12" s="442">
        <f t="shared" si="3"/>
        <v>50.423162583518931</v>
      </c>
      <c r="O12" s="443">
        <f t="shared" si="0"/>
        <v>0</v>
      </c>
      <c r="P12" s="443">
        <f t="shared" si="1"/>
        <v>58.87323943661972</v>
      </c>
      <c r="Q12" s="444">
        <f t="shared" si="2"/>
        <v>323.92121212121214</v>
      </c>
      <c r="R12" s="443"/>
      <c r="S12" s="443"/>
      <c r="T12" s="443"/>
      <c r="U12" s="443"/>
      <c r="V12" s="443"/>
    </row>
    <row r="13" spans="1:22" x14ac:dyDescent="0.3">
      <c r="A13" s="2">
        <v>40</v>
      </c>
      <c r="B13" s="426">
        <v>944</v>
      </c>
      <c r="C13" s="457">
        <v>1289</v>
      </c>
      <c r="D13" s="457">
        <v>818</v>
      </c>
      <c r="E13" s="437">
        <v>3461</v>
      </c>
      <c r="F13" s="452">
        <f>'2008 new sample form'!J12</f>
        <v>3.5326086956521736E-2</v>
      </c>
      <c r="G13" s="453">
        <f>'2008 new sample form'!K12</f>
        <v>2.7811366384522369E-2</v>
      </c>
      <c r="H13" s="453">
        <f>'2008 new sample form'!L12</f>
        <v>6.3043478260869562E-2</v>
      </c>
      <c r="I13" s="453">
        <f>'2008 new sample form'!M12</f>
        <v>8.8951310861423216E-2</v>
      </c>
      <c r="J13" s="431">
        <f>IF(B13&gt;0,'2008 new sample form'!B12/'2008 new catch form'!B13,"na")</f>
        <v>0.77966101694915257</v>
      </c>
      <c r="K13" s="432">
        <f>IF(C13&gt;0,'2008 new sample form'!C12/'2008 new catch form'!C13,"na")</f>
        <v>0.64158262218774242</v>
      </c>
      <c r="L13" s="432">
        <f>IF(D13&gt;0,'2008 new sample form'!D12/'2008 new catch form'!D13,"na")</f>
        <v>0.56234718826405872</v>
      </c>
      <c r="M13" s="432">
        <f>IF(E13&gt;0,'2008 new sample form'!E12/'2008 new catch form'!E13,"na")</f>
        <v>0.30858133487431377</v>
      </c>
      <c r="N13" s="442">
        <f t="shared" si="3"/>
        <v>33.347826086956516</v>
      </c>
      <c r="O13" s="443">
        <f t="shared" si="0"/>
        <v>35.848851269649337</v>
      </c>
      <c r="P13" s="443">
        <f t="shared" si="1"/>
        <v>51.5695652173913</v>
      </c>
      <c r="Q13" s="444">
        <f t="shared" si="2"/>
        <v>307.86048689138573</v>
      </c>
      <c r="R13" s="443"/>
      <c r="S13" s="443"/>
      <c r="T13" s="443"/>
      <c r="U13" s="443"/>
      <c r="V13" s="443"/>
    </row>
    <row r="14" spans="1:22" x14ac:dyDescent="0.3">
      <c r="A14" s="2">
        <v>41</v>
      </c>
      <c r="B14" s="426">
        <v>664</v>
      </c>
      <c r="C14" s="457">
        <v>229</v>
      </c>
      <c r="D14" s="457">
        <v>721</v>
      </c>
      <c r="E14" s="515">
        <v>2126</v>
      </c>
      <c r="F14" s="452">
        <f>'2008 new sample form'!J13</f>
        <v>7.43801652892562E-2</v>
      </c>
      <c r="G14" s="453">
        <f>'2008 new sample form'!K13</f>
        <v>1.1764705882352941E-2</v>
      </c>
      <c r="H14" s="453">
        <f>'2008 new sample form'!L13</f>
        <v>8.3892617449664433E-2</v>
      </c>
      <c r="I14" s="453">
        <f>'2008 new sample form'!M13</f>
        <v>7.8459343794579167E-2</v>
      </c>
      <c r="J14" s="431">
        <f>IF(B14&gt;0,'2008 new sample form'!B13/'2008 new catch form'!B14,"na")</f>
        <v>0.18222891566265059</v>
      </c>
      <c r="K14" s="432">
        <f>IF(C14&gt;0,'2008 new sample form'!C13/'2008 new catch form'!C14,"na")</f>
        <v>0.37117903930131002</v>
      </c>
      <c r="L14" s="432">
        <f>IF(D14&gt;0,'2008 new sample form'!D13/'2008 new catch form'!D14,"na")</f>
        <v>0.4133148404993065</v>
      </c>
      <c r="M14" s="432">
        <f>IF(E14&gt;0,'2008 new sample form'!E13/'2008 new catch form'!E14,"na")</f>
        <v>0.32972718720602068</v>
      </c>
      <c r="N14" s="442">
        <f t="shared" si="3"/>
        <v>49.388429752066116</v>
      </c>
      <c r="O14" s="443">
        <f t="shared" si="0"/>
        <v>2.6941176470588233</v>
      </c>
      <c r="P14" s="443">
        <f t="shared" si="1"/>
        <v>60.486577181208055</v>
      </c>
      <c r="Q14" s="444">
        <f t="shared" si="2"/>
        <v>166.80456490727531</v>
      </c>
      <c r="R14" s="443"/>
      <c r="S14" s="443"/>
      <c r="T14" s="443"/>
      <c r="U14" s="443"/>
      <c r="V14" s="443"/>
    </row>
    <row r="15" spans="1:22" x14ac:dyDescent="0.3">
      <c r="A15" s="2">
        <v>42</v>
      </c>
      <c r="B15" s="426">
        <v>529</v>
      </c>
      <c r="C15" s="457">
        <v>51</v>
      </c>
      <c r="D15" s="457">
        <v>347</v>
      </c>
      <c r="E15" s="437"/>
      <c r="F15" s="452">
        <f>'2008 new sample form'!J14</f>
        <v>2.564102564102564E-2</v>
      </c>
      <c r="G15" s="453" t="str">
        <f>'2008 new sample form'!K14</f>
        <v>na</v>
      </c>
      <c r="H15" s="453">
        <f>'2008 new sample form'!L14</f>
        <v>0.10344827586206896</v>
      </c>
      <c r="I15" s="453" t="str">
        <f>'2008 new sample form'!M14</f>
        <v>na</v>
      </c>
      <c r="J15" s="431">
        <f>IF(B15&gt;0,'2008 new sample form'!B14/'2008 new catch form'!B15,"na")</f>
        <v>0.22117202268431002</v>
      </c>
      <c r="K15" s="432">
        <f>IF(C15&gt;0,'2008 new sample form'!C14/'2008 new catch form'!C15,"na")</f>
        <v>0</v>
      </c>
      <c r="L15" s="432">
        <f>IF(D15&gt;0,'2008 new sample form'!D14/'2008 new catch form'!D15,"na")</f>
        <v>0.50144092219020175</v>
      </c>
      <c r="M15" s="432" t="str">
        <f>IF(E15&gt;0,'2008 new sample form'!E14/'2008 new catch form'!E15,"na")</f>
        <v>na</v>
      </c>
      <c r="N15" s="442">
        <f t="shared" si="3"/>
        <v>13.564102564102564</v>
      </c>
      <c r="O15" s="443" t="str">
        <f t="shared" si="0"/>
        <v>na</v>
      </c>
      <c r="P15" s="443">
        <f t="shared" si="1"/>
        <v>35.896551724137929</v>
      </c>
      <c r="Q15" s="444" t="str">
        <f t="shared" si="2"/>
        <v>na</v>
      </c>
      <c r="R15" s="443"/>
      <c r="S15" s="443"/>
      <c r="T15" s="443"/>
      <c r="U15" s="443"/>
      <c r="V15" s="443"/>
    </row>
    <row r="16" spans="1:22" x14ac:dyDescent="0.3">
      <c r="A16" s="2">
        <v>43</v>
      </c>
      <c r="B16" s="426">
        <v>116</v>
      </c>
      <c r="C16" s="457">
        <v>0</v>
      </c>
      <c r="D16" s="457">
        <v>22</v>
      </c>
      <c r="E16" s="437"/>
      <c r="F16" s="452">
        <f>'2008 new sample form'!J15</f>
        <v>6.3291139240506333E-2</v>
      </c>
      <c r="G16" s="453" t="str">
        <f>'2008 new sample form'!K15</f>
        <v>na</v>
      </c>
      <c r="H16" s="453">
        <f>'2008 new sample form'!L15</f>
        <v>0.21428571428571427</v>
      </c>
      <c r="I16" s="453" t="str">
        <f>'2008 new sample form'!M15</f>
        <v>na</v>
      </c>
      <c r="J16" s="431">
        <f>IF(B16&gt;0,'2008 new sample form'!B15/'2008 new catch form'!B16,"na")</f>
        <v>0.68103448275862066</v>
      </c>
      <c r="K16" s="432" t="str">
        <f>IF(C16&gt;0,'2008 new sample form'!C15/'2008 new catch form'!C16,"na")</f>
        <v>na</v>
      </c>
      <c r="L16" s="432">
        <f>IF(D16&gt;0,'2008 new sample form'!D15/'2008 new catch form'!D16,"na")</f>
        <v>0.63636363636363635</v>
      </c>
      <c r="M16" s="432" t="str">
        <f>IF(E16&gt;0,'2008 new sample form'!E15/'2008 new catch form'!E16,"na")</f>
        <v>na</v>
      </c>
      <c r="N16" s="442">
        <f t="shared" si="3"/>
        <v>7.3417721518987342</v>
      </c>
      <c r="O16" s="443" t="str">
        <f t="shared" si="0"/>
        <v>na</v>
      </c>
      <c r="P16" s="443">
        <f t="shared" si="1"/>
        <v>4.7142857142857144</v>
      </c>
      <c r="Q16" s="444" t="str">
        <f t="shared" si="2"/>
        <v>na</v>
      </c>
      <c r="R16" s="443"/>
      <c r="S16" s="443"/>
      <c r="T16" s="443"/>
      <c r="U16" s="443"/>
      <c r="V16" s="443"/>
    </row>
    <row r="17" spans="1:23" x14ac:dyDescent="0.3">
      <c r="A17" s="2">
        <v>44</v>
      </c>
      <c r="B17" s="426">
        <v>26</v>
      </c>
      <c r="C17" s="457">
        <v>0</v>
      </c>
      <c r="D17" s="457">
        <v>0</v>
      </c>
      <c r="E17" s="437"/>
      <c r="F17" s="452">
        <f>'2008 new sample form'!J16</f>
        <v>0</v>
      </c>
      <c r="G17" s="453" t="str">
        <f>'2008 new sample form'!K16</f>
        <v>na</v>
      </c>
      <c r="H17" s="453" t="str">
        <f>'2008 new sample form'!L16</f>
        <v>na</v>
      </c>
      <c r="I17" s="453" t="str">
        <f>'2008 new sample form'!M16</f>
        <v>na</v>
      </c>
      <c r="J17" s="431">
        <f>IF(B17&gt;0,'2008 new sample form'!B16/'2008 new catch form'!B17,"na")</f>
        <v>0.30769230769230771</v>
      </c>
      <c r="K17" s="432" t="str">
        <f>IF(C17&gt;0,'2008 new sample form'!C16/'2008 new catch form'!C17,"na")</f>
        <v>na</v>
      </c>
      <c r="L17" s="432" t="str">
        <f>IF(D17&gt;0,'2008 new sample form'!D16/'2008 new catch form'!D17,"na")</f>
        <v>na</v>
      </c>
      <c r="M17" s="432" t="str">
        <f>IF(E17&gt;0,'2008 new sample form'!E16/'2008 new catch form'!E17,"na")</f>
        <v>na</v>
      </c>
      <c r="N17" s="442">
        <f t="shared" si="3"/>
        <v>0</v>
      </c>
      <c r="O17" s="443" t="str">
        <f t="shared" si="0"/>
        <v>na</v>
      </c>
      <c r="P17" s="443" t="str">
        <f t="shared" si="1"/>
        <v>na</v>
      </c>
      <c r="Q17" s="444" t="str">
        <f t="shared" si="2"/>
        <v>na</v>
      </c>
      <c r="R17" s="443"/>
      <c r="S17" s="443"/>
      <c r="T17" s="443"/>
      <c r="U17" s="443"/>
      <c r="V17" s="443"/>
    </row>
    <row r="18" spans="1:23" x14ac:dyDescent="0.3">
      <c r="A18" s="2">
        <v>45</v>
      </c>
      <c r="B18" s="428"/>
      <c r="C18" s="221"/>
      <c r="D18" s="221"/>
      <c r="E18" s="438"/>
      <c r="F18" s="458" t="str">
        <f>'2008 new sample form'!J17</f>
        <v>na</v>
      </c>
      <c r="G18" s="456" t="str">
        <f>'2008 new sample form'!K17</f>
        <v>na</v>
      </c>
      <c r="H18" s="456" t="str">
        <f>'2008 new sample form'!L17</f>
        <v>na</v>
      </c>
      <c r="I18" s="456" t="str">
        <f>'2008 new sample form'!M17</f>
        <v>na</v>
      </c>
      <c r="J18" s="433" t="str">
        <f>IF(B18&gt;0,'2008 new sample form'!B17/'2008 new catch form'!B18,"na")</f>
        <v>na</v>
      </c>
      <c r="K18" s="434" t="str">
        <f>IF(C18&gt;0,'2008 new sample form'!C17/'2008 new catch form'!C18,"na")</f>
        <v>na</v>
      </c>
      <c r="L18" s="434" t="str">
        <f>IF(D18&gt;0,'2008 new sample form'!D17/'2008 new catch form'!D18,"na")</f>
        <v>na</v>
      </c>
      <c r="M18" s="434" t="str">
        <f>IF(E18&gt;0,'2008 new sample form'!E17/'2008 new catch form'!E18,"na")</f>
        <v>na</v>
      </c>
      <c r="N18" s="442" t="str">
        <f t="shared" si="3"/>
        <v>na</v>
      </c>
      <c r="O18" s="443" t="str">
        <f t="shared" si="0"/>
        <v>na</v>
      </c>
      <c r="P18" s="443" t="str">
        <f t="shared" si="1"/>
        <v>na</v>
      </c>
      <c r="Q18" s="444" t="str">
        <f t="shared" si="2"/>
        <v>na</v>
      </c>
      <c r="R18" s="443"/>
      <c r="S18" s="443"/>
      <c r="T18" s="443"/>
      <c r="U18" s="443"/>
      <c r="V18" s="443"/>
    </row>
    <row r="19" spans="1:23" x14ac:dyDescent="0.3">
      <c r="A19" s="2" t="s">
        <v>184</v>
      </c>
      <c r="B19" s="419">
        <f>SUM(B5:B18)</f>
        <v>27203</v>
      </c>
      <c r="C19" s="41">
        <f>SUM(C5:C18)</f>
        <v>7753</v>
      </c>
      <c r="D19" s="41">
        <f>SUM(D5:D18)</f>
        <v>5366</v>
      </c>
      <c r="E19" s="420">
        <f>SUM(E5:E18)</f>
        <v>14244</v>
      </c>
      <c r="F19" s="469">
        <f>'2008 new sample form'!J18</f>
        <v>2.7896512935883015E-2</v>
      </c>
      <c r="G19" s="203">
        <f>'2008 new sample form'!K18</f>
        <v>3.724832214765101E-2</v>
      </c>
      <c r="H19" s="203">
        <f>'2008 new sample form'!L18</f>
        <v>5.7122456265619424E-2</v>
      </c>
      <c r="I19" s="203">
        <f>'2008 new sample form'!M18</f>
        <v>9.2064153301395543E-2</v>
      </c>
      <c r="J19" s="470">
        <f>IF(B19&gt;0,'2008 new sample form'!B18/'2008 new catch form'!B19,"na")</f>
        <v>0.32680219093482338</v>
      </c>
      <c r="K19" s="471">
        <f>IF(C19&gt;0,'2008 new sample form'!C18/'2008 new catch form'!C19,"na")</f>
        <v>0.38436734167419062</v>
      </c>
      <c r="L19" s="471">
        <f>IF(D19&gt;0,'2008 new sample form'!D18/'2008 new catch form'!D19,"na")</f>
        <v>0.52199030935519941</v>
      </c>
      <c r="M19" s="471">
        <f>IF(E19&gt;0,'2008 new sample form'!E18/'2008 new catch form'!E19,"na")</f>
        <v>0.33705419825891603</v>
      </c>
      <c r="N19" s="508">
        <f>SUM(N5:N18)</f>
        <v>705.03519813864784</v>
      </c>
      <c r="O19" s="219">
        <f>SUM(O5:O18)</f>
        <v>251.13588619416765</v>
      </c>
      <c r="P19" s="219">
        <f>SUM(P5:P18)</f>
        <v>312.380240453851</v>
      </c>
      <c r="Q19" s="509">
        <f>SUM(Q5:Q18)</f>
        <v>1297.178399989155</v>
      </c>
      <c r="R19" s="102"/>
      <c r="S19" s="102"/>
      <c r="T19" s="102"/>
      <c r="U19" s="102"/>
      <c r="V19" s="102"/>
    </row>
    <row r="20" spans="1:23" x14ac:dyDescent="0.3">
      <c r="A20" s="46"/>
      <c r="B20" s="46"/>
      <c r="C20" s="46"/>
      <c r="D20" s="46"/>
      <c r="E20" s="102">
        <f>SUM(B19:E19)</f>
        <v>54566</v>
      </c>
      <c r="F20" s="2"/>
      <c r="G20" s="2"/>
      <c r="H20" s="46"/>
      <c r="I20" s="459">
        <f>Q20/E20</f>
        <v>4.7020667169589518E-2</v>
      </c>
      <c r="J20" s="46"/>
      <c r="K20" s="46"/>
      <c r="L20" s="46"/>
      <c r="M20" s="460">
        <f>'2008 new sample form'!E19/'2008 new catch form'!E20</f>
        <v>0.35685225231829343</v>
      </c>
      <c r="N20" s="46"/>
      <c r="O20" s="46"/>
      <c r="P20" s="46"/>
      <c r="Q20" s="102">
        <f>SUM(N19:Q19)</f>
        <v>2565.7297247758215</v>
      </c>
      <c r="R20" s="102"/>
      <c r="S20" s="102"/>
      <c r="T20" s="102"/>
      <c r="U20" s="102"/>
      <c r="V20" s="102"/>
    </row>
    <row r="21" spans="1:23" x14ac:dyDescent="0.3">
      <c r="A21" s="46"/>
      <c r="B21" s="427"/>
      <c r="C21" s="427"/>
      <c r="D21" s="427"/>
      <c r="E21" s="443"/>
      <c r="H21" s="427"/>
      <c r="I21" s="427"/>
      <c r="J21" s="427"/>
      <c r="K21" s="427"/>
      <c r="L21" s="427"/>
      <c r="M21" s="427"/>
      <c r="N21" s="427"/>
      <c r="O21" s="427"/>
      <c r="P21" s="427"/>
      <c r="Q21" s="443"/>
      <c r="R21" s="443"/>
      <c r="S21" s="443"/>
      <c r="T21" s="443"/>
      <c r="U21" s="443"/>
      <c r="V21" s="443"/>
    </row>
    <row r="22" spans="1:23" x14ac:dyDescent="0.3">
      <c r="B22" s="2" t="s">
        <v>123</v>
      </c>
      <c r="F22" s="427"/>
      <c r="G22" s="427"/>
    </row>
    <row r="23" spans="1:23" x14ac:dyDescent="0.3">
      <c r="B23" s="947" t="s">
        <v>263</v>
      </c>
      <c r="C23" s="948"/>
      <c r="D23" s="948"/>
      <c r="E23" s="948"/>
      <c r="F23" s="948"/>
      <c r="G23" s="949"/>
      <c r="H23" s="947" t="s">
        <v>264</v>
      </c>
      <c r="I23" s="948"/>
      <c r="J23" s="948"/>
      <c r="K23" s="948"/>
      <c r="L23" s="949"/>
      <c r="M23" s="947" t="s">
        <v>261</v>
      </c>
      <c r="N23" s="948"/>
      <c r="O23" s="948"/>
      <c r="P23" s="948"/>
      <c r="Q23" s="948"/>
      <c r="R23" s="947" t="s">
        <v>262</v>
      </c>
      <c r="S23" s="948"/>
      <c r="T23" s="948"/>
      <c r="U23" s="948"/>
      <c r="V23" s="948"/>
      <c r="W23" s="949"/>
    </row>
    <row r="24" spans="1:23" x14ac:dyDescent="0.3">
      <c r="A24" s="2" t="s">
        <v>134</v>
      </c>
      <c r="B24" s="419">
        <v>1</v>
      </c>
      <c r="C24" s="41">
        <v>2</v>
      </c>
      <c r="D24" s="41">
        <v>3</v>
      </c>
      <c r="E24" s="41">
        <v>4</v>
      </c>
      <c r="F24" s="41">
        <v>5</v>
      </c>
      <c r="G24" s="420" t="s">
        <v>272</v>
      </c>
      <c r="H24" s="338">
        <v>1</v>
      </c>
      <c r="I24" s="174">
        <v>2</v>
      </c>
      <c r="J24" s="174">
        <v>3</v>
      </c>
      <c r="K24" s="174">
        <v>4</v>
      </c>
      <c r="L24" s="339">
        <v>5</v>
      </c>
      <c r="M24" s="338">
        <v>1</v>
      </c>
      <c r="N24" s="174">
        <v>2</v>
      </c>
      <c r="O24" s="174">
        <v>3</v>
      </c>
      <c r="P24" s="174">
        <v>4</v>
      </c>
      <c r="Q24" s="174">
        <v>5</v>
      </c>
      <c r="R24" s="338">
        <v>1</v>
      </c>
      <c r="S24" s="174">
        <v>2</v>
      </c>
      <c r="T24" s="174">
        <v>3</v>
      </c>
      <c r="U24" s="174">
        <v>4</v>
      </c>
      <c r="V24" s="174">
        <v>5</v>
      </c>
      <c r="W24" s="339" t="s">
        <v>272</v>
      </c>
    </row>
    <row r="25" spans="1:23" x14ac:dyDescent="0.3">
      <c r="A25" s="2">
        <v>32</v>
      </c>
      <c r="B25" s="424">
        <v>7</v>
      </c>
      <c r="C25" s="425">
        <v>1</v>
      </c>
      <c r="D25" s="425">
        <v>1</v>
      </c>
      <c r="E25" s="425"/>
      <c r="F25" s="425"/>
      <c r="G25" s="436">
        <f>SUM(B25:F25)</f>
        <v>9</v>
      </c>
      <c r="H25" s="505">
        <f>'Mean Unmarked Rates'!D31</f>
        <v>0</v>
      </c>
      <c r="I25" s="505">
        <f>'Mean Unmarked Rates'!D32</f>
        <v>0</v>
      </c>
      <c r="J25" s="505">
        <f>I25</f>
        <v>0</v>
      </c>
      <c r="K25" s="448" t="str">
        <f>'2008 new sample form'!O24</f>
        <v>na</v>
      </c>
      <c r="L25" s="449" t="str">
        <f>'2008 new sample form'!P24</f>
        <v>na</v>
      </c>
      <c r="M25" s="27">
        <f>IF(B25&gt;0,'2008 new sample form'!B24/'2008 new catch form'!B25,"na")</f>
        <v>0.14285714285714285</v>
      </c>
      <c r="N25" s="27">
        <f>IF(C25&gt;0,'2008 new sample form'!C24/'2008 new catch form'!C25,"na")</f>
        <v>0</v>
      </c>
      <c r="O25" s="27">
        <f>IF(D25&gt;0,'2008 new sample form'!D24/'2008 new catch form'!D25,"na")</f>
        <v>0</v>
      </c>
      <c r="P25" s="430" t="str">
        <f>IF(E25&gt;0,'2008 new sample form'!E24/'2008 new catch form'!E25,"na")</f>
        <v>na</v>
      </c>
      <c r="Q25" s="430" t="str">
        <f>IF(F25&gt;0,'2008 new sample form'!F24/'2008 new catch form'!F25,"na")</f>
        <v>na</v>
      </c>
      <c r="R25" s="442">
        <f t="shared" ref="R25:R38" si="4">IF(H25&lt;&gt;"na",B25*H25,0)</f>
        <v>0</v>
      </c>
      <c r="S25" s="443">
        <f t="shared" ref="S25:S38" si="5">IF(I25&lt;&gt;"na",C25*I25,0)</f>
        <v>0</v>
      </c>
      <c r="T25" s="443">
        <f t="shared" ref="T25:T38" si="6">IF(J25&lt;&gt;"na",D25*J25,0)</f>
        <v>0</v>
      </c>
      <c r="U25" s="443">
        <f t="shared" ref="U25:U38" si="7">IF(K25&lt;&gt;"na",E25*K25,0)</f>
        <v>0</v>
      </c>
      <c r="V25" s="443">
        <f t="shared" ref="V25:V38" si="8">IF(L25&lt;&gt;"na",F25*L25,0)</f>
        <v>0</v>
      </c>
      <c r="W25" s="356">
        <f>SUM(R25:V25)</f>
        <v>0</v>
      </c>
    </row>
    <row r="26" spans="1:23" x14ac:dyDescent="0.3">
      <c r="A26" s="2">
        <v>33</v>
      </c>
      <c r="B26" s="426">
        <v>6</v>
      </c>
      <c r="C26" s="427">
        <v>2</v>
      </c>
      <c r="D26" s="427">
        <v>2</v>
      </c>
      <c r="E26" s="427"/>
      <c r="F26" s="427"/>
      <c r="G26" s="437">
        <f t="shared" ref="G26:G39" si="9">SUM(B26:F26)</f>
        <v>10</v>
      </c>
      <c r="H26" s="110">
        <f>'2008 new sample form'!L25</f>
        <v>0.4</v>
      </c>
      <c r="I26" s="506">
        <f>'Mean Unmarked Rates'!H32</f>
        <v>0</v>
      </c>
      <c r="J26" s="110">
        <f>'2008 new sample form'!N25</f>
        <v>0</v>
      </c>
      <c r="K26" s="110" t="str">
        <f>'2008 new sample form'!O25</f>
        <v>na</v>
      </c>
      <c r="L26" s="461" t="str">
        <f>'2008 new sample form'!P25</f>
        <v>na</v>
      </c>
      <c r="M26" s="431">
        <f>IF(B26&gt;0,'2008 new sample form'!B25/'2008 new catch form'!B26,"na")</f>
        <v>0.83333333333333337</v>
      </c>
      <c r="N26" s="27">
        <f>IF(C26&gt;0,'2008 new sample form'!C25/'2008 new catch form'!C26,"na")</f>
        <v>0</v>
      </c>
      <c r="O26" s="432">
        <f>IF(D26&gt;0,'2008 new sample form'!D25/'2008 new catch form'!D26,"na")</f>
        <v>0.5</v>
      </c>
      <c r="P26" s="432" t="str">
        <f>IF(E26&gt;0,'2008 new sample form'!E25/'2008 new catch form'!E26,"na")</f>
        <v>na</v>
      </c>
      <c r="Q26" s="432" t="str">
        <f>IF(F26&gt;0,'2008 new sample form'!F25/'2008 new catch form'!F26,"na")</f>
        <v>na</v>
      </c>
      <c r="R26" s="442">
        <f t="shared" si="4"/>
        <v>2.4000000000000004</v>
      </c>
      <c r="S26" s="443">
        <f t="shared" si="5"/>
        <v>0</v>
      </c>
      <c r="T26" s="443">
        <f t="shared" si="6"/>
        <v>0</v>
      </c>
      <c r="U26" s="443">
        <f t="shared" si="7"/>
        <v>0</v>
      </c>
      <c r="V26" s="443">
        <f t="shared" si="8"/>
        <v>0</v>
      </c>
      <c r="W26" s="356">
        <f t="shared" ref="W26:W39" si="10">SUM(R26:V26)</f>
        <v>2.4000000000000004</v>
      </c>
    </row>
    <row r="27" spans="1:23" x14ac:dyDescent="0.3">
      <c r="A27" s="2">
        <v>34</v>
      </c>
      <c r="B27" s="426"/>
      <c r="C27" s="427"/>
      <c r="D27" s="427"/>
      <c r="E27" s="427">
        <v>5</v>
      </c>
      <c r="F27" s="427">
        <v>2</v>
      </c>
      <c r="G27" s="437">
        <f t="shared" si="9"/>
        <v>7</v>
      </c>
      <c r="H27" s="110" t="str">
        <f>'2008 new sample form'!L26</f>
        <v>na</v>
      </c>
      <c r="I27" s="110" t="str">
        <f>'2008 new sample form'!M26</f>
        <v>na</v>
      </c>
      <c r="J27" s="110" t="str">
        <f>'2008 new sample form'!N26</f>
        <v>na</v>
      </c>
      <c r="K27" s="110">
        <f>'2008 new sample form'!O26</f>
        <v>1</v>
      </c>
      <c r="L27" s="461">
        <f>'2008 new sample form'!P26</f>
        <v>1</v>
      </c>
      <c r="M27" s="431" t="str">
        <f>IF(B27&gt;0,'2008 new sample form'!B26/'2008 new catch form'!B27,"na")</f>
        <v>na</v>
      </c>
      <c r="N27" s="432" t="str">
        <f>IF(C27&gt;0,'2008 new sample form'!C26/'2008 new catch form'!C27,"na")</f>
        <v>na</v>
      </c>
      <c r="O27" s="432" t="str">
        <f>IF(D27&gt;0,'2008 new sample form'!D26/'2008 new catch form'!D27,"na")</f>
        <v>na</v>
      </c>
      <c r="P27" s="432">
        <f>IF(E27&gt;0,'2008 new sample form'!E26/'2008 new catch form'!E27,"na")</f>
        <v>0.6</v>
      </c>
      <c r="Q27" s="432">
        <f>IF(F27&gt;0,'2008 new sample form'!F26/'2008 new catch form'!F27,"na")</f>
        <v>0.5</v>
      </c>
      <c r="R27" s="442">
        <f t="shared" si="4"/>
        <v>0</v>
      </c>
      <c r="S27" s="443">
        <f t="shared" si="5"/>
        <v>0</v>
      </c>
      <c r="T27" s="443">
        <f t="shared" si="6"/>
        <v>0</v>
      </c>
      <c r="U27" s="443">
        <f t="shared" si="7"/>
        <v>5</v>
      </c>
      <c r="V27" s="443">
        <f t="shared" si="8"/>
        <v>2</v>
      </c>
      <c r="W27" s="356">
        <f t="shared" si="10"/>
        <v>7</v>
      </c>
    </row>
    <row r="28" spans="1:23" x14ac:dyDescent="0.3">
      <c r="A28" s="2">
        <v>35</v>
      </c>
      <c r="B28" s="426"/>
      <c r="C28" s="427"/>
      <c r="D28" s="427"/>
      <c r="E28" s="427">
        <v>10</v>
      </c>
      <c r="F28" s="427">
        <v>42</v>
      </c>
      <c r="G28" s="437">
        <f t="shared" si="9"/>
        <v>52</v>
      </c>
      <c r="H28" s="110" t="str">
        <f>'2008 new sample form'!L27</f>
        <v>na</v>
      </c>
      <c r="I28" s="110" t="str">
        <f>'2008 new sample form'!M27</f>
        <v>na</v>
      </c>
      <c r="J28" s="110" t="str">
        <f>'2008 new sample form'!N27</f>
        <v>na</v>
      </c>
      <c r="K28" s="110">
        <f>'2008 new sample form'!O27</f>
        <v>0.6</v>
      </c>
      <c r="L28" s="461">
        <f>'2008 new sample form'!P27</f>
        <v>0.66666666666666663</v>
      </c>
      <c r="M28" s="431" t="str">
        <f>IF(B28&gt;0,'2008 new sample form'!B27/'2008 new catch form'!B28,"na")</f>
        <v>na</v>
      </c>
      <c r="N28" s="432" t="str">
        <f>IF(C28&gt;0,'2008 new sample form'!C27/'2008 new catch form'!C28,"na")</f>
        <v>na</v>
      </c>
      <c r="O28" s="432" t="str">
        <f>IF(D28&gt;0,'2008 new sample form'!D27/'2008 new catch form'!D28,"na")</f>
        <v>na</v>
      </c>
      <c r="P28" s="432">
        <f>IF(E28&gt;0,'2008 new sample form'!E27/'2008 new catch form'!E28,"na")</f>
        <v>0.5</v>
      </c>
      <c r="Q28" s="432">
        <f>IF(F28&gt;0,'2008 new sample form'!F27/'2008 new catch form'!F28,"na")</f>
        <v>1</v>
      </c>
      <c r="R28" s="442">
        <f t="shared" si="4"/>
        <v>0</v>
      </c>
      <c r="S28" s="443">
        <f t="shared" si="5"/>
        <v>0</v>
      </c>
      <c r="T28" s="443">
        <f t="shared" si="6"/>
        <v>0</v>
      </c>
      <c r="U28" s="443">
        <f t="shared" si="7"/>
        <v>6</v>
      </c>
      <c r="V28" s="443">
        <f t="shared" si="8"/>
        <v>28</v>
      </c>
      <c r="W28" s="356">
        <f t="shared" si="10"/>
        <v>34</v>
      </c>
    </row>
    <row r="29" spans="1:23" x14ac:dyDescent="0.3">
      <c r="A29" s="2">
        <v>36</v>
      </c>
      <c r="B29" s="426"/>
      <c r="C29" s="427"/>
      <c r="D29" s="427"/>
      <c r="E29" s="427"/>
      <c r="F29" s="427"/>
      <c r="G29" s="437">
        <f t="shared" si="9"/>
        <v>0</v>
      </c>
      <c r="H29" s="110" t="str">
        <f>'2008 new sample form'!L28</f>
        <v>na</v>
      </c>
      <c r="I29" s="110" t="str">
        <f>'2008 new sample form'!M28</f>
        <v>na</v>
      </c>
      <c r="J29" s="110" t="str">
        <f>'2008 new sample form'!N28</f>
        <v>na</v>
      </c>
      <c r="K29" s="110" t="str">
        <f>'2008 new sample form'!O28</f>
        <v>na</v>
      </c>
      <c r="L29" s="461" t="str">
        <f>'2008 new sample form'!P28</f>
        <v>na</v>
      </c>
      <c r="M29" s="431" t="str">
        <f>IF(B29&gt;0,'2008 new sample form'!B28/'2008 new catch form'!B29,"na")</f>
        <v>na</v>
      </c>
      <c r="N29" s="432" t="str">
        <f>IF(C29&gt;0,'2008 new sample form'!C28/'2008 new catch form'!C29,"na")</f>
        <v>na</v>
      </c>
      <c r="O29" s="432" t="str">
        <f>IF(D29&gt;0,'2008 new sample form'!D28/'2008 new catch form'!D29,"na")</f>
        <v>na</v>
      </c>
      <c r="P29" s="432" t="str">
        <f>IF(E29&gt;0,'2008 new sample form'!E28/'2008 new catch form'!E29,"na")</f>
        <v>na</v>
      </c>
      <c r="Q29" s="432" t="str">
        <f>IF(F29&gt;0,'2008 new sample form'!F28/'2008 new catch form'!F29,"na")</f>
        <v>na</v>
      </c>
      <c r="R29" s="442">
        <f t="shared" si="4"/>
        <v>0</v>
      </c>
      <c r="S29" s="443">
        <f t="shared" si="5"/>
        <v>0</v>
      </c>
      <c r="T29" s="443">
        <f t="shared" si="6"/>
        <v>0</v>
      </c>
      <c r="U29" s="443">
        <f t="shared" si="7"/>
        <v>0</v>
      </c>
      <c r="V29" s="443">
        <f t="shared" si="8"/>
        <v>0</v>
      </c>
      <c r="W29" s="356">
        <f t="shared" si="10"/>
        <v>0</v>
      </c>
    </row>
    <row r="30" spans="1:23" x14ac:dyDescent="0.3">
      <c r="A30" s="2">
        <v>37</v>
      </c>
      <c r="B30" s="426"/>
      <c r="C30" s="427"/>
      <c r="D30" s="427"/>
      <c r="E30" s="427"/>
      <c r="F30" s="427"/>
      <c r="G30" s="437">
        <f t="shared" si="9"/>
        <v>0</v>
      </c>
      <c r="H30" s="110" t="str">
        <f>'2008 new sample form'!L29</f>
        <v>na</v>
      </c>
      <c r="I30" s="110" t="str">
        <f>'2008 new sample form'!M29</f>
        <v>na</v>
      </c>
      <c r="J30" s="110" t="str">
        <f>'2008 new sample form'!N29</f>
        <v>na</v>
      </c>
      <c r="K30" s="110" t="str">
        <f>'2008 new sample form'!O29</f>
        <v>na</v>
      </c>
      <c r="L30" s="461" t="str">
        <f>'2008 new sample form'!P29</f>
        <v>na</v>
      </c>
      <c r="M30" s="431" t="str">
        <f>IF(B30&gt;0,'2008 new sample form'!B29/'2008 new catch form'!B30,"na")</f>
        <v>na</v>
      </c>
      <c r="N30" s="432" t="str">
        <f>IF(C30&gt;0,'2008 new sample form'!C29/'2008 new catch form'!C30,"na")</f>
        <v>na</v>
      </c>
      <c r="O30" s="432" t="str">
        <f>IF(D30&gt;0,'2008 new sample form'!D29/'2008 new catch form'!D30,"na")</f>
        <v>na</v>
      </c>
      <c r="P30" s="432" t="str">
        <f>IF(E30&gt;0,'2008 new sample form'!E29/'2008 new catch form'!E30,"na")</f>
        <v>na</v>
      </c>
      <c r="Q30" s="432" t="str">
        <f>IF(F30&gt;0,'2008 new sample form'!F29/'2008 new catch form'!F30,"na")</f>
        <v>na</v>
      </c>
      <c r="R30" s="442">
        <f t="shared" si="4"/>
        <v>0</v>
      </c>
      <c r="S30" s="443">
        <f t="shared" si="5"/>
        <v>0</v>
      </c>
      <c r="T30" s="443">
        <f t="shared" si="6"/>
        <v>0</v>
      </c>
      <c r="U30" s="443">
        <f t="shared" si="7"/>
        <v>0</v>
      </c>
      <c r="V30" s="443">
        <f t="shared" si="8"/>
        <v>0</v>
      </c>
      <c r="W30" s="356">
        <f t="shared" si="10"/>
        <v>0</v>
      </c>
    </row>
    <row r="31" spans="1:23" x14ac:dyDescent="0.3">
      <c r="A31" s="2">
        <v>38</v>
      </c>
      <c r="B31" s="426">
        <v>58</v>
      </c>
      <c r="C31" s="427">
        <v>81</v>
      </c>
      <c r="D31" s="427">
        <v>66</v>
      </c>
      <c r="E31" s="427">
        <v>6</v>
      </c>
      <c r="F31" s="427">
        <v>30</v>
      </c>
      <c r="G31" s="437">
        <f t="shared" si="9"/>
        <v>241</v>
      </c>
      <c r="H31" s="110">
        <f>'2008 new sample form'!L30</f>
        <v>0.14285714285714285</v>
      </c>
      <c r="I31" s="506">
        <f>'Mean Unmarked Rates'!D48</f>
        <v>0</v>
      </c>
      <c r="J31" s="110">
        <f>'2008 new sample form'!N30</f>
        <v>0.23809523809523808</v>
      </c>
      <c r="K31" s="506">
        <f>'Mean Unmarked Rates'!D50</f>
        <v>0</v>
      </c>
      <c r="L31" s="507">
        <f>'Mean Unmarked Rates'!D51</f>
        <v>0</v>
      </c>
      <c r="M31" s="431">
        <f>IF(B31&gt;0,'2008 new sample form'!B30/'2008 new catch form'!B31,"na")</f>
        <v>0.36206896551724138</v>
      </c>
      <c r="N31" s="432">
        <f>IF(C31&gt;0,'2008 new sample form'!C30/'2008 new catch form'!C31,"na")</f>
        <v>6.1728395061728392E-2</v>
      </c>
      <c r="O31" s="432">
        <f>IF(D31&gt;0,'2008 new sample form'!D30/'2008 new catch form'!D31,"na")</f>
        <v>0.63636363636363635</v>
      </c>
      <c r="P31" s="432">
        <f>IF(E31&gt;0,'2008 new sample form'!E30/'2008 new catch form'!E31,"na")</f>
        <v>0</v>
      </c>
      <c r="Q31" s="432">
        <f>IF(F31&gt;0,'2008 new sample form'!F30/'2008 new catch form'!F31,"na")</f>
        <v>0</v>
      </c>
      <c r="R31" s="442">
        <f t="shared" si="4"/>
        <v>8.2857142857142847</v>
      </c>
      <c r="S31" s="443">
        <f t="shared" si="5"/>
        <v>0</v>
      </c>
      <c r="T31" s="443">
        <f t="shared" si="6"/>
        <v>15.714285714285714</v>
      </c>
      <c r="U31" s="443">
        <f t="shared" si="7"/>
        <v>0</v>
      </c>
      <c r="V31" s="443">
        <f t="shared" si="8"/>
        <v>0</v>
      </c>
      <c r="W31" s="356">
        <f t="shared" si="10"/>
        <v>24</v>
      </c>
    </row>
    <row r="32" spans="1:23" x14ac:dyDescent="0.3">
      <c r="A32" s="2">
        <v>39</v>
      </c>
      <c r="B32" s="462">
        <v>1123</v>
      </c>
      <c r="C32" s="123">
        <v>1128</v>
      </c>
      <c r="D32" s="123">
        <v>535</v>
      </c>
      <c r="E32" s="123">
        <v>1622</v>
      </c>
      <c r="F32" s="123">
        <v>724</v>
      </c>
      <c r="G32" s="437">
        <f t="shared" si="9"/>
        <v>5132</v>
      </c>
      <c r="H32" s="110">
        <f>'2008 new sample form'!L31</f>
        <v>0.21739130434782608</v>
      </c>
      <c r="I32" s="110">
        <f>'2008 new sample form'!M31</f>
        <v>0.15712682379349047</v>
      </c>
      <c r="J32" s="110">
        <f>'2008 new sample form'!N31</f>
        <v>0.31034482758620691</v>
      </c>
      <c r="K32" s="110">
        <f>'2008 new sample form'!O31</f>
        <v>0.2857142857142857</v>
      </c>
      <c r="L32" s="461">
        <f>'2008 new sample form'!P31</f>
        <v>0.34305317324185247</v>
      </c>
      <c r="M32" s="431">
        <f>IF(B32&gt;0,'2008 new sample form'!B31/'2008 new catch form'!B32,"na")</f>
        <v>8.1923419412288506E-2</v>
      </c>
      <c r="N32" s="432">
        <f>IF(C32&gt;0,'2008 new sample form'!C31/'2008 new catch form'!C32,"na")</f>
        <v>0.78989361702127658</v>
      </c>
      <c r="O32" s="432">
        <f>IF(D32&gt;0,'2008 new sample form'!D31/'2008 new catch form'!D32,"na")</f>
        <v>0.48785046728971965</v>
      </c>
      <c r="P32" s="432">
        <f>IF(E32&gt;0,'2008 new sample form'!E31/'2008 new catch form'!E32,"na")</f>
        <v>8.6313193588162765E-2</v>
      </c>
      <c r="Q32" s="432">
        <f>IF(F32&gt;0,'2008 new sample form'!F31/'2008 new catch form'!F32,"na")</f>
        <v>0.80524861878453036</v>
      </c>
      <c r="R32" s="450">
        <f t="shared" si="4"/>
        <v>244.13043478260869</v>
      </c>
      <c r="S32" s="451">
        <f t="shared" si="5"/>
        <v>177.23905723905725</v>
      </c>
      <c r="T32" s="451">
        <f t="shared" si="6"/>
        <v>166.0344827586207</v>
      </c>
      <c r="U32" s="451">
        <f t="shared" si="7"/>
        <v>463.42857142857139</v>
      </c>
      <c r="V32" s="451">
        <f t="shared" si="8"/>
        <v>248.37049742710118</v>
      </c>
      <c r="W32" s="356">
        <f t="shared" si="10"/>
        <v>1299.2030436359591</v>
      </c>
    </row>
    <row r="33" spans="1:23" x14ac:dyDescent="0.3">
      <c r="A33" s="2">
        <v>40</v>
      </c>
      <c r="B33" s="426"/>
      <c r="C33" s="427"/>
      <c r="D33" s="427"/>
      <c r="E33" s="427">
        <v>1474</v>
      </c>
      <c r="F33" s="427">
        <v>935</v>
      </c>
      <c r="G33" s="437">
        <f t="shared" si="9"/>
        <v>2409</v>
      </c>
      <c r="H33" s="110" t="str">
        <f>'2008 new sample form'!L32</f>
        <v>na</v>
      </c>
      <c r="I33" s="110" t="str">
        <f>'2008 new sample form'!M32</f>
        <v>na</v>
      </c>
      <c r="J33" s="110" t="str">
        <f>'2008 new sample form'!N32</f>
        <v>na</v>
      </c>
      <c r="K33" s="110">
        <f>'2008 new sample form'!O32</f>
        <v>0.4553191489361702</v>
      </c>
      <c r="L33" s="461">
        <f>'2008 new sample form'!P32</f>
        <v>0.49681528662420382</v>
      </c>
      <c r="M33" s="431" t="str">
        <f>IF(B33&gt;0,'2008 new sample form'!B32/'2008 new catch form'!B33,"na")</f>
        <v>na</v>
      </c>
      <c r="N33" s="432" t="str">
        <f>IF(C33&gt;0,'2008 new sample form'!C32/'2008 new catch form'!C33,"na")</f>
        <v>na</v>
      </c>
      <c r="O33" s="432" t="str">
        <f>IF(D33&gt;0,'2008 new sample form'!D32/'2008 new catch form'!D33,"na")</f>
        <v>na</v>
      </c>
      <c r="P33" s="432">
        <f>IF(E33&gt;0,'2008 new sample form'!E32/'2008 new catch form'!E33,"na")</f>
        <v>0.15943012211668928</v>
      </c>
      <c r="Q33" s="432">
        <f>IF(F33&gt;0,'2008 new sample form'!F32/'2008 new catch form'!F33,"na")</f>
        <v>0.16791443850267379</v>
      </c>
      <c r="R33" s="442">
        <f t="shared" si="4"/>
        <v>0</v>
      </c>
      <c r="S33" s="443">
        <f t="shared" si="5"/>
        <v>0</v>
      </c>
      <c r="T33" s="443">
        <f t="shared" si="6"/>
        <v>0</v>
      </c>
      <c r="U33" s="443">
        <f t="shared" si="7"/>
        <v>671.14042553191484</v>
      </c>
      <c r="V33" s="443">
        <f t="shared" si="8"/>
        <v>464.52229299363057</v>
      </c>
      <c r="W33" s="356">
        <f t="shared" si="10"/>
        <v>1135.6627185255454</v>
      </c>
    </row>
    <row r="34" spans="1:23" x14ac:dyDescent="0.3">
      <c r="A34" s="2">
        <v>41</v>
      </c>
      <c r="B34" s="426"/>
      <c r="C34" s="427"/>
      <c r="D34" s="427"/>
      <c r="E34" s="514">
        <v>315</v>
      </c>
      <c r="F34" s="514">
        <v>335</v>
      </c>
      <c r="G34" s="437">
        <f t="shared" si="9"/>
        <v>650</v>
      </c>
      <c r="H34" s="110" t="str">
        <f>'2008 new sample form'!L33</f>
        <v>na</v>
      </c>
      <c r="I34" s="110" t="str">
        <f>'2008 new sample form'!M33</f>
        <v>na</v>
      </c>
      <c r="J34" s="110" t="str">
        <f>'2008 new sample form'!N33</f>
        <v>na</v>
      </c>
      <c r="K34" s="512">
        <f>'Mean Unmarked Rates'!P50</f>
        <v>0</v>
      </c>
      <c r="L34" s="461">
        <f>'2008 new sample form'!P33</f>
        <v>0.50442477876106195</v>
      </c>
      <c r="M34" s="431" t="str">
        <f>IF(B34&gt;0,'2008 new sample form'!B33/'2008 new catch form'!B34,"na")</f>
        <v>na</v>
      </c>
      <c r="N34" s="432" t="str">
        <f>IF(C34&gt;0,'2008 new sample form'!C33/'2008 new catch form'!C34,"na")</f>
        <v>na</v>
      </c>
      <c r="O34" s="432" t="str">
        <f>IF(D34&gt;0,'2008 new sample form'!D33/'2008 new catch form'!D34,"na")</f>
        <v>na</v>
      </c>
      <c r="P34" s="432">
        <f>IF(E34&gt;0,'2008 new sample form'!E33/'2008 new catch form'!E34,"na")</f>
        <v>0</v>
      </c>
      <c r="Q34" s="432">
        <f>IF(F34&gt;0,'2008 new sample form'!F33/'2008 new catch form'!F34,"na")</f>
        <v>0.33731343283582088</v>
      </c>
      <c r="R34" s="442">
        <f t="shared" si="4"/>
        <v>0</v>
      </c>
      <c r="S34" s="443">
        <f t="shared" si="5"/>
        <v>0</v>
      </c>
      <c r="T34" s="443">
        <f t="shared" si="6"/>
        <v>0</v>
      </c>
      <c r="U34" s="443">
        <f t="shared" si="7"/>
        <v>0</v>
      </c>
      <c r="V34" s="443">
        <f t="shared" si="8"/>
        <v>168.98230088495575</v>
      </c>
      <c r="W34" s="356">
        <f t="shared" si="10"/>
        <v>168.98230088495575</v>
      </c>
    </row>
    <row r="35" spans="1:23" x14ac:dyDescent="0.3">
      <c r="A35" s="2">
        <v>42</v>
      </c>
      <c r="B35" s="426">
        <v>794</v>
      </c>
      <c r="C35" s="427">
        <v>2169</v>
      </c>
      <c r="D35" s="427">
        <v>890</v>
      </c>
      <c r="E35" s="457">
        <v>75</v>
      </c>
      <c r="F35" s="457">
        <v>70</v>
      </c>
      <c r="G35" s="437">
        <f t="shared" si="9"/>
        <v>3998</v>
      </c>
      <c r="H35" s="110">
        <f>'2008 new sample form'!L34</f>
        <v>0.12841854934601665</v>
      </c>
      <c r="I35" s="110">
        <f>'2008 new sample form'!M34</f>
        <v>0.19393939393939394</v>
      </c>
      <c r="J35" s="110">
        <f>'2008 new sample form'!N34</f>
        <v>0.17113665389527458</v>
      </c>
      <c r="K35" s="110">
        <f>'2008 new sample form'!O34</f>
        <v>0.18421052631578946</v>
      </c>
      <c r="L35" s="461">
        <f>'2008 new sample form'!P34</f>
        <v>0.5</v>
      </c>
      <c r="M35" s="431">
        <f>IF(B35&gt;0,'2008 new sample form'!B34/'2008 new catch form'!B35,"na")</f>
        <v>1.0591939546599496</v>
      </c>
      <c r="N35" s="432">
        <f>IF(C35&gt;0,'2008 new sample form'!C34/'2008 new catch form'!C35,"na")</f>
        <v>0.68464730290456433</v>
      </c>
      <c r="O35" s="432">
        <f>IF(D35&gt;0,'2008 new sample form'!D34/'2008 new catch form'!D35,"na")</f>
        <v>0.87977528089887636</v>
      </c>
      <c r="P35" s="432">
        <f>IF(E35&gt;0,'2008 new sample form'!E34/'2008 new catch form'!E35,"na")</f>
        <v>0.50666666666666671</v>
      </c>
      <c r="Q35" s="432">
        <f>IF(F35&gt;0,'2008 new sample form'!F34/'2008 new catch form'!F35,"na")</f>
        <v>0.17142857142857143</v>
      </c>
      <c r="R35" s="442">
        <f t="shared" si="4"/>
        <v>101.96432818073723</v>
      </c>
      <c r="S35" s="443">
        <f t="shared" si="5"/>
        <v>420.65454545454543</v>
      </c>
      <c r="T35" s="443">
        <f t="shared" si="6"/>
        <v>152.31162196679438</v>
      </c>
      <c r="U35" s="443">
        <f t="shared" si="7"/>
        <v>13.815789473684211</v>
      </c>
      <c r="V35" s="443">
        <f t="shared" si="8"/>
        <v>35</v>
      </c>
      <c r="W35" s="356">
        <f t="shared" si="10"/>
        <v>723.74628507576119</v>
      </c>
    </row>
    <row r="36" spans="1:23" x14ac:dyDescent="0.3">
      <c r="A36" s="2">
        <v>43</v>
      </c>
      <c r="B36" s="426">
        <v>12</v>
      </c>
      <c r="C36" s="457">
        <v>345</v>
      </c>
      <c r="D36" s="457">
        <v>135</v>
      </c>
      <c r="E36" s="457">
        <v>5</v>
      </c>
      <c r="F36" s="457">
        <v>1</v>
      </c>
      <c r="G36" s="437">
        <f t="shared" si="9"/>
        <v>498</v>
      </c>
      <c r="H36" s="110">
        <f>'2008 new sample form'!L35</f>
        <v>0.2857142857142857</v>
      </c>
      <c r="I36" s="110">
        <f>'2008 new sample form'!M35</f>
        <v>0.18777292576419213</v>
      </c>
      <c r="J36" s="110">
        <f>'2008 new sample form'!N35</f>
        <v>0.27192982456140352</v>
      </c>
      <c r="K36" s="512">
        <f>'Mean Unmarked Rates'!X50</f>
        <v>0</v>
      </c>
      <c r="L36" s="512">
        <f>'Mean Unmarked Rates'!X51</f>
        <v>0</v>
      </c>
      <c r="M36" s="431">
        <f>IF(B36&gt;0,'2008 new sample form'!B35/'2008 new catch form'!B36,"na")</f>
        <v>1.1666666666666667</v>
      </c>
      <c r="N36" s="432">
        <f>IF(C36&gt;0,'2008 new sample form'!C35/'2008 new catch form'!C36,"na")</f>
        <v>0.663768115942029</v>
      </c>
      <c r="O36" s="432">
        <f>IF(D36&gt;0,'2008 new sample form'!D35/'2008 new catch form'!D36,"na")</f>
        <v>0.84444444444444444</v>
      </c>
      <c r="P36" s="432">
        <f>IF(E36&gt;0,'2008 new sample form'!E35/'2008 new catch form'!E36,"na")</f>
        <v>0</v>
      </c>
      <c r="Q36" s="432">
        <f>IF(F36&gt;0,'2008 new sample form'!F35/'2008 new catch form'!F36,"na")</f>
        <v>0</v>
      </c>
      <c r="R36" s="442">
        <f t="shared" si="4"/>
        <v>3.4285714285714284</v>
      </c>
      <c r="S36" s="443">
        <f t="shared" si="5"/>
        <v>64.78165938864629</v>
      </c>
      <c r="T36" s="443">
        <f t="shared" si="6"/>
        <v>36.710526315789473</v>
      </c>
      <c r="U36" s="443">
        <f t="shared" si="7"/>
        <v>0</v>
      </c>
      <c r="V36" s="443">
        <f t="shared" si="8"/>
        <v>0</v>
      </c>
      <c r="W36" s="356">
        <f t="shared" si="10"/>
        <v>104.92075713300719</v>
      </c>
    </row>
    <row r="37" spans="1:23" x14ac:dyDescent="0.3">
      <c r="A37" s="2">
        <v>44</v>
      </c>
      <c r="B37" s="426">
        <v>12</v>
      </c>
      <c r="C37" s="457">
        <v>65</v>
      </c>
      <c r="D37" s="457">
        <v>21</v>
      </c>
      <c r="E37" s="457">
        <v>1</v>
      </c>
      <c r="F37" s="457">
        <v>2</v>
      </c>
      <c r="G37" s="437">
        <f t="shared" si="9"/>
        <v>101</v>
      </c>
      <c r="H37" s="110" t="str">
        <f>'2008 new sample form'!L36</f>
        <v>na</v>
      </c>
      <c r="I37" s="110">
        <f>'2008 new sample form'!M36</f>
        <v>0.18461538461538463</v>
      </c>
      <c r="J37" s="110">
        <f>'2008 new sample form'!N36</f>
        <v>0.23809523809523808</v>
      </c>
      <c r="K37" s="512">
        <v>0</v>
      </c>
      <c r="L37" s="461">
        <f>'2008 new sample form'!P36</f>
        <v>1</v>
      </c>
      <c r="M37" s="431">
        <f>IF(B37&gt;0,'2008 new sample form'!B36/'2008 new catch form'!B37,"na")</f>
        <v>0</v>
      </c>
      <c r="N37" s="432">
        <f>IF(C37&gt;0,'2008 new sample form'!C36/'2008 new catch form'!C37,"na")</f>
        <v>1</v>
      </c>
      <c r="O37" s="432">
        <f>IF(D37&gt;0,'2008 new sample form'!D36/'2008 new catch form'!D37,"na")</f>
        <v>1</v>
      </c>
      <c r="P37" s="432">
        <f>IF(E37&gt;0,'2008 new sample form'!E36/'2008 new catch form'!E37,"na")</f>
        <v>0</v>
      </c>
      <c r="Q37" s="432">
        <f>IF(F37&gt;0,'2008 new sample form'!F36/'2008 new catch form'!F37,"na")</f>
        <v>1</v>
      </c>
      <c r="R37" s="442">
        <f t="shared" si="4"/>
        <v>0</v>
      </c>
      <c r="S37" s="443">
        <f t="shared" si="5"/>
        <v>12</v>
      </c>
      <c r="T37" s="443">
        <f t="shared" si="6"/>
        <v>5</v>
      </c>
      <c r="U37" s="443">
        <f t="shared" si="7"/>
        <v>0</v>
      </c>
      <c r="V37" s="443">
        <f t="shared" si="8"/>
        <v>2</v>
      </c>
      <c r="W37" s="356">
        <f t="shared" si="10"/>
        <v>19</v>
      </c>
    </row>
    <row r="38" spans="1:23" x14ac:dyDescent="0.3">
      <c r="A38" s="2">
        <v>45</v>
      </c>
      <c r="B38" s="478"/>
      <c r="C38" s="52"/>
      <c r="D38" s="52"/>
      <c r="E38" s="52"/>
      <c r="F38" s="52"/>
      <c r="G38" s="438">
        <f t="shared" si="9"/>
        <v>0</v>
      </c>
      <c r="H38" s="216" t="str">
        <f>'2008 new sample form'!L37</f>
        <v>na</v>
      </c>
      <c r="I38" s="216" t="str">
        <f>'2008 new sample form'!M37</f>
        <v>na</v>
      </c>
      <c r="J38" s="216" t="str">
        <f>'2008 new sample form'!N37</f>
        <v>na</v>
      </c>
      <c r="K38" s="216" t="str">
        <f>'2008 new sample form'!O37</f>
        <v>na</v>
      </c>
      <c r="L38" s="479" t="str">
        <f>'2008 new sample form'!P37</f>
        <v>na</v>
      </c>
      <c r="M38" s="433" t="str">
        <f>IF(B38&gt;0,'2008 new sample form'!B37/'2008 new catch form'!B38,"na")</f>
        <v>na</v>
      </c>
      <c r="N38" s="434" t="str">
        <f>IF(C38&gt;0,'2008 new sample form'!C37/'2008 new catch form'!C38,"na")</f>
        <v>na</v>
      </c>
      <c r="O38" s="434" t="str">
        <f>IF(D38&gt;0,'2008 new sample form'!D37/'2008 new catch form'!D38,"na")</f>
        <v>na</v>
      </c>
      <c r="P38" s="434" t="str">
        <f>IF(E38&gt;0,'2008 new sample form'!E37/'2008 new catch form'!E38,"na")</f>
        <v>na</v>
      </c>
      <c r="Q38" s="434" t="str">
        <f>IF(F38&gt;0,'2008 new sample form'!F37/'2008 new catch form'!F38,"na")</f>
        <v>na</v>
      </c>
      <c r="R38" s="480">
        <f t="shared" si="4"/>
        <v>0</v>
      </c>
      <c r="S38" s="481">
        <f t="shared" si="5"/>
        <v>0</v>
      </c>
      <c r="T38" s="481">
        <f t="shared" si="6"/>
        <v>0</v>
      </c>
      <c r="U38" s="481">
        <f t="shared" si="7"/>
        <v>0</v>
      </c>
      <c r="V38" s="481">
        <f t="shared" si="8"/>
        <v>0</v>
      </c>
      <c r="W38" s="510">
        <f t="shared" si="10"/>
        <v>0</v>
      </c>
    </row>
    <row r="39" spans="1:23" x14ac:dyDescent="0.3">
      <c r="A39" s="24" t="s">
        <v>184</v>
      </c>
      <c r="B39" s="476">
        <f>SUM(B25:B38)</f>
        <v>2012</v>
      </c>
      <c r="C39" s="463">
        <f>SUM(C25:C38)</f>
        <v>3791</v>
      </c>
      <c r="D39" s="463">
        <f>SUM(D25:D38)</f>
        <v>1650</v>
      </c>
      <c r="E39" s="463">
        <f>SUM(E25:E38)</f>
        <v>3513</v>
      </c>
      <c r="F39" s="463">
        <f>SUM(F25:F38)</f>
        <v>2141</v>
      </c>
      <c r="G39" s="404">
        <f t="shared" si="9"/>
        <v>13107</v>
      </c>
      <c r="H39" s="446">
        <f>'2008 new sample form'!L38</f>
        <v>0.14065708418891171</v>
      </c>
      <c r="I39" s="223">
        <f>'2008 new sample form'!M38</f>
        <v>0.18130841121495328</v>
      </c>
      <c r="J39" s="223">
        <f>'2008 new sample form'!N38</f>
        <v>0.21358428805237317</v>
      </c>
      <c r="K39" s="223">
        <f>'2008 new sample form'!O38</f>
        <v>0.38004750593824227</v>
      </c>
      <c r="L39" s="477">
        <f>'2008 new sample form'!P38</f>
        <v>0.40879120879120878</v>
      </c>
      <c r="M39" s="445">
        <f>IF(B39&gt;0,'2008 new sample form'!B38/'2008 new catch form'!B39,"na")</f>
        <v>0.48409542743538769</v>
      </c>
      <c r="N39" s="475">
        <f>IF(C39&gt;0,'2008 new sample form'!C38/'2008 new catch form'!C39,"na")</f>
        <v>0.7056185702980744</v>
      </c>
      <c r="O39" s="475">
        <f>IF(D39&gt;0,'2008 new sample form'!D38/'2008 new catch form'!D39,"na")</f>
        <v>0.7406060606060606</v>
      </c>
      <c r="P39" s="475">
        <f>IF(E39&gt;0,'2008 new sample form'!E38/'2008 new catch form'!E39,"na")</f>
        <v>0.11984059208653572</v>
      </c>
      <c r="Q39" s="475">
        <f>IF(F39&gt;0,'2008 new sample form'!F38/'2008 new catch form'!F39,"na")</f>
        <v>0.42503503035964502</v>
      </c>
      <c r="R39" s="480">
        <f>SUM(R25:R38)</f>
        <v>360.20904867763164</v>
      </c>
      <c r="S39" s="481">
        <f>SUM(S25:S38)</f>
        <v>674.67526208224899</v>
      </c>
      <c r="T39" s="481">
        <f>SUM(T25:T38)</f>
        <v>375.77091675549025</v>
      </c>
      <c r="U39" s="481">
        <f>SUM(U25:U38)</f>
        <v>1159.3847864341703</v>
      </c>
      <c r="V39" s="481">
        <f>SUM(V25:V38)</f>
        <v>948.87509130568753</v>
      </c>
      <c r="W39" s="510">
        <f t="shared" si="10"/>
        <v>3518.9151052552288</v>
      </c>
    </row>
    <row r="40" spans="1:23" x14ac:dyDescent="0.3">
      <c r="A40" s="24"/>
      <c r="B40" s="29"/>
      <c r="C40" s="29"/>
      <c r="D40" s="29"/>
      <c r="E40" s="29"/>
      <c r="F40" s="29">
        <f>SUM(B39:F39)</f>
        <v>13107</v>
      </c>
      <c r="G40" s="29"/>
      <c r="H40" s="29"/>
      <c r="I40" s="29"/>
      <c r="J40" s="29"/>
      <c r="K40" s="29"/>
      <c r="L40" s="220">
        <f>V40/F40</f>
        <v>0.26847601321852665</v>
      </c>
      <c r="M40" s="29"/>
      <c r="N40" s="29"/>
      <c r="O40" s="29"/>
      <c r="P40" s="29"/>
      <c r="Q40" s="28">
        <f>'2008 new sample form'!F39/'2008 new catch form'!F40</f>
        <v>0.47318226901655602</v>
      </c>
      <c r="R40" s="29"/>
      <c r="S40" s="29"/>
      <c r="T40" s="29"/>
      <c r="U40" s="29"/>
      <c r="V40" s="29">
        <f>SUM(R39:V39)</f>
        <v>3518.9151052552288</v>
      </c>
    </row>
    <row r="43" spans="1:23" ht="15" x14ac:dyDescent="0.3">
      <c r="A43" s="27"/>
      <c r="B43" s="29"/>
      <c r="C43" s="29"/>
      <c r="D43" s="29"/>
      <c r="F43" s="947" t="s">
        <v>209</v>
      </c>
      <c r="G43" s="948"/>
      <c r="H43" s="948"/>
      <c r="I43" s="949"/>
      <c r="J43" s="29"/>
      <c r="K43" s="29"/>
      <c r="V43" s="29"/>
    </row>
    <row r="44" spans="1:23" x14ac:dyDescent="0.3">
      <c r="A44" s="484" t="s">
        <v>258</v>
      </c>
      <c r="B44" s="423" t="s">
        <v>44</v>
      </c>
      <c r="C44" s="423" t="s">
        <v>55</v>
      </c>
      <c r="D44" s="435" t="s">
        <v>56</v>
      </c>
      <c r="F44" s="338"/>
      <c r="G44" s="174" t="s">
        <v>160</v>
      </c>
      <c r="H44" s="339" t="s">
        <v>161</v>
      </c>
      <c r="I44" s="337" t="s">
        <v>44</v>
      </c>
      <c r="J44" s="951" t="s">
        <v>207</v>
      </c>
      <c r="K44" s="952"/>
    </row>
    <row r="45" spans="1:23" x14ac:dyDescent="0.3">
      <c r="A45" s="426" t="s">
        <v>31</v>
      </c>
      <c r="B45" s="123">
        <f>B19</f>
        <v>27203</v>
      </c>
      <c r="C45" s="443">
        <f>N19</f>
        <v>705.03519813864784</v>
      </c>
      <c r="D45" s="461">
        <f t="shared" ref="D45:D60" si="11">C45/B45</f>
        <v>2.5917553142618382E-2</v>
      </c>
      <c r="F45" s="472" t="s">
        <v>31</v>
      </c>
      <c r="G45" s="283">
        <f>C45*J45</f>
        <v>84.604223776637738</v>
      </c>
      <c r="H45" s="284">
        <v>0</v>
      </c>
      <c r="I45" s="285">
        <f>H45+G45</f>
        <v>84.604223776637738</v>
      </c>
      <c r="J45" s="466">
        <v>0.12</v>
      </c>
      <c r="K45" s="437" t="s">
        <v>31</v>
      </c>
    </row>
    <row r="46" spans="1:23" x14ac:dyDescent="0.3">
      <c r="A46" s="426" t="s">
        <v>62</v>
      </c>
      <c r="B46" s="123">
        <f>C19</f>
        <v>7753</v>
      </c>
      <c r="C46" s="443">
        <f>O19</f>
        <v>251.13588619416765</v>
      </c>
      <c r="D46" s="461">
        <f>C46/B46</f>
        <v>3.2392091602498084E-2</v>
      </c>
      <c r="F46" s="338" t="s">
        <v>62</v>
      </c>
      <c r="G46" s="287">
        <f>C46*J46</f>
        <v>50.227177238833534</v>
      </c>
      <c r="H46" s="288">
        <v>0</v>
      </c>
      <c r="I46" s="289">
        <f>H46+G46</f>
        <v>50.227177238833534</v>
      </c>
      <c r="J46" s="468">
        <v>0.2</v>
      </c>
      <c r="K46" s="437" t="s">
        <v>62</v>
      </c>
    </row>
    <row r="47" spans="1:23" x14ac:dyDescent="0.3">
      <c r="A47" s="426" t="s">
        <v>32</v>
      </c>
      <c r="B47" s="123">
        <f>D19</f>
        <v>5366</v>
      </c>
      <c r="C47" s="443">
        <f>P19</f>
        <v>312.380240453851</v>
      </c>
      <c r="D47" s="461">
        <f t="shared" si="11"/>
        <v>5.8214729864675921E-2</v>
      </c>
      <c r="F47" s="472" t="s">
        <v>32</v>
      </c>
      <c r="G47" s="283">
        <f>C47*J47</f>
        <v>40.60943125900063</v>
      </c>
      <c r="H47" s="284">
        <v>0</v>
      </c>
      <c r="I47" s="285">
        <f>H47+G47</f>
        <v>40.60943125900063</v>
      </c>
      <c r="J47" s="466">
        <v>0.13</v>
      </c>
      <c r="K47" s="437" t="s">
        <v>32</v>
      </c>
    </row>
    <row r="48" spans="1:23" x14ac:dyDescent="0.3">
      <c r="A48" s="485" t="s">
        <v>203</v>
      </c>
      <c r="B48" s="123">
        <f>E19</f>
        <v>14244</v>
      </c>
      <c r="C48" s="443">
        <f>Q19</f>
        <v>1297.178399989155</v>
      </c>
      <c r="D48" s="461">
        <f>C48/B48</f>
        <v>9.1068407749870475E-2</v>
      </c>
      <c r="F48" s="472" t="s">
        <v>203</v>
      </c>
      <c r="G48" s="283">
        <f>C48*J48</f>
        <v>142.68962399880704</v>
      </c>
      <c r="H48" s="465">
        <v>0</v>
      </c>
      <c r="I48" s="285">
        <f>H48+G48</f>
        <v>142.68962399880704</v>
      </c>
      <c r="J48" s="466">
        <v>0.11</v>
      </c>
      <c r="K48" s="437" t="s">
        <v>203</v>
      </c>
    </row>
    <row r="49" spans="1:11" x14ac:dyDescent="0.3">
      <c r="A49" s="421" t="s">
        <v>61</v>
      </c>
      <c r="B49" s="106">
        <f>SUM(B45:B48)</f>
        <v>54566</v>
      </c>
      <c r="C49" s="106">
        <f>SUM(C45:C48)</f>
        <v>2565.7297247758215</v>
      </c>
      <c r="D49" s="447">
        <f t="shared" si="11"/>
        <v>4.7020667169589518E-2</v>
      </c>
      <c r="E49" s="2"/>
      <c r="F49" s="290" t="s">
        <v>61</v>
      </c>
      <c r="G49" s="291">
        <f>SUM(G45:G48)</f>
        <v>318.13045627327892</v>
      </c>
      <c r="H49" s="292"/>
      <c r="I49" s="293">
        <f>H49+G49</f>
        <v>318.13045627327892</v>
      </c>
    </row>
    <row r="50" spans="1:11" x14ac:dyDescent="0.3">
      <c r="B50" s="24"/>
      <c r="C50" s="24"/>
      <c r="D50" s="67"/>
      <c r="E50" s="2"/>
      <c r="F50" s="472"/>
      <c r="G50" s="482"/>
      <c r="H50" s="482"/>
      <c r="I50" s="483"/>
      <c r="J50" s="466"/>
      <c r="K50" s="437"/>
    </row>
    <row r="51" spans="1:11" x14ac:dyDescent="0.3">
      <c r="A51" s="484" t="s">
        <v>123</v>
      </c>
      <c r="B51" s="423" t="s">
        <v>44</v>
      </c>
      <c r="C51" s="423" t="s">
        <v>55</v>
      </c>
      <c r="D51" s="435" t="s">
        <v>56</v>
      </c>
      <c r="E51" s="2"/>
      <c r="F51" s="334" t="s">
        <v>123</v>
      </c>
      <c r="G51" s="487" t="s">
        <v>160</v>
      </c>
      <c r="H51" s="418" t="s">
        <v>161</v>
      </c>
      <c r="I51" s="488" t="s">
        <v>44</v>
      </c>
      <c r="J51" s="953" t="s">
        <v>270</v>
      </c>
      <c r="K51" s="954"/>
    </row>
    <row r="52" spans="1:11" x14ac:dyDescent="0.3">
      <c r="A52" s="426">
        <v>1</v>
      </c>
      <c r="B52" s="123">
        <f>B39</f>
        <v>2012</v>
      </c>
      <c r="C52" s="123">
        <f>R39</f>
        <v>360.20904867763164</v>
      </c>
      <c r="D52" s="461">
        <f t="shared" si="11"/>
        <v>0.1790303422851052</v>
      </c>
      <c r="F52" s="472">
        <v>1</v>
      </c>
      <c r="G52" s="65">
        <f>SUM(R25:R30)*$J$52+R31*$J$53+R32*$J$54+R33*$J$55+R34*$J$56+SUM(R35:R38)*$J$57</f>
        <v>128.60807453416149</v>
      </c>
      <c r="H52" s="65">
        <f>R31*$J$53+R32*$J$54+R33*$J$55+R34*$J$56+SUM(R35:R38)</f>
        <v>231.60097414347013</v>
      </c>
      <c r="I52" s="359">
        <f>H52+G52</f>
        <v>360.20904867763159</v>
      </c>
      <c r="J52" s="466">
        <v>1</v>
      </c>
      <c r="K52" s="437" t="s">
        <v>206</v>
      </c>
    </row>
    <row r="53" spans="1:11" x14ac:dyDescent="0.3">
      <c r="A53" s="426">
        <v>2</v>
      </c>
      <c r="B53" s="123">
        <f>C39</f>
        <v>3791</v>
      </c>
      <c r="C53" s="123">
        <f>S39</f>
        <v>674.67526208224899</v>
      </c>
      <c r="D53" s="461">
        <f t="shared" si="11"/>
        <v>0.17796762386764678</v>
      </c>
      <c r="F53" s="472">
        <v>2</v>
      </c>
      <c r="G53" s="65">
        <f>SUM(S25:S30)*$J$52+S31*$J$53+S32*$J$54+S33*$J$55+S34*$J$56+SUM(S35:S38)*$J$57</f>
        <v>88.619528619528623</v>
      </c>
      <c r="H53" s="65">
        <f>S31*$J$53+S32*$J$54+S33*$J$55+S34*$J$56+SUM(S35:S38)</f>
        <v>586.05573346272035</v>
      </c>
      <c r="I53" s="359">
        <f>H53+G53</f>
        <v>674.67526208224899</v>
      </c>
      <c r="J53" s="466">
        <v>0.5</v>
      </c>
      <c r="K53" s="437" t="s">
        <v>204</v>
      </c>
    </row>
    <row r="54" spans="1:11" x14ac:dyDescent="0.3">
      <c r="A54" s="426">
        <v>3</v>
      </c>
      <c r="B54" s="123">
        <f>D39</f>
        <v>1650</v>
      </c>
      <c r="C54" s="123">
        <f>T39</f>
        <v>375.77091675549025</v>
      </c>
      <c r="D54" s="461">
        <f t="shared" si="11"/>
        <v>0.22773994954878196</v>
      </c>
      <c r="F54" s="472">
        <v>3</v>
      </c>
      <c r="G54" s="65">
        <f>SUM(T25:T30)*$J$52+T31*$J$53+T32*$J$54+T33*$J$55+T34*$J$56+SUM(T35:T38)*$J$57</f>
        <v>90.87438423645321</v>
      </c>
      <c r="H54" s="65">
        <f>T31*$J$53+T32*$J$54+T33*$J$55+T34*$J$56+SUM(T35:T38)</f>
        <v>284.89653251903707</v>
      </c>
      <c r="I54" s="359">
        <f>H54+G54</f>
        <v>375.77091675549025</v>
      </c>
      <c r="J54" s="466">
        <v>0.5</v>
      </c>
      <c r="K54" s="437" t="s">
        <v>175</v>
      </c>
    </row>
    <row r="55" spans="1:11" x14ac:dyDescent="0.3">
      <c r="A55" s="426">
        <v>4</v>
      </c>
      <c r="B55" s="123">
        <f>E39</f>
        <v>3513</v>
      </c>
      <c r="C55" s="123">
        <f>U39</f>
        <v>1159.3847864341703</v>
      </c>
      <c r="D55" s="461">
        <f t="shared" si="11"/>
        <v>0.3300269816208854</v>
      </c>
      <c r="F55" s="472">
        <v>4</v>
      </c>
      <c r="G55" s="65">
        <f>SUM(U25:U30)*$J$52+U31*$J$53+U32*$J$54+U33*$J$55+U34*$J$56+SUM(U35:U38)*$J$57</f>
        <v>578.28449848024309</v>
      </c>
      <c r="H55" s="65">
        <f>U31*$J$53+U32*$J$54+U33*$J$55+U34*$J$56+SUM(U35:U38)</f>
        <v>581.10028795392725</v>
      </c>
      <c r="I55" s="359">
        <f>H55+G55</f>
        <v>1159.3847864341703</v>
      </c>
      <c r="J55" s="466">
        <v>0.5</v>
      </c>
      <c r="K55" s="437" t="s">
        <v>172</v>
      </c>
    </row>
    <row r="56" spans="1:11" x14ac:dyDescent="0.3">
      <c r="A56" s="428">
        <v>5</v>
      </c>
      <c r="B56" s="52">
        <f>F39</f>
        <v>2141</v>
      </c>
      <c r="C56" s="52">
        <f>V39</f>
        <v>948.87509130568753</v>
      </c>
      <c r="D56" s="479">
        <f t="shared" si="11"/>
        <v>0.44319247608859763</v>
      </c>
      <c r="F56" s="338">
        <v>5</v>
      </c>
      <c r="G56" s="65">
        <f>SUM(V25:V30)*$J$52+V31*$J$53+V32*$J$54+V33*$J$55+V34*$J$56+SUM(V35:V38)*$J$57</f>
        <v>470.93754565284377</v>
      </c>
      <c r="H56" s="65">
        <f>V31*$J$53+V32*$J$54+V33*$J$55+V34*$J$56+SUM(V35:V38)</f>
        <v>477.93754565284377</v>
      </c>
      <c r="I56" s="359">
        <f>H56+G56</f>
        <v>948.87509130568753</v>
      </c>
      <c r="J56" s="466">
        <v>0.5</v>
      </c>
      <c r="K56" s="437" t="s">
        <v>176</v>
      </c>
    </row>
    <row r="57" spans="1:11" x14ac:dyDescent="0.3">
      <c r="A57" s="419" t="s">
        <v>60</v>
      </c>
      <c r="B57" s="96">
        <f>SUM(B52:B56)</f>
        <v>13107</v>
      </c>
      <c r="C57" s="96">
        <f>SUM(C52:C56)</f>
        <v>3518.9151052552288</v>
      </c>
      <c r="D57" s="486">
        <f t="shared" si="11"/>
        <v>0.26847601321852665</v>
      </c>
      <c r="F57" s="273" t="s">
        <v>60</v>
      </c>
      <c r="G57" s="303">
        <f>SUM(G52:G56)</f>
        <v>1357.3240315232301</v>
      </c>
      <c r="H57" s="292">
        <f>SUM(H52:H56)</f>
        <v>2161.5910737319987</v>
      </c>
      <c r="I57" s="292">
        <f>SUM(I52:I56)</f>
        <v>3518.9151052552288</v>
      </c>
      <c r="J57" s="466">
        <v>0</v>
      </c>
      <c r="K57" s="437" t="s">
        <v>205</v>
      </c>
    </row>
    <row r="58" spans="1:11" x14ac:dyDescent="0.3">
      <c r="A58" s="27"/>
      <c r="B58" s="218"/>
      <c r="C58" s="218"/>
      <c r="D58" s="220"/>
      <c r="F58" s="467"/>
      <c r="G58" s="287"/>
      <c r="H58" s="489"/>
      <c r="I58" s="489"/>
    </row>
    <row r="59" spans="1:11" ht="15.5" x14ac:dyDescent="0.35">
      <c r="A59" s="27"/>
      <c r="F59" s="492" t="s">
        <v>44</v>
      </c>
      <c r="G59" s="493">
        <f>G57+G49</f>
        <v>1675.4544877965091</v>
      </c>
      <c r="H59" s="494">
        <f>H57+H49</f>
        <v>2161.5910737319987</v>
      </c>
      <c r="I59" s="495">
        <f>H59+G59</f>
        <v>3837.0455615285077</v>
      </c>
    </row>
    <row r="60" spans="1:11" x14ac:dyDescent="0.3">
      <c r="A60" s="421" t="s">
        <v>69</v>
      </c>
      <c r="B60" s="100">
        <f>B49+B57</f>
        <v>67673</v>
      </c>
      <c r="C60" s="100">
        <f>C49+C57</f>
        <v>6084.6448300310503</v>
      </c>
      <c r="D60" s="447">
        <f t="shared" si="11"/>
        <v>8.9912444106675482E-2</v>
      </c>
      <c r="F60" s="950" t="s">
        <v>210</v>
      </c>
      <c r="G60" s="950"/>
      <c r="H60" s="950"/>
      <c r="I60" s="950"/>
    </row>
    <row r="61" spans="1:11" ht="12.5" x14ac:dyDescent="0.25">
      <c r="A61" s="27"/>
      <c r="C61" s="455"/>
      <c r="D61" s="65"/>
      <c r="G61" s="29"/>
      <c r="K61" s="455"/>
    </row>
    <row r="62" spans="1:11" x14ac:dyDescent="0.3">
      <c r="A62" s="947" t="s">
        <v>208</v>
      </c>
      <c r="B62" s="948"/>
      <c r="C62" s="948"/>
      <c r="D62" s="949"/>
      <c r="K62" s="455"/>
    </row>
    <row r="63" spans="1:11" x14ac:dyDescent="0.3">
      <c r="A63" s="472" t="s">
        <v>258</v>
      </c>
      <c r="B63" s="164" t="s">
        <v>160</v>
      </c>
      <c r="C63" s="473" t="s">
        <v>161</v>
      </c>
      <c r="D63" s="340" t="s">
        <v>44</v>
      </c>
      <c r="K63" s="455"/>
    </row>
    <row r="64" spans="1:11" ht="12.5" x14ac:dyDescent="0.25">
      <c r="A64" s="426" t="s">
        <v>31</v>
      </c>
      <c r="B64" s="123">
        <f>B19</f>
        <v>27203</v>
      </c>
      <c r="C64" s="465">
        <v>0</v>
      </c>
      <c r="D64" s="496">
        <f>C64+B64</f>
        <v>27203</v>
      </c>
    </row>
    <row r="65" spans="1:11" ht="12.5" x14ac:dyDescent="0.25">
      <c r="A65" s="426" t="s">
        <v>62</v>
      </c>
      <c r="B65" s="123">
        <f>C19</f>
        <v>7753</v>
      </c>
      <c r="C65" s="284">
        <v>0</v>
      </c>
      <c r="D65" s="496">
        <f>C65+B65</f>
        <v>7753</v>
      </c>
      <c r="J65" s="455"/>
      <c r="K65" s="65"/>
    </row>
    <row r="66" spans="1:11" ht="12.5" x14ac:dyDescent="0.25">
      <c r="A66" s="426" t="s">
        <v>32</v>
      </c>
      <c r="B66" s="123">
        <f>D19</f>
        <v>5366</v>
      </c>
      <c r="C66" s="284">
        <v>0</v>
      </c>
      <c r="D66" s="496">
        <f>C66+B66</f>
        <v>5366</v>
      </c>
      <c r="K66" s="65"/>
    </row>
    <row r="67" spans="1:11" ht="12.5" x14ac:dyDescent="0.25">
      <c r="A67" s="485" t="s">
        <v>203</v>
      </c>
      <c r="B67" s="123">
        <f>E19</f>
        <v>14244</v>
      </c>
      <c r="C67" s="288">
        <v>0</v>
      </c>
      <c r="D67" s="496">
        <f>C67+B67</f>
        <v>14244</v>
      </c>
    </row>
    <row r="68" spans="1:11" x14ac:dyDescent="0.3">
      <c r="A68" s="499" t="s">
        <v>61</v>
      </c>
      <c r="B68" s="500">
        <f>SUM(B64:B67)</f>
        <v>54566</v>
      </c>
      <c r="C68" s="500">
        <f>SUM(C64:C67)</f>
        <v>0</v>
      </c>
      <c r="D68" s="501">
        <f>SUM(D64:D67)</f>
        <v>54566</v>
      </c>
    </row>
    <row r="69" spans="1:11" x14ac:dyDescent="0.3">
      <c r="A69" s="472" t="s">
        <v>123</v>
      </c>
      <c r="B69" s="164" t="s">
        <v>160</v>
      </c>
      <c r="C69" s="473" t="s">
        <v>161</v>
      </c>
      <c r="D69" s="340" t="s">
        <v>44</v>
      </c>
    </row>
    <row r="70" spans="1:11" ht="12.5" x14ac:dyDescent="0.25">
      <c r="A70" s="464">
        <v>1</v>
      </c>
      <c r="B70" s="497">
        <f>SUM(B25:B30)*$J$52+B31*$J$53+B32*$J$54+B33*$J$55+B34*$J$56</f>
        <v>603.5</v>
      </c>
      <c r="C70" s="498">
        <f>B31*$J$53+B32*$J$54+B33*$J$55+B34*$J$56+SUM(B35:B38)</f>
        <v>1408.5</v>
      </c>
      <c r="D70" s="296">
        <f t="shared" ref="D70:D76" si="12">C70+B70</f>
        <v>2012</v>
      </c>
    </row>
    <row r="71" spans="1:11" ht="12.5" x14ac:dyDescent="0.25">
      <c r="A71" s="464">
        <v>2</v>
      </c>
      <c r="B71" s="454">
        <f>SUM(C25:C30)*$J$52+C31*$J$53+C32*$J$54+C33*$J$55+C34*$J$56</f>
        <v>607.5</v>
      </c>
      <c r="C71" s="454">
        <f>C31*$J$53+C32*$J$54+C33*$J$55+C34*$J$56+SUM(C35:C38)</f>
        <v>3183.5</v>
      </c>
      <c r="D71" s="296">
        <f t="shared" si="12"/>
        <v>3791</v>
      </c>
    </row>
    <row r="72" spans="1:11" ht="12.5" x14ac:dyDescent="0.25">
      <c r="A72" s="464">
        <v>3</v>
      </c>
      <c r="B72" s="454">
        <f>SUM(D25:D30)*$J$52+D31*$J$53+D32*$J$54+D33*$J$55+D34*$J$56</f>
        <v>303.5</v>
      </c>
      <c r="C72" s="454">
        <f>D31*$J$53+D32*$J$54+D33*$J$55+D34*$J$56+SUM(D35:D38)</f>
        <v>1346.5</v>
      </c>
      <c r="D72" s="296">
        <f t="shared" si="12"/>
        <v>1650</v>
      </c>
    </row>
    <row r="73" spans="1:11" ht="12.5" x14ac:dyDescent="0.25">
      <c r="A73" s="464">
        <v>4</v>
      </c>
      <c r="B73" s="454">
        <f>SUM(E25:E30)*$J$52+E31*$J$53+E32*$J$54+E33*$J$55+E34*$J$56</f>
        <v>1723.5</v>
      </c>
      <c r="C73" s="454">
        <f>E31*$J$53+E32*$J$54+E33*$J$55+E34*$J$56+SUM(E35:E38)</f>
        <v>1789.5</v>
      </c>
      <c r="D73" s="296">
        <f t="shared" si="12"/>
        <v>3513</v>
      </c>
    </row>
    <row r="74" spans="1:11" ht="12.5" x14ac:dyDescent="0.25">
      <c r="A74" s="467">
        <v>5</v>
      </c>
      <c r="B74" s="454">
        <f>SUM(F25:F30)*$J$52+F31*$J$53+F32*$J$54+F33*$J$55+F34*$J$56</f>
        <v>1056</v>
      </c>
      <c r="C74" s="454">
        <f>F31*$J$53+F32*$J$54+F33*$J$55+F34*$J$56+SUM(F35:F38)</f>
        <v>1085</v>
      </c>
      <c r="D74" s="296">
        <f t="shared" si="12"/>
        <v>2141</v>
      </c>
    </row>
    <row r="75" spans="1:11" x14ac:dyDescent="0.3">
      <c r="A75" s="499" t="s">
        <v>60</v>
      </c>
      <c r="B75" s="502">
        <f>SUM(B70:B74)</f>
        <v>4294</v>
      </c>
      <c r="C75" s="502">
        <f>SUM(C70:C74)</f>
        <v>8813</v>
      </c>
      <c r="D75" s="503">
        <f>SUM(D70:D74)</f>
        <v>13107</v>
      </c>
    </row>
    <row r="76" spans="1:11" x14ac:dyDescent="0.3">
      <c r="A76" s="338" t="s">
        <v>44</v>
      </c>
      <c r="B76" s="474">
        <f>B75+B68</f>
        <v>58860</v>
      </c>
      <c r="C76" s="490">
        <f>C75+C68</f>
        <v>8813</v>
      </c>
      <c r="D76" s="491">
        <f t="shared" si="12"/>
        <v>67673</v>
      </c>
    </row>
  </sheetData>
  <mergeCells count="13">
    <mergeCell ref="F43:I43"/>
    <mergeCell ref="A62:D62"/>
    <mergeCell ref="F60:I60"/>
    <mergeCell ref="J44:K44"/>
    <mergeCell ref="J51:K51"/>
    <mergeCell ref="B23:G23"/>
    <mergeCell ref="R23:W23"/>
    <mergeCell ref="B3:E3"/>
    <mergeCell ref="F3:I3"/>
    <mergeCell ref="J3:M3"/>
    <mergeCell ref="N3:Q3"/>
    <mergeCell ref="M23:Q23"/>
    <mergeCell ref="H23:L23"/>
  </mergeCells>
  <phoneticPr fontId="4" type="noConversion"/>
  <pageMargins left="0.75" right="0.75" top="1" bottom="1" header="0.5" footer="0.5"/>
  <pageSetup scale="49" orientation="landscape"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Z58"/>
  <sheetViews>
    <sheetView topLeftCell="A16" workbookViewId="0">
      <selection activeCell="I30" sqref="I30"/>
    </sheetView>
  </sheetViews>
  <sheetFormatPr defaultRowHeight="12.5" x14ac:dyDescent="0.25"/>
  <cols>
    <col min="1" max="1" width="5.81640625" bestFit="1" customWidth="1"/>
    <col min="2" max="2" width="11.1796875" bestFit="1" customWidth="1"/>
    <col min="3" max="3" width="9.453125" bestFit="1" customWidth="1"/>
    <col min="4" max="4" width="7.453125" bestFit="1" customWidth="1"/>
    <col min="5" max="5" width="7.1796875" bestFit="1" customWidth="1"/>
    <col min="6" max="6" width="11.1796875" bestFit="1" customWidth="1"/>
    <col min="7" max="7" width="9.453125" bestFit="1" customWidth="1"/>
    <col min="8" max="8" width="7.453125" bestFit="1" customWidth="1"/>
    <col min="9" max="9" width="7.1796875" bestFit="1" customWidth="1"/>
    <col min="10" max="10" width="11.1796875" bestFit="1" customWidth="1"/>
    <col min="11" max="11" width="9.453125" bestFit="1" customWidth="1"/>
    <col min="12" max="12" width="12" bestFit="1" customWidth="1"/>
    <col min="13" max="14" width="7.26953125" bestFit="1" customWidth="1"/>
    <col min="15" max="16" width="8.26953125" bestFit="1" customWidth="1"/>
    <col min="20" max="20" width="37.453125" bestFit="1" customWidth="1"/>
    <col min="21" max="21" width="7" bestFit="1" customWidth="1"/>
    <col min="22" max="22" width="10.7265625" bestFit="1" customWidth="1"/>
    <col min="23" max="24" width="11.453125" bestFit="1" customWidth="1"/>
    <col min="25" max="25" width="7" bestFit="1" customWidth="1"/>
    <col min="26" max="26" width="10.7265625" bestFit="1" customWidth="1"/>
    <col min="27" max="27" width="11.453125" bestFit="1" customWidth="1"/>
    <col min="28" max="28" width="7.26953125" bestFit="1" customWidth="1"/>
    <col min="29" max="29" width="7" bestFit="1" customWidth="1"/>
    <col min="30" max="30" width="10.7265625" bestFit="1" customWidth="1"/>
    <col min="31" max="31" width="11.453125" bestFit="1" customWidth="1"/>
    <col min="32" max="32" width="7.26953125" bestFit="1" customWidth="1"/>
    <col min="33" max="33" width="7" bestFit="1" customWidth="1"/>
    <col min="34" max="34" width="10.7265625" bestFit="1" customWidth="1"/>
    <col min="35" max="35" width="11.453125" bestFit="1" customWidth="1"/>
    <col min="36" max="36" width="7.26953125" bestFit="1" customWidth="1"/>
    <col min="37" max="37" width="7" bestFit="1" customWidth="1"/>
    <col min="38" max="38" width="10.7265625" bestFit="1" customWidth="1"/>
    <col min="39" max="39" width="11.453125" bestFit="1" customWidth="1"/>
    <col min="40" max="40" width="7.26953125" bestFit="1" customWidth="1"/>
    <col min="41" max="41" width="7" bestFit="1" customWidth="1"/>
    <col min="42" max="42" width="10.7265625" bestFit="1" customWidth="1"/>
    <col min="43" max="43" width="11.453125" bestFit="1" customWidth="1"/>
    <col min="44" max="44" width="7.26953125" bestFit="1" customWidth="1"/>
    <col min="45" max="45" width="7" bestFit="1" customWidth="1"/>
    <col min="46" max="46" width="10.7265625" bestFit="1" customWidth="1"/>
    <col min="47" max="47" width="11.453125" bestFit="1" customWidth="1"/>
    <col min="48" max="48" width="7.26953125" bestFit="1" customWidth="1"/>
    <col min="49" max="49" width="7" bestFit="1" customWidth="1"/>
    <col min="50" max="50" width="10.7265625" bestFit="1" customWidth="1"/>
    <col min="51" max="51" width="11.453125" bestFit="1" customWidth="1"/>
    <col min="52" max="52" width="2.26953125" customWidth="1"/>
  </cols>
  <sheetData>
    <row r="1" spans="1:52" ht="15.5" x14ac:dyDescent="0.35">
      <c r="B1" s="2" t="s">
        <v>258</v>
      </c>
      <c r="T1" s="1" t="s">
        <v>240</v>
      </c>
    </row>
    <row r="2" spans="1:52" ht="13" x14ac:dyDescent="0.3">
      <c r="B2" s="900" t="s">
        <v>265</v>
      </c>
      <c r="C2" s="901"/>
      <c r="D2" s="901"/>
      <c r="E2" s="902"/>
      <c r="F2" s="900" t="s">
        <v>266</v>
      </c>
      <c r="G2" s="901"/>
      <c r="H2" s="901"/>
      <c r="I2" s="902"/>
      <c r="J2" s="900" t="s">
        <v>267</v>
      </c>
      <c r="K2" s="901"/>
      <c r="L2" s="901"/>
      <c r="M2" s="902"/>
      <c r="T2" s="2"/>
    </row>
    <row r="3" spans="1:52" ht="13" x14ac:dyDescent="0.3">
      <c r="A3" t="s">
        <v>134</v>
      </c>
      <c r="B3" s="274" t="s">
        <v>31</v>
      </c>
      <c r="C3" s="42" t="s">
        <v>62</v>
      </c>
      <c r="D3" s="42" t="s">
        <v>260</v>
      </c>
      <c r="E3" s="134" t="s">
        <v>203</v>
      </c>
      <c r="F3" s="274" t="s">
        <v>31</v>
      </c>
      <c r="G3" s="42" t="s">
        <v>62</v>
      </c>
      <c r="H3" s="42" t="s">
        <v>260</v>
      </c>
      <c r="I3" s="134" t="s">
        <v>203</v>
      </c>
      <c r="J3" s="274" t="s">
        <v>31</v>
      </c>
      <c r="K3" s="42" t="s">
        <v>62</v>
      </c>
      <c r="L3" s="42" t="s">
        <v>260</v>
      </c>
      <c r="M3" s="134" t="s">
        <v>203</v>
      </c>
      <c r="T3" s="2" t="s">
        <v>53</v>
      </c>
    </row>
    <row r="4" spans="1:52" ht="13" x14ac:dyDescent="0.3">
      <c r="A4">
        <v>32</v>
      </c>
      <c r="B4" s="276">
        <v>0</v>
      </c>
      <c r="C4" s="401">
        <v>0</v>
      </c>
      <c r="D4" s="401">
        <v>0</v>
      </c>
      <c r="E4" s="277">
        <v>0</v>
      </c>
      <c r="F4" s="44"/>
      <c r="G4" s="44"/>
      <c r="H4" s="44"/>
      <c r="I4" s="44"/>
      <c r="J4" s="405" t="str">
        <f>IF(B4&gt;0,F4/B4,"na")</f>
        <v>na</v>
      </c>
      <c r="K4" s="406" t="str">
        <f t="shared" ref="K4:K17" si="0">IF(C4&gt;0,G4/C4,"na")</f>
        <v>na</v>
      </c>
      <c r="L4" s="406" t="str">
        <f t="shared" ref="L4:L17" si="1">IF(D4&gt;0,H4/D4,"na")</f>
        <v>na</v>
      </c>
      <c r="M4" s="407" t="str">
        <f t="shared" ref="M4:M17" si="2">IF(E4&gt;0,I4/E4,"na")</f>
        <v>na</v>
      </c>
      <c r="T4" s="2"/>
      <c r="U4" s="2"/>
      <c r="V4" s="2" t="s">
        <v>35</v>
      </c>
      <c r="W4" s="2"/>
      <c r="X4" s="2"/>
      <c r="Y4" s="2"/>
      <c r="Z4" s="2" t="s">
        <v>34</v>
      </c>
      <c r="AA4" s="2"/>
      <c r="AB4" s="2"/>
      <c r="AC4" s="2"/>
      <c r="AD4" s="2" t="s">
        <v>20</v>
      </c>
      <c r="AE4" s="2"/>
      <c r="AF4" s="2"/>
      <c r="AG4" s="2"/>
      <c r="AH4" s="2" t="s">
        <v>21</v>
      </c>
      <c r="AI4" s="2"/>
      <c r="AJ4" s="2"/>
      <c r="AK4" s="2"/>
      <c r="AL4" s="2" t="s">
        <v>22</v>
      </c>
      <c r="AM4" s="2"/>
      <c r="AN4" s="2"/>
      <c r="AO4" s="2"/>
      <c r="AP4" s="2" t="s">
        <v>23</v>
      </c>
      <c r="AQ4" s="2"/>
      <c r="AR4" s="2"/>
      <c r="AS4" s="2"/>
      <c r="AT4" s="2"/>
      <c r="AU4" s="2"/>
      <c r="AV4" s="2"/>
      <c r="AW4" s="2"/>
      <c r="AX4" s="2"/>
      <c r="AY4" s="2"/>
      <c r="AZ4" s="2"/>
    </row>
    <row r="5" spans="1:52" ht="13" x14ac:dyDescent="0.3">
      <c r="A5">
        <v>33</v>
      </c>
      <c r="B5" s="128">
        <v>0</v>
      </c>
      <c r="C5" s="44">
        <v>0</v>
      </c>
      <c r="D5" s="44">
        <v>0</v>
      </c>
      <c r="E5" s="130">
        <v>0</v>
      </c>
      <c r="F5" s="44"/>
      <c r="G5" s="44"/>
      <c r="H5" s="44"/>
      <c r="I5" s="44"/>
      <c r="J5" s="408" t="str">
        <f t="shared" ref="J5:J17" si="3">IF(B5&gt;0,F5/B5,"na")</f>
        <v>na</v>
      </c>
      <c r="K5" s="45" t="str">
        <f t="shared" si="0"/>
        <v>na</v>
      </c>
      <c r="L5" s="45" t="str">
        <f t="shared" si="1"/>
        <v>na</v>
      </c>
      <c r="M5" s="409" t="str">
        <f t="shared" si="2"/>
        <v>na</v>
      </c>
      <c r="T5" s="2"/>
      <c r="U5" s="27" t="s">
        <v>44</v>
      </c>
      <c r="V5" s="2"/>
      <c r="W5" s="2"/>
      <c r="X5" s="2"/>
      <c r="Y5" s="27" t="s">
        <v>44</v>
      </c>
      <c r="Z5" s="2"/>
      <c r="AA5" s="2"/>
      <c r="AB5" s="2"/>
      <c r="AC5" s="27" t="s">
        <v>44</v>
      </c>
      <c r="AD5" s="2"/>
      <c r="AE5" s="2"/>
      <c r="AF5" s="2"/>
      <c r="AG5" s="27" t="s">
        <v>44</v>
      </c>
      <c r="AH5" s="2"/>
      <c r="AI5" s="2"/>
      <c r="AJ5" s="2"/>
      <c r="AK5" s="27" t="s">
        <v>44</v>
      </c>
      <c r="AL5" s="2"/>
      <c r="AM5" s="2"/>
      <c r="AN5" s="2"/>
      <c r="AO5" s="27" t="s">
        <v>44</v>
      </c>
      <c r="AP5" s="2"/>
      <c r="AQ5" s="2"/>
      <c r="AR5" s="2"/>
      <c r="AS5" s="2"/>
      <c r="AT5" s="2"/>
      <c r="AU5" s="2"/>
      <c r="AV5" s="2"/>
      <c r="AW5" s="2"/>
      <c r="AX5" s="2"/>
      <c r="AY5" s="2"/>
      <c r="AZ5" s="2"/>
    </row>
    <row r="6" spans="1:52" x14ac:dyDescent="0.25">
      <c r="A6">
        <v>34</v>
      </c>
      <c r="B6" s="128">
        <v>108</v>
      </c>
      <c r="C6" s="44">
        <v>0</v>
      </c>
      <c r="D6" s="44">
        <v>0</v>
      </c>
      <c r="E6" s="130">
        <v>0</v>
      </c>
      <c r="F6" s="44">
        <v>11</v>
      </c>
      <c r="G6" s="44"/>
      <c r="H6" s="44"/>
      <c r="I6" s="44"/>
      <c r="J6" s="408">
        <f t="shared" si="3"/>
        <v>0.10185185185185185</v>
      </c>
      <c r="K6" s="45" t="str">
        <f t="shared" si="0"/>
        <v>na</v>
      </c>
      <c r="L6" s="45" t="str">
        <f t="shared" si="1"/>
        <v>na</v>
      </c>
      <c r="M6" s="409" t="str">
        <f t="shared" si="2"/>
        <v>na</v>
      </c>
      <c r="U6" t="s">
        <v>13</v>
      </c>
      <c r="V6" t="s">
        <v>51</v>
      </c>
      <c r="W6" t="s">
        <v>14</v>
      </c>
      <c r="Y6" t="s">
        <v>13</v>
      </c>
      <c r="Z6" t="s">
        <v>51</v>
      </c>
      <c r="AA6" t="s">
        <v>14</v>
      </c>
      <c r="AC6" t="s">
        <v>13</v>
      </c>
      <c r="AD6" t="s">
        <v>51</v>
      </c>
      <c r="AE6" t="s">
        <v>14</v>
      </c>
      <c r="AG6" t="s">
        <v>13</v>
      </c>
      <c r="AH6" t="s">
        <v>51</v>
      </c>
      <c r="AI6" t="s">
        <v>14</v>
      </c>
      <c r="AK6" t="s">
        <v>13</v>
      </c>
      <c r="AL6" t="s">
        <v>51</v>
      </c>
      <c r="AM6" t="s">
        <v>14</v>
      </c>
      <c r="AO6" t="s">
        <v>13</v>
      </c>
      <c r="AP6" t="s">
        <v>51</v>
      </c>
      <c r="AQ6" t="s">
        <v>14</v>
      </c>
    </row>
    <row r="7" spans="1:52" x14ac:dyDescent="0.25">
      <c r="A7">
        <v>35</v>
      </c>
      <c r="B7" s="128">
        <v>51</v>
      </c>
      <c r="C7" s="44">
        <v>0</v>
      </c>
      <c r="D7" s="44">
        <v>0</v>
      </c>
      <c r="E7" s="130">
        <v>0</v>
      </c>
      <c r="F7" s="44">
        <v>0</v>
      </c>
      <c r="G7" s="44"/>
      <c r="H7" s="44"/>
      <c r="I7" s="44"/>
      <c r="J7" s="408">
        <f t="shared" si="3"/>
        <v>0</v>
      </c>
      <c r="K7" s="45" t="str">
        <f t="shared" si="0"/>
        <v>na</v>
      </c>
      <c r="L7" s="45" t="str">
        <f t="shared" si="1"/>
        <v>na</v>
      </c>
      <c r="M7" s="409" t="str">
        <f t="shared" si="2"/>
        <v>na</v>
      </c>
      <c r="T7" t="s">
        <v>31</v>
      </c>
      <c r="U7">
        <v>0</v>
      </c>
      <c r="AA7" s="3"/>
      <c r="AC7">
        <v>108</v>
      </c>
      <c r="AD7">
        <v>11</v>
      </c>
      <c r="AE7" s="3">
        <f>AD7/AC7</f>
        <v>0.10185185185185185</v>
      </c>
      <c r="AG7">
        <v>51</v>
      </c>
      <c r="AH7">
        <v>0</v>
      </c>
      <c r="AI7" s="3">
        <f t="shared" ref="AI7:AI17" si="4">AH7/AG7</f>
        <v>0</v>
      </c>
      <c r="AK7">
        <v>1647</v>
      </c>
      <c r="AL7">
        <v>46</v>
      </c>
      <c r="AM7" s="3">
        <f>AL7/AK7</f>
        <v>2.7929568913175471E-2</v>
      </c>
      <c r="AO7">
        <v>1267</v>
      </c>
      <c r="AP7">
        <v>26</v>
      </c>
      <c r="AQ7" s="3">
        <f>AP7/AO7</f>
        <v>2.0520915548539857E-2</v>
      </c>
    </row>
    <row r="8" spans="1:52" x14ac:dyDescent="0.25">
      <c r="A8">
        <v>36</v>
      </c>
      <c r="B8" s="128">
        <v>1647</v>
      </c>
      <c r="C8" s="44">
        <v>653</v>
      </c>
      <c r="D8" s="44">
        <v>115</v>
      </c>
      <c r="E8" s="130">
        <v>397</v>
      </c>
      <c r="F8" s="44">
        <v>46</v>
      </c>
      <c r="G8" s="44">
        <v>28</v>
      </c>
      <c r="H8" s="44">
        <v>5</v>
      </c>
      <c r="I8" s="44">
        <v>51</v>
      </c>
      <c r="J8" s="408">
        <f t="shared" si="3"/>
        <v>2.7929568913175471E-2</v>
      </c>
      <c r="K8" s="45">
        <f t="shared" si="0"/>
        <v>4.2879019908116385E-2</v>
      </c>
      <c r="L8" s="45">
        <f t="shared" si="1"/>
        <v>4.3478260869565216E-2</v>
      </c>
      <c r="M8" s="409">
        <f t="shared" si="2"/>
        <v>0.12846347607052896</v>
      </c>
      <c r="T8" s="42" t="s">
        <v>45</v>
      </c>
      <c r="U8" s="42">
        <v>0</v>
      </c>
      <c r="V8" s="42"/>
      <c r="W8" s="42"/>
      <c r="X8" s="42"/>
      <c r="Y8" s="42"/>
      <c r="Z8" s="42"/>
      <c r="AA8" s="42"/>
      <c r="AB8" s="42"/>
      <c r="AC8" s="42"/>
      <c r="AD8" s="42"/>
      <c r="AE8" s="42"/>
      <c r="AF8" s="42"/>
      <c r="AG8" s="42"/>
      <c r="AH8" s="42"/>
      <c r="AI8" s="3"/>
      <c r="AJ8" s="42"/>
      <c r="AK8" s="42">
        <v>653</v>
      </c>
      <c r="AL8" s="42">
        <v>28</v>
      </c>
      <c r="AM8" s="3">
        <f>AL8/AK8</f>
        <v>4.2879019908116385E-2</v>
      </c>
      <c r="AN8" s="42"/>
      <c r="AO8" s="42">
        <v>1035</v>
      </c>
      <c r="AP8" s="42">
        <v>52</v>
      </c>
      <c r="AQ8" s="43">
        <f>AP8/AO8</f>
        <v>5.0241545893719805E-2</v>
      </c>
    </row>
    <row r="9" spans="1:52" x14ac:dyDescent="0.25">
      <c r="A9">
        <v>37</v>
      </c>
      <c r="B9" s="128">
        <v>1267</v>
      </c>
      <c r="C9" s="44">
        <v>1035</v>
      </c>
      <c r="D9" s="44">
        <v>575</v>
      </c>
      <c r="E9" s="130">
        <v>527</v>
      </c>
      <c r="F9" s="44">
        <v>26</v>
      </c>
      <c r="G9" s="44">
        <v>52</v>
      </c>
      <c r="H9" s="44">
        <v>32</v>
      </c>
      <c r="I9" s="44">
        <v>48</v>
      </c>
      <c r="J9" s="408">
        <f t="shared" si="3"/>
        <v>2.0520915548539857E-2</v>
      </c>
      <c r="K9" s="45">
        <f t="shared" si="0"/>
        <v>5.0241545893719805E-2</v>
      </c>
      <c r="L9" s="45">
        <f t="shared" si="1"/>
        <v>5.565217391304348E-2</v>
      </c>
      <c r="M9" s="409">
        <f t="shared" si="2"/>
        <v>9.1081593927893736E-2</v>
      </c>
      <c r="T9" t="s">
        <v>32</v>
      </c>
      <c r="U9">
        <v>0</v>
      </c>
      <c r="AI9" s="3"/>
      <c r="AK9">
        <v>115</v>
      </c>
      <c r="AL9">
        <v>5</v>
      </c>
      <c r="AM9" s="3">
        <f>AL9/AK9</f>
        <v>4.3478260869565216E-2</v>
      </c>
      <c r="AO9">
        <v>575</v>
      </c>
      <c r="AP9">
        <v>32</v>
      </c>
      <c r="AQ9" s="3">
        <f>AP9/AO9</f>
        <v>5.565217391304348E-2</v>
      </c>
    </row>
    <row r="10" spans="1:52" x14ac:dyDescent="0.25">
      <c r="A10">
        <v>38</v>
      </c>
      <c r="B10" s="128">
        <v>4307</v>
      </c>
      <c r="C10" s="44">
        <v>366</v>
      </c>
      <c r="D10" s="44">
        <v>739</v>
      </c>
      <c r="E10" s="130">
        <v>1118</v>
      </c>
      <c r="F10" s="44">
        <v>114</v>
      </c>
      <c r="G10" s="44">
        <v>7</v>
      </c>
      <c r="H10" s="44">
        <v>24</v>
      </c>
      <c r="I10" s="73">
        <v>106</v>
      </c>
      <c r="J10" s="408">
        <f t="shared" si="3"/>
        <v>2.6468539586719294E-2</v>
      </c>
      <c r="K10" s="45">
        <f t="shared" si="0"/>
        <v>1.912568306010929E-2</v>
      </c>
      <c r="L10" s="45">
        <f t="shared" si="1"/>
        <v>3.2476319350473612E-2</v>
      </c>
      <c r="M10" s="409">
        <f t="shared" si="2"/>
        <v>9.4812164579606437E-2</v>
      </c>
      <c r="T10" t="s">
        <v>178</v>
      </c>
      <c r="AK10">
        <v>397</v>
      </c>
      <c r="AL10">
        <v>5</v>
      </c>
      <c r="AM10" s="3">
        <f>AL10/AK10</f>
        <v>1.2594458438287154E-2</v>
      </c>
      <c r="AO10">
        <v>527</v>
      </c>
      <c r="AP10">
        <v>0</v>
      </c>
      <c r="AQ10" s="3">
        <f>AP10/AO10</f>
        <v>0</v>
      </c>
      <c r="AR10" s="42"/>
      <c r="AS10" s="42"/>
      <c r="AT10" s="42"/>
      <c r="AU10" s="42"/>
      <c r="AV10" s="42"/>
      <c r="AW10" s="42"/>
      <c r="AX10" s="42"/>
      <c r="AY10" s="42"/>
      <c r="AZ10" s="42"/>
    </row>
    <row r="11" spans="1:52" ht="13" x14ac:dyDescent="0.3">
      <c r="A11">
        <v>39</v>
      </c>
      <c r="B11" s="128">
        <v>449</v>
      </c>
      <c r="C11" s="44">
        <v>14</v>
      </c>
      <c r="D11" s="44">
        <v>426</v>
      </c>
      <c r="E11" s="130">
        <v>990</v>
      </c>
      <c r="F11" s="44">
        <v>8</v>
      </c>
      <c r="G11" s="44">
        <v>0</v>
      </c>
      <c r="H11" s="44">
        <v>24</v>
      </c>
      <c r="I11" s="73">
        <v>87</v>
      </c>
      <c r="J11" s="408">
        <f t="shared" si="3"/>
        <v>1.7817371937639197E-2</v>
      </c>
      <c r="K11" s="45">
        <f t="shared" si="0"/>
        <v>0</v>
      </c>
      <c r="L11" s="45">
        <f t="shared" si="1"/>
        <v>5.6338028169014086E-2</v>
      </c>
      <c r="M11" s="409">
        <f t="shared" si="2"/>
        <v>8.7878787878787876E-2</v>
      </c>
      <c r="T11" s="99" t="s">
        <v>61</v>
      </c>
      <c r="U11" s="99">
        <f>SUM(U7:U9)</f>
        <v>0</v>
      </c>
      <c r="V11" s="99"/>
      <c r="W11" s="101"/>
      <c r="X11" s="99"/>
      <c r="Y11" s="99">
        <f>SUM(Y7:Y9)</f>
        <v>0</v>
      </c>
      <c r="Z11" s="99">
        <f>SUM(Z7:Z9)</f>
        <v>0</v>
      </c>
      <c r="AA11" s="101"/>
      <c r="AB11" s="99"/>
      <c r="AC11" s="99">
        <f>SUM(AC7:AC9)</f>
        <v>108</v>
      </c>
      <c r="AD11" s="99">
        <f>SUM(AD7:AD9)</f>
        <v>11</v>
      </c>
      <c r="AE11" s="101">
        <f t="shared" ref="AE11:AE17" si="5">AD11/AC11</f>
        <v>0.10185185185185185</v>
      </c>
      <c r="AF11" s="99"/>
      <c r="AG11" s="99">
        <f>SUM(AG7:AG9)</f>
        <v>51</v>
      </c>
      <c r="AH11" s="99">
        <f>SUM(AH7:AH9)</f>
        <v>0</v>
      </c>
      <c r="AI11" s="101">
        <f t="shared" si="4"/>
        <v>0</v>
      </c>
      <c r="AJ11" s="99"/>
      <c r="AK11" s="99">
        <f>SUM(AK7:AK9)</f>
        <v>2415</v>
      </c>
      <c r="AL11" s="99">
        <f>SUM(AL7:AL9)</f>
        <v>79</v>
      </c>
      <c r="AM11" s="101">
        <f>AL11/AK11</f>
        <v>3.2712215320910974E-2</v>
      </c>
      <c r="AN11" s="99"/>
      <c r="AO11" s="99">
        <f>SUM(AO7:AO9)</f>
        <v>2877</v>
      </c>
      <c r="AP11" s="99">
        <f>SUM(AP7:AP9)</f>
        <v>110</v>
      </c>
      <c r="AQ11" s="101">
        <f>AP11/AO11</f>
        <v>3.8234271810914149E-2</v>
      </c>
      <c r="AR11" s="99"/>
      <c r="AS11" s="99"/>
      <c r="AT11" s="99"/>
      <c r="AU11" s="99"/>
      <c r="AV11" s="99"/>
      <c r="AW11" s="99"/>
      <c r="AX11" s="99"/>
      <c r="AY11" s="99"/>
      <c r="AZ11" s="99"/>
    </row>
    <row r="12" spans="1:52" ht="13" x14ac:dyDescent="0.3">
      <c r="A12">
        <v>40</v>
      </c>
      <c r="B12" s="128">
        <v>736</v>
      </c>
      <c r="C12" s="44">
        <v>827</v>
      </c>
      <c r="D12" s="44">
        <v>460</v>
      </c>
      <c r="E12" s="130">
        <v>1068</v>
      </c>
      <c r="F12" s="44">
        <v>26</v>
      </c>
      <c r="G12" s="44">
        <v>23</v>
      </c>
      <c r="H12" s="44">
        <v>29</v>
      </c>
      <c r="I12" s="73">
        <v>95</v>
      </c>
      <c r="J12" s="408">
        <f t="shared" si="3"/>
        <v>3.5326086956521736E-2</v>
      </c>
      <c r="K12" s="45">
        <f t="shared" si="0"/>
        <v>2.7811366384522369E-2</v>
      </c>
      <c r="L12" s="45">
        <f t="shared" si="1"/>
        <v>6.3043478260869562E-2</v>
      </c>
      <c r="M12" s="409">
        <f t="shared" si="2"/>
        <v>8.8951310861423216E-2</v>
      </c>
      <c r="T12" s="23" t="s">
        <v>63</v>
      </c>
      <c r="U12" s="2">
        <v>1</v>
      </c>
      <c r="V12" s="2">
        <v>0</v>
      </c>
      <c r="W12" s="55">
        <f>V12/U12</f>
        <v>0</v>
      </c>
      <c r="X12" s="2"/>
      <c r="Y12" s="222">
        <v>5</v>
      </c>
      <c r="Z12" s="2">
        <v>2</v>
      </c>
      <c r="AA12" s="110">
        <f t="shared" ref="AA12:AA17" si="6">Z12/Y12</f>
        <v>0.4</v>
      </c>
      <c r="AB12" s="2"/>
      <c r="AC12" s="27"/>
      <c r="AD12" s="27"/>
      <c r="AE12" s="110"/>
      <c r="AF12" s="2"/>
      <c r="AG12" s="27"/>
      <c r="AH12" s="27"/>
      <c r="AI12" s="110"/>
      <c r="AJ12" s="2"/>
      <c r="AK12" s="2"/>
      <c r="AL12" s="2"/>
      <c r="AM12" s="55"/>
      <c r="AN12" s="2"/>
      <c r="AO12" s="2"/>
      <c r="AP12" s="2"/>
      <c r="AQ12" s="55"/>
      <c r="AR12" s="2"/>
      <c r="AS12" s="2"/>
      <c r="AT12" s="2"/>
      <c r="AU12" s="2"/>
      <c r="AV12" s="2"/>
      <c r="AW12" s="2"/>
      <c r="AX12" s="2"/>
      <c r="AY12" s="2"/>
      <c r="AZ12" s="2"/>
    </row>
    <row r="13" spans="1:52" ht="13" x14ac:dyDescent="0.3">
      <c r="A13">
        <v>41</v>
      </c>
      <c r="B13" s="128">
        <v>121</v>
      </c>
      <c r="C13" s="73">
        <v>85</v>
      </c>
      <c r="D13" s="73">
        <v>298</v>
      </c>
      <c r="E13" s="130">
        <v>701</v>
      </c>
      <c r="F13" s="73">
        <v>9</v>
      </c>
      <c r="G13" s="73">
        <v>1</v>
      </c>
      <c r="H13" s="73">
        <v>25</v>
      </c>
      <c r="I13" s="73">
        <v>55</v>
      </c>
      <c r="J13" s="408">
        <f t="shared" si="3"/>
        <v>7.43801652892562E-2</v>
      </c>
      <c r="K13" s="45">
        <f t="shared" si="0"/>
        <v>1.1764705882352941E-2</v>
      </c>
      <c r="L13" s="45">
        <f t="shared" si="1"/>
        <v>8.3892617449664433E-2</v>
      </c>
      <c r="M13" s="409">
        <f t="shared" si="2"/>
        <v>7.8459343794579167E-2</v>
      </c>
      <c r="T13" s="2">
        <v>2</v>
      </c>
      <c r="U13" s="2"/>
      <c r="V13" s="2"/>
      <c r="W13" s="55"/>
      <c r="X13" s="2"/>
      <c r="Y13" s="222"/>
      <c r="Z13" s="27"/>
      <c r="AA13" s="110"/>
      <c r="AB13" s="2"/>
      <c r="AC13" s="27"/>
      <c r="AD13" s="27"/>
      <c r="AE13" s="110"/>
      <c r="AF13" s="2"/>
      <c r="AG13" s="27"/>
      <c r="AH13" s="27"/>
      <c r="AI13" s="110"/>
      <c r="AJ13" s="2"/>
      <c r="AK13" s="2"/>
      <c r="AL13" s="2"/>
      <c r="AM13" s="55"/>
      <c r="AN13" s="2"/>
      <c r="AO13" s="2"/>
      <c r="AP13" s="2"/>
      <c r="AQ13" s="55"/>
      <c r="AR13" s="2"/>
      <c r="AS13" s="2"/>
      <c r="AT13" s="2"/>
      <c r="AU13" s="2"/>
      <c r="AV13" s="2"/>
      <c r="AW13" s="2"/>
      <c r="AX13" s="2"/>
      <c r="AY13" s="2"/>
      <c r="AZ13" s="2"/>
    </row>
    <row r="14" spans="1:52" ht="13" x14ac:dyDescent="0.3">
      <c r="A14">
        <v>42</v>
      </c>
      <c r="B14" s="128">
        <v>117</v>
      </c>
      <c r="C14" s="44"/>
      <c r="D14" s="73">
        <v>174</v>
      </c>
      <c r="E14" s="130"/>
      <c r="F14" s="73">
        <v>3</v>
      </c>
      <c r="G14" s="73"/>
      <c r="H14" s="73">
        <v>18</v>
      </c>
      <c r="I14" s="73"/>
      <c r="J14" s="410">
        <f t="shared" si="3"/>
        <v>2.564102564102564E-2</v>
      </c>
      <c r="K14" s="402" t="str">
        <f t="shared" si="0"/>
        <v>na</v>
      </c>
      <c r="L14" s="402">
        <f t="shared" si="1"/>
        <v>0.10344827586206896</v>
      </c>
      <c r="M14" s="411" t="str">
        <f t="shared" si="2"/>
        <v>na</v>
      </c>
      <c r="T14" s="2">
        <v>3</v>
      </c>
      <c r="U14" s="2"/>
      <c r="V14" s="2"/>
      <c r="W14" s="55"/>
      <c r="X14" s="2"/>
      <c r="Y14" s="222">
        <v>1</v>
      </c>
      <c r="Z14" s="27">
        <v>0</v>
      </c>
      <c r="AA14" s="110">
        <f t="shared" si="6"/>
        <v>0</v>
      </c>
      <c r="AB14" s="2"/>
      <c r="AC14" s="27"/>
      <c r="AD14" s="27"/>
      <c r="AE14" s="110"/>
      <c r="AF14" s="2"/>
      <c r="AG14" s="27"/>
      <c r="AH14" s="27"/>
      <c r="AI14" s="110"/>
      <c r="AJ14" s="2"/>
      <c r="AK14" s="2"/>
      <c r="AL14" s="2"/>
      <c r="AM14" s="55"/>
      <c r="AN14" s="2"/>
      <c r="AO14" s="2"/>
      <c r="AP14" s="2"/>
      <c r="AQ14" s="55"/>
      <c r="AR14" s="2"/>
      <c r="AS14" s="2"/>
      <c r="AT14" s="2"/>
      <c r="AU14" s="2"/>
      <c r="AV14" s="2"/>
      <c r="AW14" s="2"/>
      <c r="AX14" s="2"/>
      <c r="AY14" s="2"/>
      <c r="AZ14" s="2"/>
    </row>
    <row r="15" spans="1:52" ht="13" x14ac:dyDescent="0.3">
      <c r="A15">
        <v>43</v>
      </c>
      <c r="B15" s="128">
        <v>79</v>
      </c>
      <c r="C15" s="44"/>
      <c r="D15" s="73">
        <v>14</v>
      </c>
      <c r="E15" s="130"/>
      <c r="F15" s="73">
        <v>5</v>
      </c>
      <c r="G15" s="73"/>
      <c r="H15" s="73">
        <v>3</v>
      </c>
      <c r="I15" s="73"/>
      <c r="J15" s="410">
        <f t="shared" si="3"/>
        <v>6.3291139240506333E-2</v>
      </c>
      <c r="K15" s="402" t="str">
        <f t="shared" si="0"/>
        <v>na</v>
      </c>
      <c r="L15" s="402">
        <f t="shared" si="1"/>
        <v>0.21428571428571427</v>
      </c>
      <c r="M15" s="411" t="str">
        <f t="shared" si="2"/>
        <v>na</v>
      </c>
      <c r="T15" s="2">
        <v>4</v>
      </c>
      <c r="U15" s="2"/>
      <c r="V15" s="2"/>
      <c r="W15" s="55"/>
      <c r="X15" s="2"/>
      <c r="Y15" s="222"/>
      <c r="Z15" s="27"/>
      <c r="AA15" s="110"/>
      <c r="AB15" s="2"/>
      <c r="AC15" s="2">
        <v>3</v>
      </c>
      <c r="AD15" s="2">
        <v>3</v>
      </c>
      <c r="AE15" s="110">
        <f t="shared" si="5"/>
        <v>1</v>
      </c>
      <c r="AF15" s="2"/>
      <c r="AG15" s="27">
        <v>5</v>
      </c>
      <c r="AH15" s="2">
        <v>3</v>
      </c>
      <c r="AI15" s="110">
        <f t="shared" si="4"/>
        <v>0.6</v>
      </c>
      <c r="AJ15" s="2"/>
      <c r="AK15" s="2"/>
      <c r="AL15" s="2"/>
      <c r="AM15" s="55"/>
      <c r="AN15" s="2"/>
      <c r="AO15" s="2"/>
      <c r="AP15" s="2"/>
      <c r="AQ15" s="55"/>
      <c r="AR15" s="2"/>
      <c r="AS15" s="2"/>
      <c r="AT15" s="2"/>
      <c r="AU15" s="2"/>
      <c r="AV15" s="2"/>
      <c r="AW15" s="2"/>
      <c r="AX15" s="2"/>
      <c r="AY15" s="2"/>
      <c r="AZ15" s="2"/>
    </row>
    <row r="16" spans="1:52" ht="13" x14ac:dyDescent="0.3">
      <c r="A16">
        <v>44</v>
      </c>
      <c r="B16" s="128">
        <v>8</v>
      </c>
      <c r="C16" s="44"/>
      <c r="D16" s="44"/>
      <c r="E16" s="130"/>
      <c r="F16" s="73">
        <v>0</v>
      </c>
      <c r="G16" s="73"/>
      <c r="H16" s="73"/>
      <c r="I16" s="73"/>
      <c r="J16" s="410">
        <f t="shared" si="3"/>
        <v>0</v>
      </c>
      <c r="K16" s="402" t="str">
        <f t="shared" si="0"/>
        <v>na</v>
      </c>
      <c r="L16" s="402" t="str">
        <f t="shared" si="1"/>
        <v>na</v>
      </c>
      <c r="M16" s="411" t="str">
        <f t="shared" si="2"/>
        <v>na</v>
      </c>
      <c r="T16" s="41">
        <v>5</v>
      </c>
      <c r="U16" s="41"/>
      <c r="V16" s="41"/>
      <c r="W16" s="55"/>
      <c r="X16" s="41"/>
      <c r="Y16" s="221"/>
      <c r="Z16" s="221"/>
      <c r="AA16" s="110"/>
      <c r="AB16" s="41"/>
      <c r="AC16" s="41">
        <v>1</v>
      </c>
      <c r="AD16" s="41">
        <v>1</v>
      </c>
      <c r="AE16" s="110">
        <f t="shared" si="5"/>
        <v>1</v>
      </c>
      <c r="AF16" s="41"/>
      <c r="AG16" s="41">
        <v>42</v>
      </c>
      <c r="AH16" s="41">
        <v>28</v>
      </c>
      <c r="AI16" s="110">
        <f t="shared" si="4"/>
        <v>0.66666666666666663</v>
      </c>
      <c r="AJ16" s="41"/>
      <c r="AK16" s="41"/>
      <c r="AL16" s="41"/>
      <c r="AM16" s="97"/>
      <c r="AN16" s="41"/>
      <c r="AO16" s="41"/>
      <c r="AP16" s="41"/>
      <c r="AQ16" s="97"/>
      <c r="AR16" s="41"/>
      <c r="AS16" s="41"/>
      <c r="AT16" s="41"/>
      <c r="AU16" s="41"/>
      <c r="AV16" s="41"/>
      <c r="AW16" s="41"/>
      <c r="AX16" s="41"/>
      <c r="AY16" s="41"/>
      <c r="AZ16" s="41"/>
    </row>
    <row r="17" spans="1:52" ht="13" x14ac:dyDescent="0.3">
      <c r="A17">
        <v>45</v>
      </c>
      <c r="B17" s="274"/>
      <c r="C17" s="42"/>
      <c r="D17" s="42"/>
      <c r="E17" s="134"/>
      <c r="F17" s="73"/>
      <c r="G17" s="73"/>
      <c r="H17" s="73"/>
      <c r="I17" s="73"/>
      <c r="J17" s="412" t="str">
        <f t="shared" si="3"/>
        <v>na</v>
      </c>
      <c r="K17" s="229" t="str">
        <f t="shared" si="0"/>
        <v>na</v>
      </c>
      <c r="L17" s="229" t="str">
        <f t="shared" si="1"/>
        <v>na</v>
      </c>
      <c r="M17" s="413" t="str">
        <f t="shared" si="2"/>
        <v>na</v>
      </c>
      <c r="T17" s="41" t="s">
        <v>170</v>
      </c>
      <c r="U17" s="202">
        <f>SUM(U12:U16)</f>
        <v>1</v>
      </c>
      <c r="V17" s="202">
        <f>SUM(V12:V16)</f>
        <v>0</v>
      </c>
      <c r="W17" s="55">
        <f>V17/U17</f>
        <v>0</v>
      </c>
      <c r="X17" s="41"/>
      <c r="Y17" s="202">
        <f>SUM(Y12:Y16)</f>
        <v>6</v>
      </c>
      <c r="Z17" s="41">
        <f>SUM(Z12:Z16)</f>
        <v>2</v>
      </c>
      <c r="AA17" s="101">
        <f t="shared" si="6"/>
        <v>0.33333333333333331</v>
      </c>
      <c r="AB17" s="41"/>
      <c r="AC17" s="41">
        <f>SUM(AC12:AC16)</f>
        <v>4</v>
      </c>
      <c r="AD17" s="41">
        <f>SUM(AD12:AD16)</f>
        <v>4</v>
      </c>
      <c r="AE17" s="223">
        <f t="shared" si="5"/>
        <v>1</v>
      </c>
      <c r="AF17" s="41"/>
      <c r="AG17" s="41">
        <f>SUM(AG12:AG16)</f>
        <v>47</v>
      </c>
      <c r="AH17" s="41">
        <f>SUM(AH14:AH16)</f>
        <v>31</v>
      </c>
      <c r="AI17" s="97">
        <f t="shared" si="4"/>
        <v>0.65957446808510634</v>
      </c>
      <c r="AJ17" s="41"/>
      <c r="AK17" s="41"/>
      <c r="AL17" s="41"/>
      <c r="AM17" s="41"/>
      <c r="AN17" s="41"/>
      <c r="AO17" s="41"/>
      <c r="AP17" s="41"/>
      <c r="AQ17" s="41"/>
      <c r="AR17" s="41"/>
      <c r="AS17" s="41"/>
      <c r="AT17" s="41"/>
      <c r="AU17" s="41"/>
      <c r="AV17" s="41"/>
      <c r="AW17" s="41"/>
      <c r="AX17" s="41"/>
      <c r="AY17" s="41"/>
      <c r="AZ17" s="41"/>
    </row>
    <row r="18" spans="1:52" x14ac:dyDescent="0.25">
      <c r="A18" t="s">
        <v>184</v>
      </c>
      <c r="B18" s="274">
        <f t="shared" ref="B18:I18" si="7">SUM(B4:B17)</f>
        <v>8890</v>
      </c>
      <c r="C18" s="42">
        <f t="shared" si="7"/>
        <v>2980</v>
      </c>
      <c r="D18" s="42">
        <f t="shared" si="7"/>
        <v>2801</v>
      </c>
      <c r="E18" s="42">
        <f t="shared" si="7"/>
        <v>4801</v>
      </c>
      <c r="F18" s="329">
        <f t="shared" si="7"/>
        <v>248</v>
      </c>
      <c r="G18" s="195">
        <f t="shared" si="7"/>
        <v>111</v>
      </c>
      <c r="H18" s="195">
        <f t="shared" si="7"/>
        <v>160</v>
      </c>
      <c r="I18" s="403">
        <f t="shared" si="7"/>
        <v>442</v>
      </c>
      <c r="J18" s="414">
        <f>F18/B18</f>
        <v>2.7896512935883015E-2</v>
      </c>
      <c r="K18" s="196">
        <f>G18/C18</f>
        <v>3.724832214765101E-2</v>
      </c>
      <c r="L18" s="196">
        <f>H18/D18</f>
        <v>5.7122456265619424E-2</v>
      </c>
      <c r="M18" s="415">
        <f>I18/E18</f>
        <v>9.2064153301395543E-2</v>
      </c>
    </row>
    <row r="19" spans="1:52" ht="13" x14ac:dyDescent="0.3">
      <c r="E19">
        <f>SUM(B18:E18)</f>
        <v>19472</v>
      </c>
      <c r="I19">
        <f>SUM(F18:I18)</f>
        <v>961</v>
      </c>
      <c r="M19" s="416">
        <f>I19/E19</f>
        <v>4.935291700903862E-2</v>
      </c>
      <c r="T19" s="2"/>
      <c r="U19" s="2"/>
      <c r="V19" s="2" t="s">
        <v>12</v>
      </c>
      <c r="W19" s="2"/>
      <c r="X19" s="2"/>
      <c r="Y19" s="2"/>
      <c r="Z19" s="2" t="s">
        <v>5</v>
      </c>
      <c r="AA19" s="2"/>
      <c r="AB19" s="2"/>
      <c r="AC19" s="2"/>
      <c r="AD19" s="2" t="s">
        <v>6</v>
      </c>
      <c r="AE19" s="2"/>
      <c r="AF19" s="2"/>
      <c r="AG19" s="2"/>
      <c r="AH19" s="2" t="s">
        <v>7</v>
      </c>
      <c r="AI19" s="2"/>
      <c r="AJ19" s="2"/>
      <c r="AK19" s="2"/>
      <c r="AL19" s="2" t="s">
        <v>8</v>
      </c>
      <c r="AM19" s="2"/>
      <c r="AN19" s="2"/>
      <c r="AO19" s="2"/>
      <c r="AP19" s="2" t="s">
        <v>9</v>
      </c>
      <c r="AQ19" s="2"/>
      <c r="AR19" s="2"/>
      <c r="AS19" s="2"/>
      <c r="AT19" s="2" t="s">
        <v>10</v>
      </c>
      <c r="AU19" s="2"/>
      <c r="AV19" s="2"/>
      <c r="AW19" s="2"/>
      <c r="AX19" s="2" t="s">
        <v>11</v>
      </c>
      <c r="AY19" s="2"/>
      <c r="AZ19" s="2"/>
    </row>
    <row r="20" spans="1:52" ht="13" x14ac:dyDescent="0.3">
      <c r="T20" s="2"/>
      <c r="U20" s="27" t="s">
        <v>44</v>
      </c>
      <c r="V20" s="2"/>
      <c r="W20" s="2"/>
      <c r="X20" s="2"/>
      <c r="Y20" s="27" t="s">
        <v>44</v>
      </c>
      <c r="Z20" s="2"/>
      <c r="AA20" s="2"/>
      <c r="AB20" s="2"/>
      <c r="AC20" s="27" t="s">
        <v>44</v>
      </c>
      <c r="AD20" s="2"/>
      <c r="AE20" s="2"/>
      <c r="AF20" s="2"/>
      <c r="AG20" s="27" t="s">
        <v>44</v>
      </c>
      <c r="AH20" s="2"/>
      <c r="AI20" s="2"/>
      <c r="AJ20" s="2"/>
      <c r="AK20" s="27" t="s">
        <v>44</v>
      </c>
      <c r="AL20" s="2"/>
      <c r="AM20" s="2"/>
      <c r="AN20" s="2"/>
      <c r="AO20" s="27" t="s">
        <v>44</v>
      </c>
      <c r="AP20" s="2"/>
      <c r="AQ20" s="2"/>
      <c r="AR20" s="2"/>
      <c r="AS20" s="27" t="s">
        <v>44</v>
      </c>
      <c r="AT20" s="2"/>
      <c r="AU20" s="2"/>
      <c r="AV20" s="2"/>
      <c r="AW20" s="27" t="s">
        <v>44</v>
      </c>
      <c r="AX20" s="2"/>
      <c r="AY20" s="2"/>
      <c r="AZ20" s="2"/>
    </row>
    <row r="21" spans="1:52" ht="13" x14ac:dyDescent="0.3">
      <c r="B21" s="2" t="s">
        <v>123</v>
      </c>
      <c r="U21" t="s">
        <v>13</v>
      </c>
      <c r="V21" t="s">
        <v>51</v>
      </c>
      <c r="W21" t="s">
        <v>14</v>
      </c>
      <c r="Y21" t="s">
        <v>13</v>
      </c>
      <c r="Z21" t="s">
        <v>51</v>
      </c>
      <c r="AA21" t="s">
        <v>14</v>
      </c>
      <c r="AC21" t="s">
        <v>13</v>
      </c>
      <c r="AD21" t="s">
        <v>51</v>
      </c>
      <c r="AE21" t="s">
        <v>14</v>
      </c>
      <c r="AG21" t="s">
        <v>13</v>
      </c>
      <c r="AH21" t="s">
        <v>51</v>
      </c>
      <c r="AI21" t="s">
        <v>14</v>
      </c>
      <c r="AK21" t="s">
        <v>13</v>
      </c>
      <c r="AL21" t="s">
        <v>51</v>
      </c>
      <c r="AM21" t="s">
        <v>14</v>
      </c>
      <c r="AO21" t="s">
        <v>13</v>
      </c>
      <c r="AP21" t="s">
        <v>51</v>
      </c>
      <c r="AQ21" t="s">
        <v>14</v>
      </c>
      <c r="AS21" t="s">
        <v>13</v>
      </c>
      <c r="AT21" t="s">
        <v>51</v>
      </c>
      <c r="AU21" t="s">
        <v>14</v>
      </c>
      <c r="AW21" t="s">
        <v>13</v>
      </c>
      <c r="AX21" t="s">
        <v>51</v>
      </c>
      <c r="AY21" t="s">
        <v>14</v>
      </c>
    </row>
    <row r="22" spans="1:52" x14ac:dyDescent="0.25">
      <c r="B22" s="900" t="s">
        <v>268</v>
      </c>
      <c r="C22" s="901"/>
      <c r="D22" s="901"/>
      <c r="E22" s="901"/>
      <c r="F22" s="902"/>
      <c r="G22" s="900" t="s">
        <v>269</v>
      </c>
      <c r="H22" s="901"/>
      <c r="I22" s="901"/>
      <c r="J22" s="901"/>
      <c r="K22" s="902"/>
      <c r="L22" s="900" t="s">
        <v>56</v>
      </c>
      <c r="M22" s="901"/>
      <c r="N22" s="901"/>
      <c r="O22" s="901"/>
      <c r="P22" s="902"/>
      <c r="Q22" s="417"/>
      <c r="T22" s="32"/>
    </row>
    <row r="23" spans="1:52" x14ac:dyDescent="0.25">
      <c r="A23" t="s">
        <v>134</v>
      </c>
      <c r="B23" s="274">
        <v>1</v>
      </c>
      <c r="C23" s="42">
        <v>2</v>
      </c>
      <c r="D23" s="42">
        <v>3</v>
      </c>
      <c r="E23" s="42">
        <v>4</v>
      </c>
      <c r="F23" s="134">
        <v>5</v>
      </c>
      <c r="G23" s="274">
        <v>1</v>
      </c>
      <c r="H23" s="42">
        <v>2</v>
      </c>
      <c r="I23" s="42">
        <v>3</v>
      </c>
      <c r="J23" s="42">
        <v>4</v>
      </c>
      <c r="K23" s="134">
        <v>5</v>
      </c>
      <c r="L23" s="274">
        <v>1</v>
      </c>
      <c r="M23" s="42">
        <v>2</v>
      </c>
      <c r="N23" s="42">
        <v>3</v>
      </c>
      <c r="O23" s="42">
        <v>4</v>
      </c>
      <c r="P23" s="134">
        <v>5</v>
      </c>
      <c r="Q23" s="44"/>
      <c r="T23" t="s">
        <v>31</v>
      </c>
      <c r="U23">
        <v>4307</v>
      </c>
      <c r="V23">
        <v>114</v>
      </c>
      <c r="W23" s="3">
        <f t="shared" ref="W23:W30" si="8">V23/U23</f>
        <v>2.6468539586719294E-2</v>
      </c>
      <c r="Y23">
        <v>449</v>
      </c>
      <c r="Z23">
        <v>8</v>
      </c>
      <c r="AA23" s="3">
        <f t="shared" ref="AA23:AA33" si="9">Z23/Y23</f>
        <v>1.7817371937639197E-2</v>
      </c>
      <c r="AC23">
        <v>579</v>
      </c>
      <c r="AD23">
        <v>20</v>
      </c>
      <c r="AE23" s="3">
        <f t="shared" ref="AE23:AE33" si="10">AD23/AC23</f>
        <v>3.4542314335060449E-2</v>
      </c>
      <c r="AI23" s="3" t="e">
        <f t="shared" ref="AI23:AI33" si="11">AH23/AG23</f>
        <v>#DIV/0!</v>
      </c>
      <c r="AM23" s="110"/>
      <c r="AQ23" s="3"/>
      <c r="AU23" s="3" t="e">
        <f>AT23/AS23</f>
        <v>#DIV/0!</v>
      </c>
    </row>
    <row r="24" spans="1:52" x14ac:dyDescent="0.25">
      <c r="A24">
        <v>32</v>
      </c>
      <c r="B24" s="128">
        <v>1</v>
      </c>
      <c r="C24" s="44"/>
      <c r="D24" s="44"/>
      <c r="E24" s="44"/>
      <c r="F24" s="130"/>
      <c r="G24" s="276">
        <v>0</v>
      </c>
      <c r="H24" s="401"/>
      <c r="I24" s="401"/>
      <c r="J24" s="401"/>
      <c r="K24" s="277"/>
      <c r="L24" s="405">
        <f>IF(B24&gt;0,G24/B24,"na")</f>
        <v>0</v>
      </c>
      <c r="M24" s="406" t="str">
        <f t="shared" ref="M24:M37" si="12">IF(C24&gt;0,H24/C24,"na")</f>
        <v>na</v>
      </c>
      <c r="N24" s="406" t="str">
        <f t="shared" ref="N24:N37" si="13">IF(D24&gt;0,I24/D24,"na")</f>
        <v>na</v>
      </c>
      <c r="O24" s="406" t="str">
        <f t="shared" ref="O24:O37" si="14">IF(E24&gt;0,J24/E24,"na")</f>
        <v>na</v>
      </c>
      <c r="P24" s="407" t="str">
        <f t="shared" ref="P24:P37" si="15">IF(F24&gt;0,K24/F24,"na")</f>
        <v>na</v>
      </c>
      <c r="Q24" s="45"/>
      <c r="T24" s="42" t="s">
        <v>45</v>
      </c>
      <c r="U24" s="42">
        <v>366</v>
      </c>
      <c r="V24" s="42">
        <v>7</v>
      </c>
      <c r="W24" s="43">
        <f>V24/U24</f>
        <v>1.912568306010929E-2</v>
      </c>
      <c r="X24" s="42"/>
      <c r="Y24" s="71">
        <v>14</v>
      </c>
      <c r="Z24" s="71">
        <v>0</v>
      </c>
      <c r="AA24" s="3">
        <v>0</v>
      </c>
      <c r="AB24" s="42"/>
      <c r="AC24" s="42">
        <v>228</v>
      </c>
      <c r="AD24" s="42">
        <v>5</v>
      </c>
      <c r="AE24" s="43">
        <f>AD24/AC24</f>
        <v>2.1929824561403508E-2</v>
      </c>
      <c r="AF24" s="42"/>
      <c r="AG24" s="42"/>
      <c r="AH24" s="42"/>
      <c r="AI24" s="43" t="e">
        <f>AH24/AG24</f>
        <v>#DIV/0!</v>
      </c>
      <c r="AJ24" s="42"/>
      <c r="AK24" s="42"/>
      <c r="AL24" s="42"/>
      <c r="AM24" s="110" t="e">
        <f>AL24/AK24</f>
        <v>#DIV/0!</v>
      </c>
      <c r="AN24" s="42"/>
      <c r="AO24" s="42"/>
      <c r="AP24" s="42"/>
      <c r="AQ24" s="42">
        <v>0</v>
      </c>
      <c r="AR24" s="42"/>
      <c r="AS24" s="42"/>
      <c r="AT24" s="42"/>
      <c r="AU24" s="42"/>
      <c r="AV24" s="42"/>
      <c r="AW24" s="42"/>
      <c r="AX24" s="42"/>
      <c r="AY24" s="42"/>
      <c r="AZ24" s="42"/>
    </row>
    <row r="25" spans="1:52" x14ac:dyDescent="0.25">
      <c r="A25">
        <v>33</v>
      </c>
      <c r="B25" s="128">
        <v>5</v>
      </c>
      <c r="C25" s="44"/>
      <c r="D25" s="44">
        <v>1</v>
      </c>
      <c r="E25" s="44"/>
      <c r="F25" s="130"/>
      <c r="G25" s="128">
        <v>2</v>
      </c>
      <c r="H25" s="44"/>
      <c r="I25" s="44">
        <v>0</v>
      </c>
      <c r="J25" s="44"/>
      <c r="K25" s="130"/>
      <c r="L25" s="408">
        <f t="shared" ref="L25:L37" si="16">IF(B25&gt;0,G25/B25,"na")</f>
        <v>0.4</v>
      </c>
      <c r="M25" s="45" t="str">
        <f t="shared" si="12"/>
        <v>na</v>
      </c>
      <c r="N25" s="45">
        <f t="shared" si="13"/>
        <v>0</v>
      </c>
      <c r="O25" s="45" t="str">
        <f t="shared" si="14"/>
        <v>na</v>
      </c>
      <c r="P25" s="409" t="str">
        <f t="shared" si="15"/>
        <v>na</v>
      </c>
      <c r="Q25" s="45"/>
      <c r="T25" t="s">
        <v>32</v>
      </c>
      <c r="U25">
        <v>739</v>
      </c>
      <c r="V25">
        <v>24</v>
      </c>
      <c r="W25" s="3">
        <f t="shared" si="8"/>
        <v>3.2476319350473612E-2</v>
      </c>
      <c r="Y25">
        <v>426</v>
      </c>
      <c r="Z25">
        <v>24</v>
      </c>
      <c r="AA25" s="3">
        <f t="shared" si="9"/>
        <v>5.6338028169014086E-2</v>
      </c>
      <c r="AC25">
        <v>229</v>
      </c>
      <c r="AD25">
        <v>14</v>
      </c>
      <c r="AE25" s="3">
        <f t="shared" si="10"/>
        <v>6.1135371179039298E-2</v>
      </c>
      <c r="AI25" s="3" t="e">
        <f t="shared" si="11"/>
        <v>#DIV/0!</v>
      </c>
      <c r="AM25" s="110" t="e">
        <f>AL25/AK25</f>
        <v>#DIV/0!</v>
      </c>
      <c r="AQ25" s="3" t="e">
        <f>AP25/AO25</f>
        <v>#DIV/0!</v>
      </c>
      <c r="AU25" s="3"/>
    </row>
    <row r="26" spans="1:52" x14ac:dyDescent="0.25">
      <c r="A26">
        <v>34</v>
      </c>
      <c r="B26" s="128"/>
      <c r="C26" s="44"/>
      <c r="D26" s="44"/>
      <c r="E26" s="44">
        <v>3</v>
      </c>
      <c r="F26" s="130">
        <v>1</v>
      </c>
      <c r="G26" s="128"/>
      <c r="H26" s="44"/>
      <c r="I26" s="44"/>
      <c r="J26" s="44">
        <v>3</v>
      </c>
      <c r="K26" s="130">
        <v>1</v>
      </c>
      <c r="L26" s="408" t="str">
        <f t="shared" si="16"/>
        <v>na</v>
      </c>
      <c r="M26" s="45" t="str">
        <f t="shared" si="12"/>
        <v>na</v>
      </c>
      <c r="N26" s="45" t="str">
        <f t="shared" si="13"/>
        <v>na</v>
      </c>
      <c r="O26" s="45">
        <f t="shared" si="14"/>
        <v>1</v>
      </c>
      <c r="P26" s="409">
        <f t="shared" si="15"/>
        <v>1</v>
      </c>
      <c r="Q26" s="45"/>
      <c r="T26" s="32" t="s">
        <v>178</v>
      </c>
      <c r="W26" s="3" t="e">
        <f>V26/U26</f>
        <v>#DIV/0!</v>
      </c>
      <c r="AA26" s="3" t="e">
        <f>Z26/Y26</f>
        <v>#DIV/0!</v>
      </c>
      <c r="AE26" s="3" t="e">
        <f>AD26/AC26</f>
        <v>#DIV/0!</v>
      </c>
      <c r="AI26" s="3" t="e">
        <f>AH26/AG26</f>
        <v>#DIV/0!</v>
      </c>
      <c r="AM26" s="110"/>
      <c r="AQ26" s="3" t="e">
        <f>AP26/AO26</f>
        <v>#DIV/0!</v>
      </c>
    </row>
    <row r="27" spans="1:52" ht="13" x14ac:dyDescent="0.3">
      <c r="A27">
        <v>35</v>
      </c>
      <c r="B27" s="128"/>
      <c r="C27" s="44"/>
      <c r="D27" s="44"/>
      <c r="E27" s="44">
        <v>5</v>
      </c>
      <c r="F27" s="130">
        <v>42</v>
      </c>
      <c r="G27" s="128"/>
      <c r="H27" s="44"/>
      <c r="I27" s="44"/>
      <c r="J27" s="44">
        <v>3</v>
      </c>
      <c r="K27" s="130">
        <v>28</v>
      </c>
      <c r="L27" s="408" t="str">
        <f t="shared" si="16"/>
        <v>na</v>
      </c>
      <c r="M27" s="45" t="str">
        <f t="shared" si="12"/>
        <v>na</v>
      </c>
      <c r="N27" s="45" t="str">
        <f t="shared" si="13"/>
        <v>na</v>
      </c>
      <c r="O27" s="45">
        <f t="shared" si="14"/>
        <v>0.6</v>
      </c>
      <c r="P27" s="409">
        <f t="shared" si="15"/>
        <v>0.66666666666666663</v>
      </c>
      <c r="Q27" s="45"/>
      <c r="T27" s="99" t="s">
        <v>61</v>
      </c>
      <c r="U27" s="99">
        <f>SUM(U23:U25)</f>
        <v>5412</v>
      </c>
      <c r="V27" s="99">
        <f>SUM(V23:V25)</f>
        <v>145</v>
      </c>
      <c r="W27" s="101">
        <f t="shared" si="8"/>
        <v>2.679231337767923E-2</v>
      </c>
      <c r="X27" s="99"/>
      <c r="Y27" s="99">
        <f>SUM(Y23:Y25)</f>
        <v>889</v>
      </c>
      <c r="Z27" s="99">
        <f>SUM(Z23:Z25)</f>
        <v>32</v>
      </c>
      <c r="AA27" s="101">
        <f t="shared" si="9"/>
        <v>3.59955005624297E-2</v>
      </c>
      <c r="AB27" s="99"/>
      <c r="AC27" s="99">
        <f>SUM(AC23:AC25)</f>
        <v>1036</v>
      </c>
      <c r="AD27" s="99">
        <f>SUM(AD23:AD25)</f>
        <v>39</v>
      </c>
      <c r="AE27" s="101">
        <f t="shared" si="10"/>
        <v>3.7644787644787646E-2</v>
      </c>
      <c r="AF27" s="99"/>
      <c r="AG27" s="99">
        <f>SUM(AG23:AG25)</f>
        <v>0</v>
      </c>
      <c r="AH27" s="99">
        <f>SUM(AH23:AH25)</f>
        <v>0</v>
      </c>
      <c r="AI27" s="101" t="e">
        <f t="shared" si="11"/>
        <v>#DIV/0!</v>
      </c>
      <c r="AJ27" s="99"/>
      <c r="AK27" s="99">
        <f>SUM(AK23:AK25)</f>
        <v>0</v>
      </c>
      <c r="AL27" s="99">
        <f>SUM(AL23:AL25)</f>
        <v>0</v>
      </c>
      <c r="AM27" s="101" t="e">
        <f>AL27/AK27</f>
        <v>#DIV/0!</v>
      </c>
      <c r="AN27" s="99"/>
      <c r="AO27" s="99">
        <f>SUM(AO23:AO25)</f>
        <v>0</v>
      </c>
      <c r="AP27" s="99">
        <f>SUM(AP23:AP25)</f>
        <v>0</v>
      </c>
      <c r="AQ27" s="101" t="e">
        <f t="shared" ref="AQ27:AQ33" si="17">AP27/AO27</f>
        <v>#DIV/0!</v>
      </c>
      <c r="AR27" s="99"/>
      <c r="AS27" s="99">
        <f>SUM(AS23:AS25)</f>
        <v>0</v>
      </c>
      <c r="AT27" s="99">
        <f>SUM(AT23:AT25)</f>
        <v>0</v>
      </c>
      <c r="AU27" s="101" t="e">
        <f>AT27/AS27</f>
        <v>#DIV/0!</v>
      </c>
      <c r="AV27" s="99"/>
      <c r="AW27" s="99">
        <f>SUM(AW23:AW25)</f>
        <v>0</v>
      </c>
      <c r="AX27" s="99"/>
      <c r="AY27" s="101"/>
      <c r="AZ27" s="99"/>
    </row>
    <row r="28" spans="1:52" ht="13" x14ac:dyDescent="0.3">
      <c r="A28">
        <v>36</v>
      </c>
      <c r="B28" s="128"/>
      <c r="C28" s="44"/>
      <c r="D28" s="44"/>
      <c r="E28" s="44"/>
      <c r="F28" s="130"/>
      <c r="G28" s="128"/>
      <c r="H28" s="44"/>
      <c r="I28" s="44"/>
      <c r="J28" s="44"/>
      <c r="K28" s="130"/>
      <c r="L28" s="408" t="str">
        <f t="shared" si="16"/>
        <v>na</v>
      </c>
      <c r="M28" s="45" t="str">
        <f t="shared" si="12"/>
        <v>na</v>
      </c>
      <c r="N28" s="45" t="str">
        <f t="shared" si="13"/>
        <v>na</v>
      </c>
      <c r="O28" s="45" t="str">
        <f t="shared" si="14"/>
        <v>na</v>
      </c>
      <c r="P28" s="409" t="str">
        <f t="shared" si="15"/>
        <v>na</v>
      </c>
      <c r="Q28" s="45"/>
      <c r="T28" s="23" t="s">
        <v>63</v>
      </c>
      <c r="U28" s="73">
        <v>21</v>
      </c>
      <c r="V28" s="73">
        <v>3</v>
      </c>
      <c r="W28" s="3">
        <f t="shared" si="8"/>
        <v>0.14285714285714285</v>
      </c>
      <c r="Y28" s="73">
        <v>92</v>
      </c>
      <c r="Z28" s="73">
        <v>20</v>
      </c>
      <c r="AA28" s="110">
        <f t="shared" si="9"/>
        <v>0.21739130434782608</v>
      </c>
      <c r="AC28" s="73">
        <v>0</v>
      </c>
      <c r="AD28" s="73"/>
      <c r="AE28" s="110"/>
      <c r="AG28" s="73"/>
      <c r="AH28" s="73"/>
      <c r="AI28" s="110" t="e">
        <f t="shared" si="11"/>
        <v>#DIV/0!</v>
      </c>
      <c r="AK28" s="73"/>
      <c r="AL28" s="73"/>
      <c r="AM28" s="110" t="e">
        <f t="shared" ref="AM28:AM33" si="18">AL28/AK28</f>
        <v>#DIV/0!</v>
      </c>
      <c r="AO28" s="73"/>
      <c r="AP28" s="73"/>
      <c r="AQ28" s="110" t="e">
        <f t="shared" si="17"/>
        <v>#DIV/0!</v>
      </c>
      <c r="AS28" s="73"/>
      <c r="AT28" s="73"/>
      <c r="AU28" s="110" t="e">
        <f>AT28/AS28</f>
        <v>#DIV/0!</v>
      </c>
    </row>
    <row r="29" spans="1:52" ht="13" x14ac:dyDescent="0.3">
      <c r="A29">
        <v>37</v>
      </c>
      <c r="B29" s="128"/>
      <c r="C29" s="44"/>
      <c r="D29" s="44"/>
      <c r="E29" s="44"/>
      <c r="F29" s="130"/>
      <c r="G29" s="128"/>
      <c r="H29" s="44"/>
      <c r="I29" s="44"/>
      <c r="J29" s="44"/>
      <c r="K29" s="130"/>
      <c r="L29" s="408" t="str">
        <f t="shared" si="16"/>
        <v>na</v>
      </c>
      <c r="M29" s="45" t="str">
        <f t="shared" si="12"/>
        <v>na</v>
      </c>
      <c r="N29" s="45" t="str">
        <f t="shared" si="13"/>
        <v>na</v>
      </c>
      <c r="O29" s="45" t="str">
        <f t="shared" si="14"/>
        <v>na</v>
      </c>
      <c r="P29" s="409" t="str">
        <f t="shared" si="15"/>
        <v>na</v>
      </c>
      <c r="Q29" s="45"/>
      <c r="T29" s="2">
        <v>2</v>
      </c>
      <c r="U29" s="73">
        <v>5</v>
      </c>
      <c r="V29">
        <v>2</v>
      </c>
      <c r="W29" s="3">
        <f t="shared" si="8"/>
        <v>0.4</v>
      </c>
      <c r="Y29" s="73">
        <v>891</v>
      </c>
      <c r="Z29" s="73">
        <v>140</v>
      </c>
      <c r="AA29" s="110">
        <f t="shared" si="9"/>
        <v>0.15712682379349047</v>
      </c>
      <c r="AC29" s="73">
        <v>0</v>
      </c>
      <c r="AD29" s="73"/>
      <c r="AE29" s="110"/>
      <c r="AG29" s="73"/>
      <c r="AH29" s="73"/>
      <c r="AI29" s="110" t="e">
        <f t="shared" si="11"/>
        <v>#DIV/0!</v>
      </c>
      <c r="AK29" s="73"/>
      <c r="AL29" s="73"/>
      <c r="AM29" s="110" t="e">
        <f t="shared" si="18"/>
        <v>#DIV/0!</v>
      </c>
      <c r="AO29" s="73"/>
      <c r="AP29" s="73"/>
      <c r="AQ29" s="110" t="e">
        <f t="shared" si="17"/>
        <v>#DIV/0!</v>
      </c>
      <c r="AS29" s="73"/>
      <c r="AT29" s="73"/>
      <c r="AU29" s="110" t="e">
        <f>AT29/AS29</f>
        <v>#DIV/0!</v>
      </c>
    </row>
    <row r="30" spans="1:52" ht="13" x14ac:dyDescent="0.3">
      <c r="A30">
        <v>38</v>
      </c>
      <c r="B30" s="128">
        <v>21</v>
      </c>
      <c r="C30" s="44">
        <v>5</v>
      </c>
      <c r="D30" s="44">
        <v>42</v>
      </c>
      <c r="E30" s="44">
        <v>0</v>
      </c>
      <c r="F30" s="130">
        <v>0</v>
      </c>
      <c r="G30" s="128">
        <v>3</v>
      </c>
      <c r="H30" s="44">
        <v>2</v>
      </c>
      <c r="I30" s="44">
        <v>10</v>
      </c>
      <c r="J30" s="44">
        <v>0</v>
      </c>
      <c r="K30" s="130">
        <v>0</v>
      </c>
      <c r="L30" s="408">
        <f t="shared" si="16"/>
        <v>0.14285714285714285</v>
      </c>
      <c r="M30" s="45">
        <f t="shared" si="12"/>
        <v>0.4</v>
      </c>
      <c r="N30" s="45">
        <f t="shared" si="13"/>
        <v>0.23809523809523808</v>
      </c>
      <c r="O30" s="45" t="str">
        <f t="shared" si="14"/>
        <v>na</v>
      </c>
      <c r="P30" s="409" t="str">
        <f t="shared" si="15"/>
        <v>na</v>
      </c>
      <c r="Q30" s="45"/>
      <c r="T30" s="2">
        <v>3</v>
      </c>
      <c r="U30" s="73">
        <v>42</v>
      </c>
      <c r="V30">
        <v>10</v>
      </c>
      <c r="W30" s="3">
        <f t="shared" si="8"/>
        <v>0.23809523809523808</v>
      </c>
      <c r="Y30" s="73">
        <v>261</v>
      </c>
      <c r="Z30" s="73">
        <v>81</v>
      </c>
      <c r="AA30" s="110">
        <f t="shared" si="9"/>
        <v>0.31034482758620691</v>
      </c>
      <c r="AC30" s="73">
        <v>0</v>
      </c>
      <c r="AD30" s="73"/>
      <c r="AE30" s="110"/>
      <c r="AG30" s="73"/>
      <c r="AH30" s="73"/>
      <c r="AI30" s="110" t="e">
        <f t="shared" si="11"/>
        <v>#DIV/0!</v>
      </c>
      <c r="AK30" s="73"/>
      <c r="AL30" s="73"/>
      <c r="AM30" s="110" t="e">
        <f t="shared" si="18"/>
        <v>#DIV/0!</v>
      </c>
      <c r="AO30" s="73"/>
      <c r="AP30" s="73"/>
      <c r="AQ30" s="110" t="e">
        <f t="shared" si="17"/>
        <v>#DIV/0!</v>
      </c>
      <c r="AS30" s="73"/>
      <c r="AT30" s="73"/>
      <c r="AU30" s="110"/>
    </row>
    <row r="31" spans="1:52" ht="13" x14ac:dyDescent="0.3">
      <c r="A31">
        <v>39</v>
      </c>
      <c r="B31" s="128">
        <v>92</v>
      </c>
      <c r="C31" s="44">
        <v>891</v>
      </c>
      <c r="D31" s="44">
        <v>261</v>
      </c>
      <c r="E31" s="44">
        <v>140</v>
      </c>
      <c r="F31" s="130">
        <v>583</v>
      </c>
      <c r="G31" s="128">
        <v>20</v>
      </c>
      <c r="H31" s="44">
        <v>140</v>
      </c>
      <c r="I31" s="44">
        <v>81</v>
      </c>
      <c r="J31" s="44">
        <v>40</v>
      </c>
      <c r="K31" s="130">
        <v>200</v>
      </c>
      <c r="L31" s="408">
        <f t="shared" si="16"/>
        <v>0.21739130434782608</v>
      </c>
      <c r="M31" s="45">
        <f t="shared" si="12"/>
        <v>0.15712682379349047</v>
      </c>
      <c r="N31" s="45">
        <f t="shared" si="13"/>
        <v>0.31034482758620691</v>
      </c>
      <c r="O31" s="45">
        <f t="shared" si="14"/>
        <v>0.2857142857142857</v>
      </c>
      <c r="P31" s="409">
        <f t="shared" si="15"/>
        <v>0.34305317324185247</v>
      </c>
      <c r="Q31" s="45"/>
      <c r="T31" s="2">
        <v>4</v>
      </c>
      <c r="U31" s="73">
        <v>0</v>
      </c>
      <c r="V31">
        <v>0</v>
      </c>
      <c r="W31" s="3"/>
      <c r="Y31" s="73">
        <v>140</v>
      </c>
      <c r="Z31" s="73">
        <v>40</v>
      </c>
      <c r="AA31" s="110">
        <f t="shared" si="9"/>
        <v>0.2857142857142857</v>
      </c>
      <c r="AC31" s="73">
        <v>203</v>
      </c>
      <c r="AD31" s="73">
        <v>88</v>
      </c>
      <c r="AE31" s="110">
        <f t="shared" si="10"/>
        <v>0.43349753694581283</v>
      </c>
      <c r="AG31" s="73"/>
      <c r="AH31" s="73"/>
      <c r="AI31" s="110" t="e">
        <f t="shared" si="11"/>
        <v>#DIV/0!</v>
      </c>
      <c r="AK31" s="73"/>
      <c r="AL31" s="73"/>
      <c r="AM31" s="110" t="e">
        <f t="shared" si="18"/>
        <v>#DIV/0!</v>
      </c>
      <c r="AO31" s="73"/>
      <c r="AP31" s="73"/>
      <c r="AQ31" s="110" t="e">
        <f t="shared" si="17"/>
        <v>#DIV/0!</v>
      </c>
      <c r="AS31" s="73"/>
    </row>
    <row r="32" spans="1:52" ht="13" x14ac:dyDescent="0.3">
      <c r="A32">
        <v>40</v>
      </c>
      <c r="B32" s="128"/>
      <c r="C32" s="44"/>
      <c r="D32" s="44"/>
      <c r="E32" s="44">
        <v>235</v>
      </c>
      <c r="F32" s="130">
        <v>157</v>
      </c>
      <c r="G32" s="44"/>
      <c r="H32" s="44"/>
      <c r="I32" s="44"/>
      <c r="J32" s="44">
        <v>107</v>
      </c>
      <c r="K32" s="44">
        <v>78</v>
      </c>
      <c r="L32" s="408" t="str">
        <f t="shared" si="16"/>
        <v>na</v>
      </c>
      <c r="M32" s="45" t="str">
        <f t="shared" si="12"/>
        <v>na</v>
      </c>
      <c r="N32" s="45" t="str">
        <f t="shared" si="13"/>
        <v>na</v>
      </c>
      <c r="O32" s="45">
        <f t="shared" si="14"/>
        <v>0.4553191489361702</v>
      </c>
      <c r="P32" s="409">
        <f t="shared" si="15"/>
        <v>0.49681528662420382</v>
      </c>
      <c r="Q32" s="45"/>
      <c r="T32" s="41">
        <v>5</v>
      </c>
      <c r="U32" s="71">
        <v>0</v>
      </c>
      <c r="V32" s="42">
        <v>0</v>
      </c>
      <c r="W32" s="43"/>
      <c r="X32" s="42"/>
      <c r="Y32" s="71">
        <v>583</v>
      </c>
      <c r="Z32" s="71">
        <v>200</v>
      </c>
      <c r="AA32" s="216">
        <f t="shared" si="9"/>
        <v>0.34305317324185247</v>
      </c>
      <c r="AB32" s="42"/>
      <c r="AC32" s="71">
        <v>125</v>
      </c>
      <c r="AD32" s="71">
        <v>63</v>
      </c>
      <c r="AE32" s="216">
        <f t="shared" si="10"/>
        <v>0.504</v>
      </c>
      <c r="AF32" s="42"/>
      <c r="AG32" s="71"/>
      <c r="AH32" s="71"/>
      <c r="AI32" s="216" t="e">
        <f t="shared" si="11"/>
        <v>#DIV/0!</v>
      </c>
      <c r="AJ32" s="42"/>
      <c r="AK32" s="71"/>
      <c r="AL32" s="71"/>
      <c r="AM32" s="216" t="e">
        <f t="shared" si="18"/>
        <v>#DIV/0!</v>
      </c>
      <c r="AN32" s="42"/>
      <c r="AO32" s="42"/>
      <c r="AP32" s="42"/>
      <c r="AQ32" s="216" t="e">
        <f t="shared" si="17"/>
        <v>#DIV/0!</v>
      </c>
      <c r="AR32" s="42"/>
      <c r="AS32" s="71"/>
      <c r="AT32" s="42"/>
      <c r="AU32" s="110" t="e">
        <f>AT32/AS32</f>
        <v>#DIV/0!</v>
      </c>
      <c r="AV32" s="42"/>
      <c r="AW32" s="42"/>
      <c r="AX32" s="42"/>
      <c r="AY32" s="42"/>
      <c r="AZ32" s="42"/>
    </row>
    <row r="33" spans="1:52" ht="13" x14ac:dyDescent="0.3">
      <c r="A33">
        <v>41</v>
      </c>
      <c r="B33" s="128"/>
      <c r="C33" s="44"/>
      <c r="D33" s="44"/>
      <c r="E33" s="513"/>
      <c r="F33" s="130">
        <v>113</v>
      </c>
      <c r="G33" s="44"/>
      <c r="H33" s="44"/>
      <c r="I33" s="44"/>
      <c r="J33" s="44"/>
      <c r="K33" s="44">
        <v>57</v>
      </c>
      <c r="L33" s="408" t="str">
        <f t="shared" si="16"/>
        <v>na</v>
      </c>
      <c r="M33" s="45" t="str">
        <f t="shared" si="12"/>
        <v>na</v>
      </c>
      <c r="N33" s="45" t="str">
        <f t="shared" si="13"/>
        <v>na</v>
      </c>
      <c r="O33" s="45" t="str">
        <f t="shared" si="14"/>
        <v>na</v>
      </c>
      <c r="P33" s="409">
        <f t="shared" si="15"/>
        <v>0.50442477876106195</v>
      </c>
      <c r="Q33" s="45"/>
      <c r="T33" s="41" t="s">
        <v>44</v>
      </c>
      <c r="U33" s="202">
        <f>SUM(U28:U32)</f>
        <v>68</v>
      </c>
      <c r="V33" s="41">
        <f>SUM(V28:V32)</f>
        <v>15</v>
      </c>
      <c r="W33" s="97">
        <f>V33/U33</f>
        <v>0.22058823529411764</v>
      </c>
      <c r="X33" s="41"/>
      <c r="Y33" s="202">
        <f>SUM(Y28:Y32)</f>
        <v>1967</v>
      </c>
      <c r="Z33" s="41">
        <f>SUM(Z28:Z32)</f>
        <v>481</v>
      </c>
      <c r="AA33" s="97">
        <f t="shared" si="9"/>
        <v>0.24453482460599898</v>
      </c>
      <c r="AB33" s="41"/>
      <c r="AC33" s="202">
        <f>SUM(AC28:AC32)</f>
        <v>328</v>
      </c>
      <c r="AD33" s="41">
        <f>SUM(AD28:AD32)</f>
        <v>151</v>
      </c>
      <c r="AE33" s="97">
        <f t="shared" si="10"/>
        <v>0.46036585365853661</v>
      </c>
      <c r="AF33" s="41"/>
      <c r="AG33" s="202">
        <f>SUM(AG28:AG32)</f>
        <v>0</v>
      </c>
      <c r="AH33" s="202">
        <f>SUM(AH28:AH32)</f>
        <v>0</v>
      </c>
      <c r="AI33" s="101" t="e">
        <f t="shared" si="11"/>
        <v>#DIV/0!</v>
      </c>
      <c r="AJ33" s="41"/>
      <c r="AK33" s="202">
        <f>SUM(AK28:AK32)</f>
        <v>0</v>
      </c>
      <c r="AL33" s="202">
        <f>SUM(AL28:AL32)</f>
        <v>0</v>
      </c>
      <c r="AM33" s="101" t="e">
        <f t="shared" si="18"/>
        <v>#DIV/0!</v>
      </c>
      <c r="AN33" s="41"/>
      <c r="AO33" s="41">
        <f>SUM(AO28:AO32)</f>
        <v>0</v>
      </c>
      <c r="AP33" s="41">
        <f>SUM(AP28:AP32)</f>
        <v>0</v>
      </c>
      <c r="AQ33" s="101" t="e">
        <f t="shared" si="17"/>
        <v>#DIV/0!</v>
      </c>
      <c r="AR33" s="41"/>
      <c r="AS33" s="202">
        <f>SUM(AS28:AS32)</f>
        <v>0</v>
      </c>
      <c r="AT33" s="41">
        <f>SUM(AT28:AT32)</f>
        <v>0</v>
      </c>
      <c r="AU33" s="101" t="e">
        <f>AT33/AS33</f>
        <v>#DIV/0!</v>
      </c>
      <c r="AV33" s="41"/>
      <c r="AW33" s="41"/>
      <c r="AX33" s="41"/>
      <c r="AY33" s="41"/>
      <c r="AZ33" s="41"/>
    </row>
    <row r="34" spans="1:52" x14ac:dyDescent="0.25">
      <c r="A34">
        <v>42</v>
      </c>
      <c r="B34" s="128">
        <v>841</v>
      </c>
      <c r="C34" s="44">
        <v>1485</v>
      </c>
      <c r="D34" s="44">
        <v>783</v>
      </c>
      <c r="E34" s="73">
        <v>38</v>
      </c>
      <c r="F34" s="130">
        <v>12</v>
      </c>
      <c r="G34" s="44">
        <v>108</v>
      </c>
      <c r="H34" s="44">
        <v>288</v>
      </c>
      <c r="I34" s="44">
        <v>134</v>
      </c>
      <c r="J34" s="44">
        <v>7</v>
      </c>
      <c r="K34" s="44">
        <v>6</v>
      </c>
      <c r="L34" s="410">
        <f t="shared" si="16"/>
        <v>0.12841854934601665</v>
      </c>
      <c r="M34" s="402">
        <f t="shared" si="12"/>
        <v>0.19393939393939394</v>
      </c>
      <c r="N34" s="402">
        <f t="shared" si="13"/>
        <v>0.17113665389527458</v>
      </c>
      <c r="O34" s="402">
        <f t="shared" si="14"/>
        <v>0.18421052631578946</v>
      </c>
      <c r="P34" s="411">
        <f t="shared" si="15"/>
        <v>0.5</v>
      </c>
      <c r="Q34" s="402"/>
    </row>
    <row r="35" spans="1:52" ht="15.5" x14ac:dyDescent="0.35">
      <c r="A35">
        <v>43</v>
      </c>
      <c r="B35" s="128">
        <v>14</v>
      </c>
      <c r="C35" s="44">
        <v>229</v>
      </c>
      <c r="D35" s="44">
        <v>114</v>
      </c>
      <c r="E35" s="44">
        <v>0</v>
      </c>
      <c r="F35" s="130">
        <v>0</v>
      </c>
      <c r="G35" s="44">
        <v>4</v>
      </c>
      <c r="H35" s="44">
        <v>43</v>
      </c>
      <c r="I35" s="44">
        <v>31</v>
      </c>
      <c r="J35" s="44">
        <v>0</v>
      </c>
      <c r="K35" s="44">
        <v>0</v>
      </c>
      <c r="L35" s="410">
        <f t="shared" si="16"/>
        <v>0.2857142857142857</v>
      </c>
      <c r="M35" s="402">
        <f t="shared" si="12"/>
        <v>0.18777292576419213</v>
      </c>
      <c r="N35" s="402">
        <f t="shared" si="13"/>
        <v>0.27192982456140352</v>
      </c>
      <c r="O35" s="402" t="str">
        <f t="shared" si="14"/>
        <v>na</v>
      </c>
      <c r="P35" s="411" t="str">
        <f t="shared" si="15"/>
        <v>na</v>
      </c>
      <c r="Q35" s="402"/>
      <c r="T35" s="1" t="s">
        <v>257</v>
      </c>
    </row>
    <row r="36" spans="1:52" ht="13" x14ac:dyDescent="0.3">
      <c r="A36">
        <v>44</v>
      </c>
      <c r="B36" s="128">
        <v>0</v>
      </c>
      <c r="C36" s="44">
        <v>65</v>
      </c>
      <c r="D36" s="44">
        <v>21</v>
      </c>
      <c r="E36" s="44">
        <v>0</v>
      </c>
      <c r="F36" s="130">
        <v>2</v>
      </c>
      <c r="G36" s="44">
        <v>0</v>
      </c>
      <c r="H36" s="44">
        <v>12</v>
      </c>
      <c r="I36" s="44">
        <v>5</v>
      </c>
      <c r="J36" s="44">
        <v>0</v>
      </c>
      <c r="K36" s="44">
        <v>2</v>
      </c>
      <c r="L36" s="410" t="str">
        <f t="shared" si="16"/>
        <v>na</v>
      </c>
      <c r="M36" s="402">
        <f t="shared" si="12"/>
        <v>0.18461538461538463</v>
      </c>
      <c r="N36" s="402">
        <f t="shared" si="13"/>
        <v>0.23809523809523808</v>
      </c>
      <c r="O36" s="402" t="str">
        <f t="shared" si="14"/>
        <v>na</v>
      </c>
      <c r="P36" s="411">
        <f t="shared" si="15"/>
        <v>1</v>
      </c>
      <c r="Q36" s="402"/>
      <c r="T36" s="2"/>
    </row>
    <row r="37" spans="1:52" ht="13" x14ac:dyDescent="0.3">
      <c r="A37">
        <v>45</v>
      </c>
      <c r="B37" s="128"/>
      <c r="C37" s="44"/>
      <c r="D37" s="44"/>
      <c r="E37" s="44"/>
      <c r="F37" s="130"/>
      <c r="G37" s="44"/>
      <c r="H37" s="44"/>
      <c r="I37" s="44"/>
      <c r="J37" s="44"/>
      <c r="K37" s="44"/>
      <c r="L37" s="410" t="str">
        <f t="shared" si="16"/>
        <v>na</v>
      </c>
      <c r="M37" s="402" t="str">
        <f t="shared" si="12"/>
        <v>na</v>
      </c>
      <c r="N37" s="402" t="str">
        <f t="shared" si="13"/>
        <v>na</v>
      </c>
      <c r="O37" s="402" t="str">
        <f t="shared" si="14"/>
        <v>na</v>
      </c>
      <c r="P37" s="411" t="str">
        <f t="shared" si="15"/>
        <v>na</v>
      </c>
      <c r="Q37" s="402"/>
      <c r="U37" s="27" t="s">
        <v>44</v>
      </c>
      <c r="V37" s="2"/>
      <c r="W37" s="2"/>
    </row>
    <row r="38" spans="1:52" x14ac:dyDescent="0.25">
      <c r="A38" t="s">
        <v>184</v>
      </c>
      <c r="B38" s="329">
        <f t="shared" ref="B38:K38" si="19">SUM(B24:B37)</f>
        <v>974</v>
      </c>
      <c r="C38" s="195">
        <f t="shared" si="19"/>
        <v>2675</v>
      </c>
      <c r="D38" s="195">
        <f t="shared" si="19"/>
        <v>1222</v>
      </c>
      <c r="E38" s="195">
        <f t="shared" si="19"/>
        <v>421</v>
      </c>
      <c r="F38" s="330">
        <f t="shared" si="19"/>
        <v>910</v>
      </c>
      <c r="G38" s="329">
        <f t="shared" si="19"/>
        <v>137</v>
      </c>
      <c r="H38" s="195">
        <f t="shared" si="19"/>
        <v>485</v>
      </c>
      <c r="I38" s="195">
        <f t="shared" si="19"/>
        <v>261</v>
      </c>
      <c r="J38" s="195">
        <f t="shared" si="19"/>
        <v>160</v>
      </c>
      <c r="K38" s="404">
        <f t="shared" si="19"/>
        <v>372</v>
      </c>
      <c r="L38" s="446">
        <f>G38/B38</f>
        <v>0.14065708418891171</v>
      </c>
      <c r="M38" s="196">
        <f>H38/C38</f>
        <v>0.18130841121495328</v>
      </c>
      <c r="N38" s="196">
        <f>I38/D38</f>
        <v>0.21358428805237317</v>
      </c>
      <c r="O38" s="196">
        <f>J38/E38</f>
        <v>0.38004750593824227</v>
      </c>
      <c r="P38" s="415">
        <f>K38/F38</f>
        <v>0.40879120879120878</v>
      </c>
      <c r="Q38" s="45"/>
      <c r="U38" t="s">
        <v>13</v>
      </c>
      <c r="V38" t="s">
        <v>51</v>
      </c>
      <c r="W38" t="s">
        <v>14</v>
      </c>
    </row>
    <row r="39" spans="1:52" x14ac:dyDescent="0.25">
      <c r="B39" s="44"/>
      <c r="C39" s="44"/>
      <c r="D39" s="44"/>
      <c r="E39" s="44"/>
      <c r="F39" s="44">
        <f>SUM(B38:F38)</f>
        <v>6202</v>
      </c>
      <c r="G39" s="44"/>
      <c r="H39" s="44"/>
      <c r="I39" s="44"/>
      <c r="J39" s="44"/>
      <c r="K39" s="44">
        <f>SUM(G38:K38)</f>
        <v>1415</v>
      </c>
      <c r="L39" s="44"/>
      <c r="M39" s="44"/>
      <c r="N39" s="44"/>
      <c r="O39" s="44"/>
      <c r="P39" s="75">
        <f>K39/F39</f>
        <v>0.22815220896485006</v>
      </c>
      <c r="Q39" s="75"/>
      <c r="T39" t="s">
        <v>31</v>
      </c>
      <c r="U39">
        <f>U23+Y23+AC23+AG23+AK23+AO23+AS23+AW23+U7+Y7+AC7+AG7+AK7+AO7</f>
        <v>8408</v>
      </c>
      <c r="V39">
        <f>V23+Z23+AD23+AH23+AL23+AP23+AT23+AX23+V7+Z7+AD7+AH7+AL7+AP7</f>
        <v>225</v>
      </c>
      <c r="W39" s="3">
        <f t="shared" ref="W39:W47" si="20">V39/U39</f>
        <v>2.6760228353948621E-2</v>
      </c>
      <c r="AD39" t="s">
        <v>174</v>
      </c>
    </row>
    <row r="40" spans="1:52" x14ac:dyDescent="0.25">
      <c r="T40" t="s">
        <v>32</v>
      </c>
      <c r="U40">
        <f>U25+Y25+AC25+AG25+AK25+AO25+AS25+AW25+U9+Y9+AC9+AG9+AK9+AO9</f>
        <v>2084</v>
      </c>
      <c r="V40">
        <f>V25+Z25+AD25+AH25+AL25+AP25+AT25+AX25+V9+Z9+AD9+AH9+AL9+AP9</f>
        <v>99</v>
      </c>
      <c r="W40" s="3">
        <f t="shared" si="20"/>
        <v>4.7504798464491363E-2</v>
      </c>
      <c r="AD40" s="15">
        <v>0.52608388431837694</v>
      </c>
      <c r="AE40" t="s">
        <v>175</v>
      </c>
    </row>
    <row r="41" spans="1:52" x14ac:dyDescent="0.25">
      <c r="T41" t="s">
        <v>32</v>
      </c>
      <c r="U41">
        <f>U26+Y26+AC26+AG26+AK26+AO26+AS26+AW26+U10+Y10+AC10+AG10+AK10+AO10</f>
        <v>924</v>
      </c>
      <c r="V41">
        <f>V26+Z26+AD26+AH26+AL26+AP26+AT26+AX26+V10+Z10+AD10+AH10+AL10+AP10</f>
        <v>5</v>
      </c>
      <c r="W41" s="3">
        <f>V41/U41</f>
        <v>5.411255411255411E-3</v>
      </c>
      <c r="AD41" s="15">
        <v>0.57499394253663216</v>
      </c>
      <c r="AE41" t="s">
        <v>172</v>
      </c>
    </row>
    <row r="42" spans="1:52" x14ac:dyDescent="0.25">
      <c r="T42" s="44" t="s">
        <v>45</v>
      </c>
      <c r="U42" s="44">
        <f>U24+Y24+AC24+AG24+AK24+AO24+AS24+AW24+U8+Y8+AC8+AG8+AK8+AO8</f>
        <v>2296</v>
      </c>
      <c r="V42" s="44">
        <f>V24+Z24+AD24+AH24+AL24+AP24+AT24+AX24+V8+Z8+AD8+AH8+AL8+AP8</f>
        <v>92</v>
      </c>
      <c r="W42" s="3">
        <f t="shared" si="20"/>
        <v>4.0069686411149823E-2</v>
      </c>
      <c r="AD42" s="15">
        <v>0.31230019265398085</v>
      </c>
      <c r="AE42" t="s">
        <v>176</v>
      </c>
    </row>
    <row r="43" spans="1:52" ht="13" x14ac:dyDescent="0.3">
      <c r="T43" s="46" t="s">
        <v>61</v>
      </c>
      <c r="U43" s="46">
        <f>SUM(U39:U42)</f>
        <v>13712</v>
      </c>
      <c r="V43" s="46">
        <f>SUM(V39:V42)</f>
        <v>421</v>
      </c>
      <c r="W43" s="67">
        <f t="shared" si="20"/>
        <v>3.0703033838973163E-2</v>
      </c>
      <c r="Z43" s="5">
        <f>Y17+AC17+AG17</f>
        <v>57</v>
      </c>
      <c r="AA43">
        <f>Z17+AD17+AH17</f>
        <v>37</v>
      </c>
    </row>
    <row r="44" spans="1:52" ht="13" x14ac:dyDescent="0.3">
      <c r="T44" s="2">
        <v>1</v>
      </c>
      <c r="U44">
        <f t="shared" ref="U44:V46" si="21">U12+Y12+U28+Y28+AC28+AG28+AK28+AO28+AS28+AW28+AC12+AG12+AK12</f>
        <v>119</v>
      </c>
      <c r="V44">
        <f t="shared" si="21"/>
        <v>25</v>
      </c>
      <c r="W44" s="3">
        <f t="shared" si="20"/>
        <v>0.21008403361344538</v>
      </c>
      <c r="Z44" s="5">
        <f>(Y33*AD40)+(AC33*AD41)+(AD42*AG33)</f>
        <v>1223.4050136062626</v>
      </c>
      <c r="AA44" s="30">
        <f>(Z33*AD40)+(AD33*AD41)+(AH33*AD42)</f>
        <v>339.87043368017078</v>
      </c>
      <c r="AE44" s="3"/>
      <c r="AI44" s="3"/>
      <c r="AM44" s="3"/>
    </row>
    <row r="45" spans="1:52" ht="13" x14ac:dyDescent="0.3">
      <c r="T45" s="2">
        <v>2</v>
      </c>
      <c r="U45">
        <f t="shared" si="21"/>
        <v>896</v>
      </c>
      <c r="V45">
        <f t="shared" si="21"/>
        <v>142</v>
      </c>
      <c r="W45" s="3">
        <f t="shared" si="20"/>
        <v>0.15848214285714285</v>
      </c>
      <c r="Z45" s="5">
        <f>SUM(Z43:Z44)</f>
        <v>1280.4050136062626</v>
      </c>
      <c r="AA45" s="5">
        <f>SUM(AA43:AA44)</f>
        <v>376.87043368017078</v>
      </c>
      <c r="AC45" s="19">
        <f>AA45/Z45</f>
        <v>0.29433689315126521</v>
      </c>
      <c r="AD45" s="161">
        <f>1-AC45</f>
        <v>0.70566310684873479</v>
      </c>
      <c r="AE45" s="3"/>
      <c r="AI45" s="3"/>
      <c r="AM45" s="3"/>
      <c r="AQ45" s="3"/>
      <c r="AU45" s="3"/>
    </row>
    <row r="46" spans="1:52" ht="13" x14ac:dyDescent="0.3">
      <c r="T46" s="2">
        <v>3</v>
      </c>
      <c r="U46">
        <f t="shared" si="21"/>
        <v>304</v>
      </c>
      <c r="V46">
        <f t="shared" si="21"/>
        <v>91</v>
      </c>
      <c r="W46" s="3">
        <f t="shared" si="20"/>
        <v>0.29934210526315791</v>
      </c>
      <c r="AA46" s="3"/>
      <c r="AE46" s="3"/>
      <c r="AI46" s="3"/>
      <c r="AM46" s="3"/>
      <c r="AQ46" s="3"/>
      <c r="AU46" s="3"/>
    </row>
    <row r="47" spans="1:52" ht="13" x14ac:dyDescent="0.3">
      <c r="T47" s="2">
        <v>4</v>
      </c>
      <c r="U47">
        <f>U15+Y15+U31+Y31+AC31+AG31+AK31+AO31+AS31+AW31+AC15+AG15+AK15</f>
        <v>351</v>
      </c>
      <c r="V47">
        <f>V15+Z15+V31+Z31+AD31+AH31+AL31+AP31+AT31+AX31+AD15+AH15+AL15</f>
        <v>134</v>
      </c>
      <c r="W47" s="3">
        <f t="shared" si="20"/>
        <v>0.38176638176638178</v>
      </c>
      <c r="Z47" s="5">
        <f>(Y33*(1-AD40))+(AC33*(1-AD41))+(AG33*(1-AD42))</f>
        <v>1071.5949863937371</v>
      </c>
      <c r="AA47" s="5">
        <f>(Z33*(1-AD40))+(AD33*(1-AD41))+(AH33*(1-AD42))</f>
        <v>292.12956631982922</v>
      </c>
    </row>
    <row r="48" spans="1:52" ht="13" x14ac:dyDescent="0.3">
      <c r="T48" s="2">
        <v>5</v>
      </c>
      <c r="U48">
        <f>U16+Y16+U32+Y32+AC32+AG32+AK32+AO32+AS32+AW32+AC16+AG16+AK16</f>
        <v>751</v>
      </c>
      <c r="V48">
        <f>V16+Z16+V32+Z32+AD32+AH32+AL32+AP32+AT32+AX32+AD16+AH16+AL16</f>
        <v>292</v>
      </c>
      <c r="W48" s="3">
        <f>V48/U48</f>
        <v>0.38881491344873503</v>
      </c>
      <c r="Z48">
        <f>AK33</f>
        <v>0</v>
      </c>
      <c r="AA48">
        <f>AL33</f>
        <v>0</v>
      </c>
      <c r="AI48" s="3"/>
      <c r="AM48" s="3"/>
    </row>
    <row r="49" spans="20:47" x14ac:dyDescent="0.25">
      <c r="Z49" s="5">
        <f>SUM(Z47:Z48)</f>
        <v>1071.5949863937371</v>
      </c>
      <c r="AA49" s="5">
        <f>SUM(AA47:AA48)</f>
        <v>292.12956631982922</v>
      </c>
      <c r="AC49" s="19">
        <f>AA49/Z49</f>
        <v>0.27261191964227033</v>
      </c>
      <c r="AD49" s="161">
        <f>1-AC49</f>
        <v>0.72738808035772973</v>
      </c>
    </row>
    <row r="50" spans="20:47" ht="13" x14ac:dyDescent="0.3">
      <c r="T50" s="2" t="s">
        <v>60</v>
      </c>
      <c r="U50">
        <f>SUM(U44:U49)</f>
        <v>2421</v>
      </c>
      <c r="V50" s="5">
        <f>SUM(V44:V49)</f>
        <v>684</v>
      </c>
      <c r="W50" s="19">
        <f>V50/U50</f>
        <v>0.28252788104089221</v>
      </c>
    </row>
    <row r="51" spans="20:47" ht="13" x14ac:dyDescent="0.3">
      <c r="T51" s="2"/>
    </row>
    <row r="54" spans="20:47" x14ac:dyDescent="0.25">
      <c r="AA54" s="3"/>
      <c r="AE54" s="3"/>
      <c r="AI54" s="3"/>
      <c r="AM54" s="3"/>
      <c r="AQ54" s="3"/>
    </row>
    <row r="55" spans="20:47" x14ac:dyDescent="0.25">
      <c r="W55" s="3"/>
      <c r="AA55" s="3"/>
      <c r="AE55" s="3"/>
      <c r="AI55" s="3"/>
      <c r="AM55" s="3"/>
      <c r="AQ55" s="3"/>
      <c r="AU55" s="3"/>
    </row>
    <row r="56" spans="20:47" x14ac:dyDescent="0.25">
      <c r="W56" s="3"/>
      <c r="AA56" s="3"/>
      <c r="AE56" s="3"/>
      <c r="AI56" s="3"/>
      <c r="AM56" s="3"/>
      <c r="AQ56" s="3"/>
      <c r="AU56" s="3"/>
    </row>
    <row r="57" spans="20:47" x14ac:dyDescent="0.25">
      <c r="W57" s="3"/>
      <c r="AA57" s="3"/>
      <c r="AE57" s="3"/>
      <c r="AI57" s="3"/>
    </row>
    <row r="58" spans="20:47" x14ac:dyDescent="0.25">
      <c r="W58" s="3"/>
    </row>
  </sheetData>
  <mergeCells count="6">
    <mergeCell ref="B2:E2"/>
    <mergeCell ref="F2:I2"/>
    <mergeCell ref="J2:M2"/>
    <mergeCell ref="B22:F22"/>
    <mergeCell ref="G22:K22"/>
    <mergeCell ref="L22:P22"/>
  </mergeCells>
  <phoneticPr fontId="4" type="noConversion"/>
  <pageMargins left="0.75" right="0.75" top="1" bottom="1" header="0.5" footer="0.5"/>
  <headerFooter alignWithMargins="0"/>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O30"/>
  <sheetViews>
    <sheetView zoomScale="75" workbookViewId="0">
      <selection activeCell="I30" sqref="I30"/>
    </sheetView>
  </sheetViews>
  <sheetFormatPr defaultRowHeight="12.5" x14ac:dyDescent="0.25"/>
  <cols>
    <col min="1" max="1" width="3" style="44" customWidth="1"/>
    <col min="2" max="2" width="14.26953125" customWidth="1"/>
    <col min="3" max="3" width="17.7265625" style="31" bestFit="1" customWidth="1"/>
    <col min="4" max="4" width="13" customWidth="1"/>
    <col min="5" max="5" width="10" customWidth="1"/>
    <col min="6" max="6" width="10.453125" customWidth="1"/>
    <col min="7" max="7" width="14.81640625" bestFit="1" customWidth="1"/>
    <col min="8" max="8" width="14.453125" bestFit="1" customWidth="1"/>
    <col min="9" max="9" width="11.54296875" customWidth="1"/>
    <col min="10" max="10" width="10" customWidth="1"/>
  </cols>
  <sheetData>
    <row r="1" spans="1:11" ht="13.5" thickBot="1" x14ac:dyDescent="0.35">
      <c r="D1" s="151"/>
      <c r="E1" s="151"/>
      <c r="F1" s="151"/>
      <c r="G1" s="151"/>
      <c r="H1" s="151"/>
      <c r="I1" s="151"/>
      <c r="J1" s="151"/>
    </row>
    <row r="2" spans="1:11" ht="13.5" thickBot="1" x14ac:dyDescent="0.35">
      <c r="B2" s="921" t="s">
        <v>199</v>
      </c>
      <c r="C2" s="922"/>
      <c r="D2" s="922"/>
      <c r="E2" s="923"/>
      <c r="J2" s="2"/>
    </row>
    <row r="3" spans="1:11" ht="13" x14ac:dyDescent="0.3">
      <c r="A3" s="207"/>
      <c r="B3" s="248" t="s">
        <v>200</v>
      </c>
      <c r="C3" s="249" t="s">
        <v>177</v>
      </c>
      <c r="D3" s="249" t="s">
        <v>94</v>
      </c>
      <c r="E3" s="250" t="s">
        <v>184</v>
      </c>
      <c r="J3" s="19"/>
    </row>
    <row r="4" spans="1:11" ht="13" x14ac:dyDescent="0.3">
      <c r="A4" s="207"/>
      <c r="B4" s="251" t="s">
        <v>160</v>
      </c>
      <c r="C4" s="249">
        <v>200167</v>
      </c>
      <c r="D4" s="249">
        <v>76244</v>
      </c>
      <c r="E4" s="252">
        <f>D4+C4</f>
        <v>276411</v>
      </c>
      <c r="J4" s="19"/>
    </row>
    <row r="5" spans="1:11" ht="13" x14ac:dyDescent="0.3">
      <c r="A5" s="207"/>
      <c r="B5" s="251" t="s">
        <v>161</v>
      </c>
      <c r="C5" s="249">
        <v>170104</v>
      </c>
      <c r="D5" s="249">
        <v>44017</v>
      </c>
      <c r="E5" s="252">
        <f>D5+C5</f>
        <v>214121</v>
      </c>
      <c r="J5" s="19"/>
    </row>
    <row r="6" spans="1:11" ht="13.5" thickBot="1" x14ac:dyDescent="0.35">
      <c r="A6" s="207"/>
      <c r="B6" s="253" t="s">
        <v>44</v>
      </c>
      <c r="C6" s="254">
        <v>370271</v>
      </c>
      <c r="D6" s="254">
        <v>120261</v>
      </c>
      <c r="E6" s="255">
        <f>D6+C6</f>
        <v>490532</v>
      </c>
      <c r="J6" s="224"/>
    </row>
    <row r="7" spans="1:11" ht="13" x14ac:dyDescent="0.3">
      <c r="A7" s="207"/>
      <c r="B7" s="251" t="s">
        <v>241</v>
      </c>
      <c r="C7" s="389" t="s">
        <v>252</v>
      </c>
      <c r="D7" s="249">
        <v>6945</v>
      </c>
      <c r="E7" s="252"/>
      <c r="J7" s="224"/>
    </row>
    <row r="8" spans="1:11" ht="13" x14ac:dyDescent="0.3">
      <c r="A8" s="207"/>
      <c r="B8" s="251" t="s">
        <v>242</v>
      </c>
      <c r="C8" s="249" t="s">
        <v>253</v>
      </c>
      <c r="D8" s="249">
        <v>6145</v>
      </c>
      <c r="E8" s="252"/>
      <c r="J8" s="224"/>
    </row>
    <row r="9" spans="1:11" ht="13.5" thickBot="1" x14ac:dyDescent="0.35">
      <c r="A9" s="207"/>
      <c r="B9" s="253" t="s">
        <v>44</v>
      </c>
      <c r="C9" s="254"/>
      <c r="D9" s="254">
        <f>D8+D7</f>
        <v>13090</v>
      </c>
      <c r="E9" s="255"/>
      <c r="J9" s="224"/>
    </row>
    <row r="10" spans="1:11" ht="13" x14ac:dyDescent="0.3">
      <c r="A10" s="207"/>
      <c r="B10" s="209"/>
      <c r="C10" s="210" t="s">
        <v>167</v>
      </c>
      <c r="D10" s="924" t="s">
        <v>250</v>
      </c>
      <c r="E10" s="925"/>
      <c r="F10" s="926"/>
      <c r="G10" s="924" t="s">
        <v>251</v>
      </c>
      <c r="H10" s="925"/>
      <c r="I10" s="926"/>
      <c r="J10" s="19"/>
    </row>
    <row r="11" spans="1:11" ht="13" x14ac:dyDescent="0.3">
      <c r="B11" s="211" t="s">
        <v>162</v>
      </c>
      <c r="C11" s="212" t="s">
        <v>163</v>
      </c>
      <c r="D11" s="211" t="s">
        <v>44</v>
      </c>
      <c r="E11" s="208" t="s">
        <v>165</v>
      </c>
      <c r="F11" s="263" t="s">
        <v>166</v>
      </c>
      <c r="G11" s="211" t="s">
        <v>213</v>
      </c>
      <c r="H11" s="208" t="s">
        <v>165</v>
      </c>
      <c r="I11" s="263" t="s">
        <v>166</v>
      </c>
    </row>
    <row r="12" spans="1:11" ht="15" x14ac:dyDescent="0.3">
      <c r="B12" s="211" t="s">
        <v>211</v>
      </c>
      <c r="C12" s="305">
        <v>39714</v>
      </c>
      <c r="D12" s="390">
        <f>'2008 Comm Catch'!J73</f>
        <v>37350</v>
      </c>
      <c r="E12" s="70">
        <f>'2008 Comm Catch'!G73</f>
        <v>37350</v>
      </c>
      <c r="F12" s="264">
        <f>'2008 Comm Catch'!H73</f>
        <v>0</v>
      </c>
      <c r="G12" s="310">
        <f>H12+I12</f>
        <v>318.13045627327892</v>
      </c>
      <c r="H12" s="311">
        <f>'2008 new catch form'!G49</f>
        <v>318.13045627327892</v>
      </c>
      <c r="I12" s="360">
        <v>0</v>
      </c>
      <c r="J12" s="3">
        <f>G12/$D$6</f>
        <v>2.6453335351716593E-3</v>
      </c>
      <c r="K12" s="6"/>
    </row>
    <row r="13" spans="1:11" ht="13" x14ac:dyDescent="0.3">
      <c r="A13" s="207"/>
      <c r="B13" s="211" t="s">
        <v>123</v>
      </c>
      <c r="C13" s="305">
        <v>39714</v>
      </c>
      <c r="D13" s="390">
        <f>'2008 Comm Catch'!J79</f>
        <v>7096</v>
      </c>
      <c r="E13" s="70">
        <f>'2008 Comm Catch'!G79</f>
        <v>3587</v>
      </c>
      <c r="F13" s="264">
        <f>'2008 Comm Catch'!H79</f>
        <v>3509</v>
      </c>
      <c r="G13" s="310">
        <f>H13+I13</f>
        <v>3518.9151052552288</v>
      </c>
      <c r="H13" s="311">
        <f>'2008 new catch form'!G57</f>
        <v>1357.3240315232301</v>
      </c>
      <c r="I13" s="215">
        <f>'2008 new catch form'!H57</f>
        <v>2161.5910737319987</v>
      </c>
      <c r="J13" s="3">
        <f>G13/$D$6</f>
        <v>2.9260650628676204E-2</v>
      </c>
      <c r="K13" s="6"/>
    </row>
    <row r="14" spans="1:11" ht="13" x14ac:dyDescent="0.3">
      <c r="A14" s="214"/>
      <c r="B14" s="394" t="s">
        <v>168</v>
      </c>
      <c r="C14" s="395">
        <v>39714</v>
      </c>
      <c r="D14" s="391">
        <v>8657</v>
      </c>
      <c r="E14" s="392">
        <v>7425</v>
      </c>
      <c r="F14" s="393">
        <v>1232</v>
      </c>
      <c r="G14" s="396">
        <f>H14+I14</f>
        <v>67</v>
      </c>
      <c r="H14" s="397">
        <v>52</v>
      </c>
      <c r="I14" s="398">
        <v>15</v>
      </c>
      <c r="J14" s="3">
        <f>G14/$D$9</f>
        <v>5.1184110007639417E-3</v>
      </c>
      <c r="K14" s="6"/>
    </row>
    <row r="15" spans="1:11" ht="13" x14ac:dyDescent="0.3">
      <c r="A15" s="207"/>
      <c r="B15" s="211" t="s">
        <v>169</v>
      </c>
      <c r="C15" s="305">
        <v>39714</v>
      </c>
      <c r="D15" s="390">
        <f>'2008 Sport'!D23</f>
        <v>1097</v>
      </c>
      <c r="E15" s="70">
        <f>'2008 Sport'!B23</f>
        <v>1246.75</v>
      </c>
      <c r="F15" s="264">
        <f>'2008 Sport'!C23</f>
        <v>1383.25</v>
      </c>
      <c r="G15" s="310">
        <f>H15+I15</f>
        <v>68.62491030240902</v>
      </c>
      <c r="H15" s="311">
        <f>'2008 Sport'!G23</f>
        <v>36.75</v>
      </c>
      <c r="I15" s="347">
        <f>'2008 Sport'!H23</f>
        <v>31.87491030240902</v>
      </c>
      <c r="J15" s="3">
        <f>G15/$D$6</f>
        <v>5.706331254721732E-4</v>
      </c>
      <c r="K15" s="6"/>
    </row>
    <row r="16" spans="1:11" ht="13" x14ac:dyDescent="0.3">
      <c r="A16" s="207"/>
      <c r="B16" s="211"/>
      <c r="C16" s="212"/>
      <c r="D16" s="390"/>
      <c r="E16" s="70"/>
      <c r="F16" s="264"/>
      <c r="G16" s="211"/>
      <c r="H16" s="46"/>
      <c r="I16" s="212"/>
      <c r="J16" s="46"/>
    </row>
    <row r="17" spans="1:15" ht="13" x14ac:dyDescent="0.3">
      <c r="A17" s="207"/>
      <c r="B17" s="266" t="s">
        <v>173</v>
      </c>
      <c r="C17" s="212" t="s">
        <v>131</v>
      </c>
      <c r="D17" s="390">
        <f>SUM(D12:D16)</f>
        <v>54200</v>
      </c>
      <c r="E17" s="70">
        <f>SUM(E12:E16)</f>
        <v>49608.75</v>
      </c>
      <c r="F17" s="264">
        <f>SUM(F12:F16)</f>
        <v>6124.25</v>
      </c>
      <c r="G17" s="265"/>
      <c r="H17" s="213"/>
      <c r="I17" s="215"/>
      <c r="J17" s="46"/>
    </row>
    <row r="18" spans="1:15" ht="13.5" thickBot="1" x14ac:dyDescent="0.35">
      <c r="A18" s="207"/>
      <c r="B18" s="266"/>
      <c r="C18" s="212"/>
      <c r="D18" s="915" t="s">
        <v>255</v>
      </c>
      <c r="E18" s="916"/>
      <c r="F18" s="917"/>
      <c r="G18" s="265">
        <f>G12+G13+G15</f>
        <v>3905.6704718309165</v>
      </c>
      <c r="H18" s="213">
        <f>H12+H13+H15</f>
        <v>1712.2044877965091</v>
      </c>
      <c r="I18" s="215">
        <f>I12+I13+I15</f>
        <v>2193.4659840344075</v>
      </c>
      <c r="J18" s="46"/>
    </row>
    <row r="19" spans="1:15" ht="13.5" thickBot="1" x14ac:dyDescent="0.35">
      <c r="A19" s="207"/>
      <c r="B19" s="266"/>
      <c r="C19" s="212"/>
      <c r="D19" s="927" t="s">
        <v>254</v>
      </c>
      <c r="E19" s="928"/>
      <c r="F19" s="929"/>
      <c r="G19" s="319">
        <f>G18/D6</f>
        <v>3.2476617289320033E-2</v>
      </c>
      <c r="H19" s="312">
        <f>H18/D4</f>
        <v>2.2456907924512211E-2</v>
      </c>
      <c r="I19" s="313">
        <f>I18/D5</f>
        <v>4.9832246269268861E-2</v>
      </c>
      <c r="J19" s="46"/>
    </row>
    <row r="20" spans="1:15" ht="13.5" thickBot="1" x14ac:dyDescent="0.35">
      <c r="A20" s="207"/>
      <c r="B20" s="266"/>
      <c r="C20" s="212"/>
      <c r="D20" s="915" t="s">
        <v>244</v>
      </c>
      <c r="E20" s="916"/>
      <c r="F20" s="917"/>
      <c r="G20" s="265">
        <f>G14</f>
        <v>67</v>
      </c>
      <c r="H20" s="213">
        <f>H14</f>
        <v>52</v>
      </c>
      <c r="I20" s="215">
        <f>I14</f>
        <v>15</v>
      </c>
      <c r="J20" s="46"/>
    </row>
    <row r="21" spans="1:15" ht="13.5" thickBot="1" x14ac:dyDescent="0.35">
      <c r="A21" s="207"/>
      <c r="B21" s="267" t="s">
        <v>173</v>
      </c>
      <c r="C21" s="322" t="s">
        <v>202</v>
      </c>
      <c r="D21" s="918" t="s">
        <v>245</v>
      </c>
      <c r="E21" s="919"/>
      <c r="F21" s="920"/>
      <c r="G21" s="319">
        <f>G20/D9</f>
        <v>5.1184110007639417E-3</v>
      </c>
      <c r="H21" s="312">
        <f>H20/D7</f>
        <v>7.4874010079193669E-3</v>
      </c>
      <c r="I21" s="313">
        <f>I20/D8</f>
        <v>2.4410089503661514E-3</v>
      </c>
      <c r="J21" s="178"/>
    </row>
    <row r="22" spans="1:15" ht="13" x14ac:dyDescent="0.3">
      <c r="A22" s="207"/>
      <c r="B22" s="268"/>
      <c r="C22" s="316"/>
      <c r="D22" s="211"/>
      <c r="E22" s="269"/>
      <c r="F22" s="212"/>
      <c r="G22" s="269"/>
      <c r="H22" s="269"/>
      <c r="I22" s="270"/>
      <c r="J22" s="46"/>
    </row>
    <row r="23" spans="1:15" ht="13.5" thickBot="1" x14ac:dyDescent="0.35">
      <c r="B23" s="266" t="s">
        <v>201</v>
      </c>
      <c r="C23" s="46" t="s">
        <v>131</v>
      </c>
      <c r="D23" s="915" t="s">
        <v>244</v>
      </c>
      <c r="E23" s="916"/>
      <c r="F23" s="917"/>
      <c r="G23" s="392">
        <f>H23+I23</f>
        <v>352</v>
      </c>
      <c r="H23" s="392">
        <v>155</v>
      </c>
      <c r="I23" s="393">
        <v>197</v>
      </c>
      <c r="J23" s="46"/>
    </row>
    <row r="24" spans="1:15" s="205" customFormat="1" ht="13.5" thickBot="1" x14ac:dyDescent="0.35">
      <c r="A24" s="44"/>
      <c r="B24" s="267" t="s">
        <v>243</v>
      </c>
      <c r="C24" s="323" t="s">
        <v>202</v>
      </c>
      <c r="D24" s="918" t="s">
        <v>245</v>
      </c>
      <c r="E24" s="919"/>
      <c r="F24" s="920"/>
      <c r="G24" s="319">
        <f>G23/D9</f>
        <v>2.689075630252101E-2</v>
      </c>
      <c r="H24" s="320">
        <f>H23/D7</f>
        <v>2.2318214542836574E-2</v>
      </c>
      <c r="I24" s="321">
        <f>I23/D8</f>
        <v>3.205858421480879E-2</v>
      </c>
      <c r="J24" s="213"/>
      <c r="K24"/>
      <c r="L24"/>
      <c r="M24"/>
      <c r="N24"/>
      <c r="O24"/>
    </row>
    <row r="25" spans="1:15" s="205" customFormat="1" ht="13" x14ac:dyDescent="0.3">
      <c r="A25" s="44"/>
      <c r="B25" s="268"/>
      <c r="C25" s="316"/>
      <c r="D25" s="211"/>
      <c r="E25" s="269"/>
      <c r="F25" s="212"/>
      <c r="G25" s="269"/>
      <c r="H25" s="269"/>
      <c r="I25" s="270"/>
      <c r="J25" s="46"/>
      <c r="K25"/>
      <c r="L25"/>
      <c r="M25"/>
      <c r="N25"/>
      <c r="O25"/>
    </row>
    <row r="26" spans="1:15" s="205" customFormat="1" ht="13.5" thickBot="1" x14ac:dyDescent="0.35">
      <c r="A26" s="44"/>
      <c r="B26" s="315" t="s">
        <v>164</v>
      </c>
      <c r="C26" s="316"/>
      <c r="D26" s="915" t="s">
        <v>244</v>
      </c>
      <c r="E26" s="916"/>
      <c r="F26" s="917"/>
      <c r="G26" s="70">
        <f>G23+G20</f>
        <v>419</v>
      </c>
      <c r="H26" s="70">
        <f>H23+H20</f>
        <v>207</v>
      </c>
      <c r="I26" s="264">
        <f>I23+I20</f>
        <v>212</v>
      </c>
      <c r="J26" s="46"/>
      <c r="K26"/>
      <c r="L26"/>
      <c r="M26"/>
      <c r="N26"/>
      <c r="O26"/>
    </row>
    <row r="27" spans="1:15" s="205" customFormat="1" ht="13.5" thickBot="1" x14ac:dyDescent="0.35">
      <c r="A27" s="44"/>
      <c r="B27" s="317" t="s">
        <v>164</v>
      </c>
      <c r="C27" s="323" t="s">
        <v>202</v>
      </c>
      <c r="D27" s="918" t="s">
        <v>245</v>
      </c>
      <c r="E27" s="919"/>
      <c r="F27" s="920"/>
      <c r="G27" s="319">
        <f>G24+G21+G19</f>
        <v>6.4485784592604983E-2</v>
      </c>
      <c r="H27" s="320">
        <f>H24+H21+H19</f>
        <v>5.2262523475268149E-2</v>
      </c>
      <c r="I27" s="321">
        <f>I24+I21+I19</f>
        <v>8.4331839434443806E-2</v>
      </c>
      <c r="J27" s="46"/>
      <c r="K27"/>
      <c r="L27"/>
      <c r="M27"/>
      <c r="N27"/>
      <c r="O27"/>
    </row>
    <row r="28" spans="1:15" s="205" customFormat="1" ht="13" x14ac:dyDescent="0.3">
      <c r="A28" s="44"/>
      <c r="B28" s="318" t="s">
        <v>212</v>
      </c>
      <c r="C28" s="31"/>
      <c r="D28"/>
      <c r="E28"/>
      <c r="F28"/>
      <c r="G28"/>
      <c r="H28"/>
      <c r="I28"/>
      <c r="J28" s="46"/>
      <c r="K28"/>
      <c r="L28"/>
      <c r="M28"/>
      <c r="N28"/>
      <c r="O28"/>
    </row>
    <row r="29" spans="1:15" s="205" customFormat="1" ht="13" x14ac:dyDescent="0.3">
      <c r="A29" s="44"/>
      <c r="B29"/>
      <c r="C29" s="31"/>
      <c r="D29"/>
      <c r="E29"/>
      <c r="F29" t="s">
        <v>225</v>
      </c>
      <c r="G29" s="26">
        <f>8%-G27</f>
        <v>1.5514215407395018E-2</v>
      </c>
      <c r="H29"/>
      <c r="I29"/>
      <c r="J29" s="46"/>
      <c r="K29"/>
      <c r="L29"/>
      <c r="M29"/>
      <c r="N29"/>
      <c r="O29"/>
    </row>
    <row r="30" spans="1:15" s="205" customFormat="1" x14ac:dyDescent="0.25">
      <c r="A30" s="44"/>
      <c r="B30"/>
      <c r="C30" s="31"/>
      <c r="D30"/>
      <c r="E30"/>
      <c r="F30"/>
      <c r="G30"/>
      <c r="H30"/>
      <c r="I30"/>
      <c r="J30" s="44"/>
      <c r="K30"/>
      <c r="L30"/>
      <c r="M30"/>
      <c r="N30"/>
      <c r="O30"/>
    </row>
  </sheetData>
  <mergeCells count="11">
    <mergeCell ref="D26:F26"/>
    <mergeCell ref="D27:F27"/>
    <mergeCell ref="D20:F20"/>
    <mergeCell ref="D21:F21"/>
    <mergeCell ref="D23:F23"/>
    <mergeCell ref="D24:F24"/>
    <mergeCell ref="B2:E2"/>
    <mergeCell ref="D10:F10"/>
    <mergeCell ref="G10:I10"/>
    <mergeCell ref="D19:F19"/>
    <mergeCell ref="D18:F18"/>
  </mergeCells>
  <phoneticPr fontId="4" type="noConversion"/>
  <pageMargins left="0.75" right="0.75" top="1" bottom="1" header="0.5" footer="0.5"/>
  <pageSetup orientation="portrait" r:id="rId1"/>
  <headerFooter alignWithMargins="0"/>
  <legacy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AH105"/>
  <sheetViews>
    <sheetView workbookViewId="0">
      <selection activeCell="I30" sqref="I30"/>
    </sheetView>
  </sheetViews>
  <sheetFormatPr defaultRowHeight="12.5" x14ac:dyDescent="0.25"/>
  <cols>
    <col min="2" max="2" width="11.26953125" bestFit="1" customWidth="1"/>
    <col min="3" max="3" width="10.26953125" style="5" bestFit="1" customWidth="1"/>
    <col min="4" max="4" width="9.1796875" style="15"/>
    <col min="5" max="5" width="1.1796875" customWidth="1"/>
    <col min="7" max="7" width="11.26953125" style="5" bestFit="1" customWidth="1"/>
    <col min="8" max="8" width="9.1796875" style="15"/>
    <col min="9" max="9" width="1.1796875" customWidth="1"/>
    <col min="11" max="11" width="9.1796875" style="5"/>
    <col min="12" max="12" width="9.1796875" style="15"/>
    <col min="13" max="13" width="1.1796875" customWidth="1"/>
    <col min="15" max="15" width="9.1796875" style="5"/>
    <col min="16" max="16" width="9.1796875" style="15"/>
    <col min="17" max="17" width="0.81640625" customWidth="1"/>
    <col min="19" max="19" width="9.1796875" style="5"/>
    <col min="20" max="20" width="9.26953125" style="15" bestFit="1" customWidth="1"/>
    <col min="21" max="21" width="1.1796875" customWidth="1"/>
    <col min="23" max="23" width="9.1796875" style="5"/>
    <col min="24" max="24" width="9.1796875" style="15"/>
    <col min="25" max="25" width="1.26953125" customWidth="1"/>
    <col min="27" max="27" width="9.1796875" style="5"/>
    <col min="28" max="28" width="9.1796875" style="15"/>
    <col min="29" max="29" width="1.7265625" customWidth="1"/>
  </cols>
  <sheetData>
    <row r="1" spans="1:32" ht="15.5" x14ac:dyDescent="0.35">
      <c r="A1" s="1" t="s">
        <v>39</v>
      </c>
    </row>
    <row r="2" spans="1:32" ht="15.5" x14ac:dyDescent="0.35">
      <c r="A2" s="1"/>
    </row>
    <row r="3" spans="1:32" ht="13" x14ac:dyDescent="0.3">
      <c r="A3" s="2">
        <v>2000</v>
      </c>
    </row>
    <row r="4" spans="1:32" x14ac:dyDescent="0.25">
      <c r="C4" s="5" t="s">
        <v>0</v>
      </c>
      <c r="G4" s="5" t="s">
        <v>2</v>
      </c>
      <c r="K4" s="5" t="s">
        <v>3</v>
      </c>
      <c r="O4" s="5" t="s">
        <v>4</v>
      </c>
    </row>
    <row r="5" spans="1:32" x14ac:dyDescent="0.25">
      <c r="B5" t="s">
        <v>37</v>
      </c>
      <c r="C5" s="5" t="s">
        <v>13</v>
      </c>
      <c r="D5" s="15" t="s">
        <v>38</v>
      </c>
      <c r="F5" t="s">
        <v>37</v>
      </c>
      <c r="G5" s="5" t="s">
        <v>13</v>
      </c>
      <c r="H5" s="15" t="s">
        <v>38</v>
      </c>
      <c r="J5" t="s">
        <v>37</v>
      </c>
      <c r="K5" s="5" t="s">
        <v>13</v>
      </c>
      <c r="L5" s="15" t="s">
        <v>38</v>
      </c>
      <c r="N5" t="s">
        <v>37</v>
      </c>
      <c r="O5" s="5" t="s">
        <v>13</v>
      </c>
      <c r="P5" s="15" t="s">
        <v>38</v>
      </c>
    </row>
    <row r="6" spans="1:32" x14ac:dyDescent="0.25">
      <c r="A6">
        <v>1</v>
      </c>
      <c r="B6">
        <v>2</v>
      </c>
      <c r="C6" s="12">
        <v>0</v>
      </c>
      <c r="D6" s="6">
        <f>C6/B6</f>
        <v>0</v>
      </c>
      <c r="F6">
        <v>0</v>
      </c>
      <c r="J6">
        <v>0</v>
      </c>
      <c r="N6">
        <v>0</v>
      </c>
    </row>
    <row r="7" spans="1:32" x14ac:dyDescent="0.25">
      <c r="A7">
        <v>2</v>
      </c>
      <c r="B7">
        <v>0</v>
      </c>
      <c r="F7">
        <v>0</v>
      </c>
      <c r="J7">
        <v>0</v>
      </c>
      <c r="N7">
        <v>0</v>
      </c>
    </row>
    <row r="8" spans="1:32" x14ac:dyDescent="0.25">
      <c r="A8">
        <v>3</v>
      </c>
      <c r="B8">
        <v>0</v>
      </c>
      <c r="F8">
        <v>0</v>
      </c>
      <c r="J8">
        <v>0</v>
      </c>
      <c r="N8">
        <v>0</v>
      </c>
    </row>
    <row r="9" spans="1:32" x14ac:dyDescent="0.25">
      <c r="A9">
        <v>4</v>
      </c>
      <c r="B9">
        <v>0</v>
      </c>
      <c r="F9">
        <v>0</v>
      </c>
      <c r="J9">
        <v>0</v>
      </c>
      <c r="N9">
        <v>26</v>
      </c>
      <c r="O9" s="12">
        <v>0</v>
      </c>
      <c r="P9" s="6">
        <f>O9/N9</f>
        <v>0</v>
      </c>
    </row>
    <row r="10" spans="1:32" x14ac:dyDescent="0.25">
      <c r="A10">
        <v>5</v>
      </c>
      <c r="B10">
        <v>0</v>
      </c>
      <c r="F10">
        <v>0</v>
      </c>
      <c r="J10">
        <v>0</v>
      </c>
      <c r="N10">
        <v>133</v>
      </c>
      <c r="O10" s="12">
        <v>0</v>
      </c>
      <c r="P10" s="6">
        <f>O10/N10</f>
        <v>0</v>
      </c>
    </row>
    <row r="11" spans="1:32" s="2" customFormat="1" ht="13" x14ac:dyDescent="0.3">
      <c r="A11" s="2" t="s">
        <v>42</v>
      </c>
      <c r="B11" s="2">
        <f>SUM(B6:B10)</f>
        <v>2</v>
      </c>
      <c r="C11" s="2">
        <f>SUM(C6:C10)</f>
        <v>0</v>
      </c>
      <c r="D11" s="22">
        <f>C11/B11</f>
        <v>0</v>
      </c>
      <c r="F11" s="2">
        <f>SUM(F6:F10)</f>
        <v>0</v>
      </c>
      <c r="G11" s="2">
        <f>SUM(G6:G10)</f>
        <v>0</v>
      </c>
      <c r="H11" s="21"/>
      <c r="J11" s="2">
        <f>SUM(J6:J10)</f>
        <v>0</v>
      </c>
      <c r="K11" s="2">
        <f>SUM(K6:K10)</f>
        <v>0</v>
      </c>
      <c r="L11" s="21"/>
      <c r="N11" s="2">
        <f>SUM(N6:N10)</f>
        <v>159</v>
      </c>
      <c r="O11" s="2">
        <f>SUM(O6:O10)</f>
        <v>0</v>
      </c>
      <c r="P11" s="22">
        <f>O11/N11</f>
        <v>0</v>
      </c>
      <c r="S11" s="8"/>
      <c r="T11" s="21"/>
      <c r="W11" s="8"/>
      <c r="X11" s="21"/>
      <c r="AA11" s="8"/>
      <c r="AB11" s="21"/>
    </row>
    <row r="13" spans="1:32" x14ac:dyDescent="0.25">
      <c r="C13" s="5" t="s">
        <v>12</v>
      </c>
      <c r="G13" s="5" t="s">
        <v>5</v>
      </c>
      <c r="K13" s="5" t="s">
        <v>6</v>
      </c>
      <c r="O13" s="5" t="s">
        <v>7</v>
      </c>
      <c r="S13" s="5" t="s">
        <v>8</v>
      </c>
      <c r="W13" s="5" t="s">
        <v>9</v>
      </c>
      <c r="AA13" s="5" t="s">
        <v>10</v>
      </c>
      <c r="AE13" t="s">
        <v>11</v>
      </c>
    </row>
    <row r="14" spans="1:32" x14ac:dyDescent="0.25">
      <c r="B14" t="s">
        <v>37</v>
      </c>
      <c r="C14" s="5" t="s">
        <v>13</v>
      </c>
      <c r="D14" s="15" t="s">
        <v>38</v>
      </c>
      <c r="F14" t="s">
        <v>37</v>
      </c>
      <c r="G14" s="5" t="s">
        <v>13</v>
      </c>
      <c r="H14" s="15" t="s">
        <v>38</v>
      </c>
      <c r="J14" t="s">
        <v>37</v>
      </c>
      <c r="K14" s="5" t="s">
        <v>13</v>
      </c>
      <c r="L14" s="15" t="s">
        <v>38</v>
      </c>
      <c r="N14" t="s">
        <v>37</v>
      </c>
      <c r="O14" s="5" t="s">
        <v>13</v>
      </c>
      <c r="P14" s="15" t="s">
        <v>38</v>
      </c>
      <c r="R14" t="s">
        <v>37</v>
      </c>
      <c r="S14" s="5" t="s">
        <v>13</v>
      </c>
      <c r="T14" s="15" t="s">
        <v>38</v>
      </c>
      <c r="V14" t="s">
        <v>37</v>
      </c>
      <c r="W14" s="5" t="s">
        <v>13</v>
      </c>
      <c r="X14" s="15" t="s">
        <v>38</v>
      </c>
      <c r="Z14" t="s">
        <v>37</v>
      </c>
      <c r="AA14" s="5" t="s">
        <v>13</v>
      </c>
      <c r="AB14" s="15" t="s">
        <v>38</v>
      </c>
      <c r="AD14" t="s">
        <v>37</v>
      </c>
      <c r="AE14" t="s">
        <v>13</v>
      </c>
      <c r="AF14" t="s">
        <v>38</v>
      </c>
    </row>
    <row r="15" spans="1:32" x14ac:dyDescent="0.25">
      <c r="A15">
        <v>1</v>
      </c>
      <c r="B15">
        <v>0</v>
      </c>
      <c r="F15">
        <v>4250</v>
      </c>
      <c r="G15" s="5" t="e">
        <f>#REF!</f>
        <v>#REF!</v>
      </c>
      <c r="H15" s="6" t="e">
        <f t="shared" ref="H15:H20" si="0">G15/F15</f>
        <v>#REF!</v>
      </c>
      <c r="J15">
        <v>5632</v>
      </c>
      <c r="K15" s="5" t="e">
        <f>#REF!</f>
        <v>#REF!</v>
      </c>
      <c r="L15" s="6" t="e">
        <f>K15/J15</f>
        <v>#REF!</v>
      </c>
      <c r="N15">
        <v>1418</v>
      </c>
      <c r="O15" s="5" t="e">
        <f>#REF!</f>
        <v>#REF!</v>
      </c>
      <c r="P15" s="6" t="e">
        <f>O15/N15</f>
        <v>#REF!</v>
      </c>
      <c r="R15">
        <v>8154</v>
      </c>
      <c r="S15" s="5" t="e">
        <f>#REF!</f>
        <v>#REF!</v>
      </c>
      <c r="T15" s="6" t="e">
        <f>S15/R15</f>
        <v>#REF!</v>
      </c>
      <c r="V15">
        <v>1228</v>
      </c>
      <c r="W15" s="5" t="e">
        <f>#REF!</f>
        <v>#REF!</v>
      </c>
      <c r="X15" s="6" t="e">
        <f>W15/V15</f>
        <v>#REF!</v>
      </c>
      <c r="Z15">
        <v>151</v>
      </c>
      <c r="AA15" s="5" t="e">
        <f>#REF!</f>
        <v>#REF!</v>
      </c>
      <c r="AB15" s="6" t="e">
        <f>AA15/Z15</f>
        <v>#REF!</v>
      </c>
      <c r="AD15">
        <v>12</v>
      </c>
      <c r="AE15" s="5" t="e">
        <f>#REF!</f>
        <v>#REF!</v>
      </c>
      <c r="AF15" s="6" t="e">
        <f>AE15/AD15</f>
        <v>#REF!</v>
      </c>
    </row>
    <row r="16" spans="1:32" x14ac:dyDescent="0.25">
      <c r="A16">
        <v>2</v>
      </c>
      <c r="B16">
        <v>0</v>
      </c>
      <c r="F16">
        <v>4794</v>
      </c>
      <c r="G16" s="5" t="e">
        <f>#REF!</f>
        <v>#REF!</v>
      </c>
      <c r="H16" s="6" t="e">
        <f t="shared" si="0"/>
        <v>#REF!</v>
      </c>
      <c r="J16">
        <v>14694</v>
      </c>
      <c r="K16" s="5" t="e">
        <f>#REF!</f>
        <v>#REF!</v>
      </c>
      <c r="L16" s="6" t="e">
        <f>K16/J16</f>
        <v>#REF!</v>
      </c>
      <c r="N16">
        <v>4565</v>
      </c>
      <c r="O16" s="5" t="e">
        <f>#REF!</f>
        <v>#REF!</v>
      </c>
      <c r="P16" s="6" t="e">
        <f>O16/N16</f>
        <v>#REF!</v>
      </c>
      <c r="R16">
        <v>36545</v>
      </c>
      <c r="S16" s="5" t="e">
        <f>#REF!</f>
        <v>#REF!</v>
      </c>
      <c r="T16" s="6" t="e">
        <f>S16/R16</f>
        <v>#REF!</v>
      </c>
      <c r="V16">
        <v>15417</v>
      </c>
      <c r="W16" s="5" t="e">
        <f>#REF!</f>
        <v>#REF!</v>
      </c>
      <c r="X16" s="6" t="e">
        <f>W16/V16</f>
        <v>#REF!</v>
      </c>
      <c r="Z16">
        <v>2950</v>
      </c>
      <c r="AA16" s="5" t="e">
        <f>#REF!</f>
        <v>#REF!</v>
      </c>
      <c r="AB16" s="6" t="e">
        <f>AA16/Z16</f>
        <v>#REF!</v>
      </c>
      <c r="AD16">
        <v>247</v>
      </c>
      <c r="AE16" s="5" t="e">
        <f>#REF!</f>
        <v>#REF!</v>
      </c>
      <c r="AF16" s="6" t="e">
        <f>AE16/AD16</f>
        <v>#REF!</v>
      </c>
    </row>
    <row r="17" spans="1:34" x14ac:dyDescent="0.25">
      <c r="A17">
        <v>3</v>
      </c>
      <c r="B17">
        <v>0</v>
      </c>
      <c r="F17">
        <v>1013</v>
      </c>
      <c r="G17" s="12">
        <v>0</v>
      </c>
      <c r="H17" s="6">
        <f t="shared" si="0"/>
        <v>0</v>
      </c>
      <c r="J17">
        <v>2863</v>
      </c>
      <c r="K17" s="12">
        <v>0</v>
      </c>
      <c r="L17" s="6">
        <f>K17/J17</f>
        <v>0</v>
      </c>
      <c r="N17">
        <v>860</v>
      </c>
      <c r="O17" s="12">
        <v>0</v>
      </c>
      <c r="P17" s="6">
        <f>O17/N17</f>
        <v>0</v>
      </c>
      <c r="R17">
        <v>4163</v>
      </c>
      <c r="S17" s="5" t="e">
        <f>#REF!</f>
        <v>#REF!</v>
      </c>
      <c r="T17" s="6" t="e">
        <f>S17/R17</f>
        <v>#REF!</v>
      </c>
      <c r="V17">
        <v>2717</v>
      </c>
      <c r="W17" s="5" t="e">
        <f>#REF!</f>
        <v>#REF!</v>
      </c>
      <c r="X17" s="6" t="e">
        <f>W17/V17</f>
        <v>#REF!</v>
      </c>
      <c r="Z17">
        <v>165</v>
      </c>
      <c r="AA17" s="5" t="e">
        <f>#REF!</f>
        <v>#REF!</v>
      </c>
      <c r="AB17" s="6" t="e">
        <f>AA17/Z17</f>
        <v>#REF!</v>
      </c>
      <c r="AD17">
        <v>22</v>
      </c>
      <c r="AE17" s="5" t="e">
        <f>#REF!</f>
        <v>#REF!</v>
      </c>
      <c r="AF17" s="6" t="e">
        <f>AE17/AD17</f>
        <v>#REF!</v>
      </c>
    </row>
    <row r="18" spans="1:34" ht="13" x14ac:dyDescent="0.3">
      <c r="A18">
        <v>4</v>
      </c>
      <c r="B18">
        <v>0</v>
      </c>
      <c r="F18">
        <v>70</v>
      </c>
      <c r="G18" s="12">
        <v>0</v>
      </c>
      <c r="H18" s="6">
        <f t="shared" si="0"/>
        <v>0</v>
      </c>
      <c r="J18">
        <v>0</v>
      </c>
      <c r="N18">
        <v>0</v>
      </c>
      <c r="R18">
        <v>0</v>
      </c>
      <c r="V18">
        <v>0</v>
      </c>
      <c r="Z18">
        <v>0</v>
      </c>
      <c r="AD18">
        <v>0</v>
      </c>
      <c r="AH18" s="2" t="s">
        <v>15</v>
      </c>
    </row>
    <row r="19" spans="1:34" x14ac:dyDescent="0.25">
      <c r="A19">
        <v>5</v>
      </c>
      <c r="B19">
        <v>0</v>
      </c>
      <c r="F19">
        <v>87</v>
      </c>
      <c r="G19" s="12">
        <v>0</v>
      </c>
      <c r="H19" s="6">
        <f t="shared" si="0"/>
        <v>0</v>
      </c>
      <c r="J19">
        <v>0</v>
      </c>
      <c r="N19">
        <v>0</v>
      </c>
      <c r="R19">
        <v>147</v>
      </c>
      <c r="S19" s="5" t="e">
        <f>#REF!</f>
        <v>#REF!</v>
      </c>
      <c r="T19" s="6" t="e">
        <f>S19/R19</f>
        <v>#REF!</v>
      </c>
      <c r="V19">
        <v>56</v>
      </c>
      <c r="W19" s="5" t="e">
        <f>#REF!</f>
        <v>#REF!</v>
      </c>
      <c r="X19" s="6" t="e">
        <f>W19/V19</f>
        <v>#REF!</v>
      </c>
      <c r="Z19">
        <v>0</v>
      </c>
      <c r="AD19">
        <v>0</v>
      </c>
    </row>
    <row r="20" spans="1:34" ht="13" x14ac:dyDescent="0.3">
      <c r="A20" s="2" t="s">
        <v>1</v>
      </c>
      <c r="B20" s="2">
        <f>SUM(B15:B19)</f>
        <v>0</v>
      </c>
      <c r="C20" s="2">
        <f>SUM(C15:C19)</f>
        <v>0</v>
      </c>
      <c r="D20" s="22"/>
      <c r="F20" s="2">
        <f>SUM(F15:F19)</f>
        <v>10214</v>
      </c>
      <c r="G20" s="2" t="e">
        <f>SUM(G15:G19)</f>
        <v>#REF!</v>
      </c>
      <c r="H20" s="22" t="e">
        <f t="shared" si="0"/>
        <v>#REF!</v>
      </c>
      <c r="J20" s="2">
        <f>SUM(J15:J19)</f>
        <v>23189</v>
      </c>
      <c r="K20" s="2" t="e">
        <f>SUM(K15:K19)</f>
        <v>#REF!</v>
      </c>
      <c r="L20" s="22" t="e">
        <f>K20/J20</f>
        <v>#REF!</v>
      </c>
      <c r="N20" s="2">
        <f>SUM(N15:N19)</f>
        <v>6843</v>
      </c>
      <c r="O20" s="2" t="e">
        <f>SUM(O15:O19)</f>
        <v>#REF!</v>
      </c>
      <c r="P20" s="22" t="e">
        <f>O20/N20</f>
        <v>#REF!</v>
      </c>
      <c r="R20" s="2">
        <f>SUM(R15:R19)</f>
        <v>49009</v>
      </c>
      <c r="S20" s="2" t="e">
        <f>SUM(S15:S19)</f>
        <v>#REF!</v>
      </c>
      <c r="T20" s="22" t="e">
        <f>S20/R20</f>
        <v>#REF!</v>
      </c>
      <c r="V20" s="2">
        <f>SUM(V15:V19)</f>
        <v>19418</v>
      </c>
      <c r="W20" s="2" t="e">
        <f>SUM(W15:W19)</f>
        <v>#REF!</v>
      </c>
      <c r="X20" s="22" t="e">
        <f>W20/V20</f>
        <v>#REF!</v>
      </c>
      <c r="Z20" s="2">
        <f>SUM(Z15:Z19)</f>
        <v>3266</v>
      </c>
      <c r="AA20" s="2" t="e">
        <f>SUM(AA15:AA19)</f>
        <v>#REF!</v>
      </c>
      <c r="AB20" s="22" t="e">
        <f>AA20/Z20</f>
        <v>#REF!</v>
      </c>
      <c r="AD20" s="2">
        <f>SUM(AD15:AD19)</f>
        <v>281</v>
      </c>
      <c r="AE20" s="2" t="e">
        <f>SUM(AE15:AE19)</f>
        <v>#REF!</v>
      </c>
      <c r="AF20" s="22" t="e">
        <f>AE20/AD20</f>
        <v>#REF!</v>
      </c>
      <c r="AH20" s="8"/>
    </row>
    <row r="22" spans="1:34" ht="13" x14ac:dyDescent="0.3">
      <c r="A22" s="2">
        <v>2001</v>
      </c>
    </row>
    <row r="23" spans="1:34" x14ac:dyDescent="0.25">
      <c r="C23" s="5" t="s">
        <v>0</v>
      </c>
      <c r="G23" s="5" t="s">
        <v>2</v>
      </c>
      <c r="K23" s="5" t="s">
        <v>3</v>
      </c>
      <c r="O23" s="5" t="s">
        <v>4</v>
      </c>
    </row>
    <row r="24" spans="1:34" x14ac:dyDescent="0.25">
      <c r="B24" t="s">
        <v>37</v>
      </c>
      <c r="C24" s="5" t="s">
        <v>13</v>
      </c>
      <c r="D24" s="15" t="s">
        <v>38</v>
      </c>
      <c r="F24" t="s">
        <v>37</v>
      </c>
      <c r="G24" s="5" t="s">
        <v>13</v>
      </c>
      <c r="H24" s="15" t="s">
        <v>38</v>
      </c>
      <c r="J24" t="s">
        <v>37</v>
      </c>
      <c r="K24" s="5" t="s">
        <v>13</v>
      </c>
      <c r="L24" s="15" t="s">
        <v>38</v>
      </c>
      <c r="N24" t="s">
        <v>37</v>
      </c>
      <c r="O24" s="5" t="s">
        <v>13</v>
      </c>
      <c r="P24" s="15" t="s">
        <v>38</v>
      </c>
    </row>
    <row r="25" spans="1:34" x14ac:dyDescent="0.25">
      <c r="A25">
        <v>1</v>
      </c>
      <c r="B25">
        <v>266</v>
      </c>
      <c r="C25" s="12">
        <v>0</v>
      </c>
      <c r="D25" s="6">
        <f>C25/B25</f>
        <v>0</v>
      </c>
      <c r="F25">
        <v>0</v>
      </c>
      <c r="J25">
        <v>0</v>
      </c>
      <c r="N25">
        <v>0</v>
      </c>
    </row>
    <row r="26" spans="1:34" x14ac:dyDescent="0.25">
      <c r="A26">
        <v>2</v>
      </c>
      <c r="B26">
        <v>8</v>
      </c>
      <c r="C26" s="12">
        <v>0</v>
      </c>
      <c r="D26" s="6">
        <f>C26/B26</f>
        <v>0</v>
      </c>
      <c r="F26">
        <v>0</v>
      </c>
      <c r="J26">
        <v>0</v>
      </c>
      <c r="N26">
        <v>0</v>
      </c>
    </row>
    <row r="27" spans="1:34" x14ac:dyDescent="0.25">
      <c r="A27">
        <v>3</v>
      </c>
      <c r="B27">
        <v>1</v>
      </c>
      <c r="C27" s="12">
        <v>0</v>
      </c>
      <c r="D27" s="6">
        <f>C27/B27</f>
        <v>0</v>
      </c>
      <c r="F27">
        <v>0</v>
      </c>
      <c r="J27">
        <v>0</v>
      </c>
      <c r="N27">
        <v>0</v>
      </c>
    </row>
    <row r="28" spans="1:34" x14ac:dyDescent="0.25">
      <c r="A28">
        <v>4</v>
      </c>
      <c r="B28">
        <v>0</v>
      </c>
      <c r="F28">
        <v>0</v>
      </c>
      <c r="J28">
        <v>89</v>
      </c>
      <c r="K28" s="12">
        <v>0</v>
      </c>
      <c r="L28" s="6">
        <f>K28/J28</f>
        <v>0</v>
      </c>
      <c r="N28">
        <v>0</v>
      </c>
    </row>
    <row r="29" spans="1:34" x14ac:dyDescent="0.25">
      <c r="A29">
        <v>5</v>
      </c>
      <c r="B29">
        <v>0</v>
      </c>
      <c r="F29">
        <v>0</v>
      </c>
      <c r="J29">
        <v>298</v>
      </c>
      <c r="K29" s="12">
        <v>0</v>
      </c>
      <c r="L29" s="6">
        <f>K29/J29</f>
        <v>0</v>
      </c>
      <c r="N29">
        <v>0</v>
      </c>
    </row>
    <row r="30" spans="1:34" ht="13" x14ac:dyDescent="0.3">
      <c r="A30" s="2" t="s">
        <v>1</v>
      </c>
      <c r="B30" s="2">
        <f>SUM(B25:B29)</f>
        <v>275</v>
      </c>
      <c r="C30" s="2">
        <f>SUM(C25:C29)</f>
        <v>0</v>
      </c>
      <c r="D30" s="22">
        <f>C30/B30</f>
        <v>0</v>
      </c>
      <c r="F30" s="2">
        <f>SUM(F25:F29)</f>
        <v>0</v>
      </c>
      <c r="G30" s="2">
        <f>SUM(G25:G29)</f>
        <v>0</v>
      </c>
      <c r="H30" s="22"/>
      <c r="J30" s="2">
        <f>SUM(J25:J29)</f>
        <v>387</v>
      </c>
      <c r="K30" s="2">
        <f>SUM(K25:K29)</f>
        <v>0</v>
      </c>
      <c r="L30" s="22">
        <f>K30/J30</f>
        <v>0</v>
      </c>
      <c r="N30" s="2">
        <f>SUM(N25:N29)</f>
        <v>0</v>
      </c>
      <c r="O30" s="2">
        <f>SUM(O25:O29)</f>
        <v>0</v>
      </c>
      <c r="P30" s="22"/>
    </row>
    <row r="32" spans="1:34" x14ac:dyDescent="0.25">
      <c r="C32" s="5" t="s">
        <v>12</v>
      </c>
      <c r="G32" s="5" t="s">
        <v>5</v>
      </c>
      <c r="K32" s="5" t="s">
        <v>6</v>
      </c>
      <c r="O32" s="5" t="s">
        <v>7</v>
      </c>
      <c r="S32" s="5" t="s">
        <v>8</v>
      </c>
      <c r="W32" s="5" t="s">
        <v>9</v>
      </c>
      <c r="AA32" s="5" t="s">
        <v>10</v>
      </c>
      <c r="AE32" t="s">
        <v>11</v>
      </c>
    </row>
    <row r="33" spans="1:33" x14ac:dyDescent="0.25">
      <c r="B33" t="s">
        <v>37</v>
      </c>
      <c r="C33" s="5" t="s">
        <v>13</v>
      </c>
      <c r="D33" s="15" t="s">
        <v>38</v>
      </c>
      <c r="F33" t="s">
        <v>37</v>
      </c>
      <c r="G33" s="5" t="s">
        <v>13</v>
      </c>
      <c r="H33" s="15" t="s">
        <v>38</v>
      </c>
      <c r="J33" t="s">
        <v>37</v>
      </c>
      <c r="K33" s="5" t="s">
        <v>13</v>
      </c>
      <c r="L33" s="15" t="s">
        <v>38</v>
      </c>
      <c r="N33" t="s">
        <v>37</v>
      </c>
      <c r="O33" s="5" t="s">
        <v>13</v>
      </c>
      <c r="P33" s="15" t="s">
        <v>38</v>
      </c>
      <c r="R33" t="s">
        <v>37</v>
      </c>
      <c r="S33" s="5" t="s">
        <v>13</v>
      </c>
      <c r="T33" s="15" t="s">
        <v>38</v>
      </c>
      <c r="V33" t="s">
        <v>37</v>
      </c>
      <c r="W33" s="5" t="s">
        <v>13</v>
      </c>
      <c r="X33" s="15" t="s">
        <v>38</v>
      </c>
      <c r="Z33" t="s">
        <v>37</v>
      </c>
      <c r="AA33" s="5" t="s">
        <v>13</v>
      </c>
      <c r="AB33" s="15" t="s">
        <v>38</v>
      </c>
      <c r="AD33" t="s">
        <v>37</v>
      </c>
      <c r="AE33" t="s">
        <v>13</v>
      </c>
      <c r="AF33" t="s">
        <v>38</v>
      </c>
    </row>
    <row r="34" spans="1:33" x14ac:dyDescent="0.25">
      <c r="A34">
        <v>1</v>
      </c>
      <c r="B34">
        <v>18710</v>
      </c>
      <c r="C34" s="5" t="e">
        <f>#REF!</f>
        <v>#REF!</v>
      </c>
      <c r="D34" s="6" t="e">
        <f>C34/B34</f>
        <v>#REF!</v>
      </c>
      <c r="F34">
        <v>6128</v>
      </c>
      <c r="G34" s="5" t="e">
        <f>#REF!</f>
        <v>#REF!</v>
      </c>
      <c r="H34" s="6" t="e">
        <f>G34/F34</f>
        <v>#REF!</v>
      </c>
      <c r="J34">
        <v>18005</v>
      </c>
      <c r="K34" s="5" t="e">
        <f>#REF!</f>
        <v>#REF!</v>
      </c>
      <c r="L34" s="6" t="e">
        <f>K34/J34</f>
        <v>#REF!</v>
      </c>
      <c r="N34">
        <v>3746</v>
      </c>
      <c r="O34" s="5" t="e">
        <f>#REF!</f>
        <v>#REF!</v>
      </c>
      <c r="P34" s="6" t="e">
        <f>O34/N34</f>
        <v>#REF!</v>
      </c>
      <c r="R34">
        <v>15327</v>
      </c>
      <c r="S34" s="5" t="e">
        <f>#REF!</f>
        <v>#REF!</v>
      </c>
      <c r="T34" s="6" t="e">
        <f t="shared" ref="T34:T39" si="1">S34/R34</f>
        <v>#REF!</v>
      </c>
      <c r="V34">
        <v>1115</v>
      </c>
      <c r="W34" s="12" t="e">
        <f>#REF!</f>
        <v>#REF!</v>
      </c>
      <c r="X34" s="6" t="e">
        <f>W34/V34</f>
        <v>#REF!</v>
      </c>
      <c r="Z34">
        <v>0</v>
      </c>
      <c r="AD34">
        <v>0</v>
      </c>
    </row>
    <row r="35" spans="1:33" x14ac:dyDescent="0.25">
      <c r="A35">
        <v>2</v>
      </c>
      <c r="B35">
        <v>32881</v>
      </c>
      <c r="C35" s="5" t="e">
        <f>#REF!</f>
        <v>#REF!</v>
      </c>
      <c r="D35" s="6" t="e">
        <f>C35/B35</f>
        <v>#REF!</v>
      </c>
      <c r="F35">
        <v>18154</v>
      </c>
      <c r="G35" s="5" t="e">
        <f>#REF!</f>
        <v>#REF!</v>
      </c>
      <c r="H35" s="6" t="e">
        <f>G35/F35</f>
        <v>#REF!</v>
      </c>
      <c r="J35">
        <v>20746</v>
      </c>
      <c r="K35" s="5" t="e">
        <f>#REF!</f>
        <v>#REF!</v>
      </c>
      <c r="L35" s="6" t="e">
        <f>K35/J35</f>
        <v>#REF!</v>
      </c>
      <c r="N35">
        <v>9048</v>
      </c>
      <c r="O35" s="5" t="e">
        <f>#REF!</f>
        <v>#REF!</v>
      </c>
      <c r="P35" s="6" t="e">
        <f>O35/N35</f>
        <v>#REF!</v>
      </c>
      <c r="R35">
        <v>32417</v>
      </c>
      <c r="S35" s="5" t="e">
        <f>#REF!</f>
        <v>#REF!</v>
      </c>
      <c r="T35" s="6" t="e">
        <f t="shared" si="1"/>
        <v>#REF!</v>
      </c>
      <c r="V35">
        <v>19631</v>
      </c>
      <c r="W35" s="12" t="e">
        <f>#REF!</f>
        <v>#REF!</v>
      </c>
      <c r="X35" s="6" t="e">
        <f>W35/V35</f>
        <v>#REF!</v>
      </c>
      <c r="Z35">
        <v>7192</v>
      </c>
      <c r="AA35" s="5" t="e">
        <f>#REF!</f>
        <v>#REF!</v>
      </c>
      <c r="AB35" s="6" t="e">
        <f>AA35/Z35</f>
        <v>#REF!</v>
      </c>
      <c r="AD35">
        <v>0</v>
      </c>
    </row>
    <row r="36" spans="1:33" x14ac:dyDescent="0.25">
      <c r="A36">
        <v>3</v>
      </c>
      <c r="B36">
        <v>3885</v>
      </c>
      <c r="C36" s="5" t="e">
        <f>#REF!</f>
        <v>#REF!</v>
      </c>
      <c r="D36" s="6" t="e">
        <f>C36/B36</f>
        <v>#REF!</v>
      </c>
      <c r="F36" s="9">
        <v>807</v>
      </c>
      <c r="G36" s="16" t="e">
        <f>#REF!</f>
        <v>#REF!</v>
      </c>
      <c r="H36" s="17" t="e">
        <f>G36/F36</f>
        <v>#REF!</v>
      </c>
      <c r="J36">
        <v>1309</v>
      </c>
      <c r="K36" s="5" t="e">
        <f>#REF!</f>
        <v>#REF!</v>
      </c>
      <c r="L36" s="6" t="e">
        <f>K36/J36</f>
        <v>#REF!</v>
      </c>
      <c r="N36">
        <v>512</v>
      </c>
      <c r="O36" s="5" t="e">
        <f>#REF!</f>
        <v>#REF!</v>
      </c>
      <c r="P36" s="6" t="e">
        <f>O36/N36</f>
        <v>#REF!</v>
      </c>
      <c r="R36" s="9">
        <v>4024</v>
      </c>
      <c r="S36" s="16" t="e">
        <f>#REF!</f>
        <v>#REF!</v>
      </c>
      <c r="T36" s="17" t="e">
        <f t="shared" si="1"/>
        <v>#REF!</v>
      </c>
      <c r="V36" s="9">
        <v>2425</v>
      </c>
      <c r="W36" s="16" t="e">
        <f>#REF!</f>
        <v>#REF!</v>
      </c>
      <c r="X36" s="17" t="e">
        <f>W36/V36</f>
        <v>#REF!</v>
      </c>
      <c r="Z36">
        <v>1600</v>
      </c>
      <c r="AA36" s="5" t="e">
        <f>#REF!</f>
        <v>#REF!</v>
      </c>
      <c r="AB36" s="6" t="e">
        <f>AA36/Z36</f>
        <v>#REF!</v>
      </c>
      <c r="AD36">
        <v>0</v>
      </c>
    </row>
    <row r="37" spans="1:33" ht="13" x14ac:dyDescent="0.3">
      <c r="A37">
        <v>4</v>
      </c>
      <c r="B37">
        <v>0</v>
      </c>
      <c r="F37">
        <v>0</v>
      </c>
      <c r="J37">
        <v>0</v>
      </c>
      <c r="N37">
        <v>0</v>
      </c>
      <c r="R37">
        <v>48</v>
      </c>
      <c r="S37" s="5" t="e">
        <f>#REF!</f>
        <v>#REF!</v>
      </c>
      <c r="T37" s="6" t="e">
        <f t="shared" si="1"/>
        <v>#REF!</v>
      </c>
      <c r="V37">
        <v>0</v>
      </c>
      <c r="Z37">
        <v>92</v>
      </c>
      <c r="AA37" s="5" t="e">
        <f>#REF!</f>
        <v>#REF!</v>
      </c>
      <c r="AB37" s="6" t="e">
        <f>AA37/Z37</f>
        <v>#REF!</v>
      </c>
      <c r="AD37">
        <v>0</v>
      </c>
      <c r="AG37" s="2" t="s">
        <v>16</v>
      </c>
    </row>
    <row r="38" spans="1:33" x14ac:dyDescent="0.25">
      <c r="A38">
        <v>5</v>
      </c>
      <c r="B38">
        <v>820</v>
      </c>
      <c r="C38" s="12">
        <v>0</v>
      </c>
      <c r="D38" s="6">
        <f>C38/B38</f>
        <v>0</v>
      </c>
      <c r="F38">
        <v>187</v>
      </c>
      <c r="G38" s="12">
        <v>0</v>
      </c>
      <c r="H38" s="6">
        <f>G38/F38</f>
        <v>0</v>
      </c>
      <c r="J38">
        <v>122</v>
      </c>
      <c r="K38" s="12">
        <v>0</v>
      </c>
      <c r="L38" s="6">
        <f>K38/J38</f>
        <v>0</v>
      </c>
      <c r="N38">
        <v>41</v>
      </c>
      <c r="O38" s="5" t="e">
        <f>#REF!</f>
        <v>#REF!</v>
      </c>
      <c r="P38" s="6" t="e">
        <f>O38/N38</f>
        <v>#REF!</v>
      </c>
      <c r="R38">
        <v>62</v>
      </c>
      <c r="S38" s="5" t="e">
        <f>#REF!</f>
        <v>#REF!</v>
      </c>
      <c r="T38" s="6" t="e">
        <f t="shared" si="1"/>
        <v>#REF!</v>
      </c>
      <c r="V38">
        <v>11</v>
      </c>
      <c r="W38" s="12" t="e">
        <f>#REF!</f>
        <v>#REF!</v>
      </c>
      <c r="X38" s="6" t="e">
        <f>W38/V38</f>
        <v>#REF!</v>
      </c>
      <c r="Z38">
        <v>16</v>
      </c>
      <c r="AA38" s="5" t="e">
        <f>#REF!</f>
        <v>#REF!</v>
      </c>
      <c r="AB38" s="6" t="e">
        <f>AA38/Z38</f>
        <v>#REF!</v>
      </c>
      <c r="AD38">
        <v>0</v>
      </c>
    </row>
    <row r="39" spans="1:33" ht="13" x14ac:dyDescent="0.3">
      <c r="A39" s="2" t="s">
        <v>1</v>
      </c>
      <c r="B39" s="2">
        <f>SUM(B34:B38)</f>
        <v>56296</v>
      </c>
      <c r="C39" s="2" t="e">
        <f>SUM(C34:C38)</f>
        <v>#REF!</v>
      </c>
      <c r="D39" s="22" t="e">
        <f>C39/B39</f>
        <v>#REF!</v>
      </c>
      <c r="F39" s="2">
        <f>SUM(F34:F38)</f>
        <v>25276</v>
      </c>
      <c r="G39" s="2" t="e">
        <f>SUM(G34:G38)</f>
        <v>#REF!</v>
      </c>
      <c r="H39" s="22" t="e">
        <f>G39/F39</f>
        <v>#REF!</v>
      </c>
      <c r="J39" s="2">
        <f>SUM(J34:J38)</f>
        <v>40182</v>
      </c>
      <c r="K39" s="2" t="e">
        <f>SUM(K34:K38)</f>
        <v>#REF!</v>
      </c>
      <c r="L39" s="22" t="e">
        <f>K39/J39</f>
        <v>#REF!</v>
      </c>
      <c r="N39" s="2">
        <f>SUM(N34:N38)</f>
        <v>13347</v>
      </c>
      <c r="O39" s="2" t="e">
        <f>SUM(O34:O38)</f>
        <v>#REF!</v>
      </c>
      <c r="P39" s="22" t="e">
        <f>O39/N39</f>
        <v>#REF!</v>
      </c>
      <c r="R39" s="2">
        <f>SUM(R34:R38)</f>
        <v>51878</v>
      </c>
      <c r="S39" s="2" t="e">
        <f>SUM(S34:S38)</f>
        <v>#REF!</v>
      </c>
      <c r="T39" s="22" t="e">
        <f t="shared" si="1"/>
        <v>#REF!</v>
      </c>
      <c r="V39" s="2">
        <f>SUM(V34:V38)</f>
        <v>23182</v>
      </c>
      <c r="W39" s="2" t="e">
        <f>SUM(W34:W38)</f>
        <v>#REF!</v>
      </c>
      <c r="X39" s="22" t="e">
        <f>W39/V39</f>
        <v>#REF!</v>
      </c>
      <c r="Z39" s="2">
        <f>SUM(Z34:Z38)</f>
        <v>8900</v>
      </c>
      <c r="AA39" s="2" t="e">
        <f>SUM(AA34:AA38)</f>
        <v>#REF!</v>
      </c>
      <c r="AB39" s="22" t="e">
        <f>AA39/Z39</f>
        <v>#REF!</v>
      </c>
      <c r="AG39" s="8"/>
    </row>
    <row r="41" spans="1:33" ht="13" x14ac:dyDescent="0.3">
      <c r="A41" s="2">
        <v>2002</v>
      </c>
    </row>
    <row r="42" spans="1:33" x14ac:dyDescent="0.25">
      <c r="C42" s="5" t="s">
        <v>0</v>
      </c>
      <c r="G42" s="5" t="s">
        <v>2</v>
      </c>
      <c r="K42" s="5" t="s">
        <v>3</v>
      </c>
      <c r="O42" s="5" t="s">
        <v>4</v>
      </c>
    </row>
    <row r="43" spans="1:33" x14ac:dyDescent="0.25">
      <c r="B43" t="s">
        <v>37</v>
      </c>
      <c r="C43" s="5" t="s">
        <v>13</v>
      </c>
      <c r="D43" s="15" t="s">
        <v>38</v>
      </c>
      <c r="F43" t="s">
        <v>37</v>
      </c>
      <c r="G43" s="5" t="s">
        <v>13</v>
      </c>
      <c r="H43" s="15" t="s">
        <v>38</v>
      </c>
      <c r="J43" t="s">
        <v>37</v>
      </c>
      <c r="K43" s="5" t="s">
        <v>13</v>
      </c>
      <c r="L43" s="15" t="s">
        <v>38</v>
      </c>
      <c r="N43" t="s">
        <v>37</v>
      </c>
      <c r="O43" s="5" t="s">
        <v>13</v>
      </c>
      <c r="P43" s="15" t="s">
        <v>38</v>
      </c>
    </row>
    <row r="44" spans="1:33" x14ac:dyDescent="0.25">
      <c r="A44">
        <v>1</v>
      </c>
      <c r="B44">
        <v>5</v>
      </c>
      <c r="C44" s="12">
        <v>0</v>
      </c>
      <c r="D44" s="6">
        <f>C44/B44</f>
        <v>0</v>
      </c>
      <c r="F44">
        <v>0</v>
      </c>
      <c r="J44">
        <v>0</v>
      </c>
      <c r="N44">
        <v>0</v>
      </c>
    </row>
    <row r="45" spans="1:33" x14ac:dyDescent="0.25">
      <c r="A45">
        <v>2</v>
      </c>
      <c r="B45">
        <v>2</v>
      </c>
      <c r="C45" s="12">
        <v>0</v>
      </c>
      <c r="D45" s="6">
        <f>C45/B45</f>
        <v>0</v>
      </c>
      <c r="F45">
        <v>2</v>
      </c>
      <c r="G45" s="12">
        <v>0</v>
      </c>
      <c r="H45" s="6">
        <f>G45/F45</f>
        <v>0</v>
      </c>
      <c r="J45">
        <v>0</v>
      </c>
      <c r="N45">
        <v>0</v>
      </c>
    </row>
    <row r="46" spans="1:33" x14ac:dyDescent="0.25">
      <c r="A46">
        <v>3</v>
      </c>
      <c r="B46">
        <v>0</v>
      </c>
      <c r="F46">
        <v>1</v>
      </c>
      <c r="G46" s="12">
        <v>0</v>
      </c>
      <c r="H46" s="6">
        <f>G46/F46</f>
        <v>0</v>
      </c>
      <c r="J46">
        <v>0</v>
      </c>
      <c r="N46">
        <v>0</v>
      </c>
    </row>
    <row r="47" spans="1:33" x14ac:dyDescent="0.25">
      <c r="A47">
        <v>4</v>
      </c>
      <c r="B47">
        <v>0</v>
      </c>
      <c r="F47">
        <v>0</v>
      </c>
      <c r="J47">
        <v>0</v>
      </c>
      <c r="N47">
        <v>8</v>
      </c>
      <c r="O47" s="12">
        <v>0</v>
      </c>
      <c r="P47" s="6">
        <f>O47/N47</f>
        <v>0</v>
      </c>
    </row>
    <row r="48" spans="1:33" x14ac:dyDescent="0.25">
      <c r="A48">
        <v>5</v>
      </c>
      <c r="B48">
        <v>0</v>
      </c>
      <c r="F48">
        <v>0</v>
      </c>
      <c r="J48">
        <v>18</v>
      </c>
      <c r="K48" s="12">
        <v>0</v>
      </c>
      <c r="L48" s="6">
        <f>K48/J48</f>
        <v>0</v>
      </c>
      <c r="N48">
        <v>26</v>
      </c>
      <c r="O48" s="12">
        <v>0</v>
      </c>
      <c r="P48" s="6">
        <f>O48/N48</f>
        <v>0</v>
      </c>
    </row>
    <row r="49" spans="1:34" ht="13" x14ac:dyDescent="0.3">
      <c r="A49" s="2" t="s">
        <v>1</v>
      </c>
      <c r="B49" s="2">
        <f>SUM(B44:B48)</f>
        <v>7</v>
      </c>
      <c r="C49" s="2">
        <f>SUM(C44:C48)</f>
        <v>0</v>
      </c>
      <c r="D49" s="22">
        <f>C49/B49</f>
        <v>0</v>
      </c>
      <c r="F49" s="2">
        <f>SUM(F44:F48)</f>
        <v>3</v>
      </c>
      <c r="G49" s="2">
        <f>SUM(G44:G48)</f>
        <v>0</v>
      </c>
      <c r="H49" s="22">
        <f>G49/F49</f>
        <v>0</v>
      </c>
      <c r="J49" s="2">
        <f>SUM(J44:J48)</f>
        <v>18</v>
      </c>
      <c r="K49" s="2">
        <f>SUM(K44:K48)</f>
        <v>0</v>
      </c>
      <c r="L49" s="22">
        <f>K49/J49</f>
        <v>0</v>
      </c>
      <c r="N49" s="2">
        <f>SUM(N44:N48)</f>
        <v>34</v>
      </c>
      <c r="O49" s="2">
        <f>SUM(O44:O48)</f>
        <v>0</v>
      </c>
      <c r="P49" s="22">
        <f>O49/N49</f>
        <v>0</v>
      </c>
    </row>
    <row r="51" spans="1:34" x14ac:dyDescent="0.25">
      <c r="C51" s="5" t="s">
        <v>12</v>
      </c>
      <c r="G51" s="5" t="s">
        <v>5</v>
      </c>
      <c r="K51" s="5" t="s">
        <v>6</v>
      </c>
      <c r="O51" s="5" t="s">
        <v>7</v>
      </c>
      <c r="S51" s="5" t="s">
        <v>8</v>
      </c>
      <c r="W51" s="5" t="s">
        <v>9</v>
      </c>
      <c r="AA51" s="5" t="s">
        <v>10</v>
      </c>
      <c r="AE51" t="s">
        <v>11</v>
      </c>
    </row>
    <row r="52" spans="1:34" x14ac:dyDescent="0.25">
      <c r="B52" t="s">
        <v>37</v>
      </c>
      <c r="C52" s="5" t="s">
        <v>13</v>
      </c>
      <c r="D52" s="15" t="s">
        <v>38</v>
      </c>
      <c r="F52" t="s">
        <v>37</v>
      </c>
      <c r="G52" s="5" t="s">
        <v>13</v>
      </c>
      <c r="H52" s="15" t="s">
        <v>38</v>
      </c>
      <c r="J52" t="s">
        <v>37</v>
      </c>
      <c r="K52" s="5" t="s">
        <v>13</v>
      </c>
      <c r="L52" s="15" t="s">
        <v>38</v>
      </c>
      <c r="N52" t="s">
        <v>37</v>
      </c>
      <c r="O52" s="5" t="s">
        <v>13</v>
      </c>
      <c r="P52" s="15" t="s">
        <v>38</v>
      </c>
      <c r="R52" t="s">
        <v>37</v>
      </c>
      <c r="S52" s="5" t="s">
        <v>13</v>
      </c>
      <c r="T52" s="15" t="s">
        <v>38</v>
      </c>
      <c r="V52" t="s">
        <v>37</v>
      </c>
      <c r="W52" s="5" t="s">
        <v>13</v>
      </c>
      <c r="X52" s="15" t="s">
        <v>38</v>
      </c>
      <c r="Z52" t="s">
        <v>37</v>
      </c>
      <c r="AA52" s="5" t="s">
        <v>13</v>
      </c>
      <c r="AB52" s="15" t="s">
        <v>38</v>
      </c>
      <c r="AD52" t="s">
        <v>37</v>
      </c>
      <c r="AE52" t="s">
        <v>13</v>
      </c>
      <c r="AF52" t="s">
        <v>38</v>
      </c>
    </row>
    <row r="53" spans="1:34" x14ac:dyDescent="0.25">
      <c r="A53">
        <v>1</v>
      </c>
      <c r="B53">
        <v>5596</v>
      </c>
      <c r="C53" s="5" t="e">
        <f>#REF!</f>
        <v>#REF!</v>
      </c>
      <c r="D53" s="6" t="e">
        <f t="shared" ref="D53:D58" si="2">C53/B53</f>
        <v>#REF!</v>
      </c>
      <c r="F53">
        <v>3037</v>
      </c>
      <c r="G53" s="5" t="e">
        <f>#REF!</f>
        <v>#REF!</v>
      </c>
      <c r="H53" s="6" t="e">
        <f t="shared" ref="H53:H58" si="3">G53/F53</f>
        <v>#REF!</v>
      </c>
      <c r="J53">
        <v>5996</v>
      </c>
      <c r="K53" s="5" t="e">
        <f>#REF!</f>
        <v>#REF!</v>
      </c>
      <c r="L53" s="6" t="e">
        <f t="shared" ref="L53:L58" si="4">K53/J53</f>
        <v>#REF!</v>
      </c>
      <c r="N53">
        <v>3385</v>
      </c>
      <c r="O53" s="5" t="e">
        <f>#REF!</f>
        <v>#REF!</v>
      </c>
      <c r="P53" s="6" t="e">
        <f t="shared" ref="P53:P58" si="5">O53/N53</f>
        <v>#REF!</v>
      </c>
      <c r="R53">
        <v>231</v>
      </c>
      <c r="S53" s="5" t="e">
        <f>#REF!</f>
        <v>#REF!</v>
      </c>
      <c r="T53" s="6" t="e">
        <f t="shared" ref="T53:T58" si="6">S53/R53</f>
        <v>#REF!</v>
      </c>
      <c r="V53">
        <v>356</v>
      </c>
      <c r="W53" s="5" t="e">
        <f>#REF!</f>
        <v>#REF!</v>
      </c>
      <c r="X53" s="6" t="e">
        <f t="shared" ref="X53:X58" si="7">W53/V53</f>
        <v>#REF!</v>
      </c>
      <c r="Z53">
        <v>0</v>
      </c>
      <c r="AA53" s="5" t="e">
        <f>#REF!</f>
        <v>#REF!</v>
      </c>
      <c r="AB53" s="6"/>
      <c r="AD53">
        <v>0</v>
      </c>
    </row>
    <row r="54" spans="1:34" x14ac:dyDescent="0.25">
      <c r="A54">
        <v>2</v>
      </c>
      <c r="B54">
        <v>14210</v>
      </c>
      <c r="C54" s="5" t="e">
        <f>#REF!</f>
        <v>#REF!</v>
      </c>
      <c r="D54" s="6" t="e">
        <f t="shared" si="2"/>
        <v>#REF!</v>
      </c>
      <c r="F54">
        <v>6872</v>
      </c>
      <c r="G54" s="5" t="e">
        <f>#REF!</f>
        <v>#REF!</v>
      </c>
      <c r="H54" s="6" t="e">
        <f t="shared" si="3"/>
        <v>#REF!</v>
      </c>
      <c r="J54">
        <v>14236</v>
      </c>
      <c r="K54" s="5" t="e">
        <f>#REF!</f>
        <v>#REF!</v>
      </c>
      <c r="L54" s="6" t="e">
        <f t="shared" si="4"/>
        <v>#REF!</v>
      </c>
      <c r="N54">
        <v>9783</v>
      </c>
      <c r="O54" s="5" t="e">
        <f>#REF!</f>
        <v>#REF!</v>
      </c>
      <c r="P54" s="6" t="e">
        <f t="shared" si="5"/>
        <v>#REF!</v>
      </c>
      <c r="R54">
        <v>9364</v>
      </c>
      <c r="S54" s="5" t="e">
        <f>#REF!</f>
        <v>#REF!</v>
      </c>
      <c r="T54" s="6" t="e">
        <f t="shared" si="6"/>
        <v>#REF!</v>
      </c>
      <c r="V54">
        <v>7363</v>
      </c>
      <c r="W54" s="5" t="e">
        <f>#REF!</f>
        <v>#REF!</v>
      </c>
      <c r="X54" s="6" t="e">
        <f t="shared" si="7"/>
        <v>#REF!</v>
      </c>
      <c r="Z54">
        <v>747</v>
      </c>
      <c r="AA54" s="5" t="e">
        <f>#REF!</f>
        <v>#REF!</v>
      </c>
      <c r="AB54" s="6" t="e">
        <f>AA54/Z54</f>
        <v>#REF!</v>
      </c>
      <c r="AD54">
        <v>0</v>
      </c>
    </row>
    <row r="55" spans="1:34" x14ac:dyDescent="0.25">
      <c r="A55">
        <v>3</v>
      </c>
      <c r="B55" s="9">
        <v>2472</v>
      </c>
      <c r="C55" s="16" t="e">
        <f>#REF!</f>
        <v>#REF!</v>
      </c>
      <c r="D55" s="17" t="e">
        <f t="shared" si="2"/>
        <v>#REF!</v>
      </c>
      <c r="F55">
        <v>1162</v>
      </c>
      <c r="G55" s="5" t="e">
        <f>#REF!</f>
        <v>#REF!</v>
      </c>
      <c r="H55" s="6" t="e">
        <f t="shared" si="3"/>
        <v>#REF!</v>
      </c>
      <c r="J55" s="9">
        <v>3641</v>
      </c>
      <c r="K55" s="16" t="e">
        <f>#REF!</f>
        <v>#REF!</v>
      </c>
      <c r="L55" s="17" t="e">
        <f t="shared" si="4"/>
        <v>#REF!</v>
      </c>
      <c r="N55" s="9">
        <v>2232</v>
      </c>
      <c r="O55" s="16" t="e">
        <f>#REF!</f>
        <v>#REF!</v>
      </c>
      <c r="P55" s="17" t="e">
        <f t="shared" si="5"/>
        <v>#REF!</v>
      </c>
      <c r="R55">
        <v>1527</v>
      </c>
      <c r="S55" s="5" t="e">
        <f>#REF!</f>
        <v>#REF!</v>
      </c>
      <c r="T55" s="6" t="e">
        <f t="shared" si="6"/>
        <v>#REF!</v>
      </c>
      <c r="V55">
        <v>1389</v>
      </c>
      <c r="W55" s="5" t="e">
        <f>#REF!</f>
        <v>#REF!</v>
      </c>
      <c r="X55" s="6" t="e">
        <f t="shared" si="7"/>
        <v>#REF!</v>
      </c>
      <c r="Z55">
        <v>99</v>
      </c>
      <c r="AA55" s="5" t="e">
        <f>#REF!</f>
        <v>#REF!</v>
      </c>
      <c r="AB55" s="6" t="e">
        <f>AA55/Z55</f>
        <v>#REF!</v>
      </c>
      <c r="AD55">
        <v>0</v>
      </c>
    </row>
    <row r="56" spans="1:34" ht="13" x14ac:dyDescent="0.3">
      <c r="A56">
        <v>4</v>
      </c>
      <c r="B56">
        <v>137</v>
      </c>
      <c r="C56" s="5" t="e">
        <f>#REF!</f>
        <v>#REF!</v>
      </c>
      <c r="D56" s="6" t="e">
        <f t="shared" si="2"/>
        <v>#REF!</v>
      </c>
      <c r="F56">
        <v>62</v>
      </c>
      <c r="G56" s="12">
        <v>0</v>
      </c>
      <c r="H56" s="6">
        <f t="shared" si="3"/>
        <v>0</v>
      </c>
      <c r="J56">
        <v>46</v>
      </c>
      <c r="K56" s="12">
        <v>0</v>
      </c>
      <c r="L56" s="6">
        <f t="shared" si="4"/>
        <v>0</v>
      </c>
      <c r="N56">
        <v>4</v>
      </c>
      <c r="O56" s="5" t="e">
        <f>#REF!</f>
        <v>#REF!</v>
      </c>
      <c r="P56" s="6" t="e">
        <f t="shared" si="5"/>
        <v>#REF!</v>
      </c>
      <c r="R56">
        <v>24</v>
      </c>
      <c r="S56" s="5" t="e">
        <f>#REF!</f>
        <v>#REF!</v>
      </c>
      <c r="T56" s="6" t="e">
        <f t="shared" si="6"/>
        <v>#REF!</v>
      </c>
      <c r="V56">
        <v>1</v>
      </c>
      <c r="W56" s="5" t="e">
        <f>#REF!</f>
        <v>#REF!</v>
      </c>
      <c r="X56" s="6" t="e">
        <f t="shared" si="7"/>
        <v>#REF!</v>
      </c>
      <c r="Z56">
        <v>0</v>
      </c>
      <c r="AA56" s="16"/>
      <c r="AD56">
        <v>0</v>
      </c>
      <c r="AH56" s="2" t="s">
        <v>17</v>
      </c>
    </row>
    <row r="57" spans="1:34" x14ac:dyDescent="0.25">
      <c r="A57">
        <v>5</v>
      </c>
      <c r="B57">
        <v>120</v>
      </c>
      <c r="C57" s="5" t="e">
        <f>#REF!</f>
        <v>#REF!</v>
      </c>
      <c r="D57" s="6" t="e">
        <f t="shared" si="2"/>
        <v>#REF!</v>
      </c>
      <c r="F57">
        <v>297</v>
      </c>
      <c r="G57" s="5" t="e">
        <f>#REF!</f>
        <v>#REF!</v>
      </c>
      <c r="H57" s="6" t="e">
        <f t="shared" si="3"/>
        <v>#REF!</v>
      </c>
      <c r="J57">
        <v>163</v>
      </c>
      <c r="K57" s="5" t="e">
        <f>#REF!</f>
        <v>#REF!</v>
      </c>
      <c r="L57" s="6" t="e">
        <f t="shared" si="4"/>
        <v>#REF!</v>
      </c>
      <c r="N57">
        <v>118</v>
      </c>
      <c r="O57" s="5" t="e">
        <f>#REF!</f>
        <v>#REF!</v>
      </c>
      <c r="P57" s="6" t="e">
        <f t="shared" si="5"/>
        <v>#REF!</v>
      </c>
      <c r="R57">
        <v>126</v>
      </c>
      <c r="S57" s="5" t="e">
        <f>#REF!</f>
        <v>#REF!</v>
      </c>
      <c r="T57" s="6" t="e">
        <f t="shared" si="6"/>
        <v>#REF!</v>
      </c>
      <c r="V57">
        <v>10</v>
      </c>
      <c r="W57" s="5" t="e">
        <f>#REF!</f>
        <v>#REF!</v>
      </c>
      <c r="X57" s="6" t="e">
        <f t="shared" si="7"/>
        <v>#REF!</v>
      </c>
      <c r="Z57">
        <v>8</v>
      </c>
      <c r="AA57" s="5" t="e">
        <f>#REF!</f>
        <v>#REF!</v>
      </c>
      <c r="AB57" s="6" t="e">
        <f>AA57/Z57</f>
        <v>#REF!</v>
      </c>
      <c r="AD57">
        <v>0</v>
      </c>
    </row>
    <row r="58" spans="1:34" ht="13" x14ac:dyDescent="0.3">
      <c r="A58" s="2" t="s">
        <v>1</v>
      </c>
      <c r="B58" s="2">
        <f>SUM(B53:B57)</f>
        <v>22535</v>
      </c>
      <c r="C58" s="2" t="e">
        <f>SUM(C53:C57)</f>
        <v>#REF!</v>
      </c>
      <c r="D58" s="22" t="e">
        <f t="shared" si="2"/>
        <v>#REF!</v>
      </c>
      <c r="F58" s="2">
        <f>SUM(F53:F57)</f>
        <v>11430</v>
      </c>
      <c r="G58" s="2" t="e">
        <f>SUM(G53:G57)</f>
        <v>#REF!</v>
      </c>
      <c r="H58" s="22" t="e">
        <f t="shared" si="3"/>
        <v>#REF!</v>
      </c>
      <c r="J58" s="2">
        <f>SUM(J53:J57)</f>
        <v>24082</v>
      </c>
      <c r="K58" s="2" t="e">
        <f>SUM(K53:K57)</f>
        <v>#REF!</v>
      </c>
      <c r="L58" s="22" t="e">
        <f t="shared" si="4"/>
        <v>#REF!</v>
      </c>
      <c r="N58" s="2">
        <f>SUM(N53:N57)</f>
        <v>15522</v>
      </c>
      <c r="O58" s="2" t="e">
        <f>SUM(O53:O57)</f>
        <v>#REF!</v>
      </c>
      <c r="P58" s="22" t="e">
        <f t="shared" si="5"/>
        <v>#REF!</v>
      </c>
      <c r="R58" s="2">
        <f>SUM(R53:R57)</f>
        <v>11272</v>
      </c>
      <c r="S58" s="2" t="e">
        <f>SUM(S53:S57)</f>
        <v>#REF!</v>
      </c>
      <c r="T58" s="22" t="e">
        <f t="shared" si="6"/>
        <v>#REF!</v>
      </c>
      <c r="V58" s="2">
        <f>SUM(V53:V57)</f>
        <v>9119</v>
      </c>
      <c r="W58" s="2" t="e">
        <f>SUM(W53:W57)</f>
        <v>#REF!</v>
      </c>
      <c r="X58" s="22" t="e">
        <f t="shared" si="7"/>
        <v>#REF!</v>
      </c>
      <c r="Z58" s="2">
        <f>SUM(Z53:Z57)</f>
        <v>854</v>
      </c>
      <c r="AA58" s="2" t="e">
        <f>SUM(AA53:AA57)</f>
        <v>#REF!</v>
      </c>
      <c r="AB58" s="22" t="e">
        <f>AA58/Z58</f>
        <v>#REF!</v>
      </c>
      <c r="AH58" s="8"/>
    </row>
    <row r="60" spans="1:34" ht="13" x14ac:dyDescent="0.3">
      <c r="A60" s="2">
        <v>2003</v>
      </c>
    </row>
    <row r="61" spans="1:34" x14ac:dyDescent="0.25">
      <c r="C61" s="5" t="s">
        <v>0</v>
      </c>
      <c r="G61" s="5" t="s">
        <v>2</v>
      </c>
      <c r="K61" s="5" t="s">
        <v>3</v>
      </c>
      <c r="O61" s="5" t="s">
        <v>4</v>
      </c>
    </row>
    <row r="62" spans="1:34" x14ac:dyDescent="0.25">
      <c r="B62" t="s">
        <v>37</v>
      </c>
      <c r="C62" s="5" t="s">
        <v>13</v>
      </c>
      <c r="D62" s="15" t="s">
        <v>38</v>
      </c>
      <c r="F62" t="s">
        <v>37</v>
      </c>
      <c r="G62" s="5" t="s">
        <v>13</v>
      </c>
      <c r="H62" s="15" t="s">
        <v>38</v>
      </c>
      <c r="J62" t="s">
        <v>37</v>
      </c>
      <c r="K62" s="5" t="s">
        <v>13</v>
      </c>
      <c r="L62" s="15" t="s">
        <v>38</v>
      </c>
      <c r="N62" t="s">
        <v>37</v>
      </c>
      <c r="O62" s="5" t="s">
        <v>13</v>
      </c>
      <c r="P62" s="15" t="s">
        <v>38</v>
      </c>
    </row>
    <row r="63" spans="1:34" x14ac:dyDescent="0.25">
      <c r="A63">
        <v>1</v>
      </c>
      <c r="B63">
        <v>10</v>
      </c>
      <c r="C63" s="12">
        <v>0</v>
      </c>
      <c r="D63" s="6">
        <f>C63/B63</f>
        <v>0</v>
      </c>
      <c r="F63">
        <v>132</v>
      </c>
      <c r="G63" s="12">
        <v>0</v>
      </c>
      <c r="H63" s="6">
        <f>G63/F63</f>
        <v>0</v>
      </c>
      <c r="J63">
        <v>0</v>
      </c>
      <c r="N63">
        <v>0</v>
      </c>
    </row>
    <row r="64" spans="1:34" x14ac:dyDescent="0.25">
      <c r="A64">
        <v>2</v>
      </c>
      <c r="B64">
        <v>0</v>
      </c>
      <c r="F64">
        <v>17</v>
      </c>
      <c r="G64" s="12">
        <v>0</v>
      </c>
      <c r="H64" s="6">
        <f>G64/F64</f>
        <v>0</v>
      </c>
      <c r="J64">
        <v>0</v>
      </c>
      <c r="N64">
        <v>0</v>
      </c>
    </row>
    <row r="65" spans="1:33" x14ac:dyDescent="0.25">
      <c r="A65">
        <v>3</v>
      </c>
      <c r="B65">
        <v>0</v>
      </c>
      <c r="F65">
        <v>3</v>
      </c>
      <c r="G65" s="12">
        <v>0</v>
      </c>
      <c r="H65" s="6">
        <f>G65/F65</f>
        <v>0</v>
      </c>
      <c r="J65">
        <v>0</v>
      </c>
      <c r="N65">
        <v>0</v>
      </c>
    </row>
    <row r="66" spans="1:33" x14ac:dyDescent="0.25">
      <c r="A66">
        <v>4</v>
      </c>
      <c r="B66">
        <v>0</v>
      </c>
      <c r="F66">
        <v>0</v>
      </c>
      <c r="J66">
        <v>0</v>
      </c>
      <c r="N66">
        <v>81</v>
      </c>
      <c r="O66" s="12">
        <v>0</v>
      </c>
      <c r="P66" s="6">
        <f>O66/N66</f>
        <v>0</v>
      </c>
    </row>
    <row r="67" spans="1:33" x14ac:dyDescent="0.25">
      <c r="A67">
        <v>5</v>
      </c>
      <c r="B67">
        <v>0</v>
      </c>
      <c r="F67">
        <v>0</v>
      </c>
      <c r="J67">
        <v>1</v>
      </c>
      <c r="K67" s="12">
        <v>0</v>
      </c>
      <c r="L67" s="6">
        <f>K67/J67</f>
        <v>0</v>
      </c>
      <c r="N67">
        <v>71</v>
      </c>
      <c r="O67" s="12">
        <v>0</v>
      </c>
      <c r="P67" s="6">
        <f>O67/N67</f>
        <v>0</v>
      </c>
    </row>
    <row r="68" spans="1:33" ht="13" x14ac:dyDescent="0.3">
      <c r="A68" s="2" t="s">
        <v>1</v>
      </c>
      <c r="B68" s="2">
        <f>SUM(B63:B67)</f>
        <v>10</v>
      </c>
      <c r="C68" s="2">
        <f>SUM(C63:C67)</f>
        <v>0</v>
      </c>
      <c r="D68" s="22">
        <f>C68/B68</f>
        <v>0</v>
      </c>
      <c r="F68" s="2">
        <f>SUM(F63:F67)</f>
        <v>152</v>
      </c>
      <c r="G68" s="2">
        <f>SUM(G63:G67)</f>
        <v>0</v>
      </c>
      <c r="H68" s="22">
        <f>G68/F68</f>
        <v>0</v>
      </c>
      <c r="J68" s="2">
        <f>SUM(J63:J67)</f>
        <v>1</v>
      </c>
      <c r="K68" s="2">
        <f>SUM(K63:K67)</f>
        <v>0</v>
      </c>
      <c r="L68" s="22">
        <f>K68/J68</f>
        <v>0</v>
      </c>
      <c r="N68" s="2">
        <f>SUM(N63:N67)</f>
        <v>152</v>
      </c>
      <c r="O68" s="2">
        <f>SUM(O63:O67)</f>
        <v>0</v>
      </c>
      <c r="P68" s="22">
        <f>O68/N68</f>
        <v>0</v>
      </c>
    </row>
    <row r="70" spans="1:33" x14ac:dyDescent="0.25">
      <c r="C70" s="5" t="s">
        <v>12</v>
      </c>
      <c r="G70" s="5" t="s">
        <v>5</v>
      </c>
      <c r="K70" s="5" t="s">
        <v>6</v>
      </c>
      <c r="O70" s="5" t="s">
        <v>7</v>
      </c>
      <c r="S70" s="5" t="s">
        <v>8</v>
      </c>
      <c r="W70" s="5" t="s">
        <v>9</v>
      </c>
      <c r="AA70" s="5" t="s">
        <v>10</v>
      </c>
      <c r="AE70" t="s">
        <v>11</v>
      </c>
    </row>
    <row r="71" spans="1:33" x14ac:dyDescent="0.25">
      <c r="B71" t="s">
        <v>37</v>
      </c>
      <c r="C71" s="5" t="s">
        <v>13</v>
      </c>
      <c r="D71" s="15" t="s">
        <v>38</v>
      </c>
      <c r="F71" t="s">
        <v>37</v>
      </c>
      <c r="G71" s="5" t="s">
        <v>13</v>
      </c>
      <c r="H71" s="15" t="s">
        <v>38</v>
      </c>
      <c r="J71" t="s">
        <v>37</v>
      </c>
      <c r="K71" s="5" t="s">
        <v>13</v>
      </c>
      <c r="L71" s="15" t="s">
        <v>38</v>
      </c>
      <c r="N71" t="s">
        <v>37</v>
      </c>
      <c r="O71" s="5" t="s">
        <v>13</v>
      </c>
      <c r="P71" s="15" t="s">
        <v>38</v>
      </c>
      <c r="R71" t="s">
        <v>37</v>
      </c>
      <c r="S71" s="5" t="s">
        <v>13</v>
      </c>
      <c r="T71" s="15" t="s">
        <v>38</v>
      </c>
      <c r="V71" t="s">
        <v>37</v>
      </c>
      <c r="W71" s="5" t="s">
        <v>13</v>
      </c>
      <c r="X71" s="15" t="s">
        <v>38</v>
      </c>
      <c r="Z71" t="s">
        <v>37</v>
      </c>
      <c r="AA71" s="5" t="s">
        <v>13</v>
      </c>
      <c r="AB71" s="15" t="s">
        <v>38</v>
      </c>
      <c r="AD71" t="s">
        <v>37</v>
      </c>
      <c r="AE71" t="s">
        <v>13</v>
      </c>
      <c r="AF71" t="s">
        <v>38</v>
      </c>
    </row>
    <row r="72" spans="1:33" x14ac:dyDescent="0.25">
      <c r="A72">
        <v>1</v>
      </c>
      <c r="B72">
        <v>7745</v>
      </c>
      <c r="C72" s="5" t="e">
        <f>#REF!</f>
        <v>#REF!</v>
      </c>
      <c r="D72" s="6" t="e">
        <f t="shared" ref="D72:D77" si="8">C72/B72</f>
        <v>#REF!</v>
      </c>
      <c r="F72">
        <v>12279</v>
      </c>
      <c r="G72" s="5" t="e">
        <f>#REF!</f>
        <v>#REF!</v>
      </c>
      <c r="H72" s="6" t="e">
        <f t="shared" ref="H72:H77" si="9">G72/F72</f>
        <v>#REF!</v>
      </c>
      <c r="J72">
        <v>10290</v>
      </c>
      <c r="K72" s="5" t="e">
        <f>#REF!</f>
        <v>#REF!</v>
      </c>
      <c r="L72" s="6" t="e">
        <f t="shared" ref="L72:L77" si="10">K72/J72</f>
        <v>#REF!</v>
      </c>
      <c r="N72">
        <v>4022</v>
      </c>
      <c r="O72" s="5" t="e">
        <f>#REF!</f>
        <v>#REF!</v>
      </c>
      <c r="P72" s="6" t="e">
        <f>O72/N72</f>
        <v>#REF!</v>
      </c>
      <c r="R72">
        <v>1134</v>
      </c>
      <c r="S72" s="5" t="e">
        <f>#REF!</f>
        <v>#REF!</v>
      </c>
      <c r="T72" s="6" t="e">
        <f>S72/R72</f>
        <v>#REF!</v>
      </c>
      <c r="V72">
        <v>186</v>
      </c>
      <c r="W72" s="12" t="e">
        <f>#REF!</f>
        <v>#REF!</v>
      </c>
      <c r="X72" s="6" t="e">
        <f>W72/V72</f>
        <v>#REF!</v>
      </c>
      <c r="Z72">
        <v>21</v>
      </c>
      <c r="AA72" s="12" t="e">
        <f>#REF!</f>
        <v>#REF!</v>
      </c>
      <c r="AB72" s="6" t="e">
        <f t="shared" ref="AB72:AB77" si="11">AA72/Z72</f>
        <v>#REF!</v>
      </c>
      <c r="AD72">
        <v>0</v>
      </c>
    </row>
    <row r="73" spans="1:33" x14ac:dyDescent="0.25">
      <c r="A73">
        <v>2</v>
      </c>
      <c r="B73">
        <v>16082</v>
      </c>
      <c r="C73" s="5" t="e">
        <f>#REF!</f>
        <v>#REF!</v>
      </c>
      <c r="D73" s="6" t="e">
        <f t="shared" si="8"/>
        <v>#REF!</v>
      </c>
      <c r="F73">
        <v>21553</v>
      </c>
      <c r="G73" s="5" t="e">
        <f>#REF!</f>
        <v>#REF!</v>
      </c>
      <c r="H73" s="6" t="e">
        <f t="shared" si="9"/>
        <v>#REF!</v>
      </c>
      <c r="J73">
        <v>12075</v>
      </c>
      <c r="K73" s="5" t="e">
        <f>#REF!</f>
        <v>#REF!</v>
      </c>
      <c r="L73" s="6" t="e">
        <f t="shared" si="10"/>
        <v>#REF!</v>
      </c>
      <c r="N73">
        <v>19763</v>
      </c>
      <c r="O73" s="5" t="e">
        <f>#REF!</f>
        <v>#REF!</v>
      </c>
      <c r="P73" s="6" t="e">
        <f>O73/N73</f>
        <v>#REF!</v>
      </c>
      <c r="R73">
        <v>14439</v>
      </c>
      <c r="S73" s="5" t="e">
        <f>#REF!</f>
        <v>#REF!</v>
      </c>
      <c r="T73" s="6" t="e">
        <f>S73/R73</f>
        <v>#REF!</v>
      </c>
      <c r="V73">
        <v>4176</v>
      </c>
      <c r="W73" s="12" t="e">
        <f>#REF!</f>
        <v>#REF!</v>
      </c>
      <c r="X73" s="6" t="e">
        <f>W73/V73</f>
        <v>#REF!</v>
      </c>
      <c r="Z73">
        <v>598</v>
      </c>
      <c r="AA73" s="12" t="e">
        <f>#REF!</f>
        <v>#REF!</v>
      </c>
      <c r="AB73" s="6" t="e">
        <f t="shared" si="11"/>
        <v>#REF!</v>
      </c>
      <c r="AD73">
        <v>0</v>
      </c>
    </row>
    <row r="74" spans="1:33" x14ac:dyDescent="0.25">
      <c r="A74">
        <v>3</v>
      </c>
      <c r="B74">
        <v>2209</v>
      </c>
      <c r="C74" s="5" t="e">
        <f>#REF!</f>
        <v>#REF!</v>
      </c>
      <c r="D74" s="6" t="e">
        <f t="shared" si="8"/>
        <v>#REF!</v>
      </c>
      <c r="F74">
        <v>1937</v>
      </c>
      <c r="G74" s="5" t="e">
        <f>#REF!</f>
        <v>#REF!</v>
      </c>
      <c r="H74" s="6" t="e">
        <f t="shared" si="9"/>
        <v>#REF!</v>
      </c>
      <c r="J74">
        <v>2379</v>
      </c>
      <c r="K74" s="5" t="e">
        <f>#REF!</f>
        <v>#REF!</v>
      </c>
      <c r="L74" s="6" t="e">
        <f t="shared" si="10"/>
        <v>#REF!</v>
      </c>
      <c r="N74">
        <v>4480</v>
      </c>
      <c r="O74" s="5" t="e">
        <f>#REF!</f>
        <v>#REF!</v>
      </c>
      <c r="P74" s="6" t="e">
        <f>O74/N74</f>
        <v>#REF!</v>
      </c>
      <c r="R74">
        <v>5977</v>
      </c>
      <c r="S74" s="5" t="e">
        <f>#REF!</f>
        <v>#REF!</v>
      </c>
      <c r="T74" s="6" t="e">
        <f>S74/R74</f>
        <v>#REF!</v>
      </c>
      <c r="V74">
        <v>1053</v>
      </c>
      <c r="W74" s="12" t="e">
        <f>#REF!</f>
        <v>#REF!</v>
      </c>
      <c r="X74" s="6" t="e">
        <f>W74/V74</f>
        <v>#REF!</v>
      </c>
      <c r="Z74">
        <v>303</v>
      </c>
      <c r="AA74" s="12" t="e">
        <f>#REF!</f>
        <v>#REF!</v>
      </c>
      <c r="AB74" s="6" t="e">
        <f t="shared" si="11"/>
        <v>#REF!</v>
      </c>
      <c r="AD74">
        <v>0</v>
      </c>
    </row>
    <row r="75" spans="1:33" ht="13" x14ac:dyDescent="0.3">
      <c r="A75">
        <v>4</v>
      </c>
      <c r="B75">
        <v>74</v>
      </c>
      <c r="C75" s="5" t="e">
        <f>#REF!</f>
        <v>#REF!</v>
      </c>
      <c r="D75" s="6" t="e">
        <f t="shared" si="8"/>
        <v>#REF!</v>
      </c>
      <c r="F75">
        <v>67</v>
      </c>
      <c r="G75" s="5" t="e">
        <f>#REF!</f>
        <v>#REF!</v>
      </c>
      <c r="H75" s="6" t="e">
        <f t="shared" si="9"/>
        <v>#REF!</v>
      </c>
      <c r="J75">
        <v>6</v>
      </c>
      <c r="K75" s="5" t="e">
        <f>#REF!</f>
        <v>#REF!</v>
      </c>
      <c r="L75" s="6" t="e">
        <f t="shared" si="10"/>
        <v>#REF!</v>
      </c>
      <c r="N75">
        <v>0</v>
      </c>
      <c r="O75" s="5" t="e">
        <f>#REF!</f>
        <v>#REF!</v>
      </c>
      <c r="R75">
        <v>0</v>
      </c>
      <c r="T75" s="18"/>
      <c r="V75">
        <v>0</v>
      </c>
      <c r="X75" s="6"/>
      <c r="Z75">
        <v>47</v>
      </c>
      <c r="AA75" s="12" t="e">
        <f>#REF!</f>
        <v>#REF!</v>
      </c>
      <c r="AB75" s="6" t="e">
        <f t="shared" si="11"/>
        <v>#REF!</v>
      </c>
      <c r="AD75">
        <v>0</v>
      </c>
      <c r="AG75" s="2" t="s">
        <v>18</v>
      </c>
    </row>
    <row r="76" spans="1:33" x14ac:dyDescent="0.25">
      <c r="A76">
        <v>5</v>
      </c>
      <c r="B76">
        <v>263</v>
      </c>
      <c r="C76" s="5" t="e">
        <f>#REF!</f>
        <v>#REF!</v>
      </c>
      <c r="D76" s="6" t="e">
        <f t="shared" si="8"/>
        <v>#REF!</v>
      </c>
      <c r="F76">
        <v>51</v>
      </c>
      <c r="G76" s="5" t="e">
        <f>#REF!</f>
        <v>#REF!</v>
      </c>
      <c r="H76" s="6" t="e">
        <f t="shared" si="9"/>
        <v>#REF!</v>
      </c>
      <c r="J76">
        <v>43</v>
      </c>
      <c r="K76" s="5" t="e">
        <f>#REF!</f>
        <v>#REF!</v>
      </c>
      <c r="L76" s="6" t="e">
        <f t="shared" si="10"/>
        <v>#REF!</v>
      </c>
      <c r="N76">
        <v>172</v>
      </c>
      <c r="O76" s="5" t="e">
        <f>#REF!</f>
        <v>#REF!</v>
      </c>
      <c r="P76" s="6" t="e">
        <f>O76/N76</f>
        <v>#REF!</v>
      </c>
      <c r="R76">
        <v>35</v>
      </c>
      <c r="S76" s="5" t="e">
        <f>#REF!</f>
        <v>#REF!</v>
      </c>
      <c r="T76" s="6" t="e">
        <f>S76/R76</f>
        <v>#REF!</v>
      </c>
      <c r="V76">
        <v>16</v>
      </c>
      <c r="W76" s="12" t="e">
        <f>#REF!</f>
        <v>#REF!</v>
      </c>
      <c r="X76" s="6" t="e">
        <f>W76/V76</f>
        <v>#REF!</v>
      </c>
      <c r="Z76">
        <v>1</v>
      </c>
      <c r="AA76" s="12" t="e">
        <f>#REF!</f>
        <v>#REF!</v>
      </c>
      <c r="AB76" s="6" t="e">
        <f t="shared" si="11"/>
        <v>#REF!</v>
      </c>
      <c r="AD76">
        <v>0</v>
      </c>
    </row>
    <row r="77" spans="1:33" s="2" customFormat="1" ht="13" x14ac:dyDescent="0.3">
      <c r="A77" s="2" t="s">
        <v>1</v>
      </c>
      <c r="B77" s="2">
        <f>SUM(B72:B76)</f>
        <v>26373</v>
      </c>
      <c r="C77" s="2" t="e">
        <f>SUM(C72:C76)</f>
        <v>#REF!</v>
      </c>
      <c r="D77" s="22" t="e">
        <f t="shared" si="8"/>
        <v>#REF!</v>
      </c>
      <c r="F77" s="2">
        <f>SUM(F72:F76)</f>
        <v>35887</v>
      </c>
      <c r="G77" s="2" t="e">
        <f>SUM(G72:G76)</f>
        <v>#REF!</v>
      </c>
      <c r="H77" s="22" t="e">
        <f t="shared" si="9"/>
        <v>#REF!</v>
      </c>
      <c r="J77" s="2">
        <f>SUM(J72:J76)</f>
        <v>24793</v>
      </c>
      <c r="K77" s="2" t="e">
        <f>SUM(K72:K76)</f>
        <v>#REF!</v>
      </c>
      <c r="L77" s="22" t="e">
        <f t="shared" si="10"/>
        <v>#REF!</v>
      </c>
      <c r="N77" s="2">
        <f>SUM(N72:N76)</f>
        <v>28437</v>
      </c>
      <c r="O77" s="2" t="e">
        <f>SUM(O72:O76)</f>
        <v>#REF!</v>
      </c>
      <c r="P77" s="22" t="e">
        <f>O77/N77</f>
        <v>#REF!</v>
      </c>
      <c r="R77" s="2">
        <f>SUM(R72:R76)</f>
        <v>21585</v>
      </c>
      <c r="S77" s="2" t="e">
        <f>SUM(S72:S76)</f>
        <v>#REF!</v>
      </c>
      <c r="T77" s="22" t="e">
        <f>S77/R77</f>
        <v>#REF!</v>
      </c>
      <c r="V77" s="2">
        <f>SUM(V72:V76)</f>
        <v>5431</v>
      </c>
      <c r="W77" s="2" t="e">
        <f>SUM(W72:W76)</f>
        <v>#REF!</v>
      </c>
      <c r="X77" s="22" t="e">
        <f>W77/V77</f>
        <v>#REF!</v>
      </c>
      <c r="Z77" s="2">
        <f>SUM(Z72:Z76)</f>
        <v>970</v>
      </c>
      <c r="AA77" s="2" t="e">
        <f>SUM(AA72:AA76)</f>
        <v>#REF!</v>
      </c>
      <c r="AB77" s="22" t="e">
        <f t="shared" si="11"/>
        <v>#REF!</v>
      </c>
      <c r="AG77" s="8"/>
    </row>
    <row r="79" spans="1:33" ht="13" x14ac:dyDescent="0.3">
      <c r="A79" s="2">
        <v>2004</v>
      </c>
    </row>
    <row r="80" spans="1:33" x14ac:dyDescent="0.25">
      <c r="C80" s="5" t="s">
        <v>0</v>
      </c>
      <c r="G80" s="5" t="s">
        <v>2</v>
      </c>
      <c r="K80" s="5" t="s">
        <v>3</v>
      </c>
      <c r="O80" s="5" t="s">
        <v>4</v>
      </c>
    </row>
    <row r="81" spans="1:33" x14ac:dyDescent="0.25">
      <c r="B81" t="s">
        <v>37</v>
      </c>
      <c r="C81" s="5" t="s">
        <v>13</v>
      </c>
      <c r="D81" s="15" t="s">
        <v>38</v>
      </c>
      <c r="F81" t="s">
        <v>37</v>
      </c>
      <c r="G81" s="5" t="s">
        <v>13</v>
      </c>
      <c r="H81" s="15" t="s">
        <v>38</v>
      </c>
      <c r="J81" t="s">
        <v>37</v>
      </c>
      <c r="K81" s="5" t="s">
        <v>13</v>
      </c>
      <c r="L81" s="15" t="s">
        <v>38</v>
      </c>
      <c r="N81" t="s">
        <v>37</v>
      </c>
      <c r="O81" s="5" t="s">
        <v>13</v>
      </c>
      <c r="P81" s="15" t="s">
        <v>38</v>
      </c>
    </row>
    <row r="82" spans="1:33" x14ac:dyDescent="0.25">
      <c r="A82">
        <v>1</v>
      </c>
      <c r="B82">
        <v>7</v>
      </c>
      <c r="C82" s="12">
        <v>0</v>
      </c>
      <c r="D82" s="6">
        <f>C82/B82</f>
        <v>0</v>
      </c>
      <c r="F82">
        <v>20</v>
      </c>
      <c r="G82" s="12">
        <v>0</v>
      </c>
      <c r="H82" s="6">
        <f>G82/F82</f>
        <v>0</v>
      </c>
      <c r="J82">
        <v>0</v>
      </c>
      <c r="N82">
        <v>0</v>
      </c>
    </row>
    <row r="83" spans="1:33" x14ac:dyDescent="0.25">
      <c r="A83">
        <v>2</v>
      </c>
      <c r="B83">
        <v>4</v>
      </c>
      <c r="C83" s="12">
        <v>0</v>
      </c>
      <c r="D83" s="6">
        <f>C83/B83</f>
        <v>0</v>
      </c>
      <c r="F83">
        <v>0</v>
      </c>
      <c r="G83" s="16"/>
      <c r="J83">
        <v>2</v>
      </c>
      <c r="K83" s="12">
        <v>0</v>
      </c>
      <c r="L83" s="6">
        <f>K83/J83</f>
        <v>0</v>
      </c>
      <c r="N83">
        <v>0</v>
      </c>
    </row>
    <row r="84" spans="1:33" x14ac:dyDescent="0.25">
      <c r="A84">
        <v>3</v>
      </c>
      <c r="B84">
        <v>0</v>
      </c>
      <c r="F84">
        <v>0</v>
      </c>
      <c r="G84" s="16"/>
      <c r="J84">
        <v>3</v>
      </c>
      <c r="K84" s="12">
        <v>0</v>
      </c>
      <c r="L84" s="6">
        <f>K84/J84</f>
        <v>0</v>
      </c>
      <c r="N84">
        <v>0</v>
      </c>
    </row>
    <row r="85" spans="1:33" x14ac:dyDescent="0.25">
      <c r="A85">
        <v>4</v>
      </c>
      <c r="B85">
        <v>0</v>
      </c>
      <c r="F85">
        <v>1</v>
      </c>
      <c r="G85" s="12">
        <v>0</v>
      </c>
      <c r="H85" s="6">
        <f>G85/F85</f>
        <v>0</v>
      </c>
      <c r="J85">
        <v>3</v>
      </c>
      <c r="K85" s="12">
        <v>0</v>
      </c>
      <c r="L85" s="6">
        <f>K85/J85</f>
        <v>0</v>
      </c>
      <c r="N85">
        <v>5</v>
      </c>
      <c r="O85" s="12">
        <v>0</v>
      </c>
      <c r="P85" s="6">
        <f>O85/N85</f>
        <v>0</v>
      </c>
    </row>
    <row r="86" spans="1:33" x14ac:dyDescent="0.25">
      <c r="A86">
        <v>5</v>
      </c>
      <c r="B86">
        <v>0</v>
      </c>
      <c r="F86">
        <v>0</v>
      </c>
      <c r="J86">
        <v>0</v>
      </c>
      <c r="N86">
        <v>2</v>
      </c>
      <c r="O86" s="12">
        <v>0</v>
      </c>
      <c r="P86" s="6">
        <f>O86/N86</f>
        <v>0</v>
      </c>
    </row>
    <row r="87" spans="1:33" s="2" customFormat="1" ht="13" x14ac:dyDescent="0.3">
      <c r="A87" s="2" t="s">
        <v>1</v>
      </c>
      <c r="B87" s="2">
        <f>SUM(B82:B86)</f>
        <v>11</v>
      </c>
      <c r="C87" s="2">
        <f>SUM(C82:C86)</f>
        <v>0</v>
      </c>
      <c r="D87" s="22">
        <f>C87/B87</f>
        <v>0</v>
      </c>
      <c r="F87" s="2">
        <f>SUM(F82:F86)</f>
        <v>21</v>
      </c>
      <c r="G87" s="2">
        <f>SUM(G82:G86)</f>
        <v>0</v>
      </c>
      <c r="H87" s="22">
        <f>G87/F87</f>
        <v>0</v>
      </c>
      <c r="J87" s="2">
        <f>SUM(J82:J86)</f>
        <v>8</v>
      </c>
      <c r="K87" s="2">
        <f>SUM(K82:K86)</f>
        <v>0</v>
      </c>
      <c r="L87" s="22">
        <f>K87/J87</f>
        <v>0</v>
      </c>
      <c r="N87" s="2">
        <f>SUM(N82:N86)</f>
        <v>7</v>
      </c>
      <c r="O87" s="2">
        <f>SUM(O82:O86)</f>
        <v>0</v>
      </c>
      <c r="P87" s="22">
        <f>O87/N87</f>
        <v>0</v>
      </c>
      <c r="S87" s="8"/>
      <c r="T87" s="21"/>
      <c r="W87" s="8"/>
      <c r="X87" s="21"/>
      <c r="AA87" s="8"/>
      <c r="AB87" s="21"/>
    </row>
    <row r="89" spans="1:33" x14ac:dyDescent="0.25">
      <c r="C89" s="5" t="s">
        <v>12</v>
      </c>
      <c r="G89" s="5" t="s">
        <v>5</v>
      </c>
      <c r="K89" s="5" t="s">
        <v>6</v>
      </c>
      <c r="O89" s="5" t="s">
        <v>7</v>
      </c>
      <c r="S89" s="5" t="s">
        <v>8</v>
      </c>
      <c r="W89" s="5" t="s">
        <v>9</v>
      </c>
      <c r="AA89" s="5" t="s">
        <v>10</v>
      </c>
      <c r="AE89" t="s">
        <v>11</v>
      </c>
    </row>
    <row r="90" spans="1:33" x14ac:dyDescent="0.25">
      <c r="B90" t="s">
        <v>37</v>
      </c>
      <c r="C90" s="5" t="s">
        <v>13</v>
      </c>
      <c r="D90" s="15" t="s">
        <v>38</v>
      </c>
      <c r="F90" t="s">
        <v>37</v>
      </c>
      <c r="G90" s="5" t="s">
        <v>13</v>
      </c>
      <c r="H90" s="15" t="s">
        <v>38</v>
      </c>
      <c r="J90" t="s">
        <v>37</v>
      </c>
      <c r="K90" s="5" t="s">
        <v>13</v>
      </c>
      <c r="L90" s="15" t="s">
        <v>38</v>
      </c>
      <c r="N90" t="s">
        <v>37</v>
      </c>
      <c r="O90" s="5" t="s">
        <v>13</v>
      </c>
      <c r="P90" s="15" t="s">
        <v>38</v>
      </c>
      <c r="R90" t="s">
        <v>37</v>
      </c>
      <c r="S90" s="5" t="s">
        <v>13</v>
      </c>
      <c r="T90" s="15" t="s">
        <v>38</v>
      </c>
      <c r="V90" t="s">
        <v>37</v>
      </c>
      <c r="W90" s="5" t="s">
        <v>13</v>
      </c>
      <c r="X90" s="15" t="s">
        <v>38</v>
      </c>
      <c r="Z90" t="s">
        <v>37</v>
      </c>
      <c r="AA90" s="5" t="s">
        <v>13</v>
      </c>
      <c r="AB90" s="15" t="s">
        <v>38</v>
      </c>
      <c r="AD90" t="s">
        <v>37</v>
      </c>
      <c r="AE90" t="s">
        <v>13</v>
      </c>
      <c r="AF90" t="s">
        <v>38</v>
      </c>
    </row>
    <row r="91" spans="1:33" x14ac:dyDescent="0.25">
      <c r="A91">
        <v>1</v>
      </c>
      <c r="B91">
        <v>0</v>
      </c>
      <c r="F91">
        <v>895</v>
      </c>
      <c r="G91" s="5" t="e">
        <f>#REF!</f>
        <v>#REF!</v>
      </c>
      <c r="H91" s="6" t="e">
        <f t="shared" ref="H91:H96" si="12">G91/F91</f>
        <v>#REF!</v>
      </c>
      <c r="J91">
        <v>7300</v>
      </c>
      <c r="K91" s="5" t="e">
        <f>#REF!</f>
        <v>#REF!</v>
      </c>
      <c r="L91" s="6" t="e">
        <f t="shared" ref="L91:L96" si="13">K91/J91</f>
        <v>#REF!</v>
      </c>
      <c r="N91">
        <v>1605</v>
      </c>
      <c r="O91" s="5" t="e">
        <f>#REF!</f>
        <v>#REF!</v>
      </c>
      <c r="P91" s="6" t="e">
        <f t="shared" ref="P91:P96" si="14">O91/N91</f>
        <v>#REF!</v>
      </c>
      <c r="R91" s="11">
        <v>3031</v>
      </c>
      <c r="S91" s="12" t="e">
        <f>#REF!</f>
        <v>#REF!</v>
      </c>
      <c r="T91" s="18" t="e">
        <f>S91/R91</f>
        <v>#REF!</v>
      </c>
      <c r="V91" s="9">
        <v>396</v>
      </c>
      <c r="W91" s="16" t="e">
        <f>#REF!</f>
        <v>#REF!</v>
      </c>
      <c r="X91" s="17" t="e">
        <f t="shared" ref="X91:X96" si="15">W91/V91</f>
        <v>#REF!</v>
      </c>
      <c r="Z91">
        <v>69</v>
      </c>
      <c r="AA91" s="12" t="e">
        <f>#REF!</f>
        <v>#REF!</v>
      </c>
      <c r="AB91" s="18" t="e">
        <f t="shared" ref="AB91:AB96" si="16">AA91/Z91</f>
        <v>#REF!</v>
      </c>
      <c r="AD91">
        <v>0</v>
      </c>
    </row>
    <row r="92" spans="1:33" x14ac:dyDescent="0.25">
      <c r="A92">
        <v>2</v>
      </c>
      <c r="B92">
        <v>0</v>
      </c>
      <c r="F92">
        <v>6451</v>
      </c>
      <c r="G92" s="5" t="e">
        <f>#REF!</f>
        <v>#REF!</v>
      </c>
      <c r="H92" s="6" t="e">
        <f t="shared" si="12"/>
        <v>#REF!</v>
      </c>
      <c r="J92">
        <v>8947</v>
      </c>
      <c r="K92" s="5" t="e">
        <f>#REF!</f>
        <v>#REF!</v>
      </c>
      <c r="L92" s="6" t="e">
        <f t="shared" si="13"/>
        <v>#REF!</v>
      </c>
      <c r="N92">
        <v>1850</v>
      </c>
      <c r="O92" s="5" t="e">
        <f>#REF!</f>
        <v>#REF!</v>
      </c>
      <c r="P92" s="6" t="e">
        <f t="shared" si="14"/>
        <v>#REF!</v>
      </c>
      <c r="R92" s="11">
        <v>9112</v>
      </c>
      <c r="S92" s="12" t="e">
        <f>#REF!</f>
        <v>#REF!</v>
      </c>
      <c r="T92" s="18" t="e">
        <f>S92/R92</f>
        <v>#REF!</v>
      </c>
      <c r="V92">
        <v>6735</v>
      </c>
      <c r="W92" s="5" t="e">
        <f>#REF!</f>
        <v>#REF!</v>
      </c>
      <c r="X92" s="18" t="e">
        <f t="shared" si="15"/>
        <v>#REF!</v>
      </c>
      <c r="Z92" s="11">
        <v>2259</v>
      </c>
      <c r="AA92" s="12" t="e">
        <f>#REF!</f>
        <v>#REF!</v>
      </c>
      <c r="AB92" s="18" t="e">
        <f t="shared" si="16"/>
        <v>#REF!</v>
      </c>
      <c r="AD92">
        <v>0</v>
      </c>
    </row>
    <row r="93" spans="1:33" x14ac:dyDescent="0.25">
      <c r="A93">
        <v>3</v>
      </c>
      <c r="B93">
        <v>0</v>
      </c>
      <c r="F93" s="9">
        <v>1434</v>
      </c>
      <c r="G93" s="16" t="e">
        <f>#REF!</f>
        <v>#REF!</v>
      </c>
      <c r="H93" s="17" t="e">
        <f t="shared" si="12"/>
        <v>#REF!</v>
      </c>
      <c r="J93" s="9">
        <v>1583</v>
      </c>
      <c r="K93" s="16" t="e">
        <f>#REF!</f>
        <v>#REF!</v>
      </c>
      <c r="L93" s="17" t="e">
        <f t="shared" si="13"/>
        <v>#REF!</v>
      </c>
      <c r="N93">
        <v>1317</v>
      </c>
      <c r="O93" s="5" t="e">
        <f>#REF!</f>
        <v>#REF!</v>
      </c>
      <c r="P93" s="6" t="e">
        <f t="shared" si="14"/>
        <v>#REF!</v>
      </c>
      <c r="R93" s="9">
        <v>4522</v>
      </c>
      <c r="S93" s="16" t="e">
        <f>#REF!</f>
        <v>#REF!</v>
      </c>
      <c r="T93" s="17" t="e">
        <f>S93/R93</f>
        <v>#REF!</v>
      </c>
      <c r="V93" s="9">
        <v>3011</v>
      </c>
      <c r="W93" s="16" t="e">
        <f>#REF!</f>
        <v>#REF!</v>
      </c>
      <c r="X93" s="17" t="e">
        <f t="shared" si="15"/>
        <v>#REF!</v>
      </c>
      <c r="Z93" s="9">
        <v>1057</v>
      </c>
      <c r="AA93" s="16" t="e">
        <f>#REF!</f>
        <v>#REF!</v>
      </c>
      <c r="AB93" s="17" t="e">
        <f t="shared" si="16"/>
        <v>#REF!</v>
      </c>
      <c r="AD93">
        <v>0</v>
      </c>
    </row>
    <row r="94" spans="1:33" ht="13" x14ac:dyDescent="0.3">
      <c r="A94">
        <v>4</v>
      </c>
      <c r="B94">
        <v>0</v>
      </c>
      <c r="F94" s="9">
        <v>85</v>
      </c>
      <c r="G94" s="16" t="e">
        <f>#REF!</f>
        <v>#REF!</v>
      </c>
      <c r="H94" s="17" t="e">
        <f t="shared" si="12"/>
        <v>#REF!</v>
      </c>
      <c r="J94">
        <v>45</v>
      </c>
      <c r="K94" s="12">
        <v>0</v>
      </c>
      <c r="L94" s="6">
        <f t="shared" si="13"/>
        <v>0</v>
      </c>
      <c r="N94">
        <v>47</v>
      </c>
      <c r="O94" s="5" t="e">
        <f>#REF!</f>
        <v>#REF!</v>
      </c>
      <c r="P94" s="6" t="e">
        <f t="shared" si="14"/>
        <v>#REF!</v>
      </c>
      <c r="R94">
        <v>0</v>
      </c>
      <c r="S94" s="5" t="e">
        <f>#REF!</f>
        <v>#REF!</v>
      </c>
      <c r="T94" s="6"/>
      <c r="V94">
        <v>37</v>
      </c>
      <c r="W94" s="5" t="e">
        <f>#REF!</f>
        <v>#REF!</v>
      </c>
      <c r="X94" s="18" t="e">
        <f t="shared" si="15"/>
        <v>#REF!</v>
      </c>
      <c r="Z94">
        <v>28</v>
      </c>
      <c r="AA94" s="12" t="e">
        <f>#REF!</f>
        <v>#REF!</v>
      </c>
      <c r="AB94" s="18" t="e">
        <f t="shared" si="16"/>
        <v>#REF!</v>
      </c>
      <c r="AD94">
        <v>0</v>
      </c>
      <c r="AG94" s="2" t="s">
        <v>19</v>
      </c>
    </row>
    <row r="95" spans="1:33" x14ac:dyDescent="0.25">
      <c r="A95">
        <v>5</v>
      </c>
      <c r="B95">
        <v>0</v>
      </c>
      <c r="F95">
        <v>110</v>
      </c>
      <c r="G95" s="5" t="e">
        <f>#REF!</f>
        <v>#REF!</v>
      </c>
      <c r="H95" s="6" t="e">
        <f t="shared" si="12"/>
        <v>#REF!</v>
      </c>
      <c r="J95">
        <v>219</v>
      </c>
      <c r="K95" s="5" t="e">
        <f>#REF!</f>
        <v>#REF!</v>
      </c>
      <c r="L95" s="6" t="e">
        <f t="shared" si="13"/>
        <v>#REF!</v>
      </c>
      <c r="N95">
        <v>64</v>
      </c>
      <c r="O95" s="5" t="e">
        <f>#REF!</f>
        <v>#REF!</v>
      </c>
      <c r="P95" s="6" t="e">
        <f t="shared" si="14"/>
        <v>#REF!</v>
      </c>
      <c r="R95" s="11">
        <v>23</v>
      </c>
      <c r="S95" s="12" t="e">
        <f>#REF!</f>
        <v>#REF!</v>
      </c>
      <c r="T95" s="18" t="e">
        <f>S95/R95</f>
        <v>#REF!</v>
      </c>
      <c r="V95" s="9">
        <v>7</v>
      </c>
      <c r="W95" s="16" t="e">
        <f>#REF!</f>
        <v>#REF!</v>
      </c>
      <c r="X95" s="17" t="e">
        <f t="shared" si="15"/>
        <v>#REF!</v>
      </c>
      <c r="Z95" s="11">
        <v>5</v>
      </c>
      <c r="AA95" s="12" t="e">
        <f>#REF!</f>
        <v>#REF!</v>
      </c>
      <c r="AB95" s="18" t="e">
        <f t="shared" si="16"/>
        <v>#REF!</v>
      </c>
      <c r="AD95">
        <v>0</v>
      </c>
    </row>
    <row r="96" spans="1:33" s="2" customFormat="1" ht="13" x14ac:dyDescent="0.3">
      <c r="A96" s="2" t="s">
        <v>1</v>
      </c>
      <c r="B96" s="2">
        <f>SUM(B91:B95)</f>
        <v>0</v>
      </c>
      <c r="C96" s="2">
        <f>SUM(C91:C95)</f>
        <v>0</v>
      </c>
      <c r="D96" s="21"/>
      <c r="F96" s="2">
        <f>SUM(F91:F95)</f>
        <v>8975</v>
      </c>
      <c r="G96" s="2" t="e">
        <f>SUM(G91:G95)</f>
        <v>#REF!</v>
      </c>
      <c r="H96" s="22" t="e">
        <f t="shared" si="12"/>
        <v>#REF!</v>
      </c>
      <c r="J96" s="2">
        <f>SUM(J91:J95)</f>
        <v>18094</v>
      </c>
      <c r="K96" s="2" t="e">
        <f>SUM(K91:K95)</f>
        <v>#REF!</v>
      </c>
      <c r="L96" s="22" t="e">
        <f t="shared" si="13"/>
        <v>#REF!</v>
      </c>
      <c r="N96" s="2">
        <f>SUM(N91:N95)</f>
        <v>4883</v>
      </c>
      <c r="O96" s="2" t="e">
        <f>SUM(O91:O95)</f>
        <v>#REF!</v>
      </c>
      <c r="P96" s="22" t="e">
        <f t="shared" si="14"/>
        <v>#REF!</v>
      </c>
      <c r="R96" s="2">
        <f>SUM(R91:R95)</f>
        <v>16688</v>
      </c>
      <c r="S96" s="2" t="e">
        <f>SUM(S91:S95)</f>
        <v>#REF!</v>
      </c>
      <c r="T96" s="22" t="e">
        <f>S96/R96</f>
        <v>#REF!</v>
      </c>
      <c r="V96" s="2">
        <f>SUM(V91:V95)</f>
        <v>10186</v>
      </c>
      <c r="W96" s="2" t="e">
        <f>SUM(W91:W95)</f>
        <v>#REF!</v>
      </c>
      <c r="X96" s="22" t="e">
        <f t="shared" si="15"/>
        <v>#REF!</v>
      </c>
      <c r="Z96" s="2">
        <f>SUM(Z91:Z95)</f>
        <v>3418</v>
      </c>
      <c r="AA96" s="2" t="e">
        <f>SUM(AA91:AA95)</f>
        <v>#REF!</v>
      </c>
      <c r="AB96" s="22" t="e">
        <f t="shared" si="16"/>
        <v>#REF!</v>
      </c>
      <c r="AG96" s="8"/>
    </row>
    <row r="99" spans="1:4" x14ac:dyDescent="0.25">
      <c r="B99" t="s">
        <v>41</v>
      </c>
    </row>
    <row r="100" spans="1:4" x14ac:dyDescent="0.25">
      <c r="B100" t="s">
        <v>37</v>
      </c>
      <c r="C100" s="5" t="s">
        <v>40</v>
      </c>
      <c r="D100" s="15" t="s">
        <v>38</v>
      </c>
    </row>
    <row r="101" spans="1:4" x14ac:dyDescent="0.25">
      <c r="A101">
        <v>2000</v>
      </c>
      <c r="B101" s="13">
        <f>'2006 Sampling'!AI26</f>
        <v>0</v>
      </c>
      <c r="C101" s="13" t="e">
        <f>C11+C20+G11+G20+K11+K20+O11+O20+S20+W20+AA20+AE20</f>
        <v>#REF!</v>
      </c>
      <c r="D101" s="15" t="e">
        <f>C101/B101</f>
        <v>#REF!</v>
      </c>
    </row>
    <row r="102" spans="1:4" x14ac:dyDescent="0.25">
      <c r="A102">
        <v>2001</v>
      </c>
      <c r="B102" s="13">
        <f>'2006 Sampling'!AI47</f>
        <v>0</v>
      </c>
      <c r="C102" s="13" t="e">
        <f>C30+G30+K30+O30+C39+G39+K39+O39+S39+W39+AA39</f>
        <v>#REF!</v>
      </c>
      <c r="D102" s="15" t="e">
        <f>C102/B102</f>
        <v>#REF!</v>
      </c>
    </row>
    <row r="103" spans="1:4" x14ac:dyDescent="0.25">
      <c r="A103">
        <v>2002</v>
      </c>
      <c r="B103" s="13">
        <f>'2006 Sampling'!AI66</f>
        <v>0</v>
      </c>
      <c r="C103" s="13" t="e">
        <f>C49+G49+K49+O49+C58+G58+K58+O58+S58+W58+AA58</f>
        <v>#REF!</v>
      </c>
      <c r="D103" s="15" t="e">
        <f>C103/B103</f>
        <v>#REF!</v>
      </c>
    </row>
    <row r="104" spans="1:4" x14ac:dyDescent="0.25">
      <c r="A104">
        <v>2003</v>
      </c>
      <c r="B104" s="13">
        <f>'2006 Sampling'!AI85</f>
        <v>0</v>
      </c>
      <c r="C104" s="13" t="e">
        <f>C68+G68+K68+O68+C77+G77+K77+O77+S77+W77+AA77</f>
        <v>#REF!</v>
      </c>
      <c r="D104" s="15" t="e">
        <f>C104/B104</f>
        <v>#REF!</v>
      </c>
    </row>
    <row r="105" spans="1:4" x14ac:dyDescent="0.25">
      <c r="A105">
        <v>2004</v>
      </c>
      <c r="B105" s="13">
        <f>'2006 Sampling'!AI104</f>
        <v>0</v>
      </c>
      <c r="C105" s="13" t="e">
        <f>C87+G87+K87+O87+C96+G96+K96+O96+S96+W96+AA96</f>
        <v>#REF!</v>
      </c>
      <c r="D105" s="15" t="e">
        <f>C105/B105</f>
        <v>#REF!</v>
      </c>
    </row>
  </sheetData>
  <phoneticPr fontId="4" type="noConversion"/>
  <pageMargins left="0.75" right="0.75" top="1" bottom="1" header="0.5" footer="0.5"/>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B37"/>
  <sheetViews>
    <sheetView workbookViewId="0">
      <pane xSplit="1" topLeftCell="B1" activePane="topRight" state="frozen"/>
      <selection activeCell="I30" sqref="I30"/>
      <selection pane="topRight" activeCell="I30" sqref="I30"/>
    </sheetView>
  </sheetViews>
  <sheetFormatPr defaultRowHeight="12.5" x14ac:dyDescent="0.25"/>
  <cols>
    <col min="1" max="1" width="12.81640625" customWidth="1"/>
    <col min="2" max="2" width="7.7265625" customWidth="1"/>
    <col min="3" max="3" width="10.26953125" style="5" customWidth="1"/>
    <col min="5" max="5" width="2.54296875" customWidth="1"/>
    <col min="7" max="7" width="9.1796875" style="5"/>
    <col min="9" max="9" width="2.1796875" customWidth="1"/>
    <col min="11" max="11" width="9.1796875" style="5"/>
    <col min="12" max="12" width="9.54296875" bestFit="1" customWidth="1"/>
    <col min="13" max="13" width="2" customWidth="1"/>
    <col min="15" max="15" width="9.1796875" style="5"/>
    <col min="17" max="17" width="2" customWidth="1"/>
    <col min="19" max="19" width="9.1796875" style="5"/>
    <col min="21" max="21" width="1.7265625" customWidth="1"/>
    <col min="23" max="23" width="9.1796875" style="5"/>
    <col min="25" max="25" width="3.26953125" customWidth="1"/>
    <col min="27" max="27" width="9.1796875" style="5"/>
    <col min="29" max="29" width="2.1796875" customWidth="1"/>
    <col min="31" max="31" width="9.1796875" style="5"/>
    <col min="33" max="33" width="1.1796875" customWidth="1"/>
    <col min="35" max="35" width="9.1796875" style="5"/>
    <col min="37" max="37" width="2.1796875" customWidth="1"/>
    <col min="39" max="39" width="9.1796875" style="5"/>
    <col min="41" max="41" width="1.81640625" customWidth="1"/>
    <col min="43" max="43" width="9.1796875" style="5"/>
    <col min="45" max="45" width="1.26953125" customWidth="1"/>
    <col min="47" max="47" width="9.1796875" style="5"/>
    <col min="49" max="49" width="1.54296875" customWidth="1"/>
    <col min="51" max="51" width="9.1796875" style="5"/>
  </cols>
  <sheetData>
    <row r="1" spans="1:52" x14ac:dyDescent="0.25">
      <c r="A1" t="s">
        <v>36</v>
      </c>
    </row>
    <row r="3" spans="1:52" x14ac:dyDescent="0.25">
      <c r="A3">
        <v>2000</v>
      </c>
    </row>
    <row r="4" spans="1:52" x14ac:dyDescent="0.25">
      <c r="C4" s="5" t="s">
        <v>35</v>
      </c>
      <c r="G4" s="5" t="s">
        <v>34</v>
      </c>
      <c r="K4" s="5" t="s">
        <v>20</v>
      </c>
      <c r="O4" s="5" t="s">
        <v>21</v>
      </c>
      <c r="S4" s="5" t="s">
        <v>22</v>
      </c>
      <c r="W4" s="5" t="s">
        <v>23</v>
      </c>
      <c r="AA4" s="5" t="s">
        <v>24</v>
      </c>
      <c r="AE4" s="5" t="s">
        <v>25</v>
      </c>
      <c r="AI4" s="5" t="s">
        <v>26</v>
      </c>
      <c r="AM4" s="5" t="s">
        <v>27</v>
      </c>
      <c r="AQ4" s="5" t="s">
        <v>28</v>
      </c>
      <c r="AU4" s="5" t="s">
        <v>29</v>
      </c>
      <c r="AY4" s="5" t="s">
        <v>30</v>
      </c>
    </row>
    <row r="5" spans="1:52" x14ac:dyDescent="0.25">
      <c r="B5" t="s">
        <v>37</v>
      </c>
      <c r="C5" s="5" t="s">
        <v>13</v>
      </c>
      <c r="D5" s="15" t="s">
        <v>38</v>
      </c>
      <c r="F5" t="s">
        <v>37</v>
      </c>
      <c r="G5" s="5" t="s">
        <v>13</v>
      </c>
      <c r="H5" s="15" t="s">
        <v>38</v>
      </c>
      <c r="J5" t="s">
        <v>37</v>
      </c>
      <c r="K5" s="5" t="s">
        <v>13</v>
      </c>
      <c r="L5" s="15" t="s">
        <v>38</v>
      </c>
      <c r="N5" t="s">
        <v>37</v>
      </c>
      <c r="O5" s="5" t="s">
        <v>13</v>
      </c>
      <c r="P5" s="15" t="s">
        <v>38</v>
      </c>
      <c r="R5" t="s">
        <v>37</v>
      </c>
      <c r="S5" s="5" t="s">
        <v>13</v>
      </c>
      <c r="T5" t="s">
        <v>38</v>
      </c>
      <c r="V5" t="s">
        <v>37</v>
      </c>
      <c r="W5" s="5" t="s">
        <v>13</v>
      </c>
      <c r="X5" t="s">
        <v>38</v>
      </c>
      <c r="Z5" t="s">
        <v>37</v>
      </c>
      <c r="AA5" s="5" t="s">
        <v>13</v>
      </c>
      <c r="AB5" t="s">
        <v>38</v>
      </c>
      <c r="AD5" t="s">
        <v>37</v>
      </c>
      <c r="AE5" s="5" t="s">
        <v>13</v>
      </c>
      <c r="AF5" t="s">
        <v>38</v>
      </c>
      <c r="AH5" t="s">
        <v>37</v>
      </c>
      <c r="AI5" s="5" t="s">
        <v>13</v>
      </c>
      <c r="AJ5" t="s">
        <v>38</v>
      </c>
      <c r="AL5" t="s">
        <v>37</v>
      </c>
      <c r="AM5" s="5" t="s">
        <v>13</v>
      </c>
      <c r="AN5" t="s">
        <v>38</v>
      </c>
      <c r="AP5" t="s">
        <v>37</v>
      </c>
      <c r="AQ5" s="5" t="s">
        <v>13</v>
      </c>
      <c r="AR5" t="s">
        <v>38</v>
      </c>
      <c r="AT5" t="s">
        <v>37</v>
      </c>
      <c r="AU5" s="5" t="s">
        <v>13</v>
      </c>
      <c r="AV5" t="s">
        <v>38</v>
      </c>
      <c r="AX5" t="s">
        <v>37</v>
      </c>
      <c r="AY5" s="5" t="s">
        <v>13</v>
      </c>
      <c r="AZ5" t="s">
        <v>38</v>
      </c>
    </row>
    <row r="6" spans="1:52" x14ac:dyDescent="0.25">
      <c r="A6" t="s">
        <v>31</v>
      </c>
      <c r="F6" s="11">
        <v>2</v>
      </c>
      <c r="G6" s="5" t="e">
        <f>#REF!</f>
        <v>#REF!</v>
      </c>
      <c r="H6" s="6" t="e">
        <f>G6/F6</f>
        <v>#REF!</v>
      </c>
      <c r="J6">
        <v>1</v>
      </c>
      <c r="K6" s="5" t="e">
        <f>#REF!</f>
        <v>#REF!</v>
      </c>
      <c r="L6" s="6" t="e">
        <f>K6/J6</f>
        <v>#REF!</v>
      </c>
      <c r="N6">
        <v>14</v>
      </c>
      <c r="O6" s="5" t="e">
        <f>#REF!</f>
        <v>#REF!</v>
      </c>
      <c r="P6" s="6" t="e">
        <f>O6/N6</f>
        <v>#REF!</v>
      </c>
      <c r="R6">
        <v>1446</v>
      </c>
      <c r="S6" s="5" t="e">
        <f>#REF!</f>
        <v>#REF!</v>
      </c>
      <c r="T6" s="6" t="e">
        <f>S6/R6</f>
        <v>#REF!</v>
      </c>
      <c r="V6">
        <v>11981</v>
      </c>
      <c r="W6" s="5" t="e">
        <f>#REF!</f>
        <v>#REF!</v>
      </c>
      <c r="X6" s="6" t="e">
        <f>W6/V6</f>
        <v>#REF!</v>
      </c>
      <c r="Z6">
        <v>11216</v>
      </c>
      <c r="AA6" s="5" t="e">
        <f>#REF!</f>
        <v>#REF!</v>
      </c>
      <c r="AB6" s="6" t="e">
        <f>AA6/Z6</f>
        <v>#REF!</v>
      </c>
      <c r="AD6">
        <v>3193</v>
      </c>
      <c r="AE6" s="5" t="e">
        <f>#REF!</f>
        <v>#REF!</v>
      </c>
      <c r="AF6" s="6" t="e">
        <f>AE6/AD6</f>
        <v>#REF!</v>
      </c>
      <c r="AH6">
        <v>3535</v>
      </c>
      <c r="AI6" s="5" t="e">
        <f>#REF!</f>
        <v>#REF!</v>
      </c>
      <c r="AJ6" s="6" t="e">
        <f>AI6/AH6</f>
        <v>#REF!</v>
      </c>
      <c r="AL6" s="9">
        <v>967</v>
      </c>
      <c r="AM6" s="16" t="e">
        <f>#REF!</f>
        <v>#REF!</v>
      </c>
      <c r="AN6" s="17" t="e">
        <f>AM6/AL6</f>
        <v>#REF!</v>
      </c>
      <c r="AP6">
        <v>747</v>
      </c>
      <c r="AQ6" s="5" t="e">
        <f>#REF!</f>
        <v>#REF!</v>
      </c>
      <c r="AR6" s="6" t="e">
        <f>AQ6/AP6</f>
        <v>#REF!</v>
      </c>
      <c r="AT6" s="9">
        <v>111</v>
      </c>
      <c r="AU6" s="16" t="e">
        <f>#REF!</f>
        <v>#REF!</v>
      </c>
      <c r="AV6" s="17" t="e">
        <f>AU6/AT6</f>
        <v>#REF!</v>
      </c>
      <c r="AX6">
        <v>3</v>
      </c>
      <c r="AY6" s="5">
        <v>0</v>
      </c>
      <c r="AZ6" s="6">
        <f>AY6/AX6</f>
        <v>0</v>
      </c>
    </row>
    <row r="7" spans="1:52" x14ac:dyDescent="0.25">
      <c r="A7" t="s">
        <v>32</v>
      </c>
      <c r="N7">
        <v>0</v>
      </c>
      <c r="R7">
        <v>0</v>
      </c>
      <c r="V7">
        <v>438</v>
      </c>
      <c r="W7" s="5" t="e">
        <f>#REF!</f>
        <v>#REF!</v>
      </c>
      <c r="X7" s="6" t="e">
        <f>W7/V7</f>
        <v>#REF!</v>
      </c>
      <c r="Z7">
        <v>557</v>
      </c>
      <c r="AA7" s="5" t="e">
        <f>#REF!</f>
        <v>#REF!</v>
      </c>
      <c r="AB7" s="6" t="e">
        <f>AA7/Z7</f>
        <v>#REF!</v>
      </c>
      <c r="AD7">
        <v>749</v>
      </c>
      <c r="AE7" s="5" t="e">
        <f>#REF!</f>
        <v>#REF!</v>
      </c>
      <c r="AF7" s="6" t="e">
        <f>AE7/AD7</f>
        <v>#REF!</v>
      </c>
      <c r="AH7">
        <v>904</v>
      </c>
      <c r="AI7" s="5" t="e">
        <f>#REF!</f>
        <v>#REF!</v>
      </c>
      <c r="AJ7" s="6" t="e">
        <f>AI7/AH7</f>
        <v>#REF!</v>
      </c>
      <c r="AL7" s="9">
        <v>257</v>
      </c>
      <c r="AM7" s="16" t="e">
        <f>#REF!</f>
        <v>#REF!</v>
      </c>
      <c r="AN7" s="17" t="e">
        <f>AM7/AL7</f>
        <v>#REF!</v>
      </c>
      <c r="AP7">
        <v>359</v>
      </c>
      <c r="AQ7" s="5" t="e">
        <f>#REF!</f>
        <v>#REF!</v>
      </c>
      <c r="AR7" s="6" t="e">
        <f>AQ7/AP7</f>
        <v>#REF!</v>
      </c>
      <c r="AT7">
        <v>106</v>
      </c>
      <c r="AU7" s="5" t="e">
        <f>#REF!</f>
        <v>#REF!</v>
      </c>
      <c r="AV7" s="6" t="e">
        <f>AU7/AT7</f>
        <v>#REF!</v>
      </c>
      <c r="AX7">
        <v>28</v>
      </c>
      <c r="AY7" s="5" t="e">
        <f>#REF!</f>
        <v>#REF!</v>
      </c>
      <c r="AZ7" s="6" t="e">
        <f>AY7/AX7</f>
        <v>#REF!</v>
      </c>
    </row>
    <row r="8" spans="1:52" x14ac:dyDescent="0.25">
      <c r="A8" t="s">
        <v>33</v>
      </c>
      <c r="R8">
        <v>0</v>
      </c>
      <c r="V8">
        <v>1283</v>
      </c>
      <c r="W8" s="5" t="e">
        <f>#REF!</f>
        <v>#REF!</v>
      </c>
      <c r="X8" s="6" t="e">
        <f>W8/V8</f>
        <v>#REF!</v>
      </c>
      <c r="Z8">
        <v>6245</v>
      </c>
      <c r="AA8" s="5" t="e">
        <f>#REF!</f>
        <v>#REF!</v>
      </c>
      <c r="AB8" s="6" t="e">
        <f>AA8/Z8</f>
        <v>#REF!</v>
      </c>
      <c r="AD8">
        <v>1080</v>
      </c>
      <c r="AE8" s="5" t="e">
        <f>#REF!</f>
        <v>#REF!</v>
      </c>
      <c r="AF8" s="6" t="e">
        <f>AE8/AD8</f>
        <v>#REF!</v>
      </c>
      <c r="AH8">
        <v>1671</v>
      </c>
      <c r="AI8" s="5" t="e">
        <f>#REF!</f>
        <v>#REF!</v>
      </c>
      <c r="AJ8" s="6" t="e">
        <f>AI8/AH8</f>
        <v>#REF!</v>
      </c>
      <c r="AL8">
        <v>450</v>
      </c>
      <c r="AM8" s="5" t="e">
        <f>#REF!</f>
        <v>#REF!</v>
      </c>
      <c r="AN8" s="18" t="e">
        <f>AM8/AL8</f>
        <v>#REF!</v>
      </c>
      <c r="AP8">
        <v>2</v>
      </c>
      <c r="AQ8" s="5">
        <v>0</v>
      </c>
      <c r="AT8" s="11">
        <v>0</v>
      </c>
      <c r="AX8">
        <v>0</v>
      </c>
    </row>
    <row r="10" spans="1:52" x14ac:dyDescent="0.25">
      <c r="A10">
        <v>2001</v>
      </c>
    </row>
    <row r="11" spans="1:52" x14ac:dyDescent="0.25">
      <c r="C11" s="5" t="s">
        <v>35</v>
      </c>
      <c r="G11" s="5" t="s">
        <v>34</v>
      </c>
      <c r="K11" s="5" t="s">
        <v>20</v>
      </c>
      <c r="O11" s="5" t="s">
        <v>21</v>
      </c>
      <c r="S11" s="5" t="s">
        <v>22</v>
      </c>
      <c r="W11" s="5" t="s">
        <v>23</v>
      </c>
      <c r="AA11" s="5" t="s">
        <v>24</v>
      </c>
      <c r="AE11" s="5" t="s">
        <v>25</v>
      </c>
      <c r="AI11" s="5" t="s">
        <v>26</v>
      </c>
      <c r="AM11" s="5" t="s">
        <v>27</v>
      </c>
      <c r="AQ11" s="5" t="s">
        <v>28</v>
      </c>
      <c r="AU11" s="5" t="s">
        <v>29</v>
      </c>
      <c r="AY11" s="5" t="s">
        <v>30</v>
      </c>
    </row>
    <row r="12" spans="1:52" x14ac:dyDescent="0.25">
      <c r="B12" t="s">
        <v>37</v>
      </c>
      <c r="C12" s="5" t="s">
        <v>13</v>
      </c>
      <c r="D12" t="s">
        <v>38</v>
      </c>
      <c r="F12" t="s">
        <v>37</v>
      </c>
      <c r="G12" s="5" t="s">
        <v>13</v>
      </c>
      <c r="H12" t="s">
        <v>38</v>
      </c>
      <c r="J12" t="s">
        <v>37</v>
      </c>
      <c r="K12" s="5" t="s">
        <v>13</v>
      </c>
      <c r="L12" t="s">
        <v>38</v>
      </c>
      <c r="N12" t="s">
        <v>37</v>
      </c>
      <c r="O12" s="5" t="s">
        <v>13</v>
      </c>
      <c r="P12" t="s">
        <v>38</v>
      </c>
      <c r="R12" t="s">
        <v>37</v>
      </c>
      <c r="S12" s="5" t="s">
        <v>13</v>
      </c>
      <c r="T12" t="s">
        <v>38</v>
      </c>
      <c r="V12" t="s">
        <v>37</v>
      </c>
      <c r="W12" s="5" t="s">
        <v>13</v>
      </c>
      <c r="X12" t="s">
        <v>38</v>
      </c>
      <c r="Z12" t="s">
        <v>37</v>
      </c>
      <c r="AA12" s="5" t="s">
        <v>13</v>
      </c>
      <c r="AB12" t="s">
        <v>38</v>
      </c>
      <c r="AD12" t="s">
        <v>37</v>
      </c>
      <c r="AE12" s="5" t="s">
        <v>13</v>
      </c>
      <c r="AF12" t="s">
        <v>38</v>
      </c>
      <c r="AH12" t="s">
        <v>37</v>
      </c>
      <c r="AI12" s="5" t="s">
        <v>13</v>
      </c>
      <c r="AJ12" t="s">
        <v>38</v>
      </c>
      <c r="AL12" t="s">
        <v>37</v>
      </c>
      <c r="AM12" s="5" t="s">
        <v>13</v>
      </c>
      <c r="AN12" t="s">
        <v>38</v>
      </c>
      <c r="AP12" t="s">
        <v>37</v>
      </c>
      <c r="AQ12" s="5" t="s">
        <v>13</v>
      </c>
      <c r="AR12" t="s">
        <v>38</v>
      </c>
      <c r="AT12" t="s">
        <v>37</v>
      </c>
      <c r="AU12" s="5" t="s">
        <v>13</v>
      </c>
      <c r="AV12" t="s">
        <v>38</v>
      </c>
      <c r="AX12" t="s">
        <v>37</v>
      </c>
      <c r="AY12" s="5" t="s">
        <v>13</v>
      </c>
      <c r="AZ12" t="s">
        <v>38</v>
      </c>
    </row>
    <row r="13" spans="1:52" x14ac:dyDescent="0.25">
      <c r="A13" t="s">
        <v>31</v>
      </c>
      <c r="B13" s="11">
        <v>3</v>
      </c>
      <c r="C13" s="5">
        <v>0</v>
      </c>
      <c r="D13" s="6">
        <f>C13/B13</f>
        <v>0</v>
      </c>
      <c r="F13" s="11">
        <v>14</v>
      </c>
      <c r="G13" s="5" t="e">
        <f>#REF!</f>
        <v>#REF!</v>
      </c>
      <c r="H13" s="6" t="e">
        <f>G13/F13</f>
        <v>#REF!</v>
      </c>
      <c r="J13">
        <v>57</v>
      </c>
      <c r="K13" s="5" t="e">
        <f>#REF!</f>
        <v>#REF!</v>
      </c>
      <c r="L13" s="6" t="e">
        <f>K13/J13</f>
        <v>#REF!</v>
      </c>
      <c r="N13">
        <v>96</v>
      </c>
      <c r="O13" s="5" t="e">
        <f>#REF!</f>
        <v>#REF!</v>
      </c>
      <c r="P13" s="6" t="e">
        <f>O13/N13</f>
        <v>#REF!</v>
      </c>
      <c r="R13">
        <v>770</v>
      </c>
      <c r="S13" s="5">
        <v>0</v>
      </c>
      <c r="T13" s="6">
        <f>S13/R13</f>
        <v>0</v>
      </c>
      <c r="V13">
        <v>8801</v>
      </c>
      <c r="W13" s="5" t="e">
        <f>#REF!</f>
        <v>#REF!</v>
      </c>
      <c r="X13" s="6" t="e">
        <f>W13/V13</f>
        <v>#REF!</v>
      </c>
      <c r="Z13">
        <v>7393</v>
      </c>
      <c r="AA13" s="5" t="e">
        <f>#REF!</f>
        <v>#REF!</v>
      </c>
      <c r="AB13" s="6" t="e">
        <f>AA13/Z13</f>
        <v>#REF!</v>
      </c>
      <c r="AD13">
        <v>4171</v>
      </c>
      <c r="AE13" s="5" t="e">
        <f>#REF!</f>
        <v>#REF!</v>
      </c>
      <c r="AF13" s="6" t="e">
        <f>AE13/AD13</f>
        <v>#REF!</v>
      </c>
      <c r="AH13">
        <v>2616</v>
      </c>
      <c r="AI13" s="5" t="e">
        <f>#REF!</f>
        <v>#REF!</v>
      </c>
      <c r="AJ13" s="6" t="e">
        <f>AI13/AH13</f>
        <v>#REF!</v>
      </c>
      <c r="AL13" s="9">
        <v>762</v>
      </c>
      <c r="AM13" s="16" t="e">
        <f>#REF!</f>
        <v>#REF!</v>
      </c>
      <c r="AN13" s="17" t="e">
        <f>AM13/AL13</f>
        <v>#REF!</v>
      </c>
      <c r="AP13">
        <v>577</v>
      </c>
      <c r="AQ13" s="5">
        <v>0</v>
      </c>
      <c r="AR13" s="6">
        <f>AQ13/AP13</f>
        <v>0</v>
      </c>
      <c r="AT13">
        <v>209</v>
      </c>
      <c r="AU13" s="5">
        <v>0</v>
      </c>
      <c r="AV13" s="6">
        <f>AU13/AT13</f>
        <v>0</v>
      </c>
      <c r="AX13">
        <v>0</v>
      </c>
    </row>
    <row r="14" spans="1:52" x14ac:dyDescent="0.25">
      <c r="A14" t="s">
        <v>32</v>
      </c>
      <c r="N14">
        <v>0</v>
      </c>
      <c r="R14">
        <v>0</v>
      </c>
      <c r="V14">
        <v>253</v>
      </c>
      <c r="W14" s="5">
        <v>0</v>
      </c>
      <c r="X14" s="6">
        <f>W14/V14</f>
        <v>0</v>
      </c>
      <c r="Z14">
        <v>1015</v>
      </c>
      <c r="AA14" s="5" t="e">
        <f>#REF!</f>
        <v>#REF!</v>
      </c>
      <c r="AB14" s="6" t="e">
        <f>AA14/Z14</f>
        <v>#REF!</v>
      </c>
      <c r="AD14">
        <v>909</v>
      </c>
      <c r="AE14" s="5" t="e">
        <f>#REF!</f>
        <v>#REF!</v>
      </c>
      <c r="AF14" s="6" t="e">
        <f>AE14/AD14</f>
        <v>#REF!</v>
      </c>
      <c r="AH14">
        <v>616</v>
      </c>
      <c r="AI14" s="5" t="e">
        <f>#REF!</f>
        <v>#REF!</v>
      </c>
      <c r="AJ14" s="6" t="e">
        <f>AI14/AH14</f>
        <v>#REF!</v>
      </c>
      <c r="AL14" s="9">
        <v>440</v>
      </c>
      <c r="AM14" s="16" t="e">
        <f>#REF!</f>
        <v>#REF!</v>
      </c>
      <c r="AN14" s="17" t="e">
        <f>AM14/AL14</f>
        <v>#REF!</v>
      </c>
      <c r="AP14">
        <v>306</v>
      </c>
      <c r="AQ14" s="5" t="e">
        <f>#REF!</f>
        <v>#REF!</v>
      </c>
      <c r="AR14" s="6" t="e">
        <f>AQ14/AP14</f>
        <v>#REF!</v>
      </c>
      <c r="AT14">
        <v>190</v>
      </c>
      <c r="AU14" s="5" t="e">
        <f>#REF!</f>
        <v>#REF!</v>
      </c>
      <c r="AV14" s="6" t="e">
        <f>AU14/AT14</f>
        <v>#REF!</v>
      </c>
      <c r="AX14">
        <v>35</v>
      </c>
      <c r="AY14" s="5" t="e">
        <f>#REF!</f>
        <v>#REF!</v>
      </c>
      <c r="AZ14" s="6" t="e">
        <f>AY14/AX14</f>
        <v>#REF!</v>
      </c>
    </row>
    <row r="15" spans="1:52" x14ac:dyDescent="0.25">
      <c r="A15" t="s">
        <v>33</v>
      </c>
      <c r="R15">
        <v>105</v>
      </c>
      <c r="S15" s="5">
        <v>0</v>
      </c>
      <c r="T15" s="6">
        <f>S15/R15</f>
        <v>0</v>
      </c>
      <c r="V15">
        <v>669</v>
      </c>
      <c r="W15" s="5" t="e">
        <f>#REF!</f>
        <v>#REF!</v>
      </c>
      <c r="X15" s="6" t="e">
        <f>W15/V15</f>
        <v>#REF!</v>
      </c>
      <c r="Z15">
        <v>1247</v>
      </c>
      <c r="AA15" s="5" t="e">
        <f>#REF!</f>
        <v>#REF!</v>
      </c>
      <c r="AB15" s="6" t="e">
        <f>AA15/Z15</f>
        <v>#REF!</v>
      </c>
      <c r="AD15">
        <v>0</v>
      </c>
      <c r="AH15">
        <v>0</v>
      </c>
      <c r="AL15" s="11">
        <v>0</v>
      </c>
      <c r="AP15">
        <v>0</v>
      </c>
      <c r="AT15">
        <v>0</v>
      </c>
      <c r="AX15">
        <v>0</v>
      </c>
    </row>
    <row r="17" spans="1:52" x14ac:dyDescent="0.25">
      <c r="A17">
        <v>2002</v>
      </c>
    </row>
    <row r="18" spans="1:52" x14ac:dyDescent="0.25">
      <c r="C18" s="5" t="s">
        <v>35</v>
      </c>
      <c r="G18" s="5" t="s">
        <v>34</v>
      </c>
      <c r="K18" s="5" t="s">
        <v>20</v>
      </c>
      <c r="O18" s="5" t="s">
        <v>21</v>
      </c>
      <c r="S18" s="5" t="s">
        <v>22</v>
      </c>
      <c r="W18" s="5" t="s">
        <v>23</v>
      </c>
      <c r="AA18" s="5" t="s">
        <v>24</v>
      </c>
      <c r="AE18" s="5" t="s">
        <v>25</v>
      </c>
      <c r="AI18" s="5" t="s">
        <v>26</v>
      </c>
      <c r="AM18" s="5" t="s">
        <v>27</v>
      </c>
      <c r="AQ18" s="5" t="s">
        <v>28</v>
      </c>
      <c r="AU18" s="5" t="s">
        <v>29</v>
      </c>
      <c r="AY18" s="5" t="s">
        <v>30</v>
      </c>
    </row>
    <row r="19" spans="1:52" x14ac:dyDescent="0.25">
      <c r="B19" t="s">
        <v>37</v>
      </c>
      <c r="C19" s="5" t="s">
        <v>13</v>
      </c>
      <c r="D19" t="s">
        <v>38</v>
      </c>
      <c r="F19" t="s">
        <v>37</v>
      </c>
      <c r="G19" s="5" t="s">
        <v>13</v>
      </c>
      <c r="H19" t="s">
        <v>38</v>
      </c>
      <c r="J19" t="s">
        <v>37</v>
      </c>
      <c r="K19" s="5" t="s">
        <v>13</v>
      </c>
      <c r="L19" t="s">
        <v>38</v>
      </c>
      <c r="N19" t="s">
        <v>37</v>
      </c>
      <c r="O19" s="5" t="s">
        <v>13</v>
      </c>
      <c r="P19" t="s">
        <v>38</v>
      </c>
      <c r="R19" t="s">
        <v>37</v>
      </c>
      <c r="S19" s="5" t="s">
        <v>13</v>
      </c>
      <c r="T19" t="s">
        <v>38</v>
      </c>
      <c r="V19" t="s">
        <v>37</v>
      </c>
      <c r="W19" s="5" t="s">
        <v>13</v>
      </c>
      <c r="X19" t="s">
        <v>38</v>
      </c>
      <c r="Z19" t="s">
        <v>37</v>
      </c>
      <c r="AA19" s="5" t="s">
        <v>13</v>
      </c>
      <c r="AB19" t="s">
        <v>38</v>
      </c>
      <c r="AD19" t="s">
        <v>37</v>
      </c>
      <c r="AE19" s="5" t="s">
        <v>13</v>
      </c>
      <c r="AF19" t="s">
        <v>38</v>
      </c>
      <c r="AH19" t="s">
        <v>37</v>
      </c>
      <c r="AI19" s="5" t="s">
        <v>13</v>
      </c>
      <c r="AJ19" t="s">
        <v>38</v>
      </c>
      <c r="AL19" t="s">
        <v>37</v>
      </c>
      <c r="AM19" s="5" t="s">
        <v>13</v>
      </c>
      <c r="AN19" t="s">
        <v>38</v>
      </c>
      <c r="AP19" t="s">
        <v>37</v>
      </c>
      <c r="AQ19" s="5" t="s">
        <v>13</v>
      </c>
      <c r="AR19" t="s">
        <v>38</v>
      </c>
      <c r="AT19" t="s">
        <v>37</v>
      </c>
      <c r="AU19" s="5" t="s">
        <v>13</v>
      </c>
      <c r="AV19" t="s">
        <v>38</v>
      </c>
      <c r="AX19" t="s">
        <v>37</v>
      </c>
      <c r="AY19" s="5" t="s">
        <v>13</v>
      </c>
      <c r="AZ19" t="s">
        <v>38</v>
      </c>
    </row>
    <row r="20" spans="1:52" x14ac:dyDescent="0.25">
      <c r="A20" t="s">
        <v>31</v>
      </c>
      <c r="B20" s="11">
        <v>1</v>
      </c>
      <c r="C20" s="5" t="e">
        <f>#REF!</f>
        <v>#REF!</v>
      </c>
      <c r="D20" s="6" t="e">
        <f>C20/B20</f>
        <v>#REF!</v>
      </c>
      <c r="J20">
        <v>51</v>
      </c>
      <c r="K20" s="5" t="e">
        <f>#REF!</f>
        <v>#REF!</v>
      </c>
      <c r="L20" s="6" t="e">
        <f>K20/J20</f>
        <v>#REF!</v>
      </c>
      <c r="N20">
        <v>88</v>
      </c>
      <c r="O20" s="5" t="e">
        <f>#REF!</f>
        <v>#REF!</v>
      </c>
      <c r="P20" s="6" t="e">
        <f>O20/N20</f>
        <v>#REF!</v>
      </c>
      <c r="R20">
        <v>18789</v>
      </c>
      <c r="S20" s="5" t="e">
        <f>#REF!</f>
        <v>#REF!</v>
      </c>
      <c r="T20" s="6" t="e">
        <f>S20/R20</f>
        <v>#REF!</v>
      </c>
      <c r="V20">
        <v>10728</v>
      </c>
      <c r="W20" s="5" t="e">
        <f>#REF!</f>
        <v>#REF!</v>
      </c>
      <c r="X20" s="6" t="e">
        <f>W20/V20</f>
        <v>#REF!</v>
      </c>
      <c r="Z20">
        <v>14650</v>
      </c>
      <c r="AA20" s="5" t="e">
        <f>#REF!</f>
        <v>#REF!</v>
      </c>
      <c r="AB20" s="6" t="e">
        <f>AA20/Z20</f>
        <v>#REF!</v>
      </c>
      <c r="AD20">
        <v>3108</v>
      </c>
      <c r="AE20" s="5" t="e">
        <f>#REF!</f>
        <v>#REF!</v>
      </c>
      <c r="AF20" s="6" t="e">
        <f>AE20/AD20</f>
        <v>#REF!</v>
      </c>
      <c r="AH20">
        <v>1807</v>
      </c>
      <c r="AI20" s="5" t="e">
        <f>#REF!</f>
        <v>#REF!</v>
      </c>
      <c r="AJ20" s="6" t="e">
        <f>AI20/AH20</f>
        <v>#REF!</v>
      </c>
      <c r="AL20">
        <v>2196</v>
      </c>
      <c r="AM20" s="5">
        <v>0</v>
      </c>
      <c r="AN20" s="6">
        <f>AM20/AL20</f>
        <v>0</v>
      </c>
      <c r="AP20">
        <v>196</v>
      </c>
      <c r="AQ20" s="5" t="e">
        <f>#REF!</f>
        <v>#REF!</v>
      </c>
      <c r="AR20" s="6" t="e">
        <f>AQ20/AP20</f>
        <v>#REF!</v>
      </c>
      <c r="AT20">
        <v>246</v>
      </c>
      <c r="AU20" s="5">
        <v>0</v>
      </c>
      <c r="AV20" s="6">
        <f>AU20/AT20</f>
        <v>0</v>
      </c>
      <c r="AX20">
        <v>0</v>
      </c>
    </row>
    <row r="21" spans="1:52" x14ac:dyDescent="0.25">
      <c r="A21" t="s">
        <v>32</v>
      </c>
      <c r="N21" s="11">
        <v>6</v>
      </c>
      <c r="O21" s="5" t="e">
        <f>#REF!</f>
        <v>#REF!</v>
      </c>
      <c r="P21" s="6" t="e">
        <f>O21/N21</f>
        <v>#REF!</v>
      </c>
      <c r="R21">
        <v>38</v>
      </c>
      <c r="S21" s="5">
        <v>0</v>
      </c>
      <c r="T21" s="6">
        <f>S21/R21</f>
        <v>0</v>
      </c>
      <c r="V21">
        <v>291</v>
      </c>
      <c r="W21" s="5" t="e">
        <f>#REF!</f>
        <v>#REF!</v>
      </c>
      <c r="X21" s="6" t="e">
        <f>W21/V21</f>
        <v>#REF!</v>
      </c>
      <c r="Z21">
        <v>767</v>
      </c>
      <c r="AA21" s="5" t="e">
        <f>#REF!</f>
        <v>#REF!</v>
      </c>
      <c r="AB21" s="6" t="e">
        <f>AA21/Z21</f>
        <v>#REF!</v>
      </c>
      <c r="AD21">
        <v>328</v>
      </c>
      <c r="AE21" s="5" t="e">
        <f>#REF!</f>
        <v>#REF!</v>
      </c>
      <c r="AF21" s="6" t="e">
        <f>AE21/AD21</f>
        <v>#REF!</v>
      </c>
      <c r="AH21">
        <v>12</v>
      </c>
      <c r="AI21" s="5">
        <v>0</v>
      </c>
      <c r="AJ21" s="6">
        <f>AI21/AH21</f>
        <v>0</v>
      </c>
      <c r="AL21">
        <v>8</v>
      </c>
      <c r="AM21" s="5">
        <v>0</v>
      </c>
      <c r="AN21" s="6">
        <f>AM21/AL21</f>
        <v>0</v>
      </c>
      <c r="AP21">
        <v>0</v>
      </c>
      <c r="AT21">
        <v>0</v>
      </c>
      <c r="AX21">
        <v>0</v>
      </c>
    </row>
    <row r="22" spans="1:52" x14ac:dyDescent="0.25">
      <c r="A22" t="s">
        <v>33</v>
      </c>
      <c r="R22">
        <v>6505</v>
      </c>
      <c r="S22" s="5" t="e">
        <f>#REF!</f>
        <v>#REF!</v>
      </c>
      <c r="T22" s="6" t="e">
        <f>S22/R22</f>
        <v>#REF!</v>
      </c>
      <c r="V22">
        <v>2785</v>
      </c>
      <c r="W22" s="5" t="e">
        <f>#REF!</f>
        <v>#REF!</v>
      </c>
      <c r="X22" s="6" t="e">
        <f>W22/V22</f>
        <v>#REF!</v>
      </c>
      <c r="Z22">
        <v>4621</v>
      </c>
      <c r="AA22" s="5" t="e">
        <f>#REF!</f>
        <v>#REF!</v>
      </c>
      <c r="AB22" s="6" t="e">
        <f>AA22/Z22</f>
        <v>#REF!</v>
      </c>
      <c r="AD22">
        <v>1343</v>
      </c>
      <c r="AE22" s="5">
        <v>0</v>
      </c>
      <c r="AF22" s="6">
        <f>AE22/AD22</f>
        <v>0</v>
      </c>
      <c r="AH22">
        <v>253</v>
      </c>
      <c r="AI22" s="5">
        <v>0</v>
      </c>
      <c r="AJ22" s="6">
        <f>AI22/AH22</f>
        <v>0</v>
      </c>
      <c r="AL22">
        <v>53</v>
      </c>
      <c r="AM22" s="5">
        <v>0</v>
      </c>
      <c r="AN22" s="6">
        <f>AM22/AL22</f>
        <v>0</v>
      </c>
      <c r="AP22">
        <v>0</v>
      </c>
      <c r="AT22">
        <v>0</v>
      </c>
      <c r="AX22">
        <v>0</v>
      </c>
    </row>
    <row r="24" spans="1:52" x14ac:dyDescent="0.25">
      <c r="A24">
        <v>2003</v>
      </c>
    </row>
    <row r="25" spans="1:52" x14ac:dyDescent="0.25">
      <c r="C25" s="5" t="s">
        <v>35</v>
      </c>
      <c r="G25" s="5" t="s">
        <v>34</v>
      </c>
      <c r="K25" s="5" t="s">
        <v>20</v>
      </c>
      <c r="O25" s="5" t="s">
        <v>21</v>
      </c>
      <c r="S25" s="5" t="s">
        <v>22</v>
      </c>
      <c r="W25" s="5" t="s">
        <v>23</v>
      </c>
      <c r="AA25" s="5" t="s">
        <v>24</v>
      </c>
      <c r="AE25" s="5" t="s">
        <v>25</v>
      </c>
      <c r="AI25" s="5" t="s">
        <v>26</v>
      </c>
      <c r="AM25" s="5" t="s">
        <v>27</v>
      </c>
      <c r="AQ25" s="5" t="s">
        <v>28</v>
      </c>
      <c r="AU25" s="5" t="s">
        <v>29</v>
      </c>
      <c r="AY25" s="5" t="s">
        <v>30</v>
      </c>
    </row>
    <row r="26" spans="1:52" x14ac:dyDescent="0.25">
      <c r="B26" t="s">
        <v>37</v>
      </c>
      <c r="C26" s="5" t="s">
        <v>13</v>
      </c>
      <c r="D26" t="s">
        <v>38</v>
      </c>
      <c r="F26" t="s">
        <v>37</v>
      </c>
      <c r="G26" s="5" t="s">
        <v>13</v>
      </c>
      <c r="H26" t="s">
        <v>38</v>
      </c>
      <c r="J26" t="s">
        <v>37</v>
      </c>
      <c r="K26" s="5" t="s">
        <v>13</v>
      </c>
      <c r="L26" t="s">
        <v>38</v>
      </c>
      <c r="N26" t="s">
        <v>37</v>
      </c>
      <c r="O26" s="5" t="s">
        <v>13</v>
      </c>
      <c r="P26" t="s">
        <v>38</v>
      </c>
      <c r="R26" t="s">
        <v>37</v>
      </c>
      <c r="S26" s="5" t="s">
        <v>13</v>
      </c>
      <c r="T26" t="s">
        <v>38</v>
      </c>
      <c r="V26" t="s">
        <v>37</v>
      </c>
      <c r="W26" s="5" t="s">
        <v>13</v>
      </c>
      <c r="X26" t="s">
        <v>38</v>
      </c>
      <c r="Z26" t="s">
        <v>37</v>
      </c>
      <c r="AA26" s="5" t="s">
        <v>13</v>
      </c>
      <c r="AB26" t="s">
        <v>38</v>
      </c>
      <c r="AD26" t="s">
        <v>37</v>
      </c>
      <c r="AE26" s="5" t="s">
        <v>13</v>
      </c>
      <c r="AF26" t="s">
        <v>38</v>
      </c>
      <c r="AH26" t="s">
        <v>37</v>
      </c>
      <c r="AI26" s="5" t="s">
        <v>13</v>
      </c>
      <c r="AJ26" t="s">
        <v>38</v>
      </c>
      <c r="AL26" t="s">
        <v>37</v>
      </c>
      <c r="AM26" s="5" t="s">
        <v>13</v>
      </c>
      <c r="AN26" t="s">
        <v>38</v>
      </c>
      <c r="AP26" t="s">
        <v>37</v>
      </c>
      <c r="AQ26" s="5" t="s">
        <v>13</v>
      </c>
      <c r="AR26" t="s">
        <v>38</v>
      </c>
      <c r="AT26" t="s">
        <v>37</v>
      </c>
      <c r="AU26" s="5" t="s">
        <v>13</v>
      </c>
      <c r="AV26" t="s">
        <v>38</v>
      </c>
      <c r="AX26" t="s">
        <v>37</v>
      </c>
      <c r="AY26" s="5" t="s">
        <v>13</v>
      </c>
      <c r="AZ26" t="s">
        <v>38</v>
      </c>
    </row>
    <row r="27" spans="1:52" x14ac:dyDescent="0.25">
      <c r="A27" t="s">
        <v>31</v>
      </c>
      <c r="J27">
        <v>2</v>
      </c>
      <c r="K27" s="5">
        <v>0</v>
      </c>
      <c r="L27" s="6">
        <f>K27/J27</f>
        <v>0</v>
      </c>
      <c r="N27">
        <v>1489</v>
      </c>
      <c r="O27" s="5" t="e">
        <f>#REF!</f>
        <v>#REF!</v>
      </c>
      <c r="P27" s="6" t="e">
        <f>O27/N27</f>
        <v>#REF!</v>
      </c>
      <c r="R27">
        <v>17442</v>
      </c>
      <c r="S27" s="5" t="e">
        <f>#REF!</f>
        <v>#REF!</v>
      </c>
      <c r="T27" s="6" t="e">
        <f>S27/R27</f>
        <v>#REF!</v>
      </c>
      <c r="V27">
        <v>38494</v>
      </c>
      <c r="W27" s="5" t="e">
        <f>#REF!</f>
        <v>#REF!</v>
      </c>
      <c r="X27" s="6" t="e">
        <f>W27/V27</f>
        <v>#REF!</v>
      </c>
      <c r="Z27">
        <v>15637</v>
      </c>
      <c r="AA27" s="5" t="e">
        <f>#REF!</f>
        <v>#REF!</v>
      </c>
      <c r="AB27" s="6" t="e">
        <f>AA27/Z27</f>
        <v>#REF!</v>
      </c>
      <c r="AD27">
        <v>11846</v>
      </c>
      <c r="AE27" s="5" t="e">
        <f>#REF!</f>
        <v>#REF!</v>
      </c>
      <c r="AF27" s="6" t="e">
        <f>AE27/AD27</f>
        <v>#REF!</v>
      </c>
      <c r="AH27">
        <v>4203</v>
      </c>
      <c r="AI27" s="5" t="e">
        <f>#REF!</f>
        <v>#REF!</v>
      </c>
      <c r="AJ27" s="6" t="e">
        <f>AI27/AH27</f>
        <v>#REF!</v>
      </c>
      <c r="AL27">
        <v>1753</v>
      </c>
      <c r="AM27" s="5" t="e">
        <f>#REF!</f>
        <v>#REF!</v>
      </c>
      <c r="AN27" s="6" t="e">
        <f>AM27/AL27</f>
        <v>#REF!</v>
      </c>
      <c r="AP27">
        <v>569</v>
      </c>
      <c r="AQ27" s="5">
        <v>0</v>
      </c>
      <c r="AR27" s="6">
        <f>AQ27/AP27</f>
        <v>0</v>
      </c>
      <c r="AT27">
        <v>0</v>
      </c>
      <c r="AX27">
        <v>0</v>
      </c>
    </row>
    <row r="28" spans="1:52" x14ac:dyDescent="0.25">
      <c r="A28" t="s">
        <v>32</v>
      </c>
      <c r="N28">
        <v>63</v>
      </c>
      <c r="O28" s="5">
        <v>0</v>
      </c>
      <c r="P28" s="6">
        <f>O28/N28</f>
        <v>0</v>
      </c>
      <c r="R28">
        <v>16</v>
      </c>
      <c r="S28" s="5" t="e">
        <f>#REF!</f>
        <v>#REF!</v>
      </c>
      <c r="T28" s="6" t="e">
        <f>S28/R28</f>
        <v>#REF!</v>
      </c>
      <c r="V28">
        <v>409</v>
      </c>
      <c r="W28" s="5" t="e">
        <f>#REF!</f>
        <v>#REF!</v>
      </c>
      <c r="X28" s="6" t="e">
        <f>W28/V28</f>
        <v>#REF!</v>
      </c>
      <c r="Z28">
        <v>391</v>
      </c>
      <c r="AA28" s="5" t="e">
        <f>#REF!</f>
        <v>#REF!</v>
      </c>
      <c r="AB28" s="6" t="e">
        <f>AA28/Z28</f>
        <v>#REF!</v>
      </c>
      <c r="AD28">
        <v>1723</v>
      </c>
      <c r="AE28" s="5" t="e">
        <f>#REF!</f>
        <v>#REF!</v>
      </c>
      <c r="AF28" s="6" t="e">
        <f>AE28/AD28</f>
        <v>#REF!</v>
      </c>
      <c r="AH28">
        <v>714</v>
      </c>
      <c r="AI28" s="5" t="e">
        <f>#REF!</f>
        <v>#REF!</v>
      </c>
      <c r="AJ28" s="6" t="e">
        <f>AI28/AH28</f>
        <v>#REF!</v>
      </c>
      <c r="AL28">
        <v>557</v>
      </c>
      <c r="AM28" s="5" t="e">
        <f>#REF!</f>
        <v>#REF!</v>
      </c>
      <c r="AN28" s="6" t="e">
        <f>AM28/AL28</f>
        <v>#REF!</v>
      </c>
      <c r="AP28">
        <v>6</v>
      </c>
      <c r="AQ28" s="5">
        <v>0</v>
      </c>
      <c r="AR28" s="6">
        <f>AQ28/AP28</f>
        <v>0</v>
      </c>
      <c r="AT28">
        <v>0</v>
      </c>
      <c r="AX28">
        <v>0</v>
      </c>
    </row>
    <row r="29" spans="1:52" x14ac:dyDescent="0.25">
      <c r="A29" t="s">
        <v>33</v>
      </c>
      <c r="R29">
        <v>713</v>
      </c>
      <c r="S29" s="5" t="e">
        <f>#REF!</f>
        <v>#REF!</v>
      </c>
      <c r="T29" s="6" t="e">
        <f>S29/R29</f>
        <v>#REF!</v>
      </c>
      <c r="V29">
        <v>13035</v>
      </c>
      <c r="W29" s="5" t="e">
        <f>#REF!</f>
        <v>#REF!</v>
      </c>
      <c r="X29" s="6" t="e">
        <f>W29/V29</f>
        <v>#REF!</v>
      </c>
      <c r="Z29">
        <v>1089</v>
      </c>
      <c r="AA29" s="5" t="e">
        <f>#REF!</f>
        <v>#REF!</v>
      </c>
      <c r="AB29" s="6" t="e">
        <f>AA29/Z29</f>
        <v>#REF!</v>
      </c>
      <c r="AD29">
        <v>428</v>
      </c>
      <c r="AE29" s="5" t="e">
        <f>#REF!</f>
        <v>#REF!</v>
      </c>
      <c r="AF29" s="6" t="e">
        <f>AE29/AD29</f>
        <v>#REF!</v>
      </c>
      <c r="AH29">
        <v>309</v>
      </c>
      <c r="AI29" s="5">
        <v>0</v>
      </c>
      <c r="AJ29" s="6">
        <f>AI29/AH29</f>
        <v>0</v>
      </c>
      <c r="AL29">
        <v>12</v>
      </c>
      <c r="AM29" s="5">
        <v>0</v>
      </c>
      <c r="AN29" s="6">
        <f>AM29/AL29</f>
        <v>0</v>
      </c>
      <c r="AP29">
        <v>12</v>
      </c>
      <c r="AQ29" s="5">
        <v>0</v>
      </c>
      <c r="AR29" s="6">
        <f>AQ29/AP29</f>
        <v>0</v>
      </c>
      <c r="AT29">
        <v>0</v>
      </c>
      <c r="AX29">
        <v>0</v>
      </c>
    </row>
    <row r="31" spans="1:52" x14ac:dyDescent="0.25">
      <c r="A31">
        <v>2004</v>
      </c>
    </row>
    <row r="32" spans="1:52" x14ac:dyDescent="0.25">
      <c r="C32" s="5" t="s">
        <v>35</v>
      </c>
      <c r="G32" s="5" t="s">
        <v>34</v>
      </c>
      <c r="K32" s="5" t="s">
        <v>20</v>
      </c>
      <c r="O32" s="5" t="s">
        <v>21</v>
      </c>
      <c r="S32" s="5" t="s">
        <v>22</v>
      </c>
      <c r="W32" s="5" t="s">
        <v>23</v>
      </c>
      <c r="AA32" s="5" t="s">
        <v>24</v>
      </c>
      <c r="AE32" s="5" t="s">
        <v>25</v>
      </c>
      <c r="AI32" s="5" t="s">
        <v>26</v>
      </c>
      <c r="AM32" s="5" t="s">
        <v>27</v>
      </c>
      <c r="AQ32" s="5" t="s">
        <v>28</v>
      </c>
      <c r="AU32" s="5" t="s">
        <v>29</v>
      </c>
      <c r="AY32" s="5" t="s">
        <v>30</v>
      </c>
    </row>
    <row r="33" spans="1:54" x14ac:dyDescent="0.25">
      <c r="B33" t="s">
        <v>37</v>
      </c>
      <c r="C33" s="5" t="s">
        <v>13</v>
      </c>
      <c r="D33" t="s">
        <v>38</v>
      </c>
      <c r="F33" t="s">
        <v>37</v>
      </c>
      <c r="G33" s="5" t="s">
        <v>13</v>
      </c>
      <c r="H33" t="s">
        <v>38</v>
      </c>
      <c r="J33" t="s">
        <v>37</v>
      </c>
      <c r="K33" s="5" t="s">
        <v>13</v>
      </c>
      <c r="L33" t="s">
        <v>38</v>
      </c>
      <c r="N33" t="s">
        <v>37</v>
      </c>
      <c r="O33" s="5" t="s">
        <v>13</v>
      </c>
      <c r="P33" t="s">
        <v>38</v>
      </c>
      <c r="R33" t="s">
        <v>37</v>
      </c>
      <c r="S33" s="5" t="s">
        <v>13</v>
      </c>
      <c r="T33" t="s">
        <v>38</v>
      </c>
      <c r="V33" t="s">
        <v>37</v>
      </c>
      <c r="W33" s="5" t="s">
        <v>13</v>
      </c>
      <c r="X33" t="s">
        <v>38</v>
      </c>
      <c r="Z33" t="s">
        <v>37</v>
      </c>
      <c r="AA33" s="5" t="s">
        <v>13</v>
      </c>
      <c r="AB33" t="s">
        <v>38</v>
      </c>
      <c r="AD33" t="s">
        <v>37</v>
      </c>
      <c r="AE33" s="5" t="s">
        <v>13</v>
      </c>
      <c r="AF33" t="s">
        <v>38</v>
      </c>
      <c r="AH33" t="s">
        <v>37</v>
      </c>
      <c r="AI33" s="5" t="s">
        <v>13</v>
      </c>
      <c r="AJ33" t="s">
        <v>38</v>
      </c>
      <c r="AL33" t="s">
        <v>37</v>
      </c>
      <c r="AM33" s="5" t="s">
        <v>13</v>
      </c>
      <c r="AN33" t="s">
        <v>38</v>
      </c>
      <c r="AP33" t="s">
        <v>37</v>
      </c>
      <c r="AQ33" s="5" t="s">
        <v>13</v>
      </c>
      <c r="AR33" t="s">
        <v>38</v>
      </c>
      <c r="AT33" t="s">
        <v>37</v>
      </c>
      <c r="AU33" s="5" t="s">
        <v>13</v>
      </c>
      <c r="AV33" t="s">
        <v>38</v>
      </c>
      <c r="AX33" t="s">
        <v>37</v>
      </c>
      <c r="AY33" s="5" t="s">
        <v>13</v>
      </c>
      <c r="AZ33" t="s">
        <v>38</v>
      </c>
    </row>
    <row r="34" spans="1:54" x14ac:dyDescent="0.25">
      <c r="A34" t="s">
        <v>31</v>
      </c>
      <c r="F34">
        <v>3</v>
      </c>
      <c r="G34" s="5" t="e">
        <f>#REF!</f>
        <v>#REF!</v>
      </c>
      <c r="H34" s="6" t="e">
        <f>G34/F34</f>
        <v>#REF!</v>
      </c>
      <c r="J34">
        <v>1</v>
      </c>
      <c r="K34" s="20">
        <v>0</v>
      </c>
      <c r="L34" s="6">
        <f>K34/J34</f>
        <v>0</v>
      </c>
      <c r="N34">
        <v>279</v>
      </c>
      <c r="O34" s="5" t="e">
        <f>#REF!</f>
        <v>#REF!</v>
      </c>
      <c r="P34" s="6" t="e">
        <f>O34/N34</f>
        <v>#REF!</v>
      </c>
      <c r="R34">
        <v>3175</v>
      </c>
      <c r="S34" s="5" t="e">
        <f>#REF!</f>
        <v>#REF!</v>
      </c>
      <c r="T34" s="6" t="e">
        <f>S34/R34</f>
        <v>#REF!</v>
      </c>
      <c r="V34">
        <v>15480</v>
      </c>
      <c r="W34" s="5" t="e">
        <f>#REF!</f>
        <v>#REF!</v>
      </c>
      <c r="X34" s="6" t="e">
        <f>W34/V34</f>
        <v>#REF!</v>
      </c>
      <c r="Z34">
        <v>13180</v>
      </c>
      <c r="AA34" s="5" t="e">
        <f>#REF!</f>
        <v>#REF!</v>
      </c>
      <c r="AB34" s="6" t="e">
        <f>AA34/Z34</f>
        <v>#REF!</v>
      </c>
      <c r="AD34">
        <v>992</v>
      </c>
      <c r="AE34" s="5" t="e">
        <f>#REF!</f>
        <v>#REF!</v>
      </c>
      <c r="AF34" s="6" t="e">
        <f>AE34/AD34</f>
        <v>#REF!</v>
      </c>
      <c r="AH34">
        <v>658</v>
      </c>
      <c r="AI34" s="5" t="e">
        <f>#REF!</f>
        <v>#REF!</v>
      </c>
      <c r="AJ34" s="6" t="e">
        <f>AI34/AH34</f>
        <v>#REF!</v>
      </c>
      <c r="AL34">
        <v>246</v>
      </c>
      <c r="AM34" s="20">
        <v>0</v>
      </c>
      <c r="AN34" s="6">
        <f>AM34/AL34</f>
        <v>0</v>
      </c>
      <c r="AP34">
        <v>278</v>
      </c>
      <c r="AQ34" s="5" t="e">
        <f>#REF!</f>
        <v>#REF!</v>
      </c>
      <c r="AR34" s="6" t="e">
        <f>AQ34/AP34</f>
        <v>#REF!</v>
      </c>
      <c r="AT34">
        <v>275</v>
      </c>
      <c r="AU34" s="5" t="e">
        <f>#REF!</f>
        <v>#REF!</v>
      </c>
      <c r="AV34" s="6" t="e">
        <f>AU34/AT34</f>
        <v>#REF!</v>
      </c>
      <c r="AX34">
        <v>46</v>
      </c>
      <c r="AY34" s="5" t="e">
        <f>#REF!</f>
        <v>#REF!</v>
      </c>
      <c r="AZ34" s="6" t="e">
        <f>AY34/AX34</f>
        <v>#REF!</v>
      </c>
    </row>
    <row r="35" spans="1:54" x14ac:dyDescent="0.25">
      <c r="A35" t="s">
        <v>32</v>
      </c>
      <c r="N35">
        <v>63</v>
      </c>
      <c r="O35" s="5" t="e">
        <f>#REF!</f>
        <v>#REF!</v>
      </c>
      <c r="P35" s="6" t="e">
        <f>O35/N35</f>
        <v>#REF!</v>
      </c>
      <c r="R35">
        <v>90</v>
      </c>
      <c r="S35" s="5" t="e">
        <f>#REF!</f>
        <v>#REF!</v>
      </c>
      <c r="T35" s="6" t="e">
        <f>S35/R35</f>
        <v>#REF!</v>
      </c>
      <c r="V35">
        <v>108</v>
      </c>
      <c r="W35" s="5" t="e">
        <f>#REF!</f>
        <v>#REF!</v>
      </c>
      <c r="X35" s="6" t="e">
        <f>W35/V35</f>
        <v>#REF!</v>
      </c>
      <c r="Z35">
        <v>774</v>
      </c>
      <c r="AA35" s="5" t="e">
        <f>#REF!</f>
        <v>#REF!</v>
      </c>
      <c r="AB35" s="6" t="e">
        <f>AA35/Z35</f>
        <v>#REF!</v>
      </c>
      <c r="AD35">
        <v>254</v>
      </c>
      <c r="AE35" s="5" t="e">
        <f>#REF!</f>
        <v>#REF!</v>
      </c>
      <c r="AF35" s="6" t="e">
        <f>AE35/AD35</f>
        <v>#REF!</v>
      </c>
      <c r="AH35">
        <v>65</v>
      </c>
      <c r="AI35" s="5" t="e">
        <f>#REF!</f>
        <v>#REF!</v>
      </c>
      <c r="AJ35" s="6" t="e">
        <f>AI35/AH35</f>
        <v>#REF!</v>
      </c>
      <c r="AL35">
        <v>0</v>
      </c>
      <c r="AM35" s="20"/>
      <c r="AP35">
        <v>1</v>
      </c>
      <c r="AQ35" s="12">
        <v>0</v>
      </c>
      <c r="AR35" s="6">
        <f>AQ35/AP35</f>
        <v>0</v>
      </c>
      <c r="AT35">
        <v>0</v>
      </c>
      <c r="AX35">
        <v>0</v>
      </c>
    </row>
    <row r="36" spans="1:54" x14ac:dyDescent="0.25">
      <c r="A36" t="s">
        <v>33</v>
      </c>
      <c r="R36">
        <v>686</v>
      </c>
      <c r="S36" s="5" t="e">
        <f>#REF!</f>
        <v>#REF!</v>
      </c>
      <c r="T36" s="6" t="e">
        <f>S36/R36</f>
        <v>#REF!</v>
      </c>
      <c r="V36">
        <v>3093</v>
      </c>
      <c r="W36" s="5" t="e">
        <f>#REF!</f>
        <v>#REF!</v>
      </c>
      <c r="X36" s="6" t="e">
        <f>W36/V36</f>
        <v>#REF!</v>
      </c>
      <c r="Z36">
        <v>5321</v>
      </c>
      <c r="AA36" s="5" t="e">
        <f>#REF!</f>
        <v>#REF!</v>
      </c>
      <c r="AB36" s="6" t="e">
        <f>AA36/Z36</f>
        <v>#REF!</v>
      </c>
      <c r="AD36">
        <v>922</v>
      </c>
      <c r="AE36" s="5" t="e">
        <f>#REF!</f>
        <v>#REF!</v>
      </c>
      <c r="AF36" s="6" t="e">
        <f>AE36/AD36</f>
        <v>#REF!</v>
      </c>
      <c r="AH36">
        <v>112</v>
      </c>
      <c r="AI36" s="5" t="e">
        <f>#REF!</f>
        <v>#REF!</v>
      </c>
      <c r="AJ36" s="6" t="e">
        <f>AI36/AH36</f>
        <v>#REF!</v>
      </c>
      <c r="AL36">
        <v>26</v>
      </c>
      <c r="AM36" s="20">
        <v>0</v>
      </c>
      <c r="AN36" s="6">
        <f>AM36/AL36</f>
        <v>0</v>
      </c>
      <c r="AP36">
        <v>36</v>
      </c>
      <c r="AQ36" s="12">
        <v>0</v>
      </c>
      <c r="AR36" s="6">
        <f>AQ36/AP36</f>
        <v>0</v>
      </c>
      <c r="AT36">
        <v>0</v>
      </c>
      <c r="AX36">
        <v>0</v>
      </c>
    </row>
    <row r="37" spans="1:54" s="11" customFormat="1" x14ac:dyDescent="0.25">
      <c r="C37" s="12"/>
      <c r="G37" s="12"/>
      <c r="K37" s="12"/>
      <c r="L37" s="12"/>
      <c r="O37" s="12"/>
      <c r="P37" s="12"/>
      <c r="S37" s="12"/>
      <c r="T37" s="12"/>
      <c r="W37" s="12"/>
      <c r="X37" s="12"/>
      <c r="AA37" s="12"/>
      <c r="AB37" s="12"/>
      <c r="AE37" s="12"/>
      <c r="AF37" s="12"/>
      <c r="AI37" s="12"/>
      <c r="AJ37" s="12"/>
      <c r="AM37" s="12"/>
      <c r="AN37" s="12"/>
      <c r="AQ37" s="12"/>
      <c r="AR37" s="12"/>
      <c r="AU37" s="12"/>
      <c r="AV37" s="12"/>
      <c r="AY37" s="12"/>
      <c r="AZ37" s="12"/>
      <c r="BB37" s="12"/>
    </row>
  </sheetData>
  <phoneticPr fontId="4" type="noConversion"/>
  <pageMargins left="0.75" right="0.75" top="1" bottom="1" header="0.5" footer="0.5"/>
  <pageSetup orientation="portrait" horizontalDpi="4294967292" verticalDpi="0" r:id="rId1"/>
  <headerFooter alignWithMargins="0"/>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AF134"/>
  <sheetViews>
    <sheetView topLeftCell="A46" workbookViewId="0">
      <pane xSplit="1" topLeftCell="B1" activePane="topRight" state="frozen"/>
      <selection activeCell="I30" sqref="I30"/>
      <selection pane="topRight" activeCell="I30" sqref="I30"/>
    </sheetView>
  </sheetViews>
  <sheetFormatPr defaultRowHeight="12.5" x14ac:dyDescent="0.25"/>
  <cols>
    <col min="1" max="1" width="13.1796875" customWidth="1"/>
    <col min="2" max="2" width="10.26953125" customWidth="1"/>
    <col min="3" max="4" width="13.453125" customWidth="1"/>
    <col min="5" max="5" width="1.1796875" customWidth="1"/>
    <col min="6" max="6" width="11.453125" bestFit="1" customWidth="1"/>
    <col min="7" max="8" width="13.453125" customWidth="1"/>
    <col min="9" max="9" width="1.1796875" customWidth="1"/>
    <col min="10" max="10" width="10.26953125" customWidth="1"/>
    <col min="11" max="12" width="13.453125" customWidth="1"/>
    <col min="13" max="13" width="1.1796875" customWidth="1"/>
    <col min="14" max="14" width="10.26953125" customWidth="1"/>
    <col min="15" max="16" width="13.453125" customWidth="1"/>
    <col min="17" max="17" width="0.81640625" customWidth="1"/>
    <col min="18" max="18" width="10.26953125" customWidth="1"/>
    <col min="19" max="19" width="13.453125" customWidth="1"/>
    <col min="20" max="20" width="10.7265625" bestFit="1" customWidth="1"/>
    <col min="21" max="21" width="1.1796875" customWidth="1"/>
    <col min="22" max="22" width="10.26953125" customWidth="1"/>
    <col min="23" max="24" width="13.453125" customWidth="1"/>
    <col min="25" max="25" width="1.26953125" customWidth="1"/>
    <col min="26" max="26" width="10.26953125" customWidth="1"/>
    <col min="27" max="28" width="13.453125" customWidth="1"/>
    <col min="29" max="29" width="1.7265625" customWidth="1"/>
    <col min="30" max="30" width="10.26953125" customWidth="1"/>
    <col min="31" max="32" width="13.453125" customWidth="1"/>
    <col min="34" max="34" width="9.81640625" customWidth="1"/>
    <col min="35" max="35" width="13.54296875" bestFit="1" customWidth="1"/>
    <col min="36" max="38" width="13.54296875" customWidth="1"/>
    <col min="56" max="56" width="11.26953125" bestFit="1" customWidth="1"/>
    <col min="57" max="57" width="10.26953125" bestFit="1" customWidth="1"/>
    <col min="58" max="58" width="11.26953125" bestFit="1" customWidth="1"/>
    <col min="61" max="61" width="11.81640625" customWidth="1"/>
    <col min="62" max="62" width="9.7265625" bestFit="1" customWidth="1"/>
    <col min="63" max="63" width="9.54296875" customWidth="1"/>
  </cols>
  <sheetData>
    <row r="1" spans="1:32" ht="15.5" x14ac:dyDescent="0.35">
      <c r="A1" s="1" t="s">
        <v>239</v>
      </c>
    </row>
    <row r="2" spans="1:32" ht="13" x14ac:dyDescent="0.3">
      <c r="A2" s="2" t="s">
        <v>54</v>
      </c>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row>
    <row r="3" spans="1:32" ht="13" x14ac:dyDescent="0.3">
      <c r="A3" s="27"/>
      <c r="B3" s="36" t="s">
        <v>57</v>
      </c>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row>
    <row r="4" spans="1:32" ht="13" x14ac:dyDescent="0.3">
      <c r="A4" s="27"/>
      <c r="B4" s="37" t="s">
        <v>75</v>
      </c>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row>
    <row r="5" spans="1:32" ht="13" x14ac:dyDescent="0.3">
      <c r="A5" s="27"/>
      <c r="B5" s="38" t="s">
        <v>76</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row>
    <row r="6" spans="1:32" ht="13" x14ac:dyDescent="0.3">
      <c r="A6" s="27"/>
      <c r="B6" s="201" t="s">
        <v>155</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row>
    <row r="7" spans="1:32" ht="15.5" x14ac:dyDescent="0.35">
      <c r="A7" s="1" t="s">
        <v>47</v>
      </c>
    </row>
    <row r="8" spans="1:32" ht="13" x14ac:dyDescent="0.3">
      <c r="A8" s="2"/>
    </row>
    <row r="9" spans="1:32" ht="13" x14ac:dyDescent="0.3">
      <c r="C9" s="2" t="s">
        <v>0</v>
      </c>
      <c r="G9" s="2" t="s">
        <v>2</v>
      </c>
      <c r="K9" s="2" t="s">
        <v>3</v>
      </c>
      <c r="O9" s="2" t="s">
        <v>4</v>
      </c>
      <c r="S9" s="2" t="s">
        <v>67</v>
      </c>
      <c r="W9" s="2" t="s">
        <v>68</v>
      </c>
    </row>
    <row r="10" spans="1:32" x14ac:dyDescent="0.25">
      <c r="B10" t="s">
        <v>43</v>
      </c>
      <c r="C10" t="s">
        <v>50</v>
      </c>
      <c r="D10" t="s">
        <v>51</v>
      </c>
      <c r="F10" t="s">
        <v>43</v>
      </c>
      <c r="G10" t="s">
        <v>50</v>
      </c>
      <c r="H10" t="s">
        <v>51</v>
      </c>
      <c r="J10" t="s">
        <v>43</v>
      </c>
      <c r="K10" t="s">
        <v>50</v>
      </c>
      <c r="L10" t="s">
        <v>51</v>
      </c>
      <c r="N10" t="s">
        <v>43</v>
      </c>
      <c r="O10" t="s">
        <v>50</v>
      </c>
      <c r="P10" t="s">
        <v>51</v>
      </c>
      <c r="R10" t="s">
        <v>43</v>
      </c>
      <c r="S10" t="s">
        <v>50</v>
      </c>
      <c r="T10" t="s">
        <v>51</v>
      </c>
      <c r="V10" t="s">
        <v>43</v>
      </c>
      <c r="W10" t="s">
        <v>50</v>
      </c>
      <c r="X10" t="s">
        <v>51</v>
      </c>
    </row>
    <row r="11" spans="1:32" x14ac:dyDescent="0.25">
      <c r="A11" s="32"/>
    </row>
    <row r="12" spans="1:32" x14ac:dyDescent="0.25">
      <c r="A12" s="32" t="s">
        <v>203</v>
      </c>
      <c r="B12">
        <v>0</v>
      </c>
      <c r="F12">
        <v>0</v>
      </c>
      <c r="J12">
        <v>0</v>
      </c>
      <c r="N12">
        <v>0</v>
      </c>
      <c r="R12">
        <f>2074-1115</f>
        <v>959</v>
      </c>
      <c r="S12" s="119">
        <f>'2008 Comm Sample'!T7</f>
        <v>1.2594458438287154E-2</v>
      </c>
      <c r="T12" s="5">
        <f>S12*R12</f>
        <v>12.078085642317381</v>
      </c>
      <c r="V12">
        <v>1115</v>
      </c>
      <c r="W12" s="119">
        <f>'2008 Comm Sample'!X7</f>
        <v>0</v>
      </c>
      <c r="X12" s="5">
        <f>W12*V12</f>
        <v>0</v>
      </c>
    </row>
    <row r="13" spans="1:32" x14ac:dyDescent="0.25">
      <c r="A13" t="s">
        <v>31</v>
      </c>
      <c r="B13" s="11">
        <v>0</v>
      </c>
      <c r="C13" s="7"/>
      <c r="D13" s="5"/>
      <c r="F13" s="11">
        <v>0</v>
      </c>
      <c r="G13" s="4"/>
      <c r="H13" s="5"/>
      <c r="J13" s="11">
        <v>276</v>
      </c>
      <c r="K13" s="119">
        <f>'2008 Comm Sample'!L8</f>
        <v>0.10185185185185185</v>
      </c>
      <c r="L13" s="5">
        <f>K13*J13</f>
        <v>28.111111111111111</v>
      </c>
      <c r="N13" s="11">
        <v>162</v>
      </c>
      <c r="O13" s="119">
        <f>'2008 Comm Sample'!P8</f>
        <v>0</v>
      </c>
      <c r="P13" s="351">
        <f>O13*N13</f>
        <v>0</v>
      </c>
      <c r="R13" s="11">
        <v>6077</v>
      </c>
      <c r="S13" s="119">
        <f>'2008 Comm Sample'!T8</f>
        <v>2.7929568913175471E-2</v>
      </c>
      <c r="T13" s="5">
        <f>S13*R13</f>
        <v>169.72799028536733</v>
      </c>
      <c r="V13" s="11">
        <v>9963</v>
      </c>
      <c r="W13" s="119">
        <f>'2008 Comm Sample'!X8</f>
        <v>2.0520915548539857E-2</v>
      </c>
      <c r="X13" s="5">
        <f>W13*V13</f>
        <v>204.44988161010258</v>
      </c>
      <c r="AA13" s="4"/>
      <c r="AB13" s="5"/>
      <c r="AE13" s="4"/>
      <c r="AF13" s="5"/>
    </row>
    <row r="14" spans="1:32" x14ac:dyDescent="0.25">
      <c r="A14" t="s">
        <v>32</v>
      </c>
      <c r="B14" s="11">
        <v>0</v>
      </c>
      <c r="F14" s="11">
        <v>0</v>
      </c>
      <c r="J14" s="11">
        <v>0</v>
      </c>
      <c r="N14" s="11">
        <v>0</v>
      </c>
      <c r="R14" s="11">
        <v>717</v>
      </c>
      <c r="S14" s="119">
        <f>'2008 Comm Sample'!T9</f>
        <v>4.3478260869565216E-2</v>
      </c>
      <c r="T14" s="5">
        <f>S14*R14</f>
        <v>31.173913043478262</v>
      </c>
      <c r="V14" s="11">
        <v>627</v>
      </c>
      <c r="W14" s="119">
        <f>'2008 Comm Sample'!X9</f>
        <v>5.565217391304348E-2</v>
      </c>
      <c r="X14" s="5">
        <f>W14*V14</f>
        <v>34.893913043478264</v>
      </c>
      <c r="AA14" s="4"/>
      <c r="AB14" s="5"/>
      <c r="AE14" s="4"/>
      <c r="AF14" s="5"/>
    </row>
    <row r="15" spans="1:32" x14ac:dyDescent="0.25">
      <c r="A15" s="42" t="s">
        <v>45</v>
      </c>
      <c r="B15" s="47">
        <v>0</v>
      </c>
      <c r="C15" s="42"/>
      <c r="D15" s="42"/>
      <c r="E15" s="42"/>
      <c r="F15" s="47">
        <v>0</v>
      </c>
      <c r="G15" s="42"/>
      <c r="H15" s="42"/>
      <c r="I15" s="42"/>
      <c r="J15" s="47">
        <v>0</v>
      </c>
      <c r="K15" s="42"/>
      <c r="L15" s="42"/>
      <c r="M15" s="42"/>
      <c r="N15" s="47">
        <v>0</v>
      </c>
      <c r="O15" s="42"/>
      <c r="P15" s="42"/>
      <c r="Q15" s="42"/>
      <c r="R15" s="47">
        <v>1955</v>
      </c>
      <c r="S15" s="119">
        <f>'2008 Comm Sample'!T10</f>
        <v>4.2879019908116385E-2</v>
      </c>
      <c r="T15" s="50">
        <f>S15*R15</f>
        <v>83.828483920367532</v>
      </c>
      <c r="U15" s="42"/>
      <c r="V15" s="47">
        <v>2090</v>
      </c>
      <c r="W15" s="119">
        <f>'2008 Comm Sample'!X10</f>
        <v>5.0241545893719805E-2</v>
      </c>
      <c r="X15" s="50">
        <f>W15*V15</f>
        <v>105.00483091787439</v>
      </c>
      <c r="Y15" s="42"/>
      <c r="Z15" s="42"/>
      <c r="AA15" s="49"/>
      <c r="AB15" s="50"/>
      <c r="AC15" s="42"/>
      <c r="AD15" s="42"/>
      <c r="AE15" s="49"/>
      <c r="AF15" s="50"/>
    </row>
    <row r="16" spans="1:32" ht="14" x14ac:dyDescent="0.3">
      <c r="A16" s="80" t="s">
        <v>61</v>
      </c>
      <c r="B16" s="80">
        <f>SUM(B12:B15)</f>
        <v>0</v>
      </c>
      <c r="C16" s="81" t="e">
        <f>D16/B16</f>
        <v>#DIV/0!</v>
      </c>
      <c r="D16" s="80">
        <f>SUM(D12:D15)</f>
        <v>0</v>
      </c>
      <c r="E16" s="80"/>
      <c r="F16" s="80">
        <f>SUM(F12:F15)</f>
        <v>0</v>
      </c>
      <c r="G16" s="81" t="e">
        <f>H16/F16</f>
        <v>#DIV/0!</v>
      </c>
      <c r="H16" s="80">
        <f>SUM(H12:H15)</f>
        <v>0</v>
      </c>
      <c r="I16" s="80"/>
      <c r="J16" s="80">
        <f>SUM(J12:J15)</f>
        <v>276</v>
      </c>
      <c r="K16" s="81">
        <f>L16/J16</f>
        <v>0.10185185185185185</v>
      </c>
      <c r="L16" s="82">
        <f>SUM(L12:L15)</f>
        <v>28.111111111111111</v>
      </c>
      <c r="M16" s="80"/>
      <c r="N16" s="80">
        <f>SUM(N12:N15)</f>
        <v>162</v>
      </c>
      <c r="O16" s="81">
        <f>P16/N16</f>
        <v>0</v>
      </c>
      <c r="P16" s="82">
        <f>SUM(P12:P15)</f>
        <v>0</v>
      </c>
      <c r="Q16" s="80"/>
      <c r="R16" s="80">
        <f>SUM(R12:R15)</f>
        <v>9708</v>
      </c>
      <c r="S16" s="81">
        <f>T16/R16</f>
        <v>3.0573596301146526E-2</v>
      </c>
      <c r="T16" s="82">
        <f>SUM(T12:T15)</f>
        <v>296.80847289153047</v>
      </c>
      <c r="U16" s="80"/>
      <c r="V16" s="80">
        <f>SUM(V12:V15)</f>
        <v>13795</v>
      </c>
      <c r="W16" s="81">
        <f>X16/V16</f>
        <v>2.4961843100504189E-2</v>
      </c>
      <c r="X16" s="82">
        <f>SUM(X12:X15)</f>
        <v>344.34862557145527</v>
      </c>
      <c r="Y16" s="80"/>
      <c r="Z16" s="80"/>
      <c r="AA16" s="80"/>
      <c r="AB16" s="80"/>
      <c r="AC16" s="80"/>
      <c r="AD16" s="80"/>
      <c r="AE16" s="80"/>
      <c r="AF16" s="80"/>
    </row>
    <row r="17" spans="1:32" x14ac:dyDescent="0.25">
      <c r="A17">
        <v>1</v>
      </c>
      <c r="B17" s="111">
        <v>7</v>
      </c>
      <c r="C17" s="7">
        <f>'Mean Unmarked Rates'!D31</f>
        <v>0</v>
      </c>
      <c r="D17" s="5">
        <f>C17*B17</f>
        <v>0</v>
      </c>
      <c r="F17" s="111">
        <v>6</v>
      </c>
      <c r="G17" s="119">
        <f>'2008 Comm Sample'!H12</f>
        <v>0.4</v>
      </c>
      <c r="H17" s="5">
        <f>G17*F17</f>
        <v>2.4000000000000004</v>
      </c>
      <c r="J17" s="111"/>
      <c r="K17" s="4"/>
      <c r="L17" s="5"/>
      <c r="N17" s="111"/>
      <c r="O17" s="4"/>
      <c r="R17" s="73"/>
      <c r="V17" s="73"/>
    </row>
    <row r="18" spans="1:32" x14ac:dyDescent="0.25">
      <c r="A18">
        <v>2</v>
      </c>
      <c r="B18" s="111">
        <v>1</v>
      </c>
      <c r="C18" s="7">
        <f>'Mean Unmarked Rates'!D32</f>
        <v>0</v>
      </c>
      <c r="D18" s="5">
        <f>C18*B18</f>
        <v>0</v>
      </c>
      <c r="F18" s="111">
        <v>2</v>
      </c>
      <c r="G18" s="7">
        <f>'Mean Unmarked Rates'!H32</f>
        <v>0</v>
      </c>
      <c r="H18" s="5">
        <f>G18*F18</f>
        <v>0</v>
      </c>
      <c r="J18" s="111"/>
      <c r="K18" s="4"/>
      <c r="L18" s="5"/>
      <c r="N18" s="111"/>
      <c r="O18" s="4"/>
      <c r="R18" s="73"/>
      <c r="V18" s="73"/>
    </row>
    <row r="19" spans="1:32" x14ac:dyDescent="0.25">
      <c r="A19">
        <v>3</v>
      </c>
      <c r="B19" s="111">
        <v>1</v>
      </c>
      <c r="C19" s="7">
        <v>0</v>
      </c>
      <c r="D19" s="5">
        <f>C19*B19</f>
        <v>0</v>
      </c>
      <c r="F19" s="111">
        <v>2</v>
      </c>
      <c r="G19" s="119">
        <f>'2008 Comm Sample'!H14</f>
        <v>0</v>
      </c>
      <c r="H19" s="5">
        <f>G19*F19</f>
        <v>0</v>
      </c>
      <c r="J19" s="111"/>
      <c r="K19" s="4"/>
      <c r="L19" s="5"/>
      <c r="N19" s="111"/>
      <c r="O19" s="4"/>
      <c r="P19" s="5"/>
      <c r="R19" s="73"/>
      <c r="V19" s="73"/>
    </row>
    <row r="20" spans="1:32" x14ac:dyDescent="0.25">
      <c r="A20">
        <v>4</v>
      </c>
      <c r="B20" s="73"/>
      <c r="C20" s="119"/>
      <c r="D20" s="5"/>
      <c r="F20" s="111"/>
      <c r="G20" s="119"/>
      <c r="J20" s="111">
        <v>5</v>
      </c>
      <c r="K20" s="119">
        <f>'2008 Comm Sample'!L15</f>
        <v>1</v>
      </c>
      <c r="L20" s="5">
        <f>K20*J20</f>
        <v>5</v>
      </c>
      <c r="N20" s="111">
        <v>10</v>
      </c>
      <c r="O20" s="121">
        <f>'2008 Comm Sample'!P15</f>
        <v>0.6</v>
      </c>
      <c r="P20" s="5">
        <f>O20*N20</f>
        <v>6</v>
      </c>
      <c r="R20" s="73"/>
      <c r="V20" s="73"/>
    </row>
    <row r="21" spans="1:32" x14ac:dyDescent="0.25">
      <c r="A21" s="42">
        <v>5</v>
      </c>
      <c r="B21" s="73"/>
      <c r="C21" s="119"/>
      <c r="D21" s="5"/>
      <c r="E21" s="42"/>
      <c r="F21" s="71"/>
      <c r="G21" s="119"/>
      <c r="H21" s="42"/>
      <c r="I21" s="42"/>
      <c r="J21" s="71">
        <v>2</v>
      </c>
      <c r="K21" s="119">
        <f>'2008 Comm Sample'!L16</f>
        <v>1</v>
      </c>
      <c r="L21" s="5">
        <f>K21*J21</f>
        <v>2</v>
      </c>
      <c r="M21" s="42"/>
      <c r="N21" s="42">
        <v>42</v>
      </c>
      <c r="O21" s="49">
        <f>'2008 Comm Sample'!P16</f>
        <v>0.66666666666666663</v>
      </c>
      <c r="P21" s="5">
        <f>O21*N21</f>
        <v>28</v>
      </c>
      <c r="Q21" s="42"/>
      <c r="R21" s="71"/>
      <c r="S21" s="42"/>
      <c r="T21" s="42"/>
      <c r="U21" s="42"/>
      <c r="V21" s="71"/>
      <c r="W21" s="42"/>
      <c r="X21" s="42"/>
      <c r="Y21" s="42"/>
      <c r="Z21" s="42"/>
      <c r="AA21" s="42"/>
      <c r="AB21" s="42"/>
      <c r="AC21" s="42"/>
      <c r="AD21" s="42"/>
      <c r="AE21" s="42"/>
      <c r="AF21" s="42"/>
    </row>
    <row r="22" spans="1:32" ht="14" x14ac:dyDescent="0.3">
      <c r="A22" s="89" t="s">
        <v>60</v>
      </c>
      <c r="B22" s="80">
        <f>SUM(B17:B21)</f>
        <v>9</v>
      </c>
      <c r="C22" s="81">
        <f>D22/B22</f>
        <v>0</v>
      </c>
      <c r="D22" s="82">
        <f>SUM(D17:D21)</f>
        <v>0</v>
      </c>
      <c r="E22" s="89"/>
      <c r="F22" s="80">
        <f>SUM(F17:F21)</f>
        <v>10</v>
      </c>
      <c r="G22" s="81">
        <f>H22/F22</f>
        <v>0.24000000000000005</v>
      </c>
      <c r="H22" s="82">
        <f>SUM(H17:H21)</f>
        <v>2.4000000000000004</v>
      </c>
      <c r="I22" s="89"/>
      <c r="J22" s="80">
        <f>SUM(J17:J21)</f>
        <v>7</v>
      </c>
      <c r="K22" s="81">
        <f>L22/J22</f>
        <v>1</v>
      </c>
      <c r="L22" s="82">
        <f>SUM(L17:L21)</f>
        <v>7</v>
      </c>
      <c r="M22" s="89"/>
      <c r="N22" s="80">
        <f>SUM(N17:N21)</f>
        <v>52</v>
      </c>
      <c r="O22" s="81">
        <f>P22/N22</f>
        <v>0.65384615384615385</v>
      </c>
      <c r="P22" s="82">
        <f>SUM(P17:P21)</f>
        <v>34</v>
      </c>
      <c r="Q22" s="89"/>
      <c r="R22" s="80">
        <f>SUM(R17:R21)</f>
        <v>0</v>
      </c>
      <c r="S22" s="81" t="e">
        <f>T22/R22</f>
        <v>#DIV/0!</v>
      </c>
      <c r="T22" s="82">
        <f>SUM(T17:T21)</f>
        <v>0</v>
      </c>
      <c r="U22" s="89"/>
      <c r="V22" s="80">
        <f>SUM(V17:V21)</f>
        <v>0</v>
      </c>
      <c r="W22" s="81" t="e">
        <f>X22/V22</f>
        <v>#DIV/0!</v>
      </c>
      <c r="X22" s="82">
        <f>SUM(X17:X21)</f>
        <v>0</v>
      </c>
      <c r="Y22" s="89"/>
      <c r="Z22" s="89"/>
      <c r="AA22" s="89"/>
      <c r="AB22" s="89"/>
      <c r="AC22" s="89"/>
      <c r="AD22" s="89"/>
      <c r="AE22" s="89"/>
      <c r="AF22" s="89"/>
    </row>
    <row r="23" spans="1:32" ht="13" x14ac:dyDescent="0.3">
      <c r="A23" s="2" t="s">
        <v>319</v>
      </c>
      <c r="B23" s="692">
        <f>SUM(B17:B19)</f>
        <v>9</v>
      </c>
      <c r="D23" s="692">
        <f>SUM(D17:D19)</f>
        <v>0</v>
      </c>
      <c r="F23" s="692">
        <f>SUM(F17:F19)</f>
        <v>10</v>
      </c>
      <c r="H23" s="692">
        <f>SUM(H17:H19)</f>
        <v>2.4000000000000004</v>
      </c>
      <c r="J23" s="692">
        <f>SUM(J17:J19)</f>
        <v>0</v>
      </c>
      <c r="L23" s="692">
        <f>SUM(L17:L19)</f>
        <v>0</v>
      </c>
      <c r="N23" s="692">
        <f>SUM(N17:N19)</f>
        <v>0</v>
      </c>
      <c r="P23" s="692">
        <f>SUM(P17:P19)</f>
        <v>0</v>
      </c>
      <c r="R23" s="692">
        <f>SUM(R17:R19)</f>
        <v>0</v>
      </c>
      <c r="T23" s="693" t="e">
        <f>SUM(T17:T19)/SUM(R17:R19)</f>
        <v>#DIV/0!</v>
      </c>
      <c r="X23" s="693" t="e">
        <f>SUM(X17:X19)/SUM(V17:V19)</f>
        <v>#DIV/0!</v>
      </c>
      <c r="AB23" s="693"/>
      <c r="AD23" s="44"/>
      <c r="AF23" s="693"/>
    </row>
    <row r="24" spans="1:32" ht="13" x14ac:dyDescent="0.3">
      <c r="A24" s="2"/>
      <c r="B24" s="692">
        <f>SUM(B20:B21)</f>
        <v>0</v>
      </c>
      <c r="D24" s="692">
        <f>SUM(D20:D21)</f>
        <v>0</v>
      </c>
      <c r="F24" s="692">
        <f>SUM(F20:F21)</f>
        <v>0</v>
      </c>
      <c r="H24" s="692">
        <f>SUM(H20:H21)</f>
        <v>0</v>
      </c>
      <c r="J24" s="692">
        <f>SUM(J20:J21)</f>
        <v>7</v>
      </c>
      <c r="L24" s="692">
        <f>SUM(L20:L21)</f>
        <v>7</v>
      </c>
      <c r="N24" s="692">
        <f>SUM(N20:N21)</f>
        <v>52</v>
      </c>
      <c r="P24" s="692">
        <f>SUM(P20:P21)</f>
        <v>34</v>
      </c>
      <c r="R24" s="692">
        <f>SUM(R20:R21)</f>
        <v>0</v>
      </c>
      <c r="T24" s="693" t="e">
        <f>SUM(T20:T21)/SUM(R20:R21)</f>
        <v>#DIV/0!</v>
      </c>
      <c r="X24" s="693" t="e">
        <f>SUM(X20:X21)/SUM(V20:V21)</f>
        <v>#DIV/0!</v>
      </c>
      <c r="AB24" s="693"/>
      <c r="AF24" s="693"/>
    </row>
    <row r="25" spans="1:32" ht="13" x14ac:dyDescent="0.3">
      <c r="A25" s="2"/>
      <c r="B25" s="2"/>
      <c r="C25" s="2"/>
      <c r="D25" s="8"/>
      <c r="E25" s="2"/>
      <c r="F25" s="8"/>
      <c r="G25" s="2"/>
      <c r="H25" s="8"/>
      <c r="I25" s="2"/>
      <c r="J25" s="8"/>
      <c r="K25" s="2"/>
      <c r="L25" s="8"/>
      <c r="M25" s="2"/>
      <c r="N25" s="8"/>
      <c r="O25" s="25"/>
      <c r="P25" s="8"/>
      <c r="Q25" s="2"/>
      <c r="R25" s="2"/>
      <c r="S25" s="2"/>
      <c r="T25" s="2"/>
      <c r="U25" s="2"/>
      <c r="V25" s="2"/>
      <c r="W25" s="2"/>
      <c r="X25" s="2"/>
      <c r="Y25" s="2"/>
      <c r="Z25" s="2"/>
      <c r="AA25" s="2"/>
      <c r="AB25" s="2"/>
      <c r="AC25" s="2"/>
      <c r="AD25" s="2"/>
      <c r="AE25" s="2"/>
      <c r="AF25" s="2"/>
    </row>
    <row r="26" spans="1:32" ht="14" x14ac:dyDescent="0.3">
      <c r="A26" s="113" t="s">
        <v>44</v>
      </c>
      <c r="B26" s="113">
        <f>B16+B22</f>
        <v>9</v>
      </c>
      <c r="C26" s="114"/>
      <c r="D26" s="115">
        <f>D16+D22</f>
        <v>0</v>
      </c>
      <c r="E26" s="113"/>
      <c r="F26" s="113">
        <f>F16+F22</f>
        <v>10</v>
      </c>
      <c r="G26" s="114">
        <f>H26/F26</f>
        <v>0.24000000000000005</v>
      </c>
      <c r="H26" s="115">
        <f>H16+H22</f>
        <v>2.4000000000000004</v>
      </c>
      <c r="I26" s="113"/>
      <c r="J26" s="113">
        <f>J16+J22</f>
        <v>283</v>
      </c>
      <c r="K26" s="114">
        <f>L26/J26</f>
        <v>0.12406753042795447</v>
      </c>
      <c r="L26" s="115">
        <f>L16+L22</f>
        <v>35.111111111111114</v>
      </c>
      <c r="M26" s="113"/>
      <c r="N26" s="113">
        <f>N16+N22</f>
        <v>214</v>
      </c>
      <c r="O26" s="114">
        <f>P26/N26</f>
        <v>0.15887850467289719</v>
      </c>
      <c r="P26" s="115">
        <f>P16+P22</f>
        <v>34</v>
      </c>
      <c r="Q26" s="113"/>
      <c r="R26" s="113">
        <v>0</v>
      </c>
      <c r="S26" s="113"/>
      <c r="T26" s="113"/>
      <c r="U26" s="113"/>
      <c r="V26" s="113">
        <v>0</v>
      </c>
      <c r="W26" s="113"/>
      <c r="X26" s="113"/>
      <c r="Y26" s="113"/>
      <c r="Z26" s="113"/>
      <c r="AA26" s="113"/>
      <c r="AB26" s="113"/>
      <c r="AC26" s="113"/>
      <c r="AD26" s="113"/>
      <c r="AE26" s="113"/>
      <c r="AF26" s="113"/>
    </row>
    <row r="27" spans="1:32" ht="13" x14ac:dyDescent="0.3">
      <c r="A27" s="2"/>
      <c r="B27" s="2"/>
      <c r="C27" s="2"/>
      <c r="D27" s="8"/>
      <c r="E27" s="2"/>
      <c r="F27" s="8"/>
      <c r="G27" s="2"/>
      <c r="H27" s="8"/>
      <c r="I27" s="2"/>
      <c r="J27" s="8"/>
      <c r="K27" s="2"/>
      <c r="L27" s="8"/>
      <c r="M27" s="2"/>
      <c r="N27" s="8"/>
      <c r="O27" s="25"/>
      <c r="P27" s="8"/>
      <c r="Q27" s="2"/>
      <c r="R27" s="2"/>
      <c r="S27" s="2"/>
      <c r="T27" s="2"/>
      <c r="U27" s="2"/>
      <c r="V27" s="2"/>
      <c r="W27" s="2"/>
      <c r="X27" s="2"/>
      <c r="Y27" s="2"/>
      <c r="Z27" s="2"/>
      <c r="AA27" s="2"/>
      <c r="AB27" s="2"/>
      <c r="AC27" s="2"/>
      <c r="AD27" s="2"/>
      <c r="AE27" s="2"/>
      <c r="AF27" s="2"/>
    </row>
    <row r="28" spans="1:32" ht="15.5" x14ac:dyDescent="0.35">
      <c r="A28" s="1" t="s">
        <v>48</v>
      </c>
      <c r="B28" s="2"/>
      <c r="C28" s="2"/>
      <c r="D28" s="8"/>
      <c r="E28" s="2"/>
      <c r="F28" s="8"/>
      <c r="G28" s="2"/>
      <c r="H28" s="8"/>
      <c r="I28" s="2"/>
      <c r="J28" s="8"/>
      <c r="K28" s="2"/>
      <c r="L28" s="8"/>
      <c r="M28" s="2"/>
      <c r="N28" s="8"/>
      <c r="O28" s="25"/>
      <c r="P28" s="8"/>
      <c r="Q28" s="2"/>
      <c r="R28" s="2"/>
      <c r="S28" s="2"/>
      <c r="T28" s="2"/>
      <c r="U28" s="2"/>
      <c r="V28" s="2"/>
      <c r="W28" s="2"/>
      <c r="X28" s="2"/>
      <c r="Y28" s="2"/>
      <c r="Z28" s="2"/>
      <c r="AA28" s="2"/>
      <c r="AB28" s="2"/>
      <c r="AC28" s="2"/>
      <c r="AD28" s="2"/>
      <c r="AE28" s="2"/>
      <c r="AF28" s="2"/>
    </row>
    <row r="29" spans="1:32" x14ac:dyDescent="0.25">
      <c r="D29" s="5"/>
      <c r="P29" s="5"/>
    </row>
    <row r="30" spans="1:32" ht="13" x14ac:dyDescent="0.3">
      <c r="A30" s="2"/>
      <c r="B30" s="2"/>
      <c r="C30" s="2" t="s">
        <v>12</v>
      </c>
      <c r="D30" s="2"/>
      <c r="E30" s="2"/>
      <c r="F30" s="2"/>
      <c r="G30" s="2" t="s">
        <v>5</v>
      </c>
      <c r="H30" s="2"/>
      <c r="I30" s="2"/>
      <c r="J30" s="2"/>
      <c r="K30" s="2" t="s">
        <v>6</v>
      </c>
      <c r="L30" s="2"/>
      <c r="M30" s="2"/>
      <c r="N30" s="2"/>
      <c r="O30" s="2" t="s">
        <v>7</v>
      </c>
      <c r="P30" s="2"/>
      <c r="Q30" s="2"/>
      <c r="R30" s="2"/>
      <c r="S30" s="2" t="s">
        <v>8</v>
      </c>
      <c r="T30" s="2"/>
      <c r="U30" s="2"/>
      <c r="V30" s="2"/>
      <c r="W30" s="2" t="s">
        <v>9</v>
      </c>
      <c r="X30" s="2"/>
      <c r="Y30" s="2"/>
      <c r="Z30" s="2"/>
      <c r="AA30" s="2" t="s">
        <v>10</v>
      </c>
      <c r="AB30" s="2"/>
      <c r="AC30" s="2"/>
      <c r="AD30" s="2"/>
      <c r="AE30" s="2" t="s">
        <v>11</v>
      </c>
      <c r="AF30" s="2"/>
    </row>
    <row r="31" spans="1:32" x14ac:dyDescent="0.25">
      <c r="B31" t="s">
        <v>43</v>
      </c>
      <c r="C31" t="s">
        <v>50</v>
      </c>
      <c r="D31" t="s">
        <v>51</v>
      </c>
      <c r="F31" t="s">
        <v>43</v>
      </c>
      <c r="G31" t="s">
        <v>50</v>
      </c>
      <c r="H31" t="s">
        <v>51</v>
      </c>
      <c r="J31" t="s">
        <v>43</v>
      </c>
      <c r="K31" t="s">
        <v>50</v>
      </c>
      <c r="L31" t="s">
        <v>51</v>
      </c>
      <c r="N31" t="s">
        <v>43</v>
      </c>
      <c r="O31" t="s">
        <v>50</v>
      </c>
      <c r="P31" t="s">
        <v>51</v>
      </c>
      <c r="R31" t="s">
        <v>43</v>
      </c>
      <c r="S31" t="s">
        <v>50</v>
      </c>
      <c r="T31" t="s">
        <v>51</v>
      </c>
      <c r="V31" t="s">
        <v>43</v>
      </c>
      <c r="W31" t="s">
        <v>50</v>
      </c>
      <c r="X31" t="s">
        <v>51</v>
      </c>
      <c r="Z31" t="s">
        <v>43</v>
      </c>
      <c r="AA31" t="s">
        <v>50</v>
      </c>
      <c r="AB31" t="s">
        <v>51</v>
      </c>
      <c r="AD31" t="s">
        <v>43</v>
      </c>
      <c r="AE31" t="s">
        <v>50</v>
      </c>
      <c r="AF31" t="s">
        <v>51</v>
      </c>
    </row>
    <row r="32" spans="1:32" x14ac:dyDescent="0.25">
      <c r="A32" s="32"/>
    </row>
    <row r="33" spans="1:32" x14ac:dyDescent="0.25">
      <c r="A33" s="32" t="s">
        <v>203</v>
      </c>
      <c r="B33">
        <v>0</v>
      </c>
      <c r="C33" s="119"/>
      <c r="D33" s="5"/>
      <c r="F33">
        <v>0</v>
      </c>
      <c r="G33" s="119" t="e">
        <f>'2008 Comm Sample'!H23</f>
        <v>#DIV/0!</v>
      </c>
      <c r="H33" s="5"/>
      <c r="J33">
        <v>0</v>
      </c>
      <c r="K33" s="119" t="e">
        <f>'2008 Comm Sample'!L23</f>
        <v>#DIV/0!</v>
      </c>
      <c r="L33" s="69"/>
      <c r="N33">
        <v>0</v>
      </c>
      <c r="O33" s="119" t="e">
        <f>'2008 Comm Sample'!P23</f>
        <v>#DIV/0!</v>
      </c>
      <c r="P33" s="5"/>
      <c r="S33" s="119">
        <f>'2008 Comm Sample'!T23</f>
        <v>0</v>
      </c>
      <c r="T33" s="5"/>
      <c r="W33" s="119" t="e">
        <f>'2008 Comm Sample'!X23</f>
        <v>#DIV/0!</v>
      </c>
      <c r="X33" s="5"/>
      <c r="AA33" s="119">
        <f>'2008 Comm Sample'!AB23</f>
        <v>0</v>
      </c>
      <c r="AE33" s="119">
        <f>'2008 Comm Sample'!AF23</f>
        <v>0</v>
      </c>
    </row>
    <row r="34" spans="1:32" x14ac:dyDescent="0.25">
      <c r="A34" t="s">
        <v>31</v>
      </c>
      <c r="B34" s="11">
        <v>5579</v>
      </c>
      <c r="C34" s="119">
        <f>'2008 Comm Sample'!D24</f>
        <v>2.6468539586719294E-2</v>
      </c>
      <c r="D34" s="69">
        <f>C34*B34</f>
        <v>147.66798235430693</v>
      </c>
      <c r="F34">
        <v>2510</v>
      </c>
      <c r="G34" s="119">
        <f>'2008 Comm Sample'!H24</f>
        <v>1.7817371937639197E-2</v>
      </c>
      <c r="H34" s="5">
        <f>G34*F34</f>
        <v>44.721603563474389</v>
      </c>
      <c r="J34">
        <v>0</v>
      </c>
      <c r="K34" s="119">
        <f>'2008 Comm Sample'!L24</f>
        <v>3.4542314335060449E-2</v>
      </c>
      <c r="L34" s="69">
        <f>K34*J34</f>
        <v>0</v>
      </c>
      <c r="N34">
        <v>0</v>
      </c>
      <c r="O34" s="119" t="e">
        <f>'2008 Comm Sample'!P24</f>
        <v>#DIV/0!</v>
      </c>
      <c r="P34" s="5"/>
      <c r="R34">
        <v>0</v>
      </c>
      <c r="S34" s="119">
        <f>'2008 Comm Sample'!T24</f>
        <v>0</v>
      </c>
      <c r="T34" s="5">
        <f>S34*R34</f>
        <v>0</v>
      </c>
      <c r="V34">
        <v>0</v>
      </c>
      <c r="W34" s="119">
        <f>'2008 Comm Sample'!X24</f>
        <v>0</v>
      </c>
      <c r="X34" s="5">
        <f>W34*V34</f>
        <v>0</v>
      </c>
      <c r="Z34">
        <v>0</v>
      </c>
      <c r="AA34" s="119" t="e">
        <f>'2008 Comm Sample'!AB24</f>
        <v>#DIV/0!</v>
      </c>
      <c r="AB34" s="5"/>
      <c r="AE34" s="119">
        <f>'2008 Comm Sample'!AF24</f>
        <v>0</v>
      </c>
      <c r="AF34" s="5">
        <f>AD34*AE34</f>
        <v>0</v>
      </c>
    </row>
    <row r="35" spans="1:32" x14ac:dyDescent="0.25">
      <c r="A35" t="s">
        <v>32</v>
      </c>
      <c r="B35" s="11">
        <v>1064</v>
      </c>
      <c r="C35" s="119">
        <f>'2008 Comm Sample'!D25</f>
        <v>3.2476319350473612E-2</v>
      </c>
      <c r="D35" s="69">
        <f>C35*B35</f>
        <v>34.554803788903925</v>
      </c>
      <c r="F35">
        <v>1045</v>
      </c>
      <c r="G35" s="119">
        <f>'2008 Comm Sample'!H25</f>
        <v>5.6338028169014086E-2</v>
      </c>
      <c r="H35" s="5">
        <f>G35*F35</f>
        <v>58.87323943661972</v>
      </c>
      <c r="J35">
        <v>463</v>
      </c>
      <c r="K35" s="119">
        <f>'2008 Comm Sample'!L25</f>
        <v>6.1135371179039298E-2</v>
      </c>
      <c r="L35" s="69">
        <f>K35*J35</f>
        <v>28.305676855895197</v>
      </c>
      <c r="N35">
        <v>0</v>
      </c>
      <c r="O35" s="119" t="e">
        <f>'2008 Comm Sample'!P25</f>
        <v>#DIV/0!</v>
      </c>
      <c r="P35" s="5"/>
      <c r="R35">
        <v>0</v>
      </c>
      <c r="S35" s="119" t="e">
        <f>'2008 Comm Sample'!T25</f>
        <v>#DIV/0!</v>
      </c>
      <c r="T35" s="5"/>
      <c r="V35">
        <v>0</v>
      </c>
      <c r="W35" s="119" t="e">
        <f>'2008 Comm Sample'!X25</f>
        <v>#DIV/0!</v>
      </c>
      <c r="X35" s="5"/>
      <c r="Z35">
        <v>0</v>
      </c>
      <c r="AA35" s="119">
        <f>'2008 Comm Sample'!AB25</f>
        <v>0</v>
      </c>
      <c r="AB35" s="5">
        <v>0</v>
      </c>
      <c r="AE35" s="119">
        <f>'2008 Comm Sample'!AF25</f>
        <v>0</v>
      </c>
      <c r="AF35" s="5"/>
    </row>
    <row r="36" spans="1:32" x14ac:dyDescent="0.25">
      <c r="A36" s="42" t="s">
        <v>62</v>
      </c>
      <c r="B36" s="47">
        <v>985</v>
      </c>
      <c r="C36" s="119">
        <f>'2008 Comm Sample'!D26</f>
        <v>1.912568306010929E-2</v>
      </c>
      <c r="D36" s="69">
        <f>C36*B36</f>
        <v>18.838797814207652</v>
      </c>
      <c r="E36" s="42"/>
      <c r="F36" s="42">
        <v>1035</v>
      </c>
      <c r="G36" s="119">
        <f>'2008 Comm Sample'!H26</f>
        <v>0</v>
      </c>
      <c r="H36" s="50">
        <f>G36*F36</f>
        <v>0</v>
      </c>
      <c r="I36" s="42"/>
      <c r="J36" s="42">
        <v>728</v>
      </c>
      <c r="K36" s="119">
        <f>'2008 Comm Sample'!L26</f>
        <v>2.1929824561403508E-2</v>
      </c>
      <c r="L36" s="69">
        <f>K36*J36</f>
        <v>15.964912280701753</v>
      </c>
      <c r="M36" s="42"/>
      <c r="N36" s="47">
        <v>0</v>
      </c>
      <c r="O36" s="119" t="e">
        <f>'2008 Comm Sample'!P26</f>
        <v>#DIV/0!</v>
      </c>
      <c r="P36" s="5"/>
      <c r="Q36" s="42"/>
      <c r="R36" s="42">
        <v>0</v>
      </c>
      <c r="S36" s="119" t="e">
        <f>'2008 Comm Sample'!T26</f>
        <v>#DIV/0!</v>
      </c>
      <c r="T36" s="5"/>
      <c r="U36" s="42"/>
      <c r="V36" s="42">
        <v>0</v>
      </c>
      <c r="W36" s="119">
        <f>'2008 Comm Sample'!X26</f>
        <v>0</v>
      </c>
      <c r="X36" s="5">
        <v>0</v>
      </c>
      <c r="Y36" s="42"/>
      <c r="Z36" s="42">
        <v>0</v>
      </c>
      <c r="AA36" s="119">
        <f>'2008 Comm Sample'!AB26</f>
        <v>0</v>
      </c>
      <c r="AB36" s="42">
        <v>0</v>
      </c>
      <c r="AC36" s="42"/>
      <c r="AD36" s="42"/>
      <c r="AE36" s="119">
        <f>'2008 Comm Sample'!AF26</f>
        <v>0</v>
      </c>
      <c r="AF36" s="50"/>
    </row>
    <row r="37" spans="1:32" ht="14" x14ac:dyDescent="0.3">
      <c r="A37" s="79" t="s">
        <v>61</v>
      </c>
      <c r="B37" s="80">
        <f>SUM(B33:B36)</f>
        <v>7628</v>
      </c>
      <c r="C37" s="81">
        <f>D37/B37</f>
        <v>2.6358361819273531E-2</v>
      </c>
      <c r="D37" s="82">
        <f>SUM(D33:D36)</f>
        <v>201.06158395741849</v>
      </c>
      <c r="E37" s="83"/>
      <c r="F37" s="80">
        <f>SUM(F33:F36)</f>
        <v>4590</v>
      </c>
      <c r="G37" s="81">
        <f>H37/F37</f>
        <v>2.2569682570826602E-2</v>
      </c>
      <c r="H37" s="82">
        <f>SUM(H33:H36)</f>
        <v>103.5948430000941</v>
      </c>
      <c r="I37" s="83"/>
      <c r="J37" s="80">
        <f>SUM(J33:J36)</f>
        <v>1191</v>
      </c>
      <c r="K37" s="81">
        <f>L37/J37</f>
        <v>3.7170939661290474E-2</v>
      </c>
      <c r="L37" s="82">
        <f>SUM(L33:L36)</f>
        <v>44.270589136596953</v>
      </c>
      <c r="M37" s="83"/>
      <c r="N37" s="80">
        <f>SUM(N33:N36)</f>
        <v>0</v>
      </c>
      <c r="O37" s="81" t="e">
        <f>P37/N37</f>
        <v>#DIV/0!</v>
      </c>
      <c r="P37" s="80">
        <f>SUM(P33:P36)</f>
        <v>0</v>
      </c>
      <c r="Q37" s="83"/>
      <c r="R37" s="80">
        <f>SUM(R33:R36)</f>
        <v>0</v>
      </c>
      <c r="S37" s="81" t="e">
        <f>T37/R37</f>
        <v>#DIV/0!</v>
      </c>
      <c r="T37" s="80">
        <f>SUM(T33:T36)</f>
        <v>0</v>
      </c>
      <c r="U37" s="83"/>
      <c r="V37" s="80">
        <f>SUM(V33:V36)</f>
        <v>0</v>
      </c>
      <c r="W37" s="81" t="e">
        <f>X37/V37</f>
        <v>#DIV/0!</v>
      </c>
      <c r="X37" s="80">
        <f>SUM(X33:X36)</f>
        <v>0</v>
      </c>
      <c r="Y37" s="83"/>
      <c r="Z37" s="80">
        <f>SUM(Z33:Z36)</f>
        <v>0</v>
      </c>
      <c r="AA37" s="81" t="e">
        <f>AB37/Z37</f>
        <v>#DIV/0!</v>
      </c>
      <c r="AB37" s="80">
        <f>SUM(AB33:AB36)</f>
        <v>0</v>
      </c>
      <c r="AC37" s="83"/>
      <c r="AD37" s="80">
        <f>SUM(AD33:AD36)</f>
        <v>0</v>
      </c>
      <c r="AE37" s="81" t="e">
        <f>AF37/AD37</f>
        <v>#DIV/0!</v>
      </c>
      <c r="AF37" s="80">
        <f>SUM(AF33:AF36)</f>
        <v>0</v>
      </c>
    </row>
    <row r="38" spans="1:32" x14ac:dyDescent="0.25">
      <c r="A38">
        <v>1</v>
      </c>
      <c r="B38" s="111">
        <v>58</v>
      </c>
      <c r="C38" s="119">
        <f>'2008 Comm Sample'!D28</f>
        <v>0.14285714285714285</v>
      </c>
      <c r="D38" s="69">
        <f>C38*B38</f>
        <v>8.2857142857142847</v>
      </c>
      <c r="F38" s="111">
        <v>1123</v>
      </c>
      <c r="G38" s="119">
        <f>'2008 Comm Sample'!H28</f>
        <v>0.21739130434782608</v>
      </c>
      <c r="H38" s="69">
        <f>G38*F38</f>
        <v>244.13043478260869</v>
      </c>
      <c r="J38" s="111"/>
      <c r="K38" s="119">
        <f>'2008 Comm Sample'!L28</f>
        <v>0</v>
      </c>
      <c r="L38" s="69"/>
      <c r="N38" s="111">
        <v>0</v>
      </c>
      <c r="O38" s="119" t="e">
        <f>'2008 Comm Sample'!P28</f>
        <v>#DIV/0!</v>
      </c>
      <c r="P38" s="69"/>
      <c r="R38" s="73">
        <v>0</v>
      </c>
      <c r="S38" s="119" t="e">
        <f>'2008 Comm Sample'!T28</f>
        <v>#DIV/0!</v>
      </c>
      <c r="T38" s="69"/>
      <c r="V38" s="73">
        <v>0</v>
      </c>
      <c r="W38" s="119" t="e">
        <f>'2008 Comm Sample'!X28</f>
        <v>#DIV/0!</v>
      </c>
      <c r="X38" s="69"/>
      <c r="Z38" s="73"/>
      <c r="AA38" s="119" t="e">
        <f>'2008 Comm Sample'!AB28</f>
        <v>#DIV/0!</v>
      </c>
      <c r="AB38" s="5"/>
      <c r="AD38" s="73"/>
      <c r="AE38" s="119">
        <f>'2008 Comm Sample'!AF28</f>
        <v>0</v>
      </c>
      <c r="AF38" s="5"/>
    </row>
    <row r="39" spans="1:32" x14ac:dyDescent="0.25">
      <c r="A39">
        <v>2</v>
      </c>
      <c r="B39" s="111">
        <v>75</v>
      </c>
      <c r="C39" s="7">
        <f>'Mean Unmarked Rates'!D48</f>
        <v>0</v>
      </c>
      <c r="D39" s="69">
        <f>C39*B39</f>
        <v>0</v>
      </c>
      <c r="F39" s="111">
        <v>1128</v>
      </c>
      <c r="G39" s="119">
        <f>'2008 Comm Sample'!H29</f>
        <v>0.15712682379349047</v>
      </c>
      <c r="H39" s="69">
        <f>G39*F39</f>
        <v>177.23905723905725</v>
      </c>
      <c r="J39" s="111"/>
      <c r="K39" s="119">
        <f>'2008 Comm Sample'!L29</f>
        <v>0</v>
      </c>
      <c r="L39" s="69"/>
      <c r="N39" s="111">
        <v>0</v>
      </c>
      <c r="O39" s="119" t="e">
        <f>'2008 Comm Sample'!P29</f>
        <v>#DIV/0!</v>
      </c>
      <c r="P39" s="69"/>
      <c r="R39" s="73">
        <v>0</v>
      </c>
      <c r="S39" s="119" t="e">
        <f>'2008 Comm Sample'!T29</f>
        <v>#DIV/0!</v>
      </c>
      <c r="T39" s="69"/>
      <c r="V39" s="73">
        <v>0</v>
      </c>
      <c r="W39" s="119" t="e">
        <f>'2008 Comm Sample'!X29</f>
        <v>#DIV/0!</v>
      </c>
      <c r="X39" s="69"/>
      <c r="Z39" s="73"/>
      <c r="AA39" s="119" t="e">
        <f>'2008 Comm Sample'!AB29</f>
        <v>#DIV/0!</v>
      </c>
      <c r="AB39" s="5"/>
      <c r="AD39" s="73"/>
      <c r="AE39" s="119">
        <f>'2008 Comm Sample'!AF29</f>
        <v>0</v>
      </c>
    </row>
    <row r="40" spans="1:32" x14ac:dyDescent="0.25">
      <c r="A40">
        <v>3</v>
      </c>
      <c r="B40" s="111">
        <v>66</v>
      </c>
      <c r="C40" s="119">
        <f>'2008 Comm Sample'!D30</f>
        <v>0.23809523809523808</v>
      </c>
      <c r="D40" s="69">
        <f>C40*B40</f>
        <v>15.714285714285714</v>
      </c>
      <c r="F40" s="111">
        <v>535</v>
      </c>
      <c r="G40" s="119">
        <f>'2008 Comm Sample'!H30</f>
        <v>0.31034482758620691</v>
      </c>
      <c r="H40" s="69">
        <f>G40*F40</f>
        <v>166.0344827586207</v>
      </c>
      <c r="J40" s="111"/>
      <c r="K40" s="119">
        <f>'2008 Comm Sample'!L30</f>
        <v>0</v>
      </c>
      <c r="L40" s="69"/>
      <c r="N40" s="111">
        <v>0</v>
      </c>
      <c r="O40" s="119" t="e">
        <f>'2008 Comm Sample'!P30</f>
        <v>#DIV/0!</v>
      </c>
      <c r="P40" s="69"/>
      <c r="R40" s="73">
        <v>0</v>
      </c>
      <c r="S40" s="119" t="e">
        <f>'2008 Comm Sample'!T30</f>
        <v>#DIV/0!</v>
      </c>
      <c r="T40" s="69"/>
      <c r="V40" s="73">
        <v>0</v>
      </c>
      <c r="W40" s="119" t="e">
        <f>'2008 Comm Sample'!X30</f>
        <v>#DIV/0!</v>
      </c>
      <c r="X40" s="69"/>
      <c r="Z40" s="73"/>
      <c r="AA40" s="119">
        <f>'2008 Comm Sample'!AB30</f>
        <v>0</v>
      </c>
      <c r="AB40" s="5"/>
      <c r="AD40" s="73"/>
      <c r="AE40" s="119">
        <f>'2008 Comm Sample'!AF30</f>
        <v>0</v>
      </c>
    </row>
    <row r="41" spans="1:32" x14ac:dyDescent="0.25">
      <c r="A41">
        <v>4</v>
      </c>
      <c r="B41" s="111">
        <v>6</v>
      </c>
      <c r="C41" s="7">
        <f>'Mean Unmarked Rates'!D50</f>
        <v>0</v>
      </c>
      <c r="D41" s="69">
        <f>C41*B41</f>
        <v>0</v>
      </c>
      <c r="F41" s="111">
        <v>1622</v>
      </c>
      <c r="G41" s="119">
        <f>'2008 Comm Sample'!H31</f>
        <v>0.2857142857142857</v>
      </c>
      <c r="H41" s="69">
        <f>G41*F41</f>
        <v>463.42857142857139</v>
      </c>
      <c r="J41" s="111">
        <v>997</v>
      </c>
      <c r="K41" s="119">
        <f>'2008 Comm Sample'!L31</f>
        <v>0.43349753694581283</v>
      </c>
      <c r="L41" s="69">
        <f>K41*J41</f>
        <v>432.19704433497537</v>
      </c>
      <c r="N41" s="111">
        <v>0</v>
      </c>
      <c r="O41" s="119" t="e">
        <f>'2008 Comm Sample'!P31</f>
        <v>#DIV/0!</v>
      </c>
      <c r="P41" s="69"/>
      <c r="R41" s="73">
        <v>0</v>
      </c>
      <c r="S41" s="119" t="e">
        <f>'2008 Comm Sample'!T31</f>
        <v>#DIV/0!</v>
      </c>
      <c r="T41" s="69"/>
      <c r="V41" s="73">
        <v>0</v>
      </c>
      <c r="W41" s="119" t="e">
        <f>'2008 Comm Sample'!X31</f>
        <v>#DIV/0!</v>
      </c>
      <c r="X41" s="69"/>
      <c r="Z41" s="73"/>
      <c r="AA41" s="119">
        <f>'2008 Comm Sample'!AB31</f>
        <v>0</v>
      </c>
      <c r="AB41" s="5"/>
      <c r="AD41" s="73"/>
      <c r="AE41" s="119">
        <f>'2008 Comm Sample'!AF31</f>
        <v>0</v>
      </c>
    </row>
    <row r="42" spans="1:32" x14ac:dyDescent="0.25">
      <c r="A42">
        <v>5</v>
      </c>
      <c r="B42" s="111">
        <v>10</v>
      </c>
      <c r="C42" s="7">
        <f>'Mean Unmarked Rates'!D51</f>
        <v>0</v>
      </c>
      <c r="D42" s="69">
        <f>C42*B42</f>
        <v>0</v>
      </c>
      <c r="F42" s="111">
        <v>741</v>
      </c>
      <c r="G42" s="119">
        <f>'2008 Comm Sample'!H32</f>
        <v>0.34305317324185247</v>
      </c>
      <c r="H42" s="69">
        <f>G42*F42</f>
        <v>254.20240137221268</v>
      </c>
      <c r="J42" s="111">
        <v>657</v>
      </c>
      <c r="K42" s="119">
        <f>'2008 Comm Sample'!L32</f>
        <v>0.504</v>
      </c>
      <c r="L42" s="69">
        <f>K42*J42</f>
        <v>331.12799999999999</v>
      </c>
      <c r="N42" s="111">
        <v>0</v>
      </c>
      <c r="O42" s="119" t="e">
        <f>'2008 Comm Sample'!P32</f>
        <v>#DIV/0!</v>
      </c>
      <c r="P42" s="69"/>
      <c r="R42" s="73">
        <v>0</v>
      </c>
      <c r="S42" s="119" t="e">
        <f>'2008 Comm Sample'!T32</f>
        <v>#DIV/0!</v>
      </c>
      <c r="T42" s="69"/>
      <c r="V42" s="73">
        <v>0</v>
      </c>
      <c r="W42" s="119" t="e">
        <f>'2008 Comm Sample'!X32</f>
        <v>#DIV/0!</v>
      </c>
      <c r="X42" s="69"/>
      <c r="Z42" s="73">
        <v>0</v>
      </c>
      <c r="AA42" s="119" t="e">
        <f>'2008 Comm Sample'!AB32</f>
        <v>#DIV/0!</v>
      </c>
      <c r="AB42" s="69"/>
      <c r="AD42" s="73"/>
      <c r="AE42" s="119">
        <f>'2008 Comm Sample'!AF32</f>
        <v>0</v>
      </c>
    </row>
    <row r="43" spans="1:32" ht="14" x14ac:dyDescent="0.3">
      <c r="A43" s="79" t="s">
        <v>60</v>
      </c>
      <c r="B43" s="80">
        <f>SUM(B38:B42)</f>
        <v>215</v>
      </c>
      <c r="C43" s="81">
        <f>D43/B43</f>
        <v>0.11162790697674418</v>
      </c>
      <c r="D43" s="82">
        <f>SUM(D38:D42)</f>
        <v>24</v>
      </c>
      <c r="E43" s="84"/>
      <c r="F43" s="80">
        <f>SUM(F38:F42)</f>
        <v>5149</v>
      </c>
      <c r="G43" s="81">
        <f>H43/F43</f>
        <v>0.25345405857080422</v>
      </c>
      <c r="H43" s="82">
        <f>SUM(H38:H42)</f>
        <v>1305.0349475810708</v>
      </c>
      <c r="I43" s="84"/>
      <c r="J43" s="80">
        <f>SUM(J38:J42)</f>
        <v>1654</v>
      </c>
      <c r="K43" s="81">
        <f>L43/J43</f>
        <v>0.46150244518438654</v>
      </c>
      <c r="L43" s="82">
        <f>SUM(L38:L42)</f>
        <v>763.32504433497536</v>
      </c>
      <c r="M43" s="84"/>
      <c r="N43" s="80">
        <f>SUM(N38:N42)</f>
        <v>0</v>
      </c>
      <c r="O43" s="81" t="e">
        <f>P43/N43</f>
        <v>#DIV/0!</v>
      </c>
      <c r="P43" s="82">
        <f>SUM(P38:P42)</f>
        <v>0</v>
      </c>
      <c r="Q43" s="84"/>
      <c r="R43" s="80">
        <f>SUM(R38:R42)</f>
        <v>0</v>
      </c>
      <c r="S43" s="81" t="e">
        <f>T43/R43</f>
        <v>#DIV/0!</v>
      </c>
      <c r="T43" s="82">
        <f>SUM(T38:T42)</f>
        <v>0</v>
      </c>
      <c r="U43" s="84"/>
      <c r="V43" s="80">
        <f>SUM(V38:V42)</f>
        <v>0</v>
      </c>
      <c r="W43" s="81" t="e">
        <f>X43/V43</f>
        <v>#DIV/0!</v>
      </c>
      <c r="X43" s="82">
        <f>SUM(X38:X42)</f>
        <v>0</v>
      </c>
      <c r="Y43" s="84"/>
      <c r="Z43" s="80">
        <f>SUM(Z38:Z42)</f>
        <v>0</v>
      </c>
      <c r="AA43" s="81" t="e">
        <f>AB43/Z43</f>
        <v>#DIV/0!</v>
      </c>
      <c r="AB43" s="82">
        <f>SUM(AB38:AB42)</f>
        <v>0</v>
      </c>
      <c r="AC43" s="84"/>
      <c r="AD43" s="80">
        <f>SUM(AD38:AD42)</f>
        <v>0</v>
      </c>
      <c r="AE43" s="81" t="e">
        <f>AF43/AD43</f>
        <v>#DIV/0!</v>
      </c>
      <c r="AF43" s="82">
        <f>SUM(AF38:AF42)</f>
        <v>0</v>
      </c>
    </row>
    <row r="44" spans="1:32" ht="13" x14ac:dyDescent="0.3">
      <c r="A44" s="24"/>
      <c r="B44" s="24"/>
      <c r="C44" s="24"/>
      <c r="D44" s="24"/>
      <c r="E44" s="24"/>
      <c r="F44" s="24"/>
      <c r="G44" s="399"/>
      <c r="H44" s="24"/>
      <c r="I44" s="24"/>
      <c r="J44" s="24"/>
      <c r="K44" s="400"/>
      <c r="L44" s="24"/>
      <c r="M44" s="24"/>
      <c r="N44" s="24"/>
      <c r="O44" s="24"/>
      <c r="P44" s="24"/>
      <c r="Q44" s="24"/>
      <c r="R44" s="24"/>
      <c r="S44" s="56"/>
      <c r="T44" s="24"/>
      <c r="U44" s="24"/>
      <c r="V44" s="24"/>
      <c r="W44" s="56"/>
      <c r="X44" s="24"/>
      <c r="Y44" s="24"/>
      <c r="Z44" s="24"/>
      <c r="AA44" s="24"/>
      <c r="AB44" s="24"/>
      <c r="AC44" s="24"/>
      <c r="AD44" s="70"/>
      <c r="AE44" s="24"/>
      <c r="AF44" s="24"/>
    </row>
    <row r="45" spans="1:32" ht="15.5" x14ac:dyDescent="0.35">
      <c r="A45" s="141" t="s">
        <v>44</v>
      </c>
      <c r="B45" s="141">
        <f>B37+B43</f>
        <v>7843</v>
      </c>
      <c r="C45" s="199">
        <f>D45/B45</f>
        <v>2.8695854132018167E-2</v>
      </c>
      <c r="D45" s="141">
        <f>D37+D43</f>
        <v>225.06158395741849</v>
      </c>
      <c r="E45" s="141"/>
      <c r="F45" s="141">
        <f>F37+F43</f>
        <v>9739</v>
      </c>
      <c r="G45" s="199">
        <f>H45/F45</f>
        <v>0.14463803168509753</v>
      </c>
      <c r="H45" s="141">
        <f>H37+H43</f>
        <v>1408.6297905811648</v>
      </c>
      <c r="I45" s="141"/>
      <c r="J45" s="141">
        <f>J37+J43</f>
        <v>2845</v>
      </c>
      <c r="K45" s="199">
        <f>L45/J45</f>
        <v>0.28386489752955091</v>
      </c>
      <c r="L45" s="141">
        <f>L37+L43</f>
        <v>807.59563347157234</v>
      </c>
      <c r="M45" s="141"/>
      <c r="N45" s="141">
        <f>N37+N43</f>
        <v>0</v>
      </c>
      <c r="O45" s="199" t="e">
        <f>P45/N45</f>
        <v>#DIV/0!</v>
      </c>
      <c r="P45" s="141">
        <f>P37+P43</f>
        <v>0</v>
      </c>
      <c r="Q45" s="141"/>
      <c r="R45" s="141">
        <f>R37+R43</f>
        <v>0</v>
      </c>
      <c r="S45" s="199" t="e">
        <f>T45/R45</f>
        <v>#DIV/0!</v>
      </c>
      <c r="T45" s="141">
        <f>T37+T43</f>
        <v>0</v>
      </c>
      <c r="U45" s="141"/>
      <c r="V45" s="141">
        <f>V37+V43</f>
        <v>0</v>
      </c>
      <c r="W45" s="199" t="e">
        <f>X45/V45</f>
        <v>#DIV/0!</v>
      </c>
      <c r="X45" s="141">
        <f>X37+X43</f>
        <v>0</v>
      </c>
      <c r="Y45" s="141"/>
      <c r="Z45" s="141">
        <f>Z37+Z43</f>
        <v>0</v>
      </c>
      <c r="AA45" s="199" t="e">
        <f>AB45/Z45</f>
        <v>#DIV/0!</v>
      </c>
      <c r="AB45" s="141">
        <f>AB37+AB43</f>
        <v>0</v>
      </c>
      <c r="AC45" s="141"/>
      <c r="AD45" s="197">
        <f>AD37+AD43</f>
        <v>0</v>
      </c>
      <c r="AE45" s="199"/>
      <c r="AF45" s="239">
        <f>AF37+AF43</f>
        <v>0</v>
      </c>
    </row>
    <row r="46" spans="1:32" ht="13" x14ac:dyDescent="0.3">
      <c r="A46" s="2" t="s">
        <v>319</v>
      </c>
      <c r="B46" s="692">
        <f>SUM(B38:B40)</f>
        <v>199</v>
      </c>
      <c r="D46" s="692">
        <f>SUM(D38:D40)</f>
        <v>24</v>
      </c>
      <c r="F46" s="692">
        <f>SUM(F38:F40)</f>
        <v>2786</v>
      </c>
      <c r="H46" s="692">
        <f>SUM(H38:H40)</f>
        <v>587.4039747802866</v>
      </c>
      <c r="J46" s="692">
        <f>SUM(J38:J40)</f>
        <v>0</v>
      </c>
      <c r="L46" s="692">
        <f>SUM(L38:L40)</f>
        <v>0</v>
      </c>
      <c r="P46" s="693" t="e">
        <f>SUM(P38:P40)/SUM(N38:N40)</f>
        <v>#DIV/0!</v>
      </c>
      <c r="T46" s="693" t="e">
        <f>SUM(T38:T40)/SUM(R38:R40)</f>
        <v>#DIV/0!</v>
      </c>
      <c r="X46" s="693" t="e">
        <f>SUM(X38:X40)/SUM(V38:V40)</f>
        <v>#DIV/0!</v>
      </c>
      <c r="AB46" s="693" t="e">
        <f>SUM(AB38:AB40)/SUM(Z38:Z40)</f>
        <v>#DIV/0!</v>
      </c>
      <c r="AD46" s="44"/>
      <c r="AF46" s="693" t="e">
        <f>SUM(AF38:AF40)/SUM(AD38:AD40)</f>
        <v>#DIV/0!</v>
      </c>
    </row>
    <row r="47" spans="1:32" ht="13" x14ac:dyDescent="0.3">
      <c r="A47" s="2"/>
      <c r="B47" s="692">
        <f>SUM(B41:B42)</f>
        <v>16</v>
      </c>
      <c r="D47" s="692">
        <f>SUM(D41:D42)</f>
        <v>0</v>
      </c>
      <c r="F47" s="692">
        <f>SUM(F41:F42)</f>
        <v>2363</v>
      </c>
      <c r="H47" s="692">
        <f>SUM(H41:H42)</f>
        <v>717.63097280078409</v>
      </c>
      <c r="J47" s="692">
        <f>SUM(J41:J42)</f>
        <v>1654</v>
      </c>
      <c r="L47" s="692">
        <f>SUM(L41:L42)</f>
        <v>763.32504433497536</v>
      </c>
      <c r="P47" s="693" t="e">
        <f>SUM(P41:P42)/SUM(N41:N42)</f>
        <v>#DIV/0!</v>
      </c>
      <c r="T47" s="693" t="e">
        <f>SUM(T41:T42)/SUM(R41:R42)</f>
        <v>#DIV/0!</v>
      </c>
      <c r="X47" s="693" t="e">
        <f>SUM(X41:X42)/SUM(V41:V42)</f>
        <v>#DIV/0!</v>
      </c>
      <c r="AB47" s="693" t="e">
        <f>SUM(AB41:AB42)/SUM(Z41:Z42)</f>
        <v>#DIV/0!</v>
      </c>
      <c r="AF47" s="693" t="e">
        <f>SUM(AF41:AF42)/SUM(AD41:AD42)</f>
        <v>#DIV/0!</v>
      </c>
    </row>
    <row r="49" spans="1:32" ht="15.5" x14ac:dyDescent="0.35">
      <c r="A49" s="1" t="s">
        <v>271</v>
      </c>
    </row>
    <row r="50" spans="1:32" ht="15.5" x14ac:dyDescent="0.35">
      <c r="A50" s="1"/>
    </row>
    <row r="51" spans="1:32" ht="15" x14ac:dyDescent="0.3">
      <c r="B51" s="2" t="s">
        <v>44</v>
      </c>
      <c r="C51" s="2" t="s">
        <v>55</v>
      </c>
      <c r="D51" s="2" t="s">
        <v>56</v>
      </c>
      <c r="F51" s="934" t="s">
        <v>209</v>
      </c>
      <c r="G51" s="935"/>
      <c r="H51" s="936"/>
      <c r="I51" s="153"/>
      <c r="J51" s="280"/>
      <c r="K51" s="276" t="s">
        <v>174</v>
      </c>
      <c r="L51" s="277"/>
    </row>
    <row r="52" spans="1:32" ht="13" x14ac:dyDescent="0.3">
      <c r="A52" s="32"/>
      <c r="B52" s="2"/>
      <c r="C52" s="2"/>
      <c r="D52" s="2"/>
      <c r="F52" s="271"/>
      <c r="G52" s="132" t="s">
        <v>160</v>
      </c>
      <c r="H52" s="272" t="s">
        <v>161</v>
      </c>
      <c r="I52" s="153"/>
      <c r="J52" s="281" t="s">
        <v>44</v>
      </c>
      <c r="K52" s="278">
        <v>1</v>
      </c>
      <c r="L52" s="130" t="s">
        <v>206</v>
      </c>
    </row>
    <row r="53" spans="1:32" x14ac:dyDescent="0.25">
      <c r="A53" s="32" t="s">
        <v>203</v>
      </c>
      <c r="B53" s="29">
        <f>B12+F12+J12+N12+R12+V12+B33+F33+J33+N33+R33+V33+Z33+AD33</f>
        <v>2074</v>
      </c>
      <c r="C53" s="65">
        <f>D12+H12+L12+P12+T12+X12+D33+H33+L33+P33+T33+X33+AB33+AF33</f>
        <v>12.078085642317381</v>
      </c>
      <c r="D53" s="3">
        <f t="shared" ref="D53:D66" si="0">C53/B53</f>
        <v>5.8235707050710616E-3</v>
      </c>
      <c r="F53" s="271" t="s">
        <v>203</v>
      </c>
      <c r="G53" s="282">
        <f>(D12+H12+L12+P12+T12+X12+D33+H33+L33+P33+T33+X33+AB33+AF33)*K60</f>
        <v>1.328589420654912</v>
      </c>
      <c r="H53" s="272"/>
      <c r="I53" s="153"/>
      <c r="J53" s="285">
        <f>H53+G53</f>
        <v>1.328589420654912</v>
      </c>
      <c r="K53" s="278">
        <v>0.5</v>
      </c>
      <c r="L53" s="130" t="s">
        <v>204</v>
      </c>
    </row>
    <row r="54" spans="1:32" x14ac:dyDescent="0.25">
      <c r="A54" t="s">
        <v>31</v>
      </c>
      <c r="B54" s="29">
        <f>B13+F13+J13+N13+R13+V13+B34+F34+J34+N34+R34+V34+Z34+AD34</f>
        <v>24567</v>
      </c>
      <c r="C54" s="65">
        <f>D13+H13+L13+P13+T13+X13+D34+H34+L34+P34+T34+X34+AB34+AF34</f>
        <v>594.67856892436225</v>
      </c>
      <c r="D54" s="3">
        <f t="shared" si="0"/>
        <v>2.4206397562761519E-2</v>
      </c>
      <c r="F54" s="271" t="s">
        <v>31</v>
      </c>
      <c r="G54" s="283">
        <f>(D13+H13+L13+P13+T13+X13+D34+H34+L34+P34+T34+X34+AB34+AF34)*K61</f>
        <v>71.361428270923469</v>
      </c>
      <c r="H54" s="284"/>
      <c r="I54" s="153"/>
      <c r="J54" s="285">
        <f t="shared" ref="J54:J64" si="1">H54+G54</f>
        <v>71.361428270923469</v>
      </c>
      <c r="K54" s="278">
        <v>0.5</v>
      </c>
      <c r="L54" s="130" t="s">
        <v>175</v>
      </c>
    </row>
    <row r="55" spans="1:32" x14ac:dyDescent="0.25">
      <c r="A55" t="s">
        <v>32</v>
      </c>
      <c r="B55" s="29">
        <f>B14+F14+J14+N14+R14+V14+B35+F35+J35+N35+R35+V35+Z35+AD35</f>
        <v>3916</v>
      </c>
      <c r="C55" s="65">
        <f>D14+H14+L14+P14+T14+X14+D35+H35+L35+P35+T35+X35+AB35+AF35</f>
        <v>187.80154616837538</v>
      </c>
      <c r="D55" s="3">
        <f t="shared" si="0"/>
        <v>4.7957493914294019E-2</v>
      </c>
      <c r="F55" s="271" t="s">
        <v>32</v>
      </c>
      <c r="G55" s="283">
        <f>(D14+H14+L14+P14+T14+X14+D35+H35+L35+P35+T35+X35+AB35+AF35)*K62</f>
        <v>24.414201001888799</v>
      </c>
      <c r="H55" s="284"/>
      <c r="I55" s="153"/>
      <c r="J55" s="285">
        <f t="shared" si="1"/>
        <v>24.414201001888799</v>
      </c>
      <c r="K55" s="278">
        <v>0.5</v>
      </c>
      <c r="L55" s="130" t="s">
        <v>172</v>
      </c>
    </row>
    <row r="56" spans="1:32" ht="13" x14ac:dyDescent="0.3">
      <c r="A56" s="42" t="s">
        <v>62</v>
      </c>
      <c r="B56" s="29">
        <f>B15+F15+J15+N15+R15+V15+B36+F36+J36+N36+R36+V36+Z36+AD36</f>
        <v>6793</v>
      </c>
      <c r="C56" s="66">
        <f>D15+H15+L15+P15+T15+X15+D36+H36+L36+P36+T36+X36+AB36+AF36</f>
        <v>223.63702493315131</v>
      </c>
      <c r="D56" s="43">
        <f t="shared" si="0"/>
        <v>3.2921687756977965E-2</v>
      </c>
      <c r="F56" s="286" t="s">
        <v>62</v>
      </c>
      <c r="G56" s="287">
        <f>(D15+H15+L15+P15+T15+X15+D36+H36+L36+P36+T36+X36+AB36+AF36)*K63</f>
        <v>44.727404986630262</v>
      </c>
      <c r="H56" s="288"/>
      <c r="I56" s="151"/>
      <c r="J56" s="289">
        <f t="shared" si="1"/>
        <v>44.727404986630262</v>
      </c>
      <c r="K56" s="278">
        <v>0.5</v>
      </c>
      <c r="L56" s="130" t="s">
        <v>176</v>
      </c>
    </row>
    <row r="57" spans="1:32" ht="13" x14ac:dyDescent="0.3">
      <c r="A57" s="2" t="s">
        <v>61</v>
      </c>
      <c r="B57" s="24">
        <f>SUM(B52:B56)</f>
        <v>37350</v>
      </c>
      <c r="C57" s="24">
        <f>SUM(C52:C56)</f>
        <v>1018.1952256682064</v>
      </c>
      <c r="D57" s="67">
        <f t="shared" si="0"/>
        <v>2.7260916349885044E-2</v>
      </c>
      <c r="F57" s="290" t="s">
        <v>61</v>
      </c>
      <c r="G57" s="291">
        <f>SUM(G53:G56)</f>
        <v>141.83162368009744</v>
      </c>
      <c r="H57" s="292"/>
      <c r="I57" s="151"/>
      <c r="J57" s="293">
        <f t="shared" si="1"/>
        <v>141.83162368009744</v>
      </c>
      <c r="K57" s="278">
        <v>0</v>
      </c>
      <c r="L57" s="130" t="s">
        <v>205</v>
      </c>
    </row>
    <row r="58" spans="1:32" ht="13" x14ac:dyDescent="0.3">
      <c r="A58">
        <v>1</v>
      </c>
      <c r="B58" s="29">
        <f t="shared" ref="B58:B63" si="2">B17+F17+J17+N17+B38+F38+J38+N38+R38+V38+Z38+AD38</f>
        <v>1194</v>
      </c>
      <c r="C58" s="64">
        <f t="shared" ref="C58:C63" si="3">D17+H17+L17+P17+D38+H38+L38+P38+T38+X38+AB38+AF38</f>
        <v>254.81614906832297</v>
      </c>
      <c r="D58" s="112">
        <f t="shared" si="0"/>
        <v>0.21341386019122527</v>
      </c>
      <c r="F58" s="271">
        <v>1</v>
      </c>
      <c r="G58" s="282">
        <f>D17+H17+L17+P17+T17+X17+((D38+H38+L38)*0.5)</f>
        <v>128.60807453416149</v>
      </c>
      <c r="H58" s="282">
        <f>((D38+H38+L38)*0.5)+P38+T38+X38+AB38+AF38</f>
        <v>126.20807453416148</v>
      </c>
      <c r="I58" s="151"/>
      <c r="J58" s="359">
        <f t="shared" si="1"/>
        <v>254.81614906832297</v>
      </c>
      <c r="K58" s="278"/>
      <c r="L58" s="130"/>
    </row>
    <row r="59" spans="1:32" ht="13" x14ac:dyDescent="0.3">
      <c r="A59">
        <v>2</v>
      </c>
      <c r="B59" s="29">
        <f t="shared" si="2"/>
        <v>1206</v>
      </c>
      <c r="C59" s="64">
        <f t="shared" si="3"/>
        <v>177.23905723905725</v>
      </c>
      <c r="D59" s="112">
        <f t="shared" si="0"/>
        <v>0.14696439240386172</v>
      </c>
      <c r="F59" s="271">
        <v>2</v>
      </c>
      <c r="G59" s="282">
        <f>D18+H18+L18+P18+T18+X18+((D39+H39+L39)*0.5)</f>
        <v>88.619528619528623</v>
      </c>
      <c r="H59" s="282">
        <f>((D39+H39+L39)*0.5)+P39+T39+X39+AB39+AF39</f>
        <v>88.619528619528623</v>
      </c>
      <c r="I59" s="151"/>
      <c r="J59" s="359">
        <f t="shared" si="1"/>
        <v>177.23905723905725</v>
      </c>
      <c r="K59" s="128" t="s">
        <v>207</v>
      </c>
      <c r="L59" s="130"/>
    </row>
    <row r="60" spans="1:32" x14ac:dyDescent="0.25">
      <c r="A60">
        <v>3</v>
      </c>
      <c r="B60" s="29">
        <f t="shared" si="2"/>
        <v>604</v>
      </c>
      <c r="C60" s="64">
        <f t="shared" si="3"/>
        <v>181.74876847290642</v>
      </c>
      <c r="D60" s="112">
        <f t="shared" si="0"/>
        <v>0.30090855707434838</v>
      </c>
      <c r="F60" s="271">
        <v>3</v>
      </c>
      <c r="G60" s="282">
        <f>D19+H19+L19+P19+T19+X19+((D40+H40+L40)*0.5)</f>
        <v>90.87438423645321</v>
      </c>
      <c r="H60" s="282">
        <f>((D40+H40+L40)*0.5)+P40+T40+X40+AB40+AF40</f>
        <v>90.87438423645321</v>
      </c>
      <c r="I60" s="153"/>
      <c r="J60" s="359">
        <f t="shared" si="1"/>
        <v>181.74876847290642</v>
      </c>
      <c r="K60" s="278">
        <v>0.11</v>
      </c>
      <c r="L60" s="130" t="s">
        <v>203</v>
      </c>
      <c r="M60" s="5"/>
    </row>
    <row r="61" spans="1:32" x14ac:dyDescent="0.25">
      <c r="A61">
        <v>4</v>
      </c>
      <c r="B61" s="29">
        <f t="shared" si="2"/>
        <v>2640</v>
      </c>
      <c r="C61" s="64">
        <f t="shared" si="3"/>
        <v>906.62561576354676</v>
      </c>
      <c r="D61" s="112">
        <f t="shared" si="0"/>
        <v>0.34341879384982832</v>
      </c>
      <c r="F61" s="271">
        <v>4</v>
      </c>
      <c r="G61" s="282">
        <f>D20+H20+L20+P20+T20+X20+((D41+H41+L41)*0.5)</f>
        <v>458.81280788177338</v>
      </c>
      <c r="H61" s="282">
        <f>((D41+H41+L41)*0.5)+P41+T41+X41+AB41+AF41</f>
        <v>447.81280788177338</v>
      </c>
      <c r="I61" s="154"/>
      <c r="J61" s="359">
        <f t="shared" si="1"/>
        <v>906.62561576354676</v>
      </c>
      <c r="K61" s="278">
        <v>0.12</v>
      </c>
      <c r="L61" s="130" t="s">
        <v>31</v>
      </c>
      <c r="M61" s="5"/>
    </row>
    <row r="62" spans="1:32" ht="13" x14ac:dyDescent="0.3">
      <c r="A62" s="42">
        <v>5</v>
      </c>
      <c r="B62" s="52">
        <f t="shared" si="2"/>
        <v>1452</v>
      </c>
      <c r="C62" s="98">
        <f t="shared" si="3"/>
        <v>615.33040137221269</v>
      </c>
      <c r="D62" s="229">
        <f t="shared" si="0"/>
        <v>0.42378126816268091</v>
      </c>
      <c r="E62" s="2"/>
      <c r="F62" s="286">
        <v>5</v>
      </c>
      <c r="G62" s="282">
        <f>D21+H21+L21+P21+T21+X21+((D42+H42+L42)*0.5)</f>
        <v>322.66520068610635</v>
      </c>
      <c r="H62" s="282">
        <f>((D42+H42+L42)*0.5)+P42+T42+X42+AB42+AF42</f>
        <v>292.66520068610635</v>
      </c>
      <c r="I62" s="154"/>
      <c r="J62" s="344">
        <f t="shared" si="1"/>
        <v>615.33040137221269</v>
      </c>
      <c r="K62" s="278">
        <v>0.13</v>
      </c>
      <c r="L62" s="130" t="s">
        <v>32</v>
      </c>
      <c r="M62" s="8"/>
      <c r="N62" s="2"/>
      <c r="O62" s="2"/>
      <c r="P62" s="2"/>
      <c r="Q62" s="2"/>
      <c r="R62" s="2"/>
      <c r="S62" s="2"/>
      <c r="T62" s="2"/>
      <c r="U62" s="2"/>
      <c r="V62" s="2"/>
      <c r="W62" s="2"/>
      <c r="X62" s="2"/>
      <c r="Y62" s="2"/>
      <c r="Z62" s="2"/>
      <c r="AA62" s="2"/>
      <c r="AB62" s="2"/>
      <c r="AC62" s="2"/>
      <c r="AD62" s="2"/>
      <c r="AE62" s="2"/>
      <c r="AF62" s="2"/>
    </row>
    <row r="63" spans="1:32" ht="13" x14ac:dyDescent="0.3">
      <c r="A63" s="2" t="s">
        <v>60</v>
      </c>
      <c r="B63" s="24">
        <f t="shared" si="2"/>
        <v>7096</v>
      </c>
      <c r="C63" s="24">
        <f t="shared" si="3"/>
        <v>2135.7599919160461</v>
      </c>
      <c r="D63" s="55">
        <f t="shared" si="0"/>
        <v>0.30098083313360291</v>
      </c>
      <c r="F63" s="273" t="s">
        <v>60</v>
      </c>
      <c r="G63" s="303">
        <f>SUM(G58:G62)</f>
        <v>1089.5799959580231</v>
      </c>
      <c r="H63" s="292">
        <f>SUM(H58:H62)</f>
        <v>1046.179995958023</v>
      </c>
      <c r="I63" s="151"/>
      <c r="J63" s="293">
        <f t="shared" si="1"/>
        <v>2135.7599919160461</v>
      </c>
      <c r="K63" s="279">
        <v>0.2</v>
      </c>
      <c r="L63" s="130" t="s">
        <v>62</v>
      </c>
    </row>
    <row r="64" spans="1:32" ht="13" x14ac:dyDescent="0.3">
      <c r="A64" s="2"/>
      <c r="B64" s="218" t="str">
        <f>IF(B63=(H63+H64),"T","F")</f>
        <v>F</v>
      </c>
      <c r="C64" s="218" t="str">
        <f>IF(C63+(H57+H58),"T","F")</f>
        <v>T</v>
      </c>
      <c r="D64" s="204" t="e">
        <f t="shared" si="0"/>
        <v>#VALUE!</v>
      </c>
      <c r="F64" s="300" t="s">
        <v>44</v>
      </c>
      <c r="G64" s="304">
        <f>G63+G57</f>
        <v>1231.4116196381206</v>
      </c>
      <c r="H64" s="301">
        <f>H63+H57</f>
        <v>1046.179995958023</v>
      </c>
      <c r="I64" s="151"/>
      <c r="J64" s="302">
        <f t="shared" si="1"/>
        <v>2277.5916155961436</v>
      </c>
      <c r="K64" s="274"/>
      <c r="L64" s="134"/>
    </row>
    <row r="65" spans="1:32" ht="13" x14ac:dyDescent="0.3">
      <c r="A65" s="2"/>
      <c r="F65" s="940" t="s">
        <v>210</v>
      </c>
      <c r="G65" s="940"/>
      <c r="H65" s="940"/>
    </row>
    <row r="66" spans="1:32" ht="13" x14ac:dyDescent="0.3">
      <c r="A66" s="2" t="s">
        <v>69</v>
      </c>
      <c r="B66" s="40">
        <f>B57+B63</f>
        <v>44446</v>
      </c>
      <c r="C66" s="40">
        <f>C57+C63</f>
        <v>3153.9552175842528</v>
      </c>
      <c r="D66" s="55">
        <f t="shared" si="0"/>
        <v>7.0961508742839685E-2</v>
      </c>
      <c r="G66" s="24"/>
      <c r="I66" s="153"/>
    </row>
    <row r="67" spans="1:32" ht="13" x14ac:dyDescent="0.3">
      <c r="C67" s="4"/>
      <c r="D67" s="5"/>
      <c r="F67" s="934" t="s">
        <v>208</v>
      </c>
      <c r="G67" s="935"/>
      <c r="H67" s="936"/>
      <c r="I67" s="153"/>
      <c r="J67" s="280"/>
      <c r="L67" s="4"/>
      <c r="M67" s="5"/>
      <c r="P67" s="4"/>
      <c r="Q67" s="5"/>
      <c r="T67" s="4"/>
      <c r="U67" s="5"/>
      <c r="X67" s="7"/>
      <c r="Y67" s="5"/>
    </row>
    <row r="68" spans="1:32" ht="13" x14ac:dyDescent="0.3">
      <c r="C68" s="8"/>
      <c r="D68" s="5"/>
      <c r="F68" s="271"/>
      <c r="G68" s="132" t="s">
        <v>160</v>
      </c>
      <c r="H68" s="272" t="s">
        <v>161</v>
      </c>
      <c r="I68" s="153"/>
      <c r="J68" s="281" t="s">
        <v>44</v>
      </c>
      <c r="L68" s="4"/>
      <c r="M68" s="5"/>
      <c r="P68" s="4"/>
      <c r="Q68" s="5"/>
      <c r="T68" s="4"/>
      <c r="U68" s="5"/>
      <c r="X68" s="4"/>
      <c r="Y68" s="5"/>
      <c r="AB68" s="4"/>
      <c r="AC68" s="5"/>
    </row>
    <row r="69" spans="1:32" x14ac:dyDescent="0.25">
      <c r="C69" s="4"/>
      <c r="D69" s="5"/>
      <c r="F69" s="357" t="s">
        <v>203</v>
      </c>
      <c r="G69" s="282">
        <f>B12+F12+J12+N12+R12+V12+B33+F33+J33+N33+R33+V33+Z33+AD33</f>
        <v>2074</v>
      </c>
      <c r="H69" s="272"/>
      <c r="I69" s="153"/>
      <c r="J69" s="358">
        <f t="shared" ref="J69:J80" si="4">H69+G69</f>
        <v>2074</v>
      </c>
      <c r="L69" s="4"/>
      <c r="M69" s="5"/>
      <c r="P69" s="4"/>
      <c r="Q69" s="5"/>
      <c r="T69" s="4"/>
      <c r="U69" s="5"/>
      <c r="X69" s="4"/>
      <c r="Y69" s="5"/>
      <c r="AB69" s="4"/>
      <c r="AC69" s="5"/>
    </row>
    <row r="70" spans="1:32" ht="13" x14ac:dyDescent="0.3">
      <c r="C70" s="8"/>
      <c r="D70" s="5"/>
      <c r="F70" s="271" t="s">
        <v>31</v>
      </c>
      <c r="G70" s="283">
        <f>B13+F13+J13+N13+R13+V13+B34+F34+J34+N34+R34+V34+Z34+AD34</f>
        <v>24567</v>
      </c>
      <c r="H70" s="284"/>
      <c r="I70" s="153"/>
      <c r="J70" s="285">
        <f t="shared" si="4"/>
        <v>24567</v>
      </c>
      <c r="T70" s="7"/>
      <c r="U70" s="5"/>
      <c r="AB70" s="7"/>
      <c r="AC70" s="5"/>
    </row>
    <row r="71" spans="1:32" ht="13" x14ac:dyDescent="0.3">
      <c r="C71" s="7"/>
      <c r="D71" s="5"/>
      <c r="F71" s="271" t="s">
        <v>32</v>
      </c>
      <c r="G71" s="283">
        <f>B14+F14+J14+N14+R14+V14+B35+F35+J35+N35+R35+V35+Z35+AD35</f>
        <v>3916</v>
      </c>
      <c r="H71" s="284"/>
      <c r="I71" s="151"/>
      <c r="J71" s="285">
        <f t="shared" si="4"/>
        <v>3916</v>
      </c>
      <c r="K71" s="7"/>
      <c r="L71" s="5"/>
      <c r="O71" s="4"/>
      <c r="P71" s="5"/>
      <c r="S71" s="4"/>
      <c r="T71" s="5"/>
      <c r="W71" s="7"/>
      <c r="X71" s="5"/>
      <c r="AA71" s="7"/>
      <c r="AB71" s="5"/>
    </row>
    <row r="72" spans="1:32" ht="13" x14ac:dyDescent="0.3">
      <c r="A72" s="2"/>
      <c r="B72" s="8"/>
      <c r="C72" s="2"/>
      <c r="D72" s="8"/>
      <c r="E72" s="2"/>
      <c r="F72" s="286" t="s">
        <v>62</v>
      </c>
      <c r="G72" s="287">
        <f>B15+F15+J15+N15+R15+V15+B36+F36+J36+N36+R36+V36+Z36+AD36</f>
        <v>6793</v>
      </c>
      <c r="H72" s="288"/>
      <c r="I72" s="151"/>
      <c r="J72" s="289">
        <f t="shared" si="4"/>
        <v>6793</v>
      </c>
      <c r="K72" s="2"/>
      <c r="L72" s="8"/>
      <c r="M72" s="2"/>
      <c r="N72" s="8"/>
      <c r="O72" s="26"/>
      <c r="P72" s="8"/>
      <c r="Q72" s="2"/>
      <c r="R72" s="8"/>
      <c r="S72" s="26"/>
      <c r="T72" s="8"/>
      <c r="U72" s="2"/>
      <c r="V72" s="8"/>
      <c r="W72" s="26"/>
      <c r="X72" s="8"/>
      <c r="Y72" s="2"/>
      <c r="Z72" s="8"/>
      <c r="AA72" s="2"/>
      <c r="AB72" s="8"/>
      <c r="AC72" s="2"/>
      <c r="AD72" s="2"/>
      <c r="AE72" s="2"/>
      <c r="AF72" s="2"/>
    </row>
    <row r="73" spans="1:32" ht="13" x14ac:dyDescent="0.3">
      <c r="F73" s="290" t="s">
        <v>61</v>
      </c>
      <c r="G73" s="291">
        <f>SUM(G69:G72)</f>
        <v>37350</v>
      </c>
      <c r="H73" s="292"/>
      <c r="I73" s="151"/>
      <c r="J73" s="293">
        <f t="shared" si="4"/>
        <v>37350</v>
      </c>
    </row>
    <row r="74" spans="1:32" ht="13" x14ac:dyDescent="0.3">
      <c r="A74" s="2"/>
      <c r="F74" s="271">
        <v>1</v>
      </c>
      <c r="G74" s="294">
        <f>B17+F17+J17+N17+R17+V17+((B38+F38+J38+N38)*0.5)</f>
        <v>603.5</v>
      </c>
      <c r="H74" s="295">
        <f>((B38+F38+J38+N38)*0.5)+R38+V38+Z38+AD38</f>
        <v>590.5</v>
      </c>
      <c r="I74" s="151"/>
      <c r="J74" s="296">
        <f t="shared" si="4"/>
        <v>1194</v>
      </c>
    </row>
    <row r="75" spans="1:32" x14ac:dyDescent="0.25">
      <c r="F75" s="271">
        <v>2</v>
      </c>
      <c r="G75" s="294">
        <f>B18+F18+J18+N18+R18+V18+((B39+F39+J39+N39)*0.5)</f>
        <v>604.5</v>
      </c>
      <c r="H75" s="295">
        <f>((B39+F39+J39+N39)*0.5)+R39+V39+Z39+AD39</f>
        <v>601.5</v>
      </c>
      <c r="I75" s="153"/>
      <c r="J75" s="296">
        <f t="shared" si="4"/>
        <v>1206</v>
      </c>
    </row>
    <row r="76" spans="1:32" x14ac:dyDescent="0.25">
      <c r="F76" s="271">
        <v>3</v>
      </c>
      <c r="G76" s="294">
        <f>B19+F19+J19+N19+R19+V19+((B40+F40+J40+N40)*0.5)</f>
        <v>303.5</v>
      </c>
      <c r="H76" s="295">
        <f>((B40+F40+J40+N40)*0.5)+R40+V40+Z40+AD40</f>
        <v>300.5</v>
      </c>
      <c r="I76" s="154"/>
      <c r="J76" s="296">
        <f t="shared" si="4"/>
        <v>604</v>
      </c>
    </row>
    <row r="77" spans="1:32" x14ac:dyDescent="0.25">
      <c r="C77" s="7"/>
      <c r="D77" s="5"/>
      <c r="F77" s="271">
        <v>4</v>
      </c>
      <c r="G77" s="294">
        <f>B20+F20+J20+N20+R20+V20+((B41+F41+J41+N41)*0.5)</f>
        <v>1327.5</v>
      </c>
      <c r="H77" s="295">
        <f>((B41+F41+J41+N41)*0.5)+R41+V41+Z41+AD41</f>
        <v>1312.5</v>
      </c>
      <c r="I77" s="154"/>
      <c r="J77" s="296">
        <f t="shared" si="4"/>
        <v>2640</v>
      </c>
    </row>
    <row r="78" spans="1:32" ht="13" x14ac:dyDescent="0.3">
      <c r="C78" s="7"/>
      <c r="D78" s="5"/>
      <c r="F78" s="286">
        <v>5</v>
      </c>
      <c r="G78" s="294">
        <f>B21+F21+J21+N21+R21+V21+((B42+F42+J42+N42)*0.5)</f>
        <v>748</v>
      </c>
      <c r="H78" s="295">
        <f>((B42+F42+J42+N42)*0.5)+R42+V42+Z42+AD42</f>
        <v>704</v>
      </c>
      <c r="I78" s="151"/>
      <c r="J78" s="299">
        <f t="shared" si="4"/>
        <v>1452</v>
      </c>
    </row>
    <row r="79" spans="1:32" ht="13" x14ac:dyDescent="0.3">
      <c r="F79" s="273" t="s">
        <v>60</v>
      </c>
      <c r="G79" s="303">
        <f>SUM(G74:G78)</f>
        <v>3587</v>
      </c>
      <c r="H79" s="292">
        <f>SUM(H74:H78)</f>
        <v>3509</v>
      </c>
      <c r="I79" s="151"/>
      <c r="J79" s="293">
        <f t="shared" si="4"/>
        <v>7096</v>
      </c>
    </row>
    <row r="80" spans="1:32" ht="13" x14ac:dyDescent="0.3">
      <c r="F80" s="300" t="s">
        <v>44</v>
      </c>
      <c r="G80" s="304">
        <f>G79+G73</f>
        <v>40937</v>
      </c>
      <c r="H80" s="301">
        <f>H79+H73</f>
        <v>3509</v>
      </c>
      <c r="J80" s="302">
        <f t="shared" si="4"/>
        <v>44446</v>
      </c>
      <c r="O80" s="7"/>
      <c r="P80" s="5"/>
    </row>
    <row r="81" spans="1:32" x14ac:dyDescent="0.25">
      <c r="K81" s="7"/>
      <c r="L81" s="5"/>
      <c r="O81" s="7"/>
      <c r="P81" s="5"/>
    </row>
    <row r="82" spans="1:32" ht="13" x14ac:dyDescent="0.3">
      <c r="A82" s="2"/>
      <c r="B82" s="8"/>
      <c r="C82" s="2"/>
      <c r="D82" s="8"/>
      <c r="E82" s="2"/>
      <c r="G82" s="4"/>
      <c r="H82" s="5"/>
      <c r="K82" s="25"/>
      <c r="L82" s="8"/>
      <c r="M82" s="2"/>
      <c r="N82" s="8"/>
      <c r="O82" s="25"/>
      <c r="P82" s="8"/>
      <c r="Q82" s="2"/>
      <c r="R82" s="2"/>
      <c r="S82" s="8"/>
      <c r="T82" s="2"/>
      <c r="U82" s="2"/>
      <c r="V82" s="2"/>
      <c r="W82" s="2"/>
      <c r="X82" s="2"/>
      <c r="Y82" s="2"/>
      <c r="Z82" s="2"/>
      <c r="AA82" s="2"/>
      <c r="AB82" s="2"/>
      <c r="AC82" s="2"/>
      <c r="AD82" s="2"/>
      <c r="AE82" s="2"/>
      <c r="AF82" s="2"/>
    </row>
    <row r="83" spans="1:32" x14ac:dyDescent="0.25">
      <c r="G83" s="4"/>
      <c r="H83" s="5"/>
    </row>
    <row r="84" spans="1:32" x14ac:dyDescent="0.25">
      <c r="G84" s="4"/>
      <c r="H84" s="5"/>
    </row>
    <row r="85" spans="1:32" x14ac:dyDescent="0.25">
      <c r="G85" s="7"/>
      <c r="H85" s="5"/>
    </row>
    <row r="86" spans="1:32" ht="13" x14ac:dyDescent="0.3">
      <c r="C86" s="4"/>
      <c r="D86" s="5"/>
      <c r="F86" s="8"/>
      <c r="G86" s="4"/>
      <c r="H86" s="5"/>
      <c r="I86" s="2"/>
      <c r="J86" s="8"/>
      <c r="K86" s="4"/>
      <c r="L86" s="5"/>
      <c r="O86" s="4"/>
      <c r="P86" s="5"/>
      <c r="S86" s="4"/>
      <c r="T86" s="5"/>
      <c r="W86" s="4"/>
      <c r="X86" s="5"/>
    </row>
    <row r="87" spans="1:32" ht="13" x14ac:dyDescent="0.3">
      <c r="C87" s="4"/>
      <c r="D87" s="5"/>
      <c r="G87" s="26"/>
      <c r="H87" s="8"/>
      <c r="K87" s="4"/>
      <c r="L87" s="5"/>
      <c r="O87" s="4"/>
      <c r="P87" s="5"/>
      <c r="S87" s="4"/>
      <c r="T87" s="5"/>
      <c r="W87" s="4"/>
      <c r="X87" s="5"/>
      <c r="AA87" s="4"/>
      <c r="AB87" s="5"/>
    </row>
    <row r="88" spans="1:32" x14ac:dyDescent="0.25">
      <c r="C88" s="4"/>
      <c r="D88" s="5"/>
      <c r="K88" s="4"/>
      <c r="L88" s="5"/>
      <c r="O88" s="4"/>
      <c r="P88" s="5"/>
      <c r="S88" s="4"/>
      <c r="T88" s="5"/>
      <c r="W88" s="4"/>
      <c r="X88" s="5"/>
      <c r="AA88" s="4"/>
      <c r="AB88" s="5"/>
    </row>
    <row r="89" spans="1:32" x14ac:dyDescent="0.25">
      <c r="C89" s="4"/>
      <c r="D89" s="5"/>
      <c r="K89" s="7"/>
      <c r="L89" s="5"/>
      <c r="O89" s="4"/>
      <c r="P89" s="5"/>
      <c r="S89" s="7"/>
      <c r="T89" s="5"/>
      <c r="W89" s="7"/>
      <c r="X89" s="5"/>
      <c r="AA89" s="7"/>
    </row>
    <row r="90" spans="1:32" x14ac:dyDescent="0.25">
      <c r="C90" s="4"/>
      <c r="D90" s="5"/>
      <c r="K90" s="4"/>
      <c r="L90" s="5"/>
      <c r="O90" s="4"/>
      <c r="P90" s="5"/>
      <c r="S90" s="4"/>
      <c r="T90" s="5"/>
      <c r="W90" s="4"/>
      <c r="X90" s="5"/>
      <c r="AA90" s="4"/>
      <c r="AB90" s="5"/>
    </row>
    <row r="91" spans="1:32" ht="13" x14ac:dyDescent="0.3">
      <c r="A91" s="2"/>
      <c r="B91" s="8"/>
      <c r="C91" s="26"/>
      <c r="D91" s="8"/>
      <c r="E91" s="2"/>
      <c r="K91" s="26"/>
      <c r="L91" s="8"/>
      <c r="M91" s="2"/>
      <c r="N91" s="8"/>
      <c r="O91" s="26"/>
      <c r="P91" s="8"/>
      <c r="Q91" s="2"/>
      <c r="R91" s="8"/>
      <c r="S91" s="26"/>
      <c r="T91" s="8"/>
      <c r="U91" s="2"/>
      <c r="V91" s="8"/>
      <c r="W91" s="26"/>
      <c r="X91" s="8"/>
      <c r="Y91" s="2"/>
      <c r="Z91" s="8"/>
      <c r="AA91" s="26"/>
      <c r="AB91" s="8"/>
      <c r="AC91" s="2"/>
      <c r="AD91" s="2"/>
      <c r="AE91" s="2"/>
      <c r="AF91" s="2"/>
    </row>
    <row r="92" spans="1:32" x14ac:dyDescent="0.25">
      <c r="G92" s="7"/>
      <c r="H92" s="5"/>
    </row>
    <row r="93" spans="1:32" ht="13" x14ac:dyDescent="0.3">
      <c r="A93" s="2"/>
      <c r="G93" s="7"/>
      <c r="H93" s="5"/>
    </row>
    <row r="94" spans="1:32" x14ac:dyDescent="0.25">
      <c r="G94" s="7"/>
      <c r="H94" s="5"/>
    </row>
    <row r="96" spans="1:32" ht="13" x14ac:dyDescent="0.3">
      <c r="C96" s="7"/>
      <c r="D96" s="5"/>
      <c r="F96" s="8"/>
      <c r="I96" s="2"/>
      <c r="J96" s="8"/>
    </row>
    <row r="97" spans="1:32" ht="13" x14ac:dyDescent="0.3">
      <c r="G97" s="2"/>
      <c r="H97" s="8"/>
    </row>
    <row r="99" spans="1:32" x14ac:dyDescent="0.25">
      <c r="O99" s="7"/>
      <c r="P99" s="5"/>
    </row>
    <row r="100" spans="1:32" x14ac:dyDescent="0.25">
      <c r="K100" s="7"/>
      <c r="L100" s="5"/>
      <c r="O100" s="7"/>
      <c r="P100" s="5"/>
    </row>
    <row r="101" spans="1:32" ht="13" x14ac:dyDescent="0.3">
      <c r="A101" s="2"/>
      <c r="B101" s="8"/>
      <c r="C101" s="2"/>
      <c r="D101" s="8"/>
      <c r="E101" s="2"/>
      <c r="G101" s="4"/>
      <c r="H101" s="5"/>
      <c r="K101" s="2"/>
      <c r="L101" s="8"/>
      <c r="M101" s="2"/>
      <c r="N101" s="8"/>
      <c r="O101" s="2"/>
      <c r="P101" s="8"/>
      <c r="Q101" s="2"/>
      <c r="R101" s="2"/>
      <c r="S101" s="8"/>
      <c r="T101" s="2"/>
      <c r="U101" s="2"/>
      <c r="V101" s="2"/>
      <c r="W101" s="2"/>
      <c r="X101" s="2"/>
      <c r="Y101" s="2"/>
      <c r="Z101" s="2"/>
      <c r="AA101" s="2"/>
      <c r="AB101" s="2"/>
      <c r="AC101" s="2"/>
      <c r="AD101" s="2"/>
      <c r="AE101" s="2"/>
      <c r="AF101" s="2"/>
    </row>
    <row r="102" spans="1:32" x14ac:dyDescent="0.25">
      <c r="G102" s="4"/>
      <c r="H102" s="5"/>
    </row>
    <row r="103" spans="1:32" x14ac:dyDescent="0.25">
      <c r="G103" s="4"/>
      <c r="H103" s="5"/>
    </row>
    <row r="104" spans="1:32" x14ac:dyDescent="0.25">
      <c r="G104" s="7"/>
      <c r="H104" s="5"/>
    </row>
    <row r="105" spans="1:32" ht="13" x14ac:dyDescent="0.3">
      <c r="C105" s="4"/>
      <c r="D105" s="5"/>
      <c r="F105" s="8"/>
      <c r="G105" s="7"/>
      <c r="H105" s="5"/>
      <c r="I105" s="2"/>
      <c r="J105" s="8"/>
      <c r="K105" s="4"/>
      <c r="L105" s="5"/>
      <c r="O105" s="4"/>
      <c r="P105" s="5"/>
      <c r="S105" s="4"/>
      <c r="T105" s="5"/>
      <c r="W105" s="7"/>
      <c r="X105" s="5"/>
      <c r="AA105" s="7"/>
      <c r="AB105" s="5"/>
    </row>
    <row r="106" spans="1:32" ht="13" x14ac:dyDescent="0.3">
      <c r="C106" s="4"/>
      <c r="D106" s="5"/>
      <c r="G106" s="2"/>
      <c r="H106" s="8"/>
      <c r="K106" s="4"/>
      <c r="L106" s="5"/>
      <c r="O106" s="4"/>
      <c r="P106" s="5"/>
      <c r="S106" s="4"/>
      <c r="T106" s="5"/>
      <c r="W106" s="4"/>
      <c r="X106" s="5"/>
      <c r="AA106" s="4"/>
      <c r="AB106" s="5"/>
    </row>
    <row r="107" spans="1:32" x14ac:dyDescent="0.25">
      <c r="C107" s="4"/>
      <c r="D107" s="5"/>
      <c r="K107" s="4"/>
      <c r="L107" s="5"/>
      <c r="O107" s="4"/>
      <c r="P107" s="5"/>
      <c r="S107" s="4"/>
      <c r="T107" s="5"/>
      <c r="W107" s="4"/>
      <c r="X107" s="5"/>
      <c r="AA107" s="4"/>
      <c r="AB107" s="5"/>
    </row>
    <row r="108" spans="1:32" x14ac:dyDescent="0.25">
      <c r="C108" s="7"/>
      <c r="D108" s="5"/>
      <c r="K108" s="7"/>
      <c r="L108" s="5"/>
      <c r="AA108" s="7"/>
      <c r="AB108" s="5"/>
    </row>
    <row r="109" spans="1:32" x14ac:dyDescent="0.25">
      <c r="C109" s="4"/>
      <c r="D109" s="5"/>
      <c r="K109" s="4"/>
      <c r="L109" s="5"/>
      <c r="O109" s="4"/>
      <c r="P109" s="5"/>
      <c r="S109" s="4"/>
      <c r="T109" s="5"/>
      <c r="W109" s="4"/>
      <c r="X109" s="5"/>
      <c r="AA109" s="4"/>
      <c r="AB109" s="5"/>
    </row>
    <row r="110" spans="1:32" ht="13" x14ac:dyDescent="0.3">
      <c r="A110" s="2"/>
      <c r="B110" s="8"/>
      <c r="C110" s="26"/>
      <c r="D110" s="8"/>
      <c r="E110" s="2"/>
      <c r="K110" s="26"/>
      <c r="L110" s="8"/>
      <c r="M110" s="2"/>
      <c r="N110" s="8"/>
      <c r="O110" s="26"/>
      <c r="P110" s="8"/>
      <c r="Q110" s="2"/>
      <c r="R110" s="8"/>
      <c r="S110" s="26"/>
      <c r="T110" s="8"/>
      <c r="U110" s="2"/>
      <c r="V110" s="8"/>
      <c r="W110" s="26"/>
      <c r="X110" s="8"/>
      <c r="Y110" s="2"/>
      <c r="Z110" s="8"/>
      <c r="AA110" s="26"/>
      <c r="AB110" s="8"/>
      <c r="AC110" s="2"/>
      <c r="AD110" s="2"/>
      <c r="AE110" s="2"/>
      <c r="AF110" s="2"/>
    </row>
    <row r="111" spans="1:32" x14ac:dyDescent="0.25">
      <c r="G111" s="7"/>
      <c r="H111" s="5"/>
    </row>
    <row r="112" spans="1:32" ht="13" x14ac:dyDescent="0.3">
      <c r="A112" s="2"/>
      <c r="G112" s="9"/>
    </row>
    <row r="113" spans="1:32" x14ac:dyDescent="0.25">
      <c r="G113" s="9"/>
    </row>
    <row r="114" spans="1:32" x14ac:dyDescent="0.25">
      <c r="G114" s="9"/>
    </row>
    <row r="115" spans="1:32" x14ac:dyDescent="0.25">
      <c r="C115" s="7"/>
      <c r="D115" s="5"/>
      <c r="G115" s="7"/>
      <c r="H115" s="5"/>
    </row>
    <row r="116" spans="1:32" ht="13" x14ac:dyDescent="0.3">
      <c r="C116" s="7"/>
      <c r="D116" s="5"/>
      <c r="F116" s="8"/>
      <c r="I116" s="2"/>
      <c r="J116" s="8"/>
      <c r="K116" s="7"/>
      <c r="L116" s="5"/>
    </row>
    <row r="117" spans="1:32" ht="13" x14ac:dyDescent="0.3">
      <c r="C117" s="7"/>
      <c r="D117" s="5"/>
      <c r="G117" s="2"/>
      <c r="H117" s="8"/>
      <c r="K117" s="7"/>
      <c r="L117" s="5"/>
    </row>
    <row r="118" spans="1:32" x14ac:dyDescent="0.25">
      <c r="K118" s="7"/>
      <c r="L118" s="5"/>
    </row>
    <row r="119" spans="1:32" x14ac:dyDescent="0.25">
      <c r="K119" s="7"/>
      <c r="L119" s="5"/>
      <c r="O119" s="7"/>
      <c r="P119" s="5"/>
    </row>
    <row r="120" spans="1:32" x14ac:dyDescent="0.25">
      <c r="O120" s="7"/>
      <c r="P120" s="5"/>
    </row>
    <row r="121" spans="1:32" ht="13" x14ac:dyDescent="0.3">
      <c r="A121" s="2"/>
      <c r="B121" s="8"/>
      <c r="C121" s="2"/>
      <c r="D121" s="8"/>
      <c r="E121" s="2"/>
      <c r="G121" s="4"/>
      <c r="H121" s="5"/>
      <c r="K121" s="2"/>
      <c r="L121" s="8"/>
      <c r="M121" s="2"/>
      <c r="N121" s="8"/>
      <c r="O121" s="25"/>
      <c r="P121" s="8"/>
      <c r="Q121" s="2"/>
      <c r="R121" s="2"/>
      <c r="S121" s="2"/>
      <c r="T121" s="2"/>
      <c r="U121" s="2"/>
      <c r="V121" s="2"/>
      <c r="W121" s="2"/>
      <c r="X121" s="2"/>
      <c r="Y121" s="2"/>
      <c r="Z121" s="2"/>
      <c r="AA121" s="2"/>
      <c r="AB121" s="2"/>
      <c r="AC121" s="2"/>
      <c r="AD121" s="2"/>
      <c r="AE121" s="2"/>
      <c r="AF121" s="2"/>
    </row>
    <row r="122" spans="1:32" x14ac:dyDescent="0.25">
      <c r="G122" s="4"/>
      <c r="H122" s="5"/>
    </row>
    <row r="123" spans="1:32" x14ac:dyDescent="0.25">
      <c r="G123" s="4"/>
      <c r="H123" s="5"/>
    </row>
    <row r="124" spans="1:32" x14ac:dyDescent="0.25">
      <c r="G124" s="4"/>
      <c r="H124" s="5"/>
    </row>
    <row r="125" spans="1:32" ht="13" x14ac:dyDescent="0.3">
      <c r="F125" s="8"/>
      <c r="G125" s="4"/>
      <c r="H125" s="5"/>
      <c r="I125" s="2"/>
      <c r="J125" s="8"/>
      <c r="K125" s="4"/>
      <c r="L125" s="5"/>
      <c r="O125" s="4"/>
      <c r="P125" s="5"/>
      <c r="S125" s="4"/>
      <c r="T125" s="5"/>
      <c r="W125" s="4"/>
      <c r="X125" s="5"/>
      <c r="AA125" s="7"/>
      <c r="AB125" s="5"/>
    </row>
    <row r="126" spans="1:32" ht="13" x14ac:dyDescent="0.3">
      <c r="G126" s="2"/>
      <c r="H126" s="8"/>
      <c r="K126" s="4"/>
      <c r="L126" s="5"/>
      <c r="O126" s="4"/>
      <c r="P126" s="5"/>
      <c r="S126" s="4"/>
      <c r="T126" s="5"/>
      <c r="W126" s="4"/>
      <c r="X126" s="5"/>
      <c r="AA126" s="4"/>
      <c r="AB126" s="5"/>
    </row>
    <row r="127" spans="1:32" x14ac:dyDescent="0.25">
      <c r="K127" s="4"/>
      <c r="L127" s="5"/>
      <c r="O127" s="4"/>
      <c r="P127" s="5"/>
      <c r="S127" s="4"/>
      <c r="T127" s="5"/>
      <c r="W127" s="4"/>
      <c r="X127" s="5"/>
      <c r="AA127" s="4"/>
      <c r="AB127" s="5"/>
    </row>
    <row r="128" spans="1:32" x14ac:dyDescent="0.25">
      <c r="K128" s="7"/>
      <c r="L128" s="5"/>
      <c r="O128" s="7"/>
      <c r="P128" s="5"/>
      <c r="W128" s="7"/>
      <c r="X128" s="5"/>
      <c r="AA128" s="7"/>
      <c r="AB128" s="5"/>
    </row>
    <row r="129" spans="1:32" x14ac:dyDescent="0.25">
      <c r="K129" s="4"/>
      <c r="L129" s="5"/>
      <c r="O129" s="4"/>
      <c r="P129" s="5"/>
      <c r="S129" s="4"/>
      <c r="T129" s="5"/>
      <c r="W129" s="4"/>
      <c r="X129" s="5"/>
      <c r="AA129" s="4"/>
      <c r="AB129" s="5"/>
    </row>
    <row r="130" spans="1:32" ht="13" x14ac:dyDescent="0.3">
      <c r="A130" s="2"/>
      <c r="B130" s="8"/>
      <c r="C130" s="2"/>
      <c r="D130" s="2"/>
      <c r="E130" s="2"/>
      <c r="F130" s="19"/>
      <c r="K130" s="2"/>
      <c r="L130" s="8"/>
      <c r="M130" s="2"/>
      <c r="N130" s="8"/>
      <c r="O130" s="2"/>
      <c r="P130" s="8"/>
      <c r="Q130" s="2"/>
      <c r="R130" s="8"/>
      <c r="S130" s="2"/>
      <c r="T130" s="8"/>
      <c r="U130" s="2"/>
      <c r="V130" s="8"/>
      <c r="W130" s="2"/>
      <c r="X130" s="8"/>
      <c r="Y130" s="2"/>
      <c r="Z130" s="8"/>
      <c r="AA130" s="2"/>
      <c r="AB130" s="8"/>
      <c r="AC130" s="2"/>
      <c r="AD130" s="2"/>
      <c r="AE130" s="2"/>
      <c r="AF130" s="2"/>
    </row>
    <row r="131" spans="1:32" x14ac:dyDescent="0.25">
      <c r="F131" s="19"/>
    </row>
    <row r="132" spans="1:32" x14ac:dyDescent="0.25">
      <c r="F132" s="19"/>
    </row>
    <row r="133" spans="1:32" x14ac:dyDescent="0.25">
      <c r="F133" s="19"/>
    </row>
    <row r="134" spans="1:32" x14ac:dyDescent="0.25">
      <c r="F134" s="19"/>
    </row>
  </sheetData>
  <mergeCells count="3">
    <mergeCell ref="F51:H51"/>
    <mergeCell ref="F65:H65"/>
    <mergeCell ref="F67:H67"/>
  </mergeCells>
  <phoneticPr fontId="4" type="noConversion"/>
  <pageMargins left="0.75" right="0.75" top="1" bottom="1" header="0.5" footer="0.5"/>
  <pageSetup scale="39" orientation="landscape"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0DD7A-448E-403C-932D-6C176955B334}">
  <sheetPr>
    <pageSetUpPr fitToPage="1"/>
  </sheetPr>
  <dimension ref="A1:AF43"/>
  <sheetViews>
    <sheetView zoomScaleNormal="100" workbookViewId="0">
      <pane xSplit="2" topLeftCell="J1" activePane="topRight" state="frozen"/>
      <selection activeCell="R23" sqref="R23"/>
      <selection pane="topRight" activeCell="R23" sqref="R23"/>
    </sheetView>
  </sheetViews>
  <sheetFormatPr defaultColWidth="9.1796875" defaultRowHeight="13" x14ac:dyDescent="0.3"/>
  <cols>
    <col min="1" max="1" width="21" style="32" bestFit="1" customWidth="1"/>
    <col min="2" max="2" width="11.7265625" style="34" bestFit="1" customWidth="1"/>
    <col min="3" max="3" width="11.7265625" style="33" bestFit="1" customWidth="1"/>
    <col min="4" max="4" width="12" style="33" bestFit="1" customWidth="1"/>
    <col min="5" max="5" width="12.453125" style="33" bestFit="1" customWidth="1"/>
    <col min="6" max="6" width="10.26953125" style="33" bestFit="1" customWidth="1"/>
    <col min="7" max="7" width="12.7265625" style="33" bestFit="1" customWidth="1"/>
    <col min="8" max="8" width="10.26953125" style="33" bestFit="1" customWidth="1"/>
    <col min="9" max="9" width="8.1796875" style="33" bestFit="1" customWidth="1"/>
    <col min="10" max="10" width="7.54296875" style="33" bestFit="1" customWidth="1"/>
    <col min="11" max="11" width="11.54296875" style="33" bestFit="1" customWidth="1"/>
    <col min="12" max="12" width="11.453125" style="33" bestFit="1" customWidth="1"/>
    <col min="13" max="13" width="8.1796875" style="33" bestFit="1" customWidth="1"/>
    <col min="14" max="14" width="10" style="33" bestFit="1" customWidth="1"/>
    <col min="15" max="15" width="11.54296875" style="33" bestFit="1" customWidth="1"/>
    <col min="16" max="16" width="10.26953125" style="33" bestFit="1" customWidth="1"/>
    <col min="17" max="17" width="8.1796875" style="33" bestFit="1" customWidth="1"/>
    <col min="18" max="18" width="9.26953125" style="33" bestFit="1" customWidth="1"/>
    <col min="19" max="19" width="7.7265625" style="33" bestFit="1" customWidth="1"/>
    <col min="20" max="20" width="7.26953125" style="33" customWidth="1"/>
    <col min="21" max="21" width="5.54296875" style="33" customWidth="1"/>
    <col min="22" max="22" width="5" style="33" bestFit="1" customWidth="1"/>
    <col min="23" max="23" width="8.54296875" style="33" bestFit="1" customWidth="1"/>
    <col min="24" max="24" width="6.7265625" style="33" customWidth="1"/>
    <col min="25" max="25" width="5" style="32" bestFit="1" customWidth="1"/>
    <col min="26" max="26" width="8.26953125" style="32" bestFit="1" customWidth="1"/>
    <col min="27" max="27" width="8.26953125" style="32" customWidth="1"/>
    <col min="28" max="28" width="7" style="32" bestFit="1" customWidth="1"/>
    <col min="29" max="29" width="12" style="32" bestFit="1" customWidth="1"/>
    <col min="30" max="30" width="9.26953125" style="32" bestFit="1" customWidth="1"/>
    <col min="31" max="31" width="2.54296875" style="32" customWidth="1"/>
    <col min="32" max="16384" width="9.1796875" style="32"/>
  </cols>
  <sheetData>
    <row r="1" spans="1:24" x14ac:dyDescent="0.3">
      <c r="A1" s="34" t="s">
        <v>344</v>
      </c>
    </row>
    <row r="2" spans="1:24" x14ac:dyDescent="0.3">
      <c r="C2" s="34" t="s">
        <v>330</v>
      </c>
    </row>
    <row r="3" spans="1:24" x14ac:dyDescent="0.3">
      <c r="C3" s="903" t="s">
        <v>208</v>
      </c>
      <c r="D3" s="904"/>
      <c r="E3" s="904"/>
      <c r="F3" s="905"/>
      <c r="G3" s="903" t="s">
        <v>264</v>
      </c>
      <c r="H3" s="904"/>
      <c r="I3" s="904"/>
      <c r="J3" s="905"/>
      <c r="K3" s="903" t="s">
        <v>261</v>
      </c>
      <c r="L3" s="904"/>
      <c r="M3" s="904"/>
      <c r="N3" s="905"/>
      <c r="O3" s="903" t="s">
        <v>262</v>
      </c>
      <c r="P3" s="904"/>
      <c r="Q3" s="904"/>
      <c r="R3" s="905"/>
      <c r="S3" s="781" t="s">
        <v>339</v>
      </c>
      <c r="T3" s="781"/>
      <c r="U3" s="781"/>
      <c r="V3" s="781"/>
      <c r="W3" s="165"/>
      <c r="X3" s="165"/>
    </row>
    <row r="4" spans="1:24" x14ac:dyDescent="0.3">
      <c r="B4" s="34" t="s">
        <v>134</v>
      </c>
      <c r="C4" s="547" t="s">
        <v>31</v>
      </c>
      <c r="D4" s="202" t="s">
        <v>62</v>
      </c>
      <c r="E4" s="202" t="s">
        <v>260</v>
      </c>
      <c r="F4" s="548" t="s">
        <v>203</v>
      </c>
      <c r="G4" s="547" t="s">
        <v>31</v>
      </c>
      <c r="H4" s="202" t="s">
        <v>62</v>
      </c>
      <c r="I4" s="202" t="s">
        <v>260</v>
      </c>
      <c r="J4" s="548" t="s">
        <v>203</v>
      </c>
      <c r="K4" s="549" t="s">
        <v>31</v>
      </c>
      <c r="L4" s="208" t="s">
        <v>62</v>
      </c>
      <c r="M4" s="208" t="s">
        <v>260</v>
      </c>
      <c r="N4" s="550" t="s">
        <v>203</v>
      </c>
      <c r="O4" s="549" t="s">
        <v>31</v>
      </c>
      <c r="P4" s="208" t="s">
        <v>62</v>
      </c>
      <c r="Q4" s="208" t="s">
        <v>260</v>
      </c>
      <c r="R4" s="550" t="s">
        <v>203</v>
      </c>
      <c r="S4" s="781" t="s">
        <v>335</v>
      </c>
      <c r="T4" s="781" t="s">
        <v>336</v>
      </c>
      <c r="U4" s="781" t="s">
        <v>337</v>
      </c>
      <c r="V4" s="781" t="s">
        <v>338</v>
      </c>
      <c r="W4" s="208"/>
      <c r="X4" s="208"/>
    </row>
    <row r="5" spans="1:24" x14ac:dyDescent="0.3">
      <c r="B5" s="34">
        <v>31</v>
      </c>
      <c r="C5" s="807"/>
      <c r="D5" s="807"/>
      <c r="E5" s="807"/>
      <c r="F5" s="863"/>
      <c r="G5" s="551" t="str">
        <f>'2021 comm sample'!K5</f>
        <v>na</v>
      </c>
      <c r="H5" s="552" t="str">
        <f>'2021 comm sample'!L5</f>
        <v>na</v>
      </c>
      <c r="I5" s="552" t="str">
        <f>'2021 comm sample'!M5</f>
        <v>na</v>
      </c>
      <c r="J5" s="552" t="str">
        <f>'2021 comm sample'!N5</f>
        <v>na</v>
      </c>
      <c r="K5" s="553" t="str">
        <f>IF(C5&gt;0,'2021 comm sample'!C5/'2021 Comm catch'!C5,"na")</f>
        <v>na</v>
      </c>
      <c r="L5" s="554" t="str">
        <f>IF(D5&gt;0,'2021 comm sample'!D5/'2021 Comm catch'!D5,"na")</f>
        <v>na</v>
      </c>
      <c r="M5" s="554" t="str">
        <f>IF(E5&gt;0,'2021 comm sample'!E5/'2021 Comm catch'!E5,"na")</f>
        <v>na</v>
      </c>
      <c r="N5" s="554" t="str">
        <f>IF(F5&gt;0,'2021 comm sample'!F5/'2021 Comm catch'!F5,"na")</f>
        <v>na</v>
      </c>
      <c r="O5" s="555" t="str">
        <f t="shared" ref="O5:R20" si="0">IF(G5&lt;&gt;"na",C5*G5,"na")</f>
        <v>na</v>
      </c>
      <c r="P5" s="556" t="str">
        <f t="shared" si="0"/>
        <v>na</v>
      </c>
      <c r="Q5" s="556" t="str">
        <f t="shared" si="0"/>
        <v>na</v>
      </c>
      <c r="R5" s="557" t="str">
        <f t="shared" si="0"/>
        <v>na</v>
      </c>
      <c r="S5" s="514"/>
      <c r="T5" s="514"/>
      <c r="U5" s="514"/>
      <c r="V5" s="514"/>
      <c r="W5" s="514"/>
      <c r="X5" s="514"/>
    </row>
    <row r="6" spans="1:24" x14ac:dyDescent="0.3">
      <c r="B6" s="34">
        <v>32</v>
      </c>
      <c r="C6" s="895"/>
      <c r="D6" s="807"/>
      <c r="E6" s="807"/>
      <c r="F6" s="863"/>
      <c r="G6" s="551" t="str">
        <f>'2021 comm sample'!K6</f>
        <v>na</v>
      </c>
      <c r="H6" s="552" t="str">
        <f>'2021 comm sample'!L6</f>
        <v>na</v>
      </c>
      <c r="I6" s="552" t="str">
        <f>'2021 comm sample'!M6</f>
        <v>na</v>
      </c>
      <c r="J6" s="552" t="str">
        <f>'2021 comm sample'!N6</f>
        <v>na</v>
      </c>
      <c r="K6" s="558" t="str">
        <f>IF(C6&gt;0,'2021 comm sample'!C6/'2021 Comm catch'!C6,"na")</f>
        <v>na</v>
      </c>
      <c r="L6" s="559" t="str">
        <f>IF(D6&gt;0,'2021 comm sample'!D6/'2021 Comm catch'!D6,"na")</f>
        <v>na</v>
      </c>
      <c r="M6" s="559" t="str">
        <f>IF(E6&gt;0,'2021 comm sample'!E6/'2021 Comm catch'!E6,"na")</f>
        <v>na</v>
      </c>
      <c r="N6" s="559" t="str">
        <f>IF(F6&gt;0,'2021 comm sample'!F6/'2021 Comm catch'!F6,"na")</f>
        <v>na</v>
      </c>
      <c r="O6" s="560" t="str">
        <f t="shared" si="0"/>
        <v>na</v>
      </c>
      <c r="P6" s="514" t="str">
        <f t="shared" si="0"/>
        <v>na</v>
      </c>
      <c r="Q6" s="514" t="str">
        <f t="shared" si="0"/>
        <v>na</v>
      </c>
      <c r="R6" s="563" t="str">
        <f t="shared" si="0"/>
        <v>na</v>
      </c>
      <c r="S6" s="514"/>
      <c r="T6" s="514"/>
      <c r="U6" s="514"/>
      <c r="V6" s="514"/>
      <c r="W6" s="514"/>
      <c r="X6" s="514"/>
    </row>
    <row r="7" spans="1:24" x14ac:dyDescent="0.3">
      <c r="B7" s="34">
        <v>33</v>
      </c>
      <c r="C7" s="895"/>
      <c r="D7" s="807"/>
      <c r="E7" s="807"/>
      <c r="F7" s="863"/>
      <c r="G7" s="551" t="str">
        <f>'2021 comm sample'!K7</f>
        <v>na</v>
      </c>
      <c r="H7" s="552" t="str">
        <f>'2021 comm sample'!L7</f>
        <v>na</v>
      </c>
      <c r="I7" s="552" t="str">
        <f>'2021 comm sample'!M7</f>
        <v>na</v>
      </c>
      <c r="J7" s="552" t="str">
        <f>'2021 comm sample'!N7</f>
        <v>na</v>
      </c>
      <c r="K7" s="558" t="str">
        <f>IF(C7&gt;0,'2021 comm sample'!C7/'2021 Comm catch'!C7,"na")</f>
        <v>na</v>
      </c>
      <c r="L7" s="559" t="str">
        <f>IF(D7&gt;0,'2021 comm sample'!D7/'2021 Comm catch'!D7,"na")</f>
        <v>na</v>
      </c>
      <c r="M7" s="559" t="str">
        <f>IF(E7&gt;0,'2021 comm sample'!E7/'2021 Comm catch'!E7,"na")</f>
        <v>na</v>
      </c>
      <c r="N7" s="559" t="str">
        <f>IF(F7&gt;0,'2021 comm sample'!F7/'2021 Comm catch'!F7,"na")</f>
        <v>na</v>
      </c>
      <c r="O7" s="560" t="str">
        <f t="shared" si="0"/>
        <v>na</v>
      </c>
      <c r="P7" s="514" t="str">
        <f t="shared" si="0"/>
        <v>na</v>
      </c>
      <c r="Q7" s="514" t="str">
        <f t="shared" si="0"/>
        <v>na</v>
      </c>
      <c r="R7" s="563" t="str">
        <f t="shared" si="0"/>
        <v>na</v>
      </c>
      <c r="S7" s="514"/>
      <c r="T7" s="514"/>
      <c r="U7" s="514"/>
      <c r="V7" s="514"/>
      <c r="W7" s="514"/>
      <c r="X7" s="514"/>
    </row>
    <row r="8" spans="1:24" x14ac:dyDescent="0.3">
      <c r="B8" s="34">
        <v>34</v>
      </c>
      <c r="C8" s="895"/>
      <c r="D8" s="807"/>
      <c r="E8" s="864"/>
      <c r="F8" s="864"/>
      <c r="G8" s="551" t="str">
        <f>'2021 comm sample'!K8</f>
        <v>na</v>
      </c>
      <c r="H8" s="552" t="str">
        <f>'2021 comm sample'!L8</f>
        <v>na</v>
      </c>
      <c r="I8" s="552" t="str">
        <f>'2021 comm sample'!M8</f>
        <v>na</v>
      </c>
      <c r="J8" s="552" t="str">
        <f>'2021 comm sample'!N8</f>
        <v>na</v>
      </c>
      <c r="K8" s="558" t="str">
        <f>IF(C8&gt;0,'2021 comm sample'!C8/'2021 Comm catch'!C8,"na")</f>
        <v>na</v>
      </c>
      <c r="L8" s="559" t="str">
        <f>IF(D8&gt;0,'2021 comm sample'!D8/'2021 Comm catch'!D8,"na")</f>
        <v>na</v>
      </c>
      <c r="M8" s="559" t="str">
        <f>IF(E8&gt;0,'2021 comm sample'!E8/'2021 Comm catch'!E8,"na")</f>
        <v>na</v>
      </c>
      <c r="N8" s="559" t="str">
        <f>IF(F8&gt;0,'2021 comm sample'!F8/'2021 Comm catch'!F8,"na")</f>
        <v>na</v>
      </c>
      <c r="O8" s="560" t="str">
        <f t="shared" si="0"/>
        <v>na</v>
      </c>
      <c r="P8" s="514" t="str">
        <f t="shared" si="0"/>
        <v>na</v>
      </c>
      <c r="Q8" s="514" t="str">
        <f t="shared" si="0"/>
        <v>na</v>
      </c>
      <c r="R8" s="563" t="str">
        <f t="shared" si="0"/>
        <v>na</v>
      </c>
      <c r="S8" s="514"/>
      <c r="T8" s="514"/>
      <c r="U8" s="514"/>
      <c r="V8" s="514"/>
      <c r="W8" s="514"/>
      <c r="X8" s="514"/>
    </row>
    <row r="9" spans="1:24" x14ac:dyDescent="0.3">
      <c r="B9" s="34">
        <v>35</v>
      </c>
      <c r="C9" s="862">
        <v>217</v>
      </c>
      <c r="D9" s="865">
        <v>488</v>
      </c>
      <c r="E9" s="866">
        <v>292</v>
      </c>
      <c r="F9" s="864"/>
      <c r="G9" s="551">
        <f>'2021 comm sample'!K9</f>
        <v>3.6585365853658534E-2</v>
      </c>
      <c r="H9" s="552">
        <f>'2021 comm sample'!L9</f>
        <v>6.4814814814814811E-2</v>
      </c>
      <c r="I9" s="552">
        <f>'2021 comm sample'!M9</f>
        <v>1.7964071856287425E-2</v>
      </c>
      <c r="J9" s="552" t="str">
        <f>'2021 comm sample'!N9</f>
        <v>na</v>
      </c>
      <c r="K9" s="558">
        <f>IF(C9&gt;0,'2021 comm sample'!C9/'2021 Comm catch'!C9,"na")</f>
        <v>0.75576036866359442</v>
      </c>
      <c r="L9" s="559">
        <f>IF(D9&gt;0,'2021 comm sample'!D9/'2021 Comm catch'!D9,"na")</f>
        <v>0.44262295081967212</v>
      </c>
      <c r="M9" s="559">
        <f>IF(E9&gt;0,'2021 comm sample'!E9/'2021 Comm catch'!E9,"na")</f>
        <v>0.57191780821917804</v>
      </c>
      <c r="N9" s="559" t="str">
        <f>IF(F9&gt;0,'2021 comm sample'!F9/'2021 Comm catch'!F9,"na")</f>
        <v>na</v>
      </c>
      <c r="O9" s="560">
        <f t="shared" si="0"/>
        <v>7.9390243902439019</v>
      </c>
      <c r="P9" s="514">
        <f t="shared" si="0"/>
        <v>31.629629629629626</v>
      </c>
      <c r="Q9" s="514">
        <f t="shared" si="0"/>
        <v>5.2455089820359282</v>
      </c>
      <c r="R9" s="563" t="str">
        <f t="shared" si="0"/>
        <v>na</v>
      </c>
      <c r="S9" s="514"/>
      <c r="T9" s="514"/>
      <c r="U9" s="514"/>
      <c r="V9" s="514"/>
      <c r="W9" s="514"/>
      <c r="X9" s="514"/>
    </row>
    <row r="10" spans="1:24" x14ac:dyDescent="0.3">
      <c r="B10" s="34">
        <v>36</v>
      </c>
      <c r="C10" s="862">
        <v>4000</v>
      </c>
      <c r="D10" s="866">
        <v>2994</v>
      </c>
      <c r="E10" s="866">
        <v>758</v>
      </c>
      <c r="F10" s="864"/>
      <c r="G10" s="551">
        <f>'2021 comm sample'!K10</f>
        <v>2.6506024096385541E-2</v>
      </c>
      <c r="H10" s="552">
        <f>'2021 comm sample'!L10</f>
        <v>5.9903381642512077E-2</v>
      </c>
      <c r="I10" s="552">
        <f>'2021 comm sample'!M10</f>
        <v>7.4999999999999997E-2</v>
      </c>
      <c r="J10" s="552" t="str">
        <f>'2021 comm sample'!N10</f>
        <v>na</v>
      </c>
      <c r="K10" s="558">
        <f>IF(C10&gt;0,'2021 comm sample'!C10/'2021 Comm catch'!C10,"na")</f>
        <v>0.20749999999999999</v>
      </c>
      <c r="L10" s="559">
        <f>IF(D10&gt;0,'2021 comm sample'!D10/'2021 Comm catch'!D10,"na")</f>
        <v>0.34569138276553107</v>
      </c>
      <c r="M10" s="559">
        <f>IF(E10&gt;0,'2021 comm sample'!E10/'2021 Comm catch'!E10,"na")</f>
        <v>5.2770448548812667E-2</v>
      </c>
      <c r="N10" s="559" t="str">
        <f>IF(F10&gt;0,'2021 comm sample'!F10/'2021 Comm catch'!F10,"na")</f>
        <v>na</v>
      </c>
      <c r="O10" s="560">
        <f t="shared" si="0"/>
        <v>106.02409638554217</v>
      </c>
      <c r="P10" s="514">
        <f t="shared" si="0"/>
        <v>179.35072463768117</v>
      </c>
      <c r="Q10" s="896">
        <f t="shared" si="0"/>
        <v>56.85</v>
      </c>
      <c r="R10" s="563" t="str">
        <f t="shared" si="0"/>
        <v>na</v>
      </c>
      <c r="S10" s="514"/>
      <c r="T10" s="514"/>
      <c r="U10" s="848">
        <f>AVERAGE(I9,I11:I15)*E10</f>
        <v>22.960409863574537</v>
      </c>
      <c r="V10" s="514"/>
      <c r="W10" s="514"/>
      <c r="X10" s="514"/>
    </row>
    <row r="11" spans="1:24" x14ac:dyDescent="0.3">
      <c r="B11" s="34">
        <v>37</v>
      </c>
      <c r="C11" s="862">
        <v>15123</v>
      </c>
      <c r="D11" s="866">
        <v>6858</v>
      </c>
      <c r="E11" s="866">
        <v>2376</v>
      </c>
      <c r="F11" s="864"/>
      <c r="G11" s="551">
        <f>'2021 comm sample'!K11</f>
        <v>3.6899313501144164E-2</v>
      </c>
      <c r="H11" s="552">
        <f>'2021 comm sample'!L11</f>
        <v>3.9173014145810661E-2</v>
      </c>
      <c r="I11" s="552">
        <f>'2021 comm sample'!M11</f>
        <v>2.3007395234182416E-2</v>
      </c>
      <c r="J11" s="552" t="str">
        <f>'2021 comm sample'!N11</f>
        <v>na</v>
      </c>
      <c r="K11" s="558">
        <f>IF(C11&gt;0,'2021 comm sample'!C11/'2021 Comm catch'!C11,"na")</f>
        <v>0.23117106394233949</v>
      </c>
      <c r="L11" s="559">
        <f>IF(D11&gt;0,'2021 comm sample'!D11/'2021 Comm catch'!D11,"na")</f>
        <v>0.13400408282298046</v>
      </c>
      <c r="M11" s="559">
        <f>IF(E11&gt;0,'2021 comm sample'!E11/'2021 Comm catch'!E11,"na")</f>
        <v>0.51220538720538722</v>
      </c>
      <c r="N11" s="559" t="str">
        <f>IF(F11&gt;0,'2021 comm sample'!F11/'2021 Comm catch'!F11,"na")</f>
        <v>na</v>
      </c>
      <c r="O11" s="560">
        <f t="shared" si="0"/>
        <v>558.02831807780319</v>
      </c>
      <c r="P11" s="896">
        <f t="shared" si="0"/>
        <v>268.64853101196951</v>
      </c>
      <c r="Q11" s="514">
        <f t="shared" si="0"/>
        <v>54.665571076417422</v>
      </c>
      <c r="R11" s="563" t="str">
        <f t="shared" si="0"/>
        <v>na</v>
      </c>
      <c r="S11" s="514"/>
      <c r="T11" s="848">
        <f>AVERAGE(H9:H11,H13:H17)*D11</f>
        <v>295.29514044307683</v>
      </c>
      <c r="U11" s="514"/>
      <c r="V11" s="514"/>
      <c r="W11" s="514"/>
      <c r="X11" s="514"/>
    </row>
    <row r="12" spans="1:24" x14ac:dyDescent="0.3">
      <c r="B12" s="34">
        <v>38</v>
      </c>
      <c r="C12" s="862">
        <v>9877</v>
      </c>
      <c r="D12" s="866">
        <v>7488</v>
      </c>
      <c r="E12" s="866">
        <v>2107</v>
      </c>
      <c r="F12" s="866">
        <v>366</v>
      </c>
      <c r="G12" s="551">
        <f>'2021 comm sample'!K12</f>
        <v>3.3238751520064856E-2</v>
      </c>
      <c r="H12" s="552">
        <f>'2021 comm sample'!L12</f>
        <v>4.0477770404777701E-2</v>
      </c>
      <c r="I12" s="552">
        <f>'2021 comm sample'!M12</f>
        <v>2.729528535980149E-2</v>
      </c>
      <c r="J12" s="552">
        <f>'2021 comm sample'!N12</f>
        <v>0.10294117647058823</v>
      </c>
      <c r="K12" s="558">
        <f>IF(C12&gt;0,'2021 comm sample'!C12/'2021 Comm catch'!C12,"na")</f>
        <v>0.24977219803584083</v>
      </c>
      <c r="L12" s="559">
        <f>IF(D12&gt;0,'2021 comm sample'!D12/'2021 Comm catch'!D12,"na")</f>
        <v>0.20125534188034189</v>
      </c>
      <c r="M12" s="559">
        <f>IF(E12&gt;0,'2021 comm sample'!E12/'2021 Comm catch'!E12,"na")</f>
        <v>0.38253440911248221</v>
      </c>
      <c r="N12" s="559">
        <f>IF(F12&gt;0,'2021 comm sample'!F12/'2021 Comm catch'!F12,"na")</f>
        <v>0.55737704918032782</v>
      </c>
      <c r="O12" s="560">
        <f t="shared" si="0"/>
        <v>328.29914876368059</v>
      </c>
      <c r="P12" s="514">
        <f t="shared" si="0"/>
        <v>303.09754479097541</v>
      </c>
      <c r="Q12" s="514">
        <f t="shared" si="0"/>
        <v>57.511166253101742</v>
      </c>
      <c r="R12" s="563">
        <f t="shared" si="0"/>
        <v>37.67647058823529</v>
      </c>
      <c r="S12" s="514"/>
      <c r="T12" s="514"/>
      <c r="U12" s="514"/>
      <c r="V12" s="514"/>
      <c r="W12" s="514"/>
      <c r="X12" s="514"/>
    </row>
    <row r="13" spans="1:24" x14ac:dyDescent="0.3">
      <c r="B13" s="34">
        <v>39</v>
      </c>
      <c r="C13" s="862">
        <v>9189</v>
      </c>
      <c r="D13" s="866">
        <v>6268</v>
      </c>
      <c r="E13" s="866">
        <v>3698</v>
      </c>
      <c r="F13" s="866">
        <v>733</v>
      </c>
      <c r="G13" s="551">
        <f>'2021 comm sample'!K13</f>
        <v>3.1351791530944625E-2</v>
      </c>
      <c r="H13" s="552">
        <f>'2021 comm sample'!L13</f>
        <v>3.6573146292585172E-2</v>
      </c>
      <c r="I13" s="552">
        <f>'2021 comm sample'!M13</f>
        <v>4.7545219638242896E-2</v>
      </c>
      <c r="J13" s="552">
        <f>'2021 comm sample'!N13</f>
        <v>0.10752688172043011</v>
      </c>
      <c r="K13" s="558">
        <f>IF(C13&gt;0,'2021 comm sample'!C13/'2021 Comm catch'!C13,"na")</f>
        <v>0.26727609097834365</v>
      </c>
      <c r="L13" s="559">
        <f>IF(D13&gt;0,'2021 comm sample'!D13/'2021 Comm catch'!D13,"na")</f>
        <v>0.31844288449266112</v>
      </c>
      <c r="M13" s="559">
        <f>IF(E13&gt;0,'2021 comm sample'!E13/'2021 Comm catch'!E13,"na")</f>
        <v>0.52325581395348841</v>
      </c>
      <c r="N13" s="559">
        <f>IF(F13&gt;0,'2021 comm sample'!F13/'2021 Comm catch'!F13,"na")</f>
        <v>0.38062755798090042</v>
      </c>
      <c r="O13" s="560">
        <f t="shared" si="0"/>
        <v>288.09161237785014</v>
      </c>
      <c r="P13" s="514">
        <f t="shared" si="0"/>
        <v>229.24048096192385</v>
      </c>
      <c r="Q13" s="514">
        <f t="shared" si="0"/>
        <v>175.82222222222222</v>
      </c>
      <c r="R13" s="563">
        <f t="shared" si="0"/>
        <v>78.817204301075265</v>
      </c>
      <c r="S13" s="514"/>
      <c r="T13" s="514"/>
      <c r="U13" s="514"/>
      <c r="V13" s="514"/>
      <c r="W13" s="514"/>
      <c r="X13" s="514"/>
    </row>
    <row r="14" spans="1:24" x14ac:dyDescent="0.3">
      <c r="B14" s="34">
        <v>40</v>
      </c>
      <c r="C14" s="862">
        <v>1440</v>
      </c>
      <c r="D14" s="866">
        <v>1859</v>
      </c>
      <c r="E14" s="866">
        <v>1781</v>
      </c>
      <c r="F14" s="866">
        <v>520</v>
      </c>
      <c r="G14" s="551">
        <f>'2021 comm sample'!K14</f>
        <v>2.1181716833890748E-2</v>
      </c>
      <c r="H14" s="552">
        <f>'2021 comm sample'!L14</f>
        <v>3.6253776435045321E-2</v>
      </c>
      <c r="I14" s="552">
        <f>'2021 comm sample'!M14</f>
        <v>3.2998565279770443E-2</v>
      </c>
      <c r="J14" s="552">
        <f>'2021 comm sample'!N14</f>
        <v>5.4794520547945202E-2</v>
      </c>
      <c r="K14" s="558">
        <f>IF(C14&gt;0,'2021 comm sample'!C14/'2021 Comm catch'!C14,"na")</f>
        <v>0.62291666666666667</v>
      </c>
      <c r="L14" s="559">
        <f>IF(D14&gt;0,'2021 comm sample'!D14/'2021 Comm catch'!D14,"na")</f>
        <v>0.53415814954276497</v>
      </c>
      <c r="M14" s="559">
        <f>IF(E14&gt;0,'2021 comm sample'!E14/'2021 Comm catch'!E14,"na")</f>
        <v>0.39135317237507017</v>
      </c>
      <c r="N14" s="559">
        <f>IF(F14&gt;0,'2021 comm sample'!F14/'2021 Comm catch'!F14,"na")</f>
        <v>0.28076923076923077</v>
      </c>
      <c r="O14" s="560">
        <f t="shared" si="0"/>
        <v>30.501672240802677</v>
      </c>
      <c r="P14" s="514">
        <f t="shared" si="0"/>
        <v>67.395770392749256</v>
      </c>
      <c r="Q14" s="514">
        <f t="shared" si="0"/>
        <v>58.770444763271158</v>
      </c>
      <c r="R14" s="563">
        <f t="shared" si="0"/>
        <v>28.493150684931507</v>
      </c>
      <c r="S14" s="514"/>
      <c r="T14" s="514"/>
      <c r="U14" s="514"/>
      <c r="V14" s="514"/>
      <c r="W14" s="514"/>
      <c r="X14" s="514"/>
    </row>
    <row r="15" spans="1:24" x14ac:dyDescent="0.3">
      <c r="A15" s="11"/>
      <c r="B15" s="34">
        <v>41</v>
      </c>
      <c r="C15" s="862">
        <v>1266</v>
      </c>
      <c r="D15" s="866">
        <v>2080</v>
      </c>
      <c r="E15" s="866">
        <v>2551</v>
      </c>
      <c r="F15" s="866">
        <v>1082</v>
      </c>
      <c r="G15" s="551">
        <f>'2021 comm sample'!K15</f>
        <v>5.3240740740740741E-2</v>
      </c>
      <c r="H15" s="552">
        <f>'2021 comm sample'!L15</f>
        <v>3.870967741935484E-2</v>
      </c>
      <c r="I15" s="552">
        <f>'2021 comm sample'!M15</f>
        <v>3.2934131736526949E-2</v>
      </c>
      <c r="J15" s="552">
        <f>'2021 comm sample'!N15</f>
        <v>2.7829313543599257E-2</v>
      </c>
      <c r="K15" s="558">
        <f>IF(C15&gt;0,'2021 comm sample'!C15/'2021 Comm catch'!C15,"na")</f>
        <v>0.34123222748815168</v>
      </c>
      <c r="L15" s="559">
        <f>IF(D15&gt;0,'2021 comm sample'!D15/'2021 Comm catch'!D15,"na")</f>
        <v>0.22355769230769232</v>
      </c>
      <c r="M15" s="559">
        <f>IF(E15&gt;0,'2021 comm sample'!E15/'2021 Comm catch'!E15,"na")</f>
        <v>0.26185809486475892</v>
      </c>
      <c r="N15" s="559">
        <f>IF(F15&gt;0,'2021 comm sample'!F15/'2021 Comm catch'!F15,"na")</f>
        <v>0.49815157116451014</v>
      </c>
      <c r="O15" s="560">
        <f t="shared" si="0"/>
        <v>67.402777777777771</v>
      </c>
      <c r="P15" s="514">
        <f t="shared" si="0"/>
        <v>80.516129032258064</v>
      </c>
      <c r="Q15" s="514">
        <f t="shared" si="0"/>
        <v>84.014970059880241</v>
      </c>
      <c r="R15" s="563">
        <f t="shared" si="0"/>
        <v>30.111317254174395</v>
      </c>
      <c r="S15" s="514"/>
      <c r="T15" s="514"/>
      <c r="U15" s="514"/>
      <c r="V15" s="874"/>
      <c r="W15" s="514"/>
      <c r="X15" s="514"/>
    </row>
    <row r="16" spans="1:24" x14ac:dyDescent="0.3">
      <c r="A16" s="11"/>
      <c r="B16" s="34">
        <v>42</v>
      </c>
      <c r="C16" s="862">
        <v>561</v>
      </c>
      <c r="D16" s="866">
        <v>1070</v>
      </c>
      <c r="E16" s="866">
        <v>791</v>
      </c>
      <c r="F16" s="866">
        <v>1094</v>
      </c>
      <c r="G16" s="551">
        <f>'2021 comm sample'!K16</f>
        <v>5.0691244239631339E-2</v>
      </c>
      <c r="H16" s="552">
        <f>'2021 comm sample'!L16</f>
        <v>3.4358047016274866E-2</v>
      </c>
      <c r="I16" s="552">
        <f>'2021 comm sample'!M16</f>
        <v>8.4188911704312114E-2</v>
      </c>
      <c r="J16" s="552">
        <f>'2021 comm sample'!N16</f>
        <v>9.8360655737704927E-3</v>
      </c>
      <c r="K16" s="558">
        <f>IF(C16&gt;0,'2021 comm sample'!C16/'2021 Comm catch'!C16,"na")</f>
        <v>0.38680926916221031</v>
      </c>
      <c r="L16" s="559">
        <f>IF(D16&gt;0,'2021 comm sample'!D16/'2021 Comm catch'!D16,"na")</f>
        <v>0.51682242990654204</v>
      </c>
      <c r="M16" s="559">
        <f>IF(E16&gt;0,'2021 comm sample'!E16/'2021 Comm catch'!E16,"na")</f>
        <v>0.61567635903919093</v>
      </c>
      <c r="N16" s="559">
        <f>IF(F16&gt;0,'2021 comm sample'!F16/'2021 Comm catch'!F16,"na")</f>
        <v>0.27879341864716634</v>
      </c>
      <c r="O16" s="560">
        <f t="shared" si="0"/>
        <v>28.437788018433181</v>
      </c>
      <c r="P16" s="514">
        <f t="shared" si="0"/>
        <v>36.763110307414109</v>
      </c>
      <c r="Q16" s="514">
        <f t="shared" si="0"/>
        <v>66.593429158110879</v>
      </c>
      <c r="R16" s="563">
        <f t="shared" si="0"/>
        <v>10.760655737704919</v>
      </c>
      <c r="S16" s="514"/>
      <c r="T16" s="514"/>
      <c r="U16" s="514"/>
      <c r="W16" s="514"/>
      <c r="X16" s="514"/>
    </row>
    <row r="17" spans="1:32" x14ac:dyDescent="0.3">
      <c r="A17" s="11"/>
      <c r="B17" s="34">
        <v>43</v>
      </c>
      <c r="C17" s="862">
        <v>762</v>
      </c>
      <c r="D17" s="866">
        <v>1536</v>
      </c>
      <c r="E17" s="866">
        <v>2015</v>
      </c>
      <c r="F17" s="866">
        <v>918</v>
      </c>
      <c r="G17" s="551">
        <f>'2021 comm sample'!K17</f>
        <v>3.3333333333333333E-2</v>
      </c>
      <c r="H17" s="552">
        <f>'2021 comm sample'!L17</f>
        <v>3.4682080924855488E-2</v>
      </c>
      <c r="I17" s="552">
        <f>'2021 comm sample'!M17</f>
        <v>7.9822616407982258E-2</v>
      </c>
      <c r="J17" s="552">
        <f>'2021 comm sample'!N17</f>
        <v>3.2786885245901639E-3</v>
      </c>
      <c r="K17" s="558">
        <f>IF(C17&gt;0,'2021 comm sample'!C17/'2021 Comm catch'!C17,"na")</f>
        <v>0.31496062992125984</v>
      </c>
      <c r="L17" s="559">
        <f>IF(D17&gt;0,'2021 comm sample'!D17/'2021 Comm catch'!D17,"na")</f>
        <v>0.56315104166666663</v>
      </c>
      <c r="M17" s="559">
        <f>IF(E17&gt;0,'2021 comm sample'!E17/'2021 Comm catch'!E17,"na")</f>
        <v>0.22382133995037221</v>
      </c>
      <c r="N17" s="559">
        <f>IF(F17&gt;0,'2021 comm sample'!F17/'2021 Comm catch'!F17,"na")</f>
        <v>0.33224400871459697</v>
      </c>
      <c r="O17" s="560">
        <f t="shared" si="0"/>
        <v>25.4</v>
      </c>
      <c r="P17" s="514">
        <f t="shared" si="0"/>
        <v>53.271676300578029</v>
      </c>
      <c r="Q17" s="514">
        <f t="shared" si="0"/>
        <v>160.84257206208426</v>
      </c>
      <c r="R17" s="563">
        <f t="shared" si="0"/>
        <v>3.0098360655737704</v>
      </c>
      <c r="S17" s="514"/>
      <c r="T17" s="514"/>
      <c r="U17" s="514"/>
      <c r="V17" s="514"/>
      <c r="W17" s="514"/>
      <c r="X17" s="514"/>
    </row>
    <row r="18" spans="1:32" x14ac:dyDescent="0.3">
      <c r="B18" s="34">
        <v>44</v>
      </c>
      <c r="C18" s="862">
        <v>216</v>
      </c>
      <c r="D18" s="866">
        <v>415</v>
      </c>
      <c r="E18" s="866">
        <v>1140</v>
      </c>
      <c r="F18" s="866">
        <v>1214</v>
      </c>
      <c r="G18" s="551">
        <f>'2021 comm sample'!K18</f>
        <v>0</v>
      </c>
      <c r="H18" s="552">
        <f>'2021 comm sample'!L18</f>
        <v>7.7777777777777779E-2</v>
      </c>
      <c r="I18" s="552">
        <f>'2021 comm sample'!M18</f>
        <v>9.7244732576985418E-2</v>
      </c>
      <c r="J18" s="552">
        <f>'2021 comm sample'!N18</f>
        <v>8.9786756453423128E-3</v>
      </c>
      <c r="K18" s="558">
        <f>IF(C18&gt;0,'2021 comm sample'!C18/'2021 Comm catch'!C18,"na")</f>
        <v>0.16203703703703703</v>
      </c>
      <c r="L18" s="559">
        <f>IF(D18&gt;0,'2021 comm sample'!D18/'2021 Comm catch'!D18,"na")</f>
        <v>0.43373493975903615</v>
      </c>
      <c r="M18" s="559">
        <f>IF(E18&gt;0,'2021 comm sample'!E18/'2021 Comm catch'!E18,"na")</f>
        <v>0.54122807017543861</v>
      </c>
      <c r="N18" s="559">
        <f>IF(F18&gt;0,'2021 comm sample'!F18/'2021 Comm catch'!F18,"na")</f>
        <v>0.73393739703459637</v>
      </c>
      <c r="O18" s="897">
        <f t="shared" si="0"/>
        <v>0</v>
      </c>
      <c r="P18" s="514">
        <f t="shared" si="0"/>
        <v>32.277777777777779</v>
      </c>
      <c r="Q18" s="514">
        <f t="shared" si="0"/>
        <v>110.85899513776337</v>
      </c>
      <c r="R18" s="563">
        <f t="shared" si="0"/>
        <v>10.900112233445567</v>
      </c>
      <c r="S18" s="848">
        <f>AVERAGE(G9:G17)*C18</f>
        <v>7.7526787595950539</v>
      </c>
      <c r="T18" s="874"/>
      <c r="U18" s="514"/>
      <c r="V18" s="514"/>
      <c r="W18" s="514"/>
      <c r="X18" s="514"/>
    </row>
    <row r="19" spans="1:32" x14ac:dyDescent="0.3">
      <c r="B19" s="34">
        <v>45</v>
      </c>
      <c r="C19" s="884"/>
      <c r="D19" s="807"/>
      <c r="E19" s="864"/>
      <c r="F19" s="892">
        <v>1564</v>
      </c>
      <c r="G19" s="551" t="str">
        <f>'2021 comm sample'!K19</f>
        <v>na</v>
      </c>
      <c r="H19" s="552" t="str">
        <f>'2021 comm sample'!L19</f>
        <v>na</v>
      </c>
      <c r="I19" s="552" t="str">
        <f>'2021 comm sample'!M19</f>
        <v>na</v>
      </c>
      <c r="J19" s="552">
        <f>'2021 comm sample'!N19</f>
        <v>7.1574642126789366E-3</v>
      </c>
      <c r="K19" s="558" t="str">
        <f>IF(C19&gt;0,'2021 comm sample'!C19/'2021 Comm catch'!C19,"na")</f>
        <v>na</v>
      </c>
      <c r="L19" s="559" t="str">
        <f>IF(D19&gt;0,'2021 comm sample'!D19/'2021 Comm catch'!D19,"na")</f>
        <v>na</v>
      </c>
      <c r="M19" s="559" t="str">
        <f>IF(E19&gt;0,'2021 comm sample'!E19/'2021 Comm catch'!E19,"na")</f>
        <v>na</v>
      </c>
      <c r="N19" s="559">
        <f>IF(F19&gt;0,'2021 comm sample'!F19/'2021 Comm catch'!F19,"na")</f>
        <v>0.6253196930946292</v>
      </c>
      <c r="O19" s="560" t="str">
        <f t="shared" si="0"/>
        <v>na</v>
      </c>
      <c r="P19" s="514" t="str">
        <f t="shared" si="0"/>
        <v>na</v>
      </c>
      <c r="Q19" s="514" t="str">
        <f t="shared" si="0"/>
        <v>na</v>
      </c>
      <c r="R19" s="563">
        <f t="shared" si="0"/>
        <v>11.194274028629858</v>
      </c>
      <c r="S19" s="514"/>
      <c r="T19" s="514"/>
      <c r="U19" s="514"/>
      <c r="V19" s="514"/>
      <c r="W19" s="514"/>
      <c r="X19" s="514"/>
    </row>
    <row r="20" spans="1:32" x14ac:dyDescent="0.3">
      <c r="B20" s="34">
        <v>46</v>
      </c>
      <c r="C20" s="884"/>
      <c r="D20" s="807"/>
      <c r="E20" s="864"/>
      <c r="F20" s="892">
        <v>350</v>
      </c>
      <c r="G20" s="551" t="str">
        <f>'2021 comm sample'!K20</f>
        <v>na</v>
      </c>
      <c r="H20" s="552" t="str">
        <f>'2021 comm sample'!L20</f>
        <v>na</v>
      </c>
      <c r="I20" s="552" t="str">
        <f>'2021 comm sample'!M20</f>
        <v>na</v>
      </c>
      <c r="J20" s="552">
        <f>'2021 comm sample'!N20</f>
        <v>1.0600706713780919E-2</v>
      </c>
      <c r="K20" s="558" t="str">
        <f>IF(C20&gt;0,'2021 comm sample'!C20/'2021 Comm catch'!C20,"na")</f>
        <v>na</v>
      </c>
      <c r="L20" s="559" t="str">
        <f>IF(D20&gt;0,'2021 comm sample'!D20/'2021 Comm catch'!D20,"na")</f>
        <v>na</v>
      </c>
      <c r="M20" s="559" t="str">
        <f>IF(E20&gt;0,'2021 comm sample'!E20/'2021 Comm catch'!E20,"na")</f>
        <v>na</v>
      </c>
      <c r="N20" s="891">
        <f>IF(F20&gt;0,'2021 comm sample'!F20/'2021 Comm catch'!F20,"na")</f>
        <v>0.80857142857142861</v>
      </c>
      <c r="O20" s="560" t="str">
        <f t="shared" si="0"/>
        <v>na</v>
      </c>
      <c r="P20" s="514" t="str">
        <f t="shared" si="0"/>
        <v>na</v>
      </c>
      <c r="Q20" s="514" t="str">
        <f t="shared" si="0"/>
        <v>na</v>
      </c>
      <c r="R20" s="563">
        <f t="shared" si="0"/>
        <v>3.7102473498233217</v>
      </c>
      <c r="S20" s="514"/>
      <c r="T20" s="514"/>
      <c r="U20" s="514"/>
      <c r="V20" s="514"/>
      <c r="W20" s="514"/>
      <c r="X20" s="514"/>
    </row>
    <row r="21" spans="1:32" x14ac:dyDescent="0.3">
      <c r="B21" s="34">
        <v>47</v>
      </c>
      <c r="C21" s="867"/>
      <c r="D21" s="868"/>
      <c r="E21" s="869"/>
      <c r="F21" s="875">
        <v>0</v>
      </c>
      <c r="G21" s="567" t="str">
        <f>'2021 comm sample'!K21</f>
        <v>na</v>
      </c>
      <c r="H21" s="568" t="str">
        <f>'2021 comm sample'!L21</f>
        <v>na</v>
      </c>
      <c r="I21" s="568" t="str">
        <f>'2021 comm sample'!M21</f>
        <v>na</v>
      </c>
      <c r="J21" s="568" t="str">
        <f>'2021 comm sample'!N21</f>
        <v>na</v>
      </c>
      <c r="K21" s="569" t="str">
        <f>IF(C21&gt;0,'2021 comm sample'!C21/'2021 Comm catch'!C21,"na")</f>
        <v>na</v>
      </c>
      <c r="L21" s="570" t="str">
        <f>IF(D21&gt;0,'2021 comm sample'!D21/'2021 Comm catch'!D21,"na")</f>
        <v>na</v>
      </c>
      <c r="M21" s="570" t="str">
        <f>IF(E21&gt;0,'2021 comm sample'!E21/'2021 Comm catch'!E21,"na")</f>
        <v>na</v>
      </c>
      <c r="N21" s="570" t="str">
        <f>IF(F21&gt;0,'2021 comm sample'!F21/'2021 Comm catch'!F21,"na")</f>
        <v>na</v>
      </c>
      <c r="O21" s="560" t="str">
        <f t="shared" ref="O21:R21" si="1">IF(G21&lt;&gt;"na",C21*G21,"na")</f>
        <v>na</v>
      </c>
      <c r="P21" s="514" t="str">
        <f t="shared" si="1"/>
        <v>na</v>
      </c>
      <c r="Q21" s="514" t="str">
        <f t="shared" si="1"/>
        <v>na</v>
      </c>
      <c r="R21" s="563" t="str">
        <f t="shared" si="1"/>
        <v>na</v>
      </c>
      <c r="S21" s="514"/>
      <c r="T21" s="514"/>
      <c r="U21" s="514"/>
      <c r="V21" s="514"/>
      <c r="W21" s="514"/>
      <c r="X21" s="514"/>
    </row>
    <row r="22" spans="1:32" x14ac:dyDescent="0.3">
      <c r="B22" s="34" t="s">
        <v>184</v>
      </c>
      <c r="C22" s="808">
        <f>SUM(C5:C19)</f>
        <v>42651</v>
      </c>
      <c r="D22" s="651">
        <f>SUM(D5:D19)</f>
        <v>31056</v>
      </c>
      <c r="E22" s="651">
        <f>SUM(E5:E19)</f>
        <v>17509</v>
      </c>
      <c r="F22" s="809">
        <f>SUM(F5:F21)</f>
        <v>7841</v>
      </c>
      <c r="G22" s="571">
        <f>'2021 comm sample'!K22</f>
        <v>3.3558839238027417E-2</v>
      </c>
      <c r="H22" s="571">
        <f>'2021 comm sample'!L22</f>
        <v>4.1585519532592506E-2</v>
      </c>
      <c r="I22" s="571">
        <f>'2021 comm sample'!M22</f>
        <v>4.6577275935074103E-2</v>
      </c>
      <c r="J22" s="571">
        <f>'2021 comm sample'!N22</f>
        <v>2.4427480916030534E-2</v>
      </c>
      <c r="K22" s="721">
        <f>IF(C22&gt;0,'2018 comm sample'!C20/'2021 Comm catch'!C22,"na")</f>
        <v>4.0092846592108038E-2</v>
      </c>
      <c r="L22" s="722">
        <f>IF(D22&gt;0,'2018 comm sample'!D20/'2021 Comm catch'!D22,"na")</f>
        <v>6.6685986604842859E-2</v>
      </c>
      <c r="M22" s="722">
        <f>IF(E22&gt;0,'2018 comm sample'!E20/'2021 Comm catch'!E22,"na")</f>
        <v>4.5805014563938547E-2</v>
      </c>
      <c r="N22" s="723">
        <f>IF(F22&gt;0,'2018 comm sample'!F20/'2021 Comm catch'!F22,"na")</f>
        <v>0.10751179696467288</v>
      </c>
      <c r="O22" s="572">
        <f>SUM(O5:O19)</f>
        <v>1440.1244380321336</v>
      </c>
      <c r="P22" s="573">
        <f>SUM(P5:P19)</f>
        <v>1282.1913748429567</v>
      </c>
      <c r="Q22" s="573">
        <f>SUM(Q5:Q19)</f>
        <v>831.1748797148872</v>
      </c>
      <c r="R22" s="574">
        <f>SUM(R5:R20)</f>
        <v>214.6732682435939</v>
      </c>
      <c r="S22" s="575"/>
      <c r="T22" s="575"/>
      <c r="U22" s="575"/>
      <c r="V22" s="575"/>
      <c r="W22" s="575"/>
      <c r="X22" s="575"/>
    </row>
    <row r="23" spans="1:32" x14ac:dyDescent="0.3">
      <c r="B23" s="208"/>
      <c r="C23" s="208"/>
      <c r="D23" s="208"/>
      <c r="E23" s="208"/>
      <c r="F23" s="575"/>
      <c r="G23" s="34"/>
      <c r="H23" s="34"/>
      <c r="I23" s="208"/>
      <c r="J23" s="576"/>
      <c r="K23" s="208"/>
      <c r="L23" s="208"/>
      <c r="M23" s="208"/>
      <c r="N23" s="577"/>
      <c r="O23" s="208"/>
      <c r="P23" s="208"/>
      <c r="Q23" s="208"/>
      <c r="R23" s="575"/>
      <c r="S23" s="575"/>
      <c r="T23" s="575"/>
      <c r="U23" s="575"/>
      <c r="V23" s="575"/>
      <c r="W23" s="575"/>
      <c r="X23" s="575"/>
    </row>
    <row r="24" spans="1:32" x14ac:dyDescent="0.3">
      <c r="B24" s="208"/>
      <c r="C24" s="457"/>
      <c r="D24" s="457"/>
      <c r="E24" s="457"/>
      <c r="F24" s="514"/>
      <c r="I24" s="457"/>
      <c r="J24" s="457"/>
      <c r="K24" s="457"/>
      <c r="L24" s="457"/>
      <c r="M24" s="457"/>
      <c r="N24" s="457"/>
      <c r="O24" s="457"/>
      <c r="P24" s="457"/>
      <c r="Q24" s="457"/>
      <c r="R24" s="514"/>
      <c r="S24" s="514"/>
      <c r="T24" s="514"/>
      <c r="U24" s="514"/>
      <c r="V24" s="514"/>
      <c r="W24" s="514"/>
      <c r="X24" s="514"/>
    </row>
    <row r="25" spans="1:32" x14ac:dyDescent="0.3">
      <c r="C25" s="34" t="s">
        <v>123</v>
      </c>
      <c r="H25" s="457"/>
      <c r="I25" s="457"/>
      <c r="J25" s="457"/>
      <c r="Y25" s="33"/>
      <c r="Z25" s="33"/>
      <c r="AA25" s="33"/>
    </row>
    <row r="26" spans="1:32" x14ac:dyDescent="0.3">
      <c r="C26" s="903" t="s">
        <v>263</v>
      </c>
      <c r="D26" s="904"/>
      <c r="E26" s="904"/>
      <c r="F26" s="904"/>
      <c r="G26" s="904"/>
      <c r="H26" s="904"/>
      <c r="I26" s="904"/>
      <c r="J26" s="905"/>
      <c r="K26" s="903" t="s">
        <v>264</v>
      </c>
      <c r="L26" s="904"/>
      <c r="M26" s="904"/>
      <c r="N26" s="904"/>
      <c r="O26" s="905"/>
      <c r="P26" s="903" t="s">
        <v>261</v>
      </c>
      <c r="Q26" s="904"/>
      <c r="R26" s="904"/>
      <c r="S26" s="904"/>
      <c r="T26" s="904"/>
      <c r="U26" s="697" t="s">
        <v>323</v>
      </c>
      <c r="V26" s="698"/>
      <c r="W26" s="698"/>
      <c r="X26" s="698"/>
      <c r="Y26" s="698"/>
      <c r="Z26" s="698"/>
      <c r="AA26" s="698"/>
      <c r="AB26" s="699"/>
      <c r="AC26" s="34" t="s">
        <v>328</v>
      </c>
    </row>
    <row r="27" spans="1:32" x14ac:dyDescent="0.3">
      <c r="B27" s="34" t="s">
        <v>134</v>
      </c>
      <c r="C27" s="547">
        <v>1</v>
      </c>
      <c r="D27" s="202">
        <v>2</v>
      </c>
      <c r="E27" s="202">
        <v>3</v>
      </c>
      <c r="F27" s="202"/>
      <c r="G27" s="202">
        <v>4</v>
      </c>
      <c r="H27" s="202">
        <v>5</v>
      </c>
      <c r="I27" s="202"/>
      <c r="J27" s="548" t="s">
        <v>272</v>
      </c>
      <c r="K27" s="367">
        <v>1</v>
      </c>
      <c r="L27" s="175">
        <v>2</v>
      </c>
      <c r="M27" s="175">
        <v>3</v>
      </c>
      <c r="N27" s="175">
        <v>4</v>
      </c>
      <c r="O27" s="368">
        <v>5</v>
      </c>
      <c r="P27" s="367">
        <v>1</v>
      </c>
      <c r="Q27" s="175">
        <v>2</v>
      </c>
      <c r="R27" s="175">
        <v>3</v>
      </c>
      <c r="S27" s="175">
        <v>4</v>
      </c>
      <c r="T27" s="175">
        <v>5</v>
      </c>
      <c r="U27" s="367">
        <v>1</v>
      </c>
      <c r="V27" s="175">
        <v>2</v>
      </c>
      <c r="W27" s="175">
        <v>3</v>
      </c>
      <c r="X27" s="175"/>
      <c r="Y27" s="175">
        <v>4</v>
      </c>
      <c r="Z27" s="175">
        <v>5</v>
      </c>
      <c r="AA27" s="175"/>
      <c r="AB27" s="368" t="s">
        <v>272</v>
      </c>
      <c r="AC27" s="32" t="str">
        <f>'2013 comm sample'!R24</f>
        <v>Z1-3 Agg</v>
      </c>
      <c r="AD27" s="32" t="str">
        <f>'2013 comm sample'!S24</f>
        <v>Z4-5 Agg</v>
      </c>
      <c r="AE27" s="73"/>
      <c r="AF27" s="73"/>
    </row>
    <row r="28" spans="1:32" x14ac:dyDescent="0.3">
      <c r="A28" s="34"/>
      <c r="B28" s="34">
        <v>32</v>
      </c>
      <c r="C28" s="832"/>
      <c r="D28" s="833"/>
      <c r="E28" s="833"/>
      <c r="F28" s="834"/>
      <c r="G28" s="835"/>
      <c r="H28" s="835"/>
      <c r="I28" s="834"/>
      <c r="J28" s="579"/>
      <c r="K28" s="532" t="str">
        <f>'2021 comm sample'!M28</f>
        <v>na</v>
      </c>
      <c r="L28" s="532" t="str">
        <f>'2021 comm sample'!N28</f>
        <v>na</v>
      </c>
      <c r="M28" s="532" t="str">
        <f>'2021 comm sample'!O28</f>
        <v>na</v>
      </c>
      <c r="N28" s="532" t="str">
        <f>'2021 comm sample'!P28</f>
        <v>na</v>
      </c>
      <c r="O28" s="533" t="str">
        <f>'2021 comm sample'!Q28</f>
        <v>na</v>
      </c>
      <c r="P28" s="559" t="str">
        <f>IF(C28&gt;0,'2021 comm sample'!C28/'2021 Comm catch'!C28,"na")</f>
        <v>na</v>
      </c>
      <c r="Q28" s="559" t="str">
        <f>IF(D28&gt;0,'2021 comm sample'!D28/'2021 Comm catch'!D28,"na")</f>
        <v>na</v>
      </c>
      <c r="R28" s="559" t="str">
        <f>IF(E28&gt;0,'2021 comm sample'!E28/'2021 Comm catch'!E28,"na")</f>
        <v>na</v>
      </c>
      <c r="S28" s="559" t="str">
        <f>IF(G28&gt;0,'2021 comm sample'!F28/'2021 Comm catch'!G28,"na")</f>
        <v>na</v>
      </c>
      <c r="T28" s="559" t="str">
        <f>IF(H28&gt;0,'2021 comm sample'!G28/'2021 Comm catch'!H28,"na")</f>
        <v>na</v>
      </c>
      <c r="U28" s="560">
        <f t="shared" ref="U28:W41" si="2">IF(K28&lt;&gt;"na",C28*K28,0)</f>
        <v>0</v>
      </c>
      <c r="V28" s="514">
        <f t="shared" si="2"/>
        <v>0</v>
      </c>
      <c r="W28" s="514">
        <f t="shared" si="2"/>
        <v>0</v>
      </c>
      <c r="X28" s="705">
        <f t="shared" ref="X28:X40" si="3">SUM(U28:W28)</f>
        <v>0</v>
      </c>
      <c r="Y28" s="514">
        <f t="shared" ref="Y28:Z41" si="4">IF(N28&lt;&gt;"na",G28*N28,0)</f>
        <v>0</v>
      </c>
      <c r="Z28" s="514">
        <f t="shared" si="4"/>
        <v>0</v>
      </c>
      <c r="AA28" s="705">
        <f t="shared" ref="AA28:AA40" si="5">SUM(Y28:Z28)</f>
        <v>0</v>
      </c>
      <c r="AB28" s="580">
        <f>X28+AA28</f>
        <v>0</v>
      </c>
    </row>
    <row r="29" spans="1:32" x14ac:dyDescent="0.3">
      <c r="A29" s="34" t="s">
        <v>324</v>
      </c>
      <c r="B29" s="34">
        <v>33</v>
      </c>
      <c r="C29" s="836"/>
      <c r="D29" s="837"/>
      <c r="E29" s="837"/>
      <c r="F29" s="838"/>
      <c r="G29" s="871">
        <v>1</v>
      </c>
      <c r="H29" s="871">
        <v>1</v>
      </c>
      <c r="I29" s="839">
        <f t="shared" ref="I29:I40" si="6">SUM(G29:H29)</f>
        <v>2</v>
      </c>
      <c r="J29" s="515">
        <f>F29+I29</f>
        <v>2</v>
      </c>
      <c r="K29" s="532" t="str">
        <f>'2021 comm sample'!M29</f>
        <v>na</v>
      </c>
      <c r="L29" s="532" t="str">
        <f>'2021 comm sample'!N29</f>
        <v>na</v>
      </c>
      <c r="M29" s="532" t="str">
        <f>'2021 comm sample'!O29</f>
        <v>na</v>
      </c>
      <c r="N29" s="532">
        <f>'2021 comm sample'!P29</f>
        <v>1</v>
      </c>
      <c r="O29" s="533">
        <f>'2021 comm sample'!Q29</f>
        <v>1</v>
      </c>
      <c r="P29" s="559" t="str">
        <f>IF(C29&gt;0,'2021 comm sample'!C29/'2021 Comm catch'!C29,"na")</f>
        <v>na</v>
      </c>
      <c r="Q29" s="559" t="str">
        <f>IF(D29&gt;0,'2021 comm sample'!D29/'2021 Comm catch'!D29,"na")</f>
        <v>na</v>
      </c>
      <c r="R29" s="559" t="str">
        <f>IF(E29&gt;0,'2021 comm sample'!E29/'2021 Comm catch'!E29,"na")</f>
        <v>na</v>
      </c>
      <c r="S29" s="559">
        <f>IF(G29&gt;0,'2021 comm sample'!F29/'2021 Comm catch'!G29,"na")</f>
        <v>1</v>
      </c>
      <c r="T29" s="559">
        <f>IF(H29&gt;0,'2021 comm sample'!G29/'2021 Comm catch'!H29,"na")</f>
        <v>1</v>
      </c>
      <c r="U29" s="560">
        <f t="shared" si="2"/>
        <v>0</v>
      </c>
      <c r="V29" s="514">
        <f t="shared" si="2"/>
        <v>0</v>
      </c>
      <c r="W29" s="514">
        <f t="shared" si="2"/>
        <v>0</v>
      </c>
      <c r="X29" s="705">
        <f t="shared" si="3"/>
        <v>0</v>
      </c>
      <c r="Y29" s="514">
        <f t="shared" si="4"/>
        <v>1</v>
      </c>
      <c r="Z29" s="514">
        <f t="shared" si="4"/>
        <v>1</v>
      </c>
      <c r="AA29" s="705">
        <f t="shared" si="5"/>
        <v>2</v>
      </c>
      <c r="AB29" s="580">
        <f t="shared" ref="AB29:AB42" si="7">X29+AA29</f>
        <v>2</v>
      </c>
      <c r="AD29" s="585"/>
    </row>
    <row r="30" spans="1:32" x14ac:dyDescent="0.3">
      <c r="A30" s="34" t="s">
        <v>324</v>
      </c>
      <c r="B30" s="34">
        <v>34</v>
      </c>
      <c r="C30" s="836"/>
      <c r="D30" s="837"/>
      <c r="E30" s="837"/>
      <c r="F30" s="838"/>
      <c r="G30" s="871">
        <v>12</v>
      </c>
      <c r="H30" s="871">
        <v>0</v>
      </c>
      <c r="I30" s="839">
        <f t="shared" si="6"/>
        <v>12</v>
      </c>
      <c r="J30" s="515">
        <f t="shared" ref="J30:J41" si="8">F30+I30</f>
        <v>12</v>
      </c>
      <c r="K30" s="532" t="str">
        <f>'2021 comm sample'!M30</f>
        <v>na</v>
      </c>
      <c r="L30" s="532" t="str">
        <f>'2021 comm sample'!N30</f>
        <v>na</v>
      </c>
      <c r="M30" s="532" t="str">
        <f>'2021 comm sample'!O30</f>
        <v>na</v>
      </c>
      <c r="N30" s="532">
        <f>'2021 comm sample'!P30</f>
        <v>0.8</v>
      </c>
      <c r="O30" s="533" t="str">
        <f>'2021 comm sample'!Q30</f>
        <v>na</v>
      </c>
      <c r="P30" s="559" t="str">
        <f>IF(C30&gt;0,'2021 comm sample'!C30/'2021 Comm catch'!C30,"na")</f>
        <v>na</v>
      </c>
      <c r="Q30" s="559" t="str">
        <f>IF(D30&gt;0,'2021 comm sample'!D30/'2021 Comm catch'!D30,"na")</f>
        <v>na</v>
      </c>
      <c r="R30" s="559" t="str">
        <f>IF(E30&gt;0,'2021 comm sample'!E30/'2021 Comm catch'!E30,"na")</f>
        <v>na</v>
      </c>
      <c r="S30" s="559">
        <f>IF(G30&gt;0,'2021 comm sample'!F30/'2021 Comm catch'!G30,"na")</f>
        <v>0.41666666666666669</v>
      </c>
      <c r="T30" s="559" t="str">
        <f>IF(H30&gt;0,'2021 comm sample'!G30/'2021 Comm catch'!H30,"na")</f>
        <v>na</v>
      </c>
      <c r="U30" s="560">
        <f t="shared" si="2"/>
        <v>0</v>
      </c>
      <c r="V30" s="514">
        <f t="shared" si="2"/>
        <v>0</v>
      </c>
      <c r="W30" s="514">
        <f t="shared" si="2"/>
        <v>0</v>
      </c>
      <c r="X30" s="705">
        <f t="shared" si="3"/>
        <v>0</v>
      </c>
      <c r="Y30" s="514">
        <f t="shared" si="4"/>
        <v>9.6000000000000014</v>
      </c>
      <c r="Z30" s="514">
        <f t="shared" si="4"/>
        <v>0</v>
      </c>
      <c r="AA30" s="705">
        <f t="shared" si="5"/>
        <v>9.6000000000000014</v>
      </c>
      <c r="AB30" s="580">
        <f t="shared" si="7"/>
        <v>9.6000000000000014</v>
      </c>
      <c r="AD30" s="585"/>
    </row>
    <row r="31" spans="1:32" x14ac:dyDescent="0.3">
      <c r="A31" s="34" t="s">
        <v>324</v>
      </c>
      <c r="B31" s="34">
        <v>35</v>
      </c>
      <c r="C31" s="836"/>
      <c r="D31" s="837"/>
      <c r="E31" s="837"/>
      <c r="F31" s="838"/>
      <c r="G31" s="871">
        <v>875</v>
      </c>
      <c r="H31" s="871">
        <v>280</v>
      </c>
      <c r="I31" s="839">
        <f t="shared" si="6"/>
        <v>1155</v>
      </c>
      <c r="J31" s="515">
        <f t="shared" si="8"/>
        <v>1155</v>
      </c>
      <c r="K31" s="532" t="str">
        <f>'2021 comm sample'!M31</f>
        <v>na</v>
      </c>
      <c r="L31" s="532" t="str">
        <f>'2021 comm sample'!N31</f>
        <v>na</v>
      </c>
      <c r="M31" s="532" t="str">
        <f>'2021 comm sample'!O31</f>
        <v>na</v>
      </c>
      <c r="N31" s="532">
        <f>'2021 comm sample'!P31</f>
        <v>0.87066246056782337</v>
      </c>
      <c r="O31" s="533">
        <f>'2021 comm sample'!Q31</f>
        <v>0.83333333333333337</v>
      </c>
      <c r="P31" s="559" t="str">
        <f>IF(C31&gt;0,'2021 comm sample'!C31/'2021 Comm catch'!C31,"na")</f>
        <v>na</v>
      </c>
      <c r="Q31" s="559" t="str">
        <f>IF(D31&gt;0,'2021 comm sample'!D31/'2021 Comm catch'!D31,"na")</f>
        <v>na</v>
      </c>
      <c r="R31" s="559" t="str">
        <f>IF(E31&gt;0,'2021 comm sample'!E31/'2021 Comm catch'!E31,"na")</f>
        <v>na</v>
      </c>
      <c r="S31" s="559">
        <f>IF(G31&gt;0,'2021 comm sample'!F31/'2021 Comm catch'!G31,"na")</f>
        <v>0.36228571428571427</v>
      </c>
      <c r="T31" s="559">
        <f>IF(H31&gt;0,'2021 comm sample'!G31/'2021 Comm catch'!H31,"na")</f>
        <v>0.21428571428571427</v>
      </c>
      <c r="U31" s="560">
        <f t="shared" si="2"/>
        <v>0</v>
      </c>
      <c r="V31" s="514">
        <f t="shared" si="2"/>
        <v>0</v>
      </c>
      <c r="W31" s="514">
        <f t="shared" si="2"/>
        <v>0</v>
      </c>
      <c r="X31" s="705">
        <f t="shared" si="3"/>
        <v>0</v>
      </c>
      <c r="Y31" s="514">
        <f t="shared" si="4"/>
        <v>761.82965299684543</v>
      </c>
      <c r="Z31" s="514">
        <f t="shared" si="4"/>
        <v>233.33333333333334</v>
      </c>
      <c r="AA31" s="705">
        <f t="shared" si="5"/>
        <v>995.1629863301788</v>
      </c>
      <c r="AB31" s="580">
        <f t="shared" si="7"/>
        <v>995.1629863301788</v>
      </c>
      <c r="AD31" s="585"/>
    </row>
    <row r="32" spans="1:32" x14ac:dyDescent="0.3">
      <c r="A32" s="34" t="s">
        <v>324</v>
      </c>
      <c r="B32" s="34">
        <v>36</v>
      </c>
      <c r="C32" s="836"/>
      <c r="D32" s="837"/>
      <c r="E32" s="837"/>
      <c r="F32" s="838"/>
      <c r="G32" s="871">
        <v>1145</v>
      </c>
      <c r="H32" s="871">
        <v>454</v>
      </c>
      <c r="I32" s="839">
        <f t="shared" si="6"/>
        <v>1599</v>
      </c>
      <c r="J32" s="515">
        <f t="shared" si="8"/>
        <v>1599</v>
      </c>
      <c r="K32" s="532" t="str">
        <f>'2021 comm sample'!M32</f>
        <v>na</v>
      </c>
      <c r="L32" s="532" t="str">
        <f>'2021 comm sample'!N32</f>
        <v>na</v>
      </c>
      <c r="M32" s="532" t="str">
        <f>'2021 comm sample'!O32</f>
        <v>na</v>
      </c>
      <c r="N32" s="532">
        <f>'2021 comm sample'!P32</f>
        <v>0.74683544303797467</v>
      </c>
      <c r="O32" s="533">
        <f>'2021 comm sample'!Q32</f>
        <v>0.74468085106382975</v>
      </c>
      <c r="P32" s="559" t="str">
        <f>IF(C32&gt;0,'2021 comm sample'!C32/'2021 Comm catch'!C32,"na")</f>
        <v>na</v>
      </c>
      <c r="Q32" s="559" t="str">
        <f>IF(D32&gt;0,'2021 comm sample'!D32/'2021 Comm catch'!D32,"na")</f>
        <v>na</v>
      </c>
      <c r="R32" s="559" t="str">
        <f>IF(E32&gt;0,'2021 comm sample'!E32/'2021 Comm catch'!E32,"na")</f>
        <v>na</v>
      </c>
      <c r="S32" s="559">
        <f>IF(G32&gt;0,'2021 comm sample'!F32/'2021 Comm catch'!G32,"na")</f>
        <v>0.34497816593886466</v>
      </c>
      <c r="T32" s="559">
        <f>IF(H32&gt;0,'2021 comm sample'!G32/'2021 Comm catch'!H32,"na")</f>
        <v>0.10352422907488987</v>
      </c>
      <c r="U32" s="560">
        <f t="shared" si="2"/>
        <v>0</v>
      </c>
      <c r="V32" s="514">
        <f t="shared" si="2"/>
        <v>0</v>
      </c>
      <c r="W32" s="514">
        <f t="shared" si="2"/>
        <v>0</v>
      </c>
      <c r="X32" s="705">
        <f t="shared" si="3"/>
        <v>0</v>
      </c>
      <c r="Y32" s="514">
        <f t="shared" si="4"/>
        <v>855.12658227848101</v>
      </c>
      <c r="Z32" s="514">
        <f t="shared" si="4"/>
        <v>338.08510638297872</v>
      </c>
      <c r="AA32" s="896">
        <f t="shared" si="5"/>
        <v>1193.2116886614597</v>
      </c>
      <c r="AB32" s="580">
        <f t="shared" si="7"/>
        <v>1193.2116886614597</v>
      </c>
      <c r="AD32" s="805">
        <f>I32*'2021 comm sample'!S32</f>
        <v>1193.8235294117646</v>
      </c>
    </row>
    <row r="33" spans="1:32" x14ac:dyDescent="0.3">
      <c r="A33"/>
      <c r="B33" s="34">
        <v>37</v>
      </c>
      <c r="C33" s="836"/>
      <c r="D33" s="837"/>
      <c r="E33" s="837"/>
      <c r="F33" s="838"/>
      <c r="G33" s="807"/>
      <c r="H33" s="807"/>
      <c r="I33" s="838">
        <f t="shared" si="6"/>
        <v>0</v>
      </c>
      <c r="J33" s="515">
        <f t="shared" si="8"/>
        <v>0</v>
      </c>
      <c r="K33" s="532" t="str">
        <f>'2021 comm sample'!M33</f>
        <v>na</v>
      </c>
      <c r="L33" s="532" t="str">
        <f>'2021 comm sample'!N33</f>
        <v>na</v>
      </c>
      <c r="M33" s="532" t="str">
        <f>'2021 comm sample'!O33</f>
        <v>na</v>
      </c>
      <c r="N33" s="532" t="str">
        <f>'2021 comm sample'!P33</f>
        <v>na</v>
      </c>
      <c r="O33" s="533" t="str">
        <f>'2021 comm sample'!Q33</f>
        <v>na</v>
      </c>
      <c r="P33" s="558" t="str">
        <f>IF(C33&gt;0,'2021 comm sample'!C33/'2021 Comm catch'!C33,"na")</f>
        <v>na</v>
      </c>
      <c r="Q33" s="559" t="str">
        <f>IF(D33&gt;0,'2021 comm sample'!D33/'2021 Comm catch'!D33,"na")</f>
        <v>na</v>
      </c>
      <c r="R33" s="559" t="str">
        <f>IF(E33&gt;0,'2021 comm sample'!E33/'2021 Comm catch'!E33,"na")</f>
        <v>na</v>
      </c>
      <c r="S33" s="559" t="str">
        <f>IF(G33&gt;0,'2021 comm sample'!F33/'2021 Comm catch'!G33,"na")</f>
        <v>na</v>
      </c>
      <c r="T33" s="559" t="str">
        <f>IF(H33&gt;0,'2021 comm sample'!G33/'2021 Comm catch'!H33,"na")</f>
        <v>na</v>
      </c>
      <c r="U33" s="560">
        <f t="shared" si="2"/>
        <v>0</v>
      </c>
      <c r="V33" s="514">
        <f t="shared" si="2"/>
        <v>0</v>
      </c>
      <c r="W33" s="514">
        <f t="shared" si="2"/>
        <v>0</v>
      </c>
      <c r="X33" s="705">
        <f t="shared" si="3"/>
        <v>0</v>
      </c>
      <c r="Y33" s="514">
        <f t="shared" si="4"/>
        <v>0</v>
      </c>
      <c r="Z33" s="514">
        <f t="shared" si="4"/>
        <v>0</v>
      </c>
      <c r="AA33" s="705">
        <f t="shared" si="5"/>
        <v>0</v>
      </c>
      <c r="AB33" s="580">
        <f t="shared" si="7"/>
        <v>0</v>
      </c>
    </row>
    <row r="34" spans="1:32" x14ac:dyDescent="0.3">
      <c r="A34" s="34"/>
      <c r="B34" s="34">
        <v>38</v>
      </c>
      <c r="C34" s="836"/>
      <c r="D34" s="837"/>
      <c r="E34" s="837"/>
      <c r="F34" s="838"/>
      <c r="G34" s="807"/>
      <c r="H34" s="807"/>
      <c r="I34" s="838">
        <f t="shared" si="6"/>
        <v>0</v>
      </c>
      <c r="J34" s="515">
        <f t="shared" si="8"/>
        <v>0</v>
      </c>
      <c r="K34" s="532" t="str">
        <f>'2021 comm sample'!M34</f>
        <v>na</v>
      </c>
      <c r="L34" s="532" t="str">
        <f>'2021 comm sample'!N34</f>
        <v>na</v>
      </c>
      <c r="M34" s="532" t="str">
        <f>'2021 comm sample'!O34</f>
        <v>na</v>
      </c>
      <c r="N34" s="532" t="str">
        <f>'2021 comm sample'!P34</f>
        <v>na</v>
      </c>
      <c r="O34" s="533" t="str">
        <f>'2021 comm sample'!Q34</f>
        <v>na</v>
      </c>
      <c r="P34" s="558" t="str">
        <f>IF(C34&gt;0,'2021 comm sample'!C34/'2021 Comm catch'!C34,"na")</f>
        <v>na</v>
      </c>
      <c r="Q34" s="559" t="str">
        <f>IF(D34&gt;0,'2021 comm sample'!D34/'2021 Comm catch'!D34,"na")</f>
        <v>na</v>
      </c>
      <c r="R34" s="559" t="str">
        <f>IF(E34&gt;0,'2021 comm sample'!E34/'2021 Comm catch'!E34,"na")</f>
        <v>na</v>
      </c>
      <c r="S34" s="559" t="str">
        <f>IF(G34&gt;0,'2021 comm sample'!F34/'2021 Comm catch'!G34,"na")</f>
        <v>na</v>
      </c>
      <c r="T34" s="559" t="str">
        <f>IF(H34&gt;0,'2021 comm sample'!G34/'2021 Comm catch'!H34,"na")</f>
        <v>na</v>
      </c>
      <c r="U34" s="560">
        <f t="shared" si="2"/>
        <v>0</v>
      </c>
      <c r="V34" s="514">
        <f t="shared" si="2"/>
        <v>0</v>
      </c>
      <c r="W34" s="514">
        <f t="shared" si="2"/>
        <v>0</v>
      </c>
      <c r="X34" s="705">
        <f t="shared" si="3"/>
        <v>0</v>
      </c>
      <c r="Y34" s="514">
        <f t="shared" si="4"/>
        <v>0</v>
      </c>
      <c r="Z34" s="514">
        <f t="shared" si="4"/>
        <v>0</v>
      </c>
      <c r="AA34" s="705">
        <f t="shared" si="5"/>
        <v>0</v>
      </c>
      <c r="AB34" s="580">
        <f t="shared" si="7"/>
        <v>0</v>
      </c>
      <c r="AD34" s="585"/>
    </row>
    <row r="35" spans="1:32" x14ac:dyDescent="0.3">
      <c r="A35" s="34" t="s">
        <v>322</v>
      </c>
      <c r="B35" s="34">
        <v>39</v>
      </c>
      <c r="C35" s="836"/>
      <c r="D35" s="837"/>
      <c r="E35" s="837"/>
      <c r="F35" s="838">
        <f t="shared" ref="F35:F40" si="9">SUM(C35:E35)</f>
        <v>0</v>
      </c>
      <c r="G35" s="887">
        <f>474+173</f>
        <v>647</v>
      </c>
      <c r="H35" s="887">
        <f>327+185</f>
        <v>512</v>
      </c>
      <c r="I35" s="839">
        <f t="shared" si="6"/>
        <v>1159</v>
      </c>
      <c r="J35" s="737">
        <f t="shared" si="8"/>
        <v>1159</v>
      </c>
      <c r="K35" s="532" t="str">
        <f>'2021 comm sample'!M35</f>
        <v>na</v>
      </c>
      <c r="L35" s="532" t="str">
        <f>'2021 comm sample'!N35</f>
        <v>na</v>
      </c>
      <c r="M35" s="532" t="str">
        <f>'2021 comm sample'!O35</f>
        <v>na</v>
      </c>
      <c r="N35" s="532">
        <f>'2021 comm sample'!P35</f>
        <v>0.44759206798866857</v>
      </c>
      <c r="O35" s="533">
        <f>'2021 comm sample'!Q35</f>
        <v>0.44954128440366975</v>
      </c>
      <c r="P35" s="558" t="str">
        <f>IF(C35&gt;0,'2021 comm sample'!C35/'2021 Comm catch'!C35,"na")</f>
        <v>na</v>
      </c>
      <c r="Q35" s="559" t="str">
        <f>IF(D35&gt;0,'2021 comm sample'!D35/'2021 Comm catch'!D35,"na")</f>
        <v>na</v>
      </c>
      <c r="R35" s="559" t="str">
        <f>IF(E35&gt;0,'2021 comm sample'!E35/'2021 Comm catch'!E35,"na")</f>
        <v>na</v>
      </c>
      <c r="S35" s="559">
        <f>IF(G35&gt;0,'2021 comm sample'!F35/'2021 Comm catch'!G35,"na")</f>
        <v>0.54559505409582687</v>
      </c>
      <c r="T35" s="559">
        <f>IF(H35&gt;0,'2021 comm sample'!G35/'2021 Comm catch'!H35,"na")</f>
        <v>0.212890625</v>
      </c>
      <c r="U35" s="583">
        <f>IF(K35&lt;&gt;"na",C35*L35,0)</f>
        <v>0</v>
      </c>
      <c r="V35" s="584">
        <f t="shared" si="2"/>
        <v>0</v>
      </c>
      <c r="W35" s="514">
        <f t="shared" si="2"/>
        <v>0</v>
      </c>
      <c r="X35" s="706">
        <f t="shared" si="3"/>
        <v>0</v>
      </c>
      <c r="Y35" s="584">
        <f t="shared" si="4"/>
        <v>289.59206798866859</v>
      </c>
      <c r="Z35" s="584">
        <f t="shared" si="4"/>
        <v>230.16513761467891</v>
      </c>
      <c r="AA35" s="705">
        <f t="shared" si="5"/>
        <v>519.75720560334753</v>
      </c>
      <c r="AB35" s="580">
        <f t="shared" si="7"/>
        <v>519.75720560334753</v>
      </c>
      <c r="AC35" s="585"/>
      <c r="AD35" s="585"/>
      <c r="AE35" s="585"/>
      <c r="AF35" s="585"/>
    </row>
    <row r="36" spans="1:32" x14ac:dyDescent="0.3">
      <c r="A36" s="34" t="s">
        <v>326</v>
      </c>
      <c r="B36" s="34">
        <v>40</v>
      </c>
      <c r="C36" s="873">
        <v>233</v>
      </c>
      <c r="D36" s="865">
        <v>1679</v>
      </c>
      <c r="E36" s="865">
        <v>2317</v>
      </c>
      <c r="F36" s="838">
        <f>SUM(C36:E36)</f>
        <v>4229</v>
      </c>
      <c r="G36" s="887">
        <v>106</v>
      </c>
      <c r="H36" s="887">
        <v>288</v>
      </c>
      <c r="I36" s="839">
        <f>SUM(G36:H36)</f>
        <v>394</v>
      </c>
      <c r="J36" s="515">
        <f>F36+I36</f>
        <v>4623</v>
      </c>
      <c r="K36" s="532" t="str">
        <f>'2021 comm sample'!M36</f>
        <v>na</v>
      </c>
      <c r="L36" s="532">
        <f>'2021 comm sample'!N36</f>
        <v>0</v>
      </c>
      <c r="M36" s="532">
        <f>'2021 comm sample'!O36</f>
        <v>0</v>
      </c>
      <c r="N36" s="532">
        <f>'2021 comm sample'!P36</f>
        <v>0.37735849056603776</v>
      </c>
      <c r="O36" s="533">
        <f>'2021 comm sample'!Q36</f>
        <v>0.24358974358974358</v>
      </c>
      <c r="P36" s="558">
        <f>IF(C36&gt;0,'2021 comm sample'!C36/'2021 Comm catch'!C36,"na")</f>
        <v>0</v>
      </c>
      <c r="Q36" s="559">
        <f>IF(D36&gt;0,'2021 comm sample'!D36/'2021 Comm catch'!D36,"na")</f>
        <v>0.29481834425253128</v>
      </c>
      <c r="R36" s="559">
        <f>IF(E36&gt;0,'2021 comm sample'!E36/'2021 Comm catch'!E36,"na")</f>
        <v>0.38843331894691413</v>
      </c>
      <c r="S36" s="559">
        <f>IF(G36&gt;0,'2021 comm sample'!F36/'2021 Comm catch'!G36,"na")</f>
        <v>0.5</v>
      </c>
      <c r="T36" s="559">
        <f>IF(H36&gt;0,'2021 comm sample'!G36/'2021 Comm catch'!H36,"na")</f>
        <v>0.27083333333333331</v>
      </c>
      <c r="U36" s="583">
        <f>IF(K36&lt;&gt;"na",C36*L36,0)</f>
        <v>0</v>
      </c>
      <c r="V36" s="514">
        <f>IF(L36&lt;&gt;"na",D36*L36,0)</f>
        <v>0</v>
      </c>
      <c r="W36" s="514">
        <f t="shared" si="2"/>
        <v>0</v>
      </c>
      <c r="X36" s="705">
        <f t="shared" si="3"/>
        <v>0</v>
      </c>
      <c r="Y36" s="584">
        <f t="shared" si="4"/>
        <v>40</v>
      </c>
      <c r="Z36" s="584">
        <f t="shared" si="4"/>
        <v>70.153846153846146</v>
      </c>
      <c r="AA36" s="705">
        <f t="shared" si="5"/>
        <v>110.15384615384615</v>
      </c>
      <c r="AB36" s="580">
        <f>X36+AA36</f>
        <v>110.15384615384615</v>
      </c>
      <c r="AC36" s="585"/>
      <c r="AD36" s="585"/>
      <c r="AE36" s="585"/>
      <c r="AF36" s="585"/>
    </row>
    <row r="37" spans="1:32" x14ac:dyDescent="0.3">
      <c r="A37" s="34" t="s">
        <v>326</v>
      </c>
      <c r="B37" s="34">
        <v>41</v>
      </c>
      <c r="C37" s="873">
        <v>221</v>
      </c>
      <c r="D37" s="865">
        <v>1159</v>
      </c>
      <c r="E37" s="865">
        <v>822</v>
      </c>
      <c r="F37" s="838">
        <f t="shared" si="9"/>
        <v>2202</v>
      </c>
      <c r="G37" s="888">
        <v>34</v>
      </c>
      <c r="H37" s="888">
        <v>155</v>
      </c>
      <c r="I37" s="839">
        <f t="shared" si="6"/>
        <v>189</v>
      </c>
      <c r="J37" s="515">
        <f t="shared" si="8"/>
        <v>2391</v>
      </c>
      <c r="K37" s="532" t="str">
        <f>'2021 comm sample'!M37</f>
        <v>na</v>
      </c>
      <c r="L37" s="532">
        <f>'2021 comm sample'!N37</f>
        <v>0</v>
      </c>
      <c r="M37" s="532">
        <f>'2021 comm sample'!O37</f>
        <v>0</v>
      </c>
      <c r="N37" s="532" t="str">
        <f>'2021 comm sample'!P37</f>
        <v>na</v>
      </c>
      <c r="O37" s="533">
        <f>'2021 comm sample'!Q37</f>
        <v>0.22222222222222221</v>
      </c>
      <c r="P37" s="558">
        <f>IF(C37&gt;0,'2021 comm sample'!C37/'2021 Comm catch'!C37,"na")</f>
        <v>0</v>
      </c>
      <c r="Q37" s="559">
        <f>IF(D37&gt;0,'2021 comm sample'!D37/'2021 Comm catch'!D37,"na")</f>
        <v>0.15789473684210525</v>
      </c>
      <c r="R37" s="559">
        <f>IF(E37&gt;0,'2021 comm sample'!E37/'2021 Comm catch'!E37,"na")</f>
        <v>0.22992700729927007</v>
      </c>
      <c r="S37" s="559">
        <f>IF(G37&gt;0,'2021 comm sample'!F37/'2021 Comm catch'!G37,"na")</f>
        <v>0</v>
      </c>
      <c r="T37" s="559">
        <f>IF(H37&gt;0,'2021 comm sample'!G37/'2021 Comm catch'!H37,"na")</f>
        <v>0.34838709677419355</v>
      </c>
      <c r="U37" s="560">
        <f t="shared" si="2"/>
        <v>0</v>
      </c>
      <c r="V37" s="514">
        <f t="shared" si="2"/>
        <v>0</v>
      </c>
      <c r="W37" s="514">
        <f t="shared" si="2"/>
        <v>0</v>
      </c>
      <c r="X37" s="705">
        <f t="shared" si="3"/>
        <v>0</v>
      </c>
      <c r="Y37" s="514">
        <f t="shared" si="4"/>
        <v>0</v>
      </c>
      <c r="Z37" s="514">
        <f>IF(O37&lt;&gt;"na",H37*O37,0)</f>
        <v>34.444444444444443</v>
      </c>
      <c r="AA37" s="896">
        <f t="shared" si="5"/>
        <v>34.444444444444443</v>
      </c>
      <c r="AB37" s="580">
        <f t="shared" si="7"/>
        <v>34.444444444444443</v>
      </c>
      <c r="AC37" s="585"/>
      <c r="AD37" s="805">
        <f>I37*'2021 comm sample'!S37</f>
        <v>42</v>
      </c>
      <c r="AE37" s="657"/>
    </row>
    <row r="38" spans="1:32" x14ac:dyDescent="0.3">
      <c r="A38" s="34" t="s">
        <v>326</v>
      </c>
      <c r="B38" s="34">
        <v>42</v>
      </c>
      <c r="C38" s="873">
        <v>20</v>
      </c>
      <c r="D38" s="865">
        <v>640</v>
      </c>
      <c r="E38" s="865">
        <v>704</v>
      </c>
      <c r="F38" s="838">
        <f t="shared" si="9"/>
        <v>1364</v>
      </c>
      <c r="G38" s="865">
        <v>0</v>
      </c>
      <c r="H38" s="865">
        <v>42</v>
      </c>
      <c r="I38" s="839">
        <f t="shared" si="6"/>
        <v>42</v>
      </c>
      <c r="J38" s="515">
        <f t="shared" si="8"/>
        <v>1406</v>
      </c>
      <c r="K38" s="532">
        <f>'2021 comm sample'!M38</f>
        <v>0</v>
      </c>
      <c r="L38" s="532">
        <f>'2021 comm sample'!N38</f>
        <v>0</v>
      </c>
      <c r="M38" s="532" t="str">
        <f>'2021 comm sample'!O38</f>
        <v>na</v>
      </c>
      <c r="N38" s="532" t="str">
        <f>'2021 comm sample'!P38</f>
        <v>na</v>
      </c>
      <c r="O38" s="533">
        <f>'2021 comm sample'!Q38</f>
        <v>9.5238095238095233E-2</v>
      </c>
      <c r="P38" s="558">
        <f>IF(C38&gt;0,'2021 comm sample'!C38/'2021 Comm catch'!C38,"na")</f>
        <v>0</v>
      </c>
      <c r="Q38" s="559">
        <f>IF(D38&gt;0,'2021 comm sample'!D38/'2021 Comm catch'!D38,"na")</f>
        <v>0.68906250000000002</v>
      </c>
      <c r="R38" s="559">
        <f>IF(E38&gt;0,'2021 comm sample'!E38/'2021 Comm catch'!E38,"na")</f>
        <v>0</v>
      </c>
      <c r="S38" s="559" t="str">
        <f>IF(G38&gt;0,'2021 comm sample'!F38/'2021 Comm catch'!G38,"na")</f>
        <v>na</v>
      </c>
      <c r="T38" s="559">
        <f>IF(H38&gt;0,'2021 comm sample'!G38/'2021 Comm catch'!H38,"na")</f>
        <v>1</v>
      </c>
      <c r="U38" s="560">
        <f>IF(K38&lt;&gt;"na",C38*K38,0)</f>
        <v>0</v>
      </c>
      <c r="V38" s="514">
        <f t="shared" si="2"/>
        <v>0</v>
      </c>
      <c r="W38" s="514">
        <f t="shared" si="2"/>
        <v>0</v>
      </c>
      <c r="X38" s="705">
        <f t="shared" si="3"/>
        <v>0</v>
      </c>
      <c r="Y38" s="514">
        <f t="shared" si="4"/>
        <v>0</v>
      </c>
      <c r="Z38" s="514">
        <f t="shared" si="4"/>
        <v>4</v>
      </c>
      <c r="AA38" s="705">
        <f t="shared" si="5"/>
        <v>4</v>
      </c>
      <c r="AB38" s="580">
        <f t="shared" si="7"/>
        <v>4</v>
      </c>
      <c r="AC38" s="585"/>
      <c r="AD38" s="585"/>
    </row>
    <row r="39" spans="1:32" x14ac:dyDescent="0.3">
      <c r="A39" s="34" t="s">
        <v>332</v>
      </c>
      <c r="B39" s="34">
        <v>43</v>
      </c>
      <c r="C39" s="873">
        <v>0</v>
      </c>
      <c r="D39" s="879">
        <v>166</v>
      </c>
      <c r="E39" s="879">
        <v>226</v>
      </c>
      <c r="F39" s="838">
        <f t="shared" si="9"/>
        <v>392</v>
      </c>
      <c r="G39" s="807"/>
      <c r="H39" s="807"/>
      <c r="I39" s="839">
        <f t="shared" si="6"/>
        <v>0</v>
      </c>
      <c r="J39" s="515">
        <f t="shared" si="8"/>
        <v>392</v>
      </c>
      <c r="K39" s="532" t="str">
        <f>'2021 comm sample'!M39</f>
        <v>na</v>
      </c>
      <c r="L39" s="532">
        <f>'2021 comm sample'!N39</f>
        <v>0</v>
      </c>
      <c r="M39" s="532">
        <f>'2021 comm sample'!O39</f>
        <v>0</v>
      </c>
      <c r="N39" s="532" t="str">
        <f>'2021 comm sample'!P39</f>
        <v>na</v>
      </c>
      <c r="O39" s="532" t="str">
        <f>'2021 comm sample'!Q39</f>
        <v>na</v>
      </c>
      <c r="P39" s="558" t="str">
        <f>IF(C39&gt;0,'2021 comm sample'!C39/'2021 Comm catch'!C39,"na")</f>
        <v>na</v>
      </c>
      <c r="Q39" s="559">
        <f>IF(D39&gt;0,'2021 comm sample'!D39/'2021 Comm catch'!D39,"na")</f>
        <v>0.54819277108433739</v>
      </c>
      <c r="R39" s="559">
        <f>IF(E39&gt;0,'2021 comm sample'!E39/'2021 Comm catch'!E39,"na")</f>
        <v>0.24336283185840707</v>
      </c>
      <c r="S39" s="559" t="str">
        <f>IF(G39&gt;0,'2021 comm sample'!F39/'2021 Comm catch'!G39,"na")</f>
        <v>na</v>
      </c>
      <c r="T39" s="559" t="str">
        <f>IF(H39&gt;0,'2021 comm sample'!G39/'2021 Comm catch'!H39,"na")</f>
        <v>na</v>
      </c>
      <c r="U39" s="560">
        <f t="shared" si="2"/>
        <v>0</v>
      </c>
      <c r="V39" s="514">
        <f>IF(L39&lt;&gt;"na",D39*L39,0)</f>
        <v>0</v>
      </c>
      <c r="W39" s="514">
        <f t="shared" si="2"/>
        <v>0</v>
      </c>
      <c r="X39" s="705">
        <f t="shared" si="3"/>
        <v>0</v>
      </c>
      <c r="Y39" s="514">
        <f t="shared" si="4"/>
        <v>0</v>
      </c>
      <c r="Z39" s="514">
        <f t="shared" si="4"/>
        <v>0</v>
      </c>
      <c r="AA39" s="705">
        <f t="shared" si="5"/>
        <v>0</v>
      </c>
      <c r="AB39" s="580">
        <f t="shared" si="7"/>
        <v>0</v>
      </c>
      <c r="AC39" s="793"/>
      <c r="AD39" s="585"/>
    </row>
    <row r="40" spans="1:32" x14ac:dyDescent="0.3">
      <c r="A40" s="34" t="s">
        <v>332</v>
      </c>
      <c r="B40" s="34">
        <v>44</v>
      </c>
      <c r="C40" s="873">
        <v>0</v>
      </c>
      <c r="D40" s="879">
        <v>196</v>
      </c>
      <c r="E40" s="879">
        <v>174</v>
      </c>
      <c r="F40" s="838">
        <f t="shared" si="9"/>
        <v>370</v>
      </c>
      <c r="G40" s="807"/>
      <c r="H40" s="807"/>
      <c r="I40" s="839">
        <f t="shared" si="6"/>
        <v>0</v>
      </c>
      <c r="J40" s="515">
        <f t="shared" si="8"/>
        <v>370</v>
      </c>
      <c r="K40" s="532" t="str">
        <f>'2021 comm sample'!M40</f>
        <v>na</v>
      </c>
      <c r="L40" s="532">
        <f>'2021 comm sample'!N40</f>
        <v>0</v>
      </c>
      <c r="M40" s="532">
        <f>'2021 comm sample'!O40</f>
        <v>0</v>
      </c>
      <c r="N40" s="532" t="str">
        <f>'2021 comm sample'!P40</f>
        <v>na</v>
      </c>
      <c r="O40" s="533" t="str">
        <f>'2021 comm sample'!Q40</f>
        <v>na</v>
      </c>
      <c r="P40" s="558" t="str">
        <f>IF(C40&gt;0,'2021 comm sample'!C40/'2021 Comm catch'!C40,"na")</f>
        <v>na</v>
      </c>
      <c r="Q40" s="559">
        <f>IF(D40&gt;0,'2021 comm sample'!D40/'2021 Comm catch'!D40,"na")</f>
        <v>0.14795918367346939</v>
      </c>
      <c r="R40" s="559">
        <f>IF(E40&gt;0,'2021 comm sample'!E40/'2021 Comm catch'!E40,"na")</f>
        <v>0.22413793103448276</v>
      </c>
      <c r="S40" s="559" t="str">
        <f>IF(G40&gt;0,'2021 comm sample'!F40/'2021 Comm catch'!G40,"na")</f>
        <v>na</v>
      </c>
      <c r="T40" s="559" t="str">
        <f>IF(H40&gt;0,'2021 comm sample'!G40/'2021 Comm catch'!H40,"na")</f>
        <v>na</v>
      </c>
      <c r="U40" s="560">
        <f t="shared" si="2"/>
        <v>0</v>
      </c>
      <c r="V40" s="514">
        <f t="shared" si="2"/>
        <v>0</v>
      </c>
      <c r="W40" s="514">
        <f t="shared" si="2"/>
        <v>0</v>
      </c>
      <c r="X40" s="705">
        <f t="shared" si="3"/>
        <v>0</v>
      </c>
      <c r="Y40" s="514">
        <f t="shared" si="4"/>
        <v>0</v>
      </c>
      <c r="Z40" s="514">
        <f t="shared" si="4"/>
        <v>0</v>
      </c>
      <c r="AA40" s="705">
        <f t="shared" si="5"/>
        <v>0</v>
      </c>
      <c r="AB40" s="580">
        <f t="shared" si="7"/>
        <v>0</v>
      </c>
      <c r="AC40" s="585"/>
      <c r="AD40" s="585"/>
    </row>
    <row r="41" spans="1:32" x14ac:dyDescent="0.3">
      <c r="B41" s="34">
        <v>45</v>
      </c>
      <c r="C41" s="843"/>
      <c r="D41" s="844"/>
      <c r="E41" s="844"/>
      <c r="F41" s="844"/>
      <c r="G41" s="845"/>
      <c r="H41" s="845"/>
      <c r="I41" s="844"/>
      <c r="J41" s="566">
        <f t="shared" si="8"/>
        <v>0</v>
      </c>
      <c r="K41" s="534" t="str">
        <f>'2021 comm sample'!M41</f>
        <v>na</v>
      </c>
      <c r="L41" s="534" t="str">
        <f>'2021 comm sample'!N41</f>
        <v>na</v>
      </c>
      <c r="M41" s="534" t="str">
        <f>'2021 comm sample'!O41</f>
        <v>na</v>
      </c>
      <c r="N41" s="534" t="str">
        <f>'2021 comm sample'!P41</f>
        <v>na</v>
      </c>
      <c r="O41" s="535" t="str">
        <f>'2021 comm sample'!Q41</f>
        <v>na</v>
      </c>
      <c r="P41" s="569" t="str">
        <f>IF(C41&gt;0,'2021 comm sample'!C41/'2021 Comm catch'!C41,"na")</f>
        <v>na</v>
      </c>
      <c r="Q41" s="570" t="str">
        <f>IF(D41&gt;0,'2021 comm sample'!D41/'2021 Comm catch'!D41,"na")</f>
        <v>na</v>
      </c>
      <c r="R41" s="570" t="str">
        <f>IF(E41&gt;0,'2021 comm sample'!E41/'2021 Comm catch'!E41,"na")</f>
        <v>na</v>
      </c>
      <c r="S41" s="570" t="str">
        <f>IF(G41&gt;0,'2021 comm sample'!F41/'2021 Comm catch'!G41,"na")</f>
        <v>na</v>
      </c>
      <c r="T41" s="559" t="str">
        <f>IF(H41&gt;0,'2021 comm sample'!G41/'2021 Comm catch'!H41,"na")</f>
        <v>na</v>
      </c>
      <c r="U41" s="588">
        <f t="shared" si="2"/>
        <v>0</v>
      </c>
      <c r="V41" s="589">
        <f t="shared" si="2"/>
        <v>0</v>
      </c>
      <c r="W41" s="589">
        <f t="shared" si="2"/>
        <v>0</v>
      </c>
      <c r="X41" s="707"/>
      <c r="Y41" s="589">
        <f t="shared" si="4"/>
        <v>0</v>
      </c>
      <c r="Z41" s="589">
        <f t="shared" si="4"/>
        <v>0</v>
      </c>
      <c r="AA41" s="707"/>
      <c r="AB41" s="590">
        <f t="shared" si="7"/>
        <v>0</v>
      </c>
    </row>
    <row r="42" spans="1:32" x14ac:dyDescent="0.3">
      <c r="B42" s="591" t="s">
        <v>184</v>
      </c>
      <c r="C42" s="846">
        <f>SUM(C28:C41)</f>
        <v>474</v>
      </c>
      <c r="D42" s="847">
        <f>SUM(D28:D41)</f>
        <v>3840</v>
      </c>
      <c r="E42" s="847">
        <f>SUM(E28:E41)</f>
        <v>4243</v>
      </c>
      <c r="F42" s="847"/>
      <c r="G42" s="847">
        <f>SUM(G28:G41)</f>
        <v>2820</v>
      </c>
      <c r="H42" s="847">
        <f>SUM(H28:H41)</f>
        <v>1732</v>
      </c>
      <c r="I42" s="847"/>
      <c r="J42" s="594">
        <f>SUM(C42:H42)</f>
        <v>13109</v>
      </c>
      <c r="K42" s="595" t="str">
        <f>'2021 comm sample'!M42</f>
        <v>na</v>
      </c>
      <c r="L42" s="595">
        <f>'2021 comm sample'!N42</f>
        <v>0</v>
      </c>
      <c r="M42" s="595">
        <f>'2021 comm sample'!O42</f>
        <v>0</v>
      </c>
      <c r="N42" s="595">
        <f>'2021 comm sample'!P42</f>
        <v>0.6708185053380783</v>
      </c>
      <c r="O42" s="595">
        <f>'2021 comm sample'!Q42</f>
        <v>0.43478260869565216</v>
      </c>
      <c r="P42" s="596">
        <f>IF(C42&gt;0,'2021 comm sample'!C42/'2021 Comm catch'!C42,"na")</f>
        <v>0</v>
      </c>
      <c r="Q42" s="596">
        <f>IF(D42&gt;0,'2021 comm sample'!D42/'2021 Comm catch'!D42,"na")</f>
        <v>0.32265624999999998</v>
      </c>
      <c r="R42" s="596">
        <f>IF(E42&gt;0,'2021 comm sample'!E42/'2021 Comm catch'!E42,"na")</f>
        <v>0.27881216120669339</v>
      </c>
      <c r="S42" s="570">
        <f>IF(G42&gt;0,'2021 comm sample'!F42/'2021 Comm catch'!G42,"na")</f>
        <v>0.39858156028368796</v>
      </c>
      <c r="T42" s="872">
        <f>IF(H42&gt;0,'2021 comm sample'!G42/'2021 Comm catch'!H42,"na")</f>
        <v>0.22575057736720555</v>
      </c>
      <c r="U42" s="588">
        <f t="shared" ref="U42:AA42" si="10">SUM(U28:U41)</f>
        <v>0</v>
      </c>
      <c r="V42" s="589">
        <f t="shared" si="10"/>
        <v>0</v>
      </c>
      <c r="W42" s="589">
        <f t="shared" si="10"/>
        <v>0</v>
      </c>
      <c r="X42" s="589">
        <f t="shared" si="10"/>
        <v>0</v>
      </c>
      <c r="Y42" s="589">
        <f t="shared" si="10"/>
        <v>1957.1483032639949</v>
      </c>
      <c r="Z42" s="589">
        <f t="shared" si="10"/>
        <v>911.18186792928157</v>
      </c>
      <c r="AA42" s="589">
        <f t="shared" si="10"/>
        <v>2868.3301711932768</v>
      </c>
      <c r="AB42" s="590">
        <f t="shared" si="7"/>
        <v>2868.3301711932768</v>
      </c>
    </row>
    <row r="43" spans="1:32" x14ac:dyDescent="0.3">
      <c r="B43" s="591"/>
      <c r="C43" s="597"/>
      <c r="D43" s="597"/>
      <c r="E43" s="597"/>
      <c r="F43" s="597"/>
      <c r="G43" s="597"/>
      <c r="J43" s="597"/>
      <c r="K43" s="597"/>
      <c r="L43" s="597"/>
      <c r="M43" s="597"/>
      <c r="N43" s="597"/>
      <c r="O43" s="598"/>
      <c r="P43" s="597"/>
      <c r="Q43" s="597"/>
      <c r="R43" s="597"/>
      <c r="S43" s="597"/>
      <c r="T43" s="599"/>
      <c r="U43" s="597"/>
      <c r="V43" s="597"/>
      <c r="W43" s="597"/>
      <c r="X43" s="597"/>
      <c r="Y43" s="597"/>
      <c r="Z43" s="33"/>
      <c r="AA43" s="33"/>
      <c r="AB43" s="597"/>
      <c r="AC43" s="647"/>
    </row>
  </sheetData>
  <mergeCells count="7">
    <mergeCell ref="C3:F3"/>
    <mergeCell ref="G3:J3"/>
    <mergeCell ref="K3:N3"/>
    <mergeCell ref="O3:R3"/>
    <mergeCell ref="C26:J26"/>
    <mergeCell ref="K26:O26"/>
    <mergeCell ref="P26:T26"/>
  </mergeCells>
  <conditionalFormatting sqref="K5:N5 K7:N21">
    <cfRule type="cellIs" dxfId="175" priority="17" operator="equal">
      <formula>"na"</formula>
    </cfRule>
    <cfRule type="cellIs" dxfId="174" priority="18" operator="greaterThan">
      <formula>1</formula>
    </cfRule>
    <cfRule type="cellIs" dxfId="173" priority="19" operator="lessThan">
      <formula>0.2</formula>
    </cfRule>
    <cfRule type="cellIs" dxfId="172" priority="24" stopIfTrue="1" operator="equal">
      <formula>0</formula>
    </cfRule>
  </conditionalFormatting>
  <conditionalFormatting sqref="P28:R41 T28:T41">
    <cfRule type="cellIs" dxfId="171" priority="20" stopIfTrue="1" operator="equal">
      <formula>"na"</formula>
    </cfRule>
    <cfRule type="cellIs" dxfId="170" priority="21" operator="greaterThan">
      <formula>1</formula>
    </cfRule>
    <cfRule type="cellIs" dxfId="169" priority="22" operator="lessThan">
      <formula>0.2</formula>
    </cfRule>
    <cfRule type="cellIs" dxfId="168" priority="23" stopIfTrue="1" operator="equal">
      <formula>0</formula>
    </cfRule>
  </conditionalFormatting>
  <conditionalFormatting sqref="K6:N6">
    <cfRule type="cellIs" dxfId="167" priority="13" operator="equal">
      <formula>"na"</formula>
    </cfRule>
    <cfRule type="cellIs" dxfId="166" priority="14" operator="greaterThan">
      <formula>1</formula>
    </cfRule>
    <cfRule type="cellIs" dxfId="165" priority="15" operator="lessThan">
      <formula>0.2</formula>
    </cfRule>
    <cfRule type="cellIs" dxfId="164" priority="16" stopIfTrue="1" operator="equal">
      <formula>0</formula>
    </cfRule>
  </conditionalFormatting>
  <conditionalFormatting sqref="T42">
    <cfRule type="cellIs" dxfId="163" priority="1" stopIfTrue="1" operator="equal">
      <formula>"na"</formula>
    </cfRule>
    <cfRule type="cellIs" dxfId="162" priority="2" operator="greaterThan">
      <formula>1</formula>
    </cfRule>
    <cfRule type="cellIs" dxfId="161" priority="3" operator="lessThan">
      <formula>0.2</formula>
    </cfRule>
    <cfRule type="cellIs" dxfId="160" priority="4" stopIfTrue="1" operator="equal">
      <formula>0</formula>
    </cfRule>
  </conditionalFormatting>
  <conditionalFormatting sqref="S28:S41">
    <cfRule type="cellIs" dxfId="159" priority="9" stopIfTrue="1" operator="equal">
      <formula>"na"</formula>
    </cfRule>
    <cfRule type="cellIs" dxfId="158" priority="10" operator="greaterThan">
      <formula>1</formula>
    </cfRule>
    <cfRule type="cellIs" dxfId="157" priority="11" operator="lessThan">
      <formula>0.2</formula>
    </cfRule>
    <cfRule type="cellIs" dxfId="156" priority="12" stopIfTrue="1" operator="equal">
      <formula>0</formula>
    </cfRule>
  </conditionalFormatting>
  <conditionalFormatting sqref="S42">
    <cfRule type="cellIs" dxfId="155" priority="5" stopIfTrue="1" operator="equal">
      <formula>"na"</formula>
    </cfRule>
    <cfRule type="cellIs" dxfId="154" priority="6" operator="greaterThan">
      <formula>1</formula>
    </cfRule>
    <cfRule type="cellIs" dxfId="153" priority="7" operator="lessThan">
      <formula>0.2</formula>
    </cfRule>
    <cfRule type="cellIs" dxfId="152" priority="8" stopIfTrue="1" operator="equal">
      <formula>0</formula>
    </cfRule>
  </conditionalFormatting>
  <pageMargins left="0.75" right="0.75" top="1" bottom="1" header="0.5" footer="0.5"/>
  <pageSetup scale="37" orientation="landscape" r:id="rId1"/>
  <headerFooter alignWithMargins="0"/>
  <legacy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A1:AG58"/>
  <sheetViews>
    <sheetView workbookViewId="0">
      <pane xSplit="1" topLeftCell="P1" activePane="topRight" state="frozen"/>
      <selection activeCell="I30" sqref="I30"/>
      <selection pane="topRight" activeCell="I30" sqref="I30"/>
    </sheetView>
  </sheetViews>
  <sheetFormatPr defaultRowHeight="12.5" x14ac:dyDescent="0.25"/>
  <cols>
    <col min="1" max="1" width="11.7265625" customWidth="1"/>
    <col min="3" max="4" width="11.7265625" customWidth="1"/>
    <col min="5" max="5" width="2.26953125" customWidth="1"/>
    <col min="7" max="8" width="11.7265625" customWidth="1"/>
    <col min="9" max="9" width="2.26953125" customWidth="1"/>
    <col min="11" max="12" width="11.7265625" customWidth="1"/>
    <col min="13" max="13" width="2.26953125" customWidth="1"/>
    <col min="15" max="16" width="11.7265625" customWidth="1"/>
    <col min="17" max="17" width="2.26953125" customWidth="1"/>
    <col min="19" max="20" width="11.7265625" customWidth="1"/>
    <col min="21" max="21" width="2.26953125" customWidth="1"/>
    <col min="23" max="24" width="11.7265625" customWidth="1"/>
    <col min="25" max="25" width="2.26953125" customWidth="1"/>
    <col min="27" max="28" width="11.7265625" customWidth="1"/>
    <col min="29" max="29" width="2.26953125" customWidth="1"/>
    <col min="31" max="32" width="11.7265625" customWidth="1"/>
    <col min="33" max="33" width="2.26953125" customWidth="1"/>
  </cols>
  <sheetData>
    <row r="1" spans="1:33" ht="15.5" x14ac:dyDescent="0.35">
      <c r="A1" s="1" t="s">
        <v>240</v>
      </c>
    </row>
    <row r="2" spans="1:33" ht="13" x14ac:dyDescent="0.3">
      <c r="A2" s="2"/>
    </row>
    <row r="3" spans="1:33" ht="13" x14ac:dyDescent="0.3">
      <c r="A3" s="2" t="s">
        <v>53</v>
      </c>
    </row>
    <row r="4" spans="1:33" ht="13" x14ac:dyDescent="0.3">
      <c r="A4" s="2"/>
      <c r="B4" s="2"/>
      <c r="C4" s="2" t="s">
        <v>35</v>
      </c>
      <c r="D4" s="2"/>
      <c r="E4" s="2"/>
      <c r="F4" s="2"/>
      <c r="G4" s="2" t="s">
        <v>34</v>
      </c>
      <c r="H4" s="2"/>
      <c r="I4" s="2"/>
      <c r="J4" s="2"/>
      <c r="K4" s="2" t="s">
        <v>20</v>
      </c>
      <c r="L4" s="2"/>
      <c r="M4" s="2"/>
      <c r="N4" s="2"/>
      <c r="O4" s="2" t="s">
        <v>21</v>
      </c>
      <c r="P4" s="2"/>
      <c r="Q4" s="2"/>
      <c r="R4" s="2"/>
      <c r="S4" s="2" t="s">
        <v>22</v>
      </c>
      <c r="T4" s="2"/>
      <c r="U4" s="2"/>
      <c r="V4" s="2"/>
      <c r="W4" s="2" t="s">
        <v>23</v>
      </c>
      <c r="X4" s="2"/>
      <c r="Y4" s="2"/>
      <c r="Z4" s="2"/>
      <c r="AA4" s="2"/>
      <c r="AB4" s="2"/>
      <c r="AC4" s="2"/>
      <c r="AD4" s="2"/>
      <c r="AE4" s="2"/>
      <c r="AF4" s="2"/>
      <c r="AG4" s="2"/>
    </row>
    <row r="5" spans="1:33" ht="13" x14ac:dyDescent="0.3">
      <c r="A5" s="2"/>
      <c r="B5" s="27" t="s">
        <v>44</v>
      </c>
      <c r="C5" s="2"/>
      <c r="D5" s="2"/>
      <c r="E5" s="2"/>
      <c r="F5" s="27" t="s">
        <v>44</v>
      </c>
      <c r="G5" s="2"/>
      <c r="H5" s="2"/>
      <c r="I5" s="2"/>
      <c r="J5" s="27" t="s">
        <v>44</v>
      </c>
      <c r="K5" s="2"/>
      <c r="L5" s="2"/>
      <c r="M5" s="2"/>
      <c r="N5" s="27" t="s">
        <v>44</v>
      </c>
      <c r="O5" s="2"/>
      <c r="P5" s="2"/>
      <c r="Q5" s="2"/>
      <c r="R5" s="27" t="s">
        <v>44</v>
      </c>
      <c r="S5" s="2"/>
      <c r="T5" s="2"/>
      <c r="U5" s="2"/>
      <c r="V5" s="27" t="s">
        <v>44</v>
      </c>
      <c r="W5" s="2"/>
      <c r="X5" s="2"/>
      <c r="Y5" s="2"/>
      <c r="Z5" s="2"/>
      <c r="AA5" s="2"/>
      <c r="AB5" s="2"/>
      <c r="AC5" s="2"/>
      <c r="AD5" s="2"/>
      <c r="AE5" s="2"/>
      <c r="AF5" s="2"/>
      <c r="AG5" s="2"/>
    </row>
    <row r="6" spans="1:33" x14ac:dyDescent="0.25">
      <c r="B6" t="s">
        <v>13</v>
      </c>
      <c r="C6" t="s">
        <v>51</v>
      </c>
      <c r="D6" t="s">
        <v>14</v>
      </c>
      <c r="F6" t="s">
        <v>13</v>
      </c>
      <c r="G6" t="s">
        <v>51</v>
      </c>
      <c r="H6" t="s">
        <v>14</v>
      </c>
      <c r="J6" t="s">
        <v>13</v>
      </c>
      <c r="K6" t="s">
        <v>51</v>
      </c>
      <c r="L6" t="s">
        <v>14</v>
      </c>
      <c r="N6" t="s">
        <v>13</v>
      </c>
      <c r="O6" t="s">
        <v>51</v>
      </c>
      <c r="P6" t="s">
        <v>14</v>
      </c>
      <c r="R6" t="s">
        <v>13</v>
      </c>
      <c r="S6" t="s">
        <v>51</v>
      </c>
      <c r="T6" t="s">
        <v>14</v>
      </c>
      <c r="V6" t="s">
        <v>13</v>
      </c>
      <c r="W6" t="s">
        <v>51</v>
      </c>
      <c r="X6" t="s">
        <v>14</v>
      </c>
    </row>
    <row r="7" spans="1:33" x14ac:dyDescent="0.25">
      <c r="A7" t="s">
        <v>178</v>
      </c>
      <c r="R7">
        <v>397</v>
      </c>
      <c r="S7">
        <v>5</v>
      </c>
      <c r="T7" s="3">
        <f>S7/R7</f>
        <v>1.2594458438287154E-2</v>
      </c>
      <c r="V7">
        <v>527</v>
      </c>
      <c r="W7">
        <v>0</v>
      </c>
      <c r="X7" s="3">
        <f>W7/V7</f>
        <v>0</v>
      </c>
    </row>
    <row r="8" spans="1:33" x14ac:dyDescent="0.25">
      <c r="A8" t="s">
        <v>31</v>
      </c>
      <c r="B8">
        <v>0</v>
      </c>
      <c r="H8" s="3"/>
      <c r="J8">
        <v>108</v>
      </c>
      <c r="K8">
        <v>11</v>
      </c>
      <c r="L8" s="3">
        <f>K8/J8</f>
        <v>0.10185185185185185</v>
      </c>
      <c r="N8">
        <v>51</v>
      </c>
      <c r="O8">
        <v>0</v>
      </c>
      <c r="P8" s="3">
        <f t="shared" ref="P8:P17" si="0">O8/N8</f>
        <v>0</v>
      </c>
      <c r="R8">
        <v>1647</v>
      </c>
      <c r="S8">
        <v>46</v>
      </c>
      <c r="T8" s="3">
        <f>S8/R8</f>
        <v>2.7929568913175471E-2</v>
      </c>
      <c r="V8">
        <v>1267</v>
      </c>
      <c r="W8">
        <v>26</v>
      </c>
      <c r="X8" s="3">
        <f>W8/V8</f>
        <v>2.0520915548539857E-2</v>
      </c>
    </row>
    <row r="9" spans="1:33" x14ac:dyDescent="0.25">
      <c r="A9" t="s">
        <v>32</v>
      </c>
      <c r="B9">
        <v>0</v>
      </c>
      <c r="P9" s="3"/>
      <c r="R9">
        <v>115</v>
      </c>
      <c r="S9">
        <v>5</v>
      </c>
      <c r="T9" s="3">
        <f>S9/R9</f>
        <v>4.3478260869565216E-2</v>
      </c>
      <c r="V9">
        <v>575</v>
      </c>
      <c r="W9">
        <v>32</v>
      </c>
      <c r="X9" s="3">
        <f>W9/V9</f>
        <v>5.565217391304348E-2</v>
      </c>
    </row>
    <row r="10" spans="1:33" x14ac:dyDescent="0.25">
      <c r="A10" s="42" t="s">
        <v>45</v>
      </c>
      <c r="B10" s="42">
        <v>0</v>
      </c>
      <c r="C10" s="42"/>
      <c r="D10" s="42"/>
      <c r="E10" s="42"/>
      <c r="F10" s="42"/>
      <c r="G10" s="42"/>
      <c r="H10" s="42"/>
      <c r="I10" s="42"/>
      <c r="J10" s="42"/>
      <c r="K10" s="42"/>
      <c r="L10" s="42"/>
      <c r="M10" s="42"/>
      <c r="N10" s="42"/>
      <c r="O10" s="42"/>
      <c r="P10" s="3"/>
      <c r="Q10" s="42"/>
      <c r="R10" s="42">
        <v>653</v>
      </c>
      <c r="S10" s="42">
        <v>28</v>
      </c>
      <c r="T10" s="3">
        <f>S10/R10</f>
        <v>4.2879019908116385E-2</v>
      </c>
      <c r="U10" s="42"/>
      <c r="V10" s="42">
        <v>1035</v>
      </c>
      <c r="W10" s="42">
        <v>52</v>
      </c>
      <c r="X10" s="43">
        <f>W10/V10</f>
        <v>5.0241545893719805E-2</v>
      </c>
      <c r="Y10" s="42"/>
      <c r="Z10" s="42"/>
      <c r="AA10" s="42"/>
      <c r="AB10" s="42"/>
      <c r="AC10" s="42"/>
      <c r="AD10" s="42"/>
      <c r="AE10" s="42"/>
      <c r="AF10" s="42"/>
      <c r="AG10" s="42"/>
    </row>
    <row r="11" spans="1:33" ht="13" x14ac:dyDescent="0.3">
      <c r="A11" s="99" t="s">
        <v>61</v>
      </c>
      <c r="B11" s="99">
        <f>SUM(B8:B10)</f>
        <v>0</v>
      </c>
      <c r="C11" s="99"/>
      <c r="D11" s="101"/>
      <c r="E11" s="99"/>
      <c r="F11" s="99">
        <f>SUM(F8:F10)</f>
        <v>0</v>
      </c>
      <c r="G11" s="99">
        <f>SUM(G8:G10)</f>
        <v>0</v>
      </c>
      <c r="H11" s="101"/>
      <c r="I11" s="99"/>
      <c r="J11" s="99">
        <f>SUM(J8:J10)</f>
        <v>108</v>
      </c>
      <c r="K11" s="99">
        <f>SUM(K8:K10)</f>
        <v>11</v>
      </c>
      <c r="L11" s="101">
        <f t="shared" ref="L11:L17" si="1">K11/J11</f>
        <v>0.10185185185185185</v>
      </c>
      <c r="M11" s="99"/>
      <c r="N11" s="99">
        <f>SUM(N8:N10)</f>
        <v>51</v>
      </c>
      <c r="O11" s="99">
        <f>SUM(O8:O10)</f>
        <v>0</v>
      </c>
      <c r="P11" s="101">
        <f t="shared" si="0"/>
        <v>0</v>
      </c>
      <c r="Q11" s="99"/>
      <c r="R11" s="99">
        <f>SUM(R8:R10)</f>
        <v>2415</v>
      </c>
      <c r="S11" s="99">
        <f>SUM(S8:S10)</f>
        <v>79</v>
      </c>
      <c r="T11" s="101">
        <f>S11/R11</f>
        <v>3.2712215320910974E-2</v>
      </c>
      <c r="U11" s="99"/>
      <c r="V11" s="99">
        <f>SUM(V7:V10)</f>
        <v>3404</v>
      </c>
      <c r="W11" s="99">
        <f>SUM(W7:W10)</f>
        <v>110</v>
      </c>
      <c r="X11" s="101">
        <f>W11/V11</f>
        <v>3.2314923619271442E-2</v>
      </c>
      <c r="Y11" s="99"/>
      <c r="Z11" s="99"/>
      <c r="AA11" s="99"/>
      <c r="AB11" s="99"/>
      <c r="AC11" s="99"/>
      <c r="AD11" s="99"/>
      <c r="AE11" s="99"/>
      <c r="AF11" s="99"/>
      <c r="AG11" s="99"/>
    </row>
    <row r="12" spans="1:33" ht="13" x14ac:dyDescent="0.3">
      <c r="A12" s="23" t="s">
        <v>63</v>
      </c>
      <c r="B12" s="2">
        <v>1</v>
      </c>
      <c r="C12" s="2">
        <v>0</v>
      </c>
      <c r="D12" s="55">
        <f>C12/B12</f>
        <v>0</v>
      </c>
      <c r="E12" s="2"/>
      <c r="F12" s="222">
        <v>5</v>
      </c>
      <c r="G12" s="2">
        <v>2</v>
      </c>
      <c r="H12" s="110">
        <f t="shared" ref="H12:H17" si="2">G12/F12</f>
        <v>0.4</v>
      </c>
      <c r="I12" s="2"/>
      <c r="J12" s="27"/>
      <c r="K12" s="27"/>
      <c r="L12" s="110"/>
      <c r="M12" s="2"/>
      <c r="N12" s="27"/>
      <c r="O12" s="27"/>
      <c r="P12" s="110"/>
      <c r="Q12" s="2"/>
      <c r="R12" s="2"/>
      <c r="S12" s="2"/>
      <c r="T12" s="55"/>
      <c r="U12" s="2"/>
      <c r="V12" s="2"/>
      <c r="W12" s="2"/>
      <c r="X12" s="55"/>
      <c r="Y12" s="2"/>
      <c r="Z12" s="2"/>
      <c r="AA12" s="2"/>
      <c r="AB12" s="2"/>
      <c r="AC12" s="2"/>
      <c r="AD12" s="2"/>
      <c r="AE12" s="2"/>
      <c r="AF12" s="2"/>
      <c r="AG12" s="2"/>
    </row>
    <row r="13" spans="1:33" ht="13" x14ac:dyDescent="0.3">
      <c r="A13" s="2">
        <v>2</v>
      </c>
      <c r="B13" s="2"/>
      <c r="C13" s="2"/>
      <c r="D13" s="55"/>
      <c r="E13" s="2"/>
      <c r="F13" s="222"/>
      <c r="G13" s="27"/>
      <c r="H13" s="110"/>
      <c r="I13" s="2"/>
      <c r="J13" s="27"/>
      <c r="K13" s="27"/>
      <c r="L13" s="110"/>
      <c r="M13" s="2"/>
      <c r="N13" s="27"/>
      <c r="O13" s="27"/>
      <c r="P13" s="110"/>
      <c r="Q13" s="2"/>
      <c r="R13" s="2"/>
      <c r="S13" s="2"/>
      <c r="T13" s="55"/>
      <c r="U13" s="2"/>
      <c r="V13" s="2"/>
      <c r="W13" s="2"/>
      <c r="X13" s="55"/>
      <c r="Y13" s="2"/>
      <c r="Z13" s="2"/>
      <c r="AA13" s="2"/>
      <c r="AB13" s="2"/>
      <c r="AC13" s="2"/>
      <c r="AD13" s="2"/>
      <c r="AE13" s="2"/>
      <c r="AF13" s="2"/>
      <c r="AG13" s="2"/>
    </row>
    <row r="14" spans="1:33" ht="13" x14ac:dyDescent="0.3">
      <c r="A14" s="2">
        <v>3</v>
      </c>
      <c r="B14" s="2"/>
      <c r="C14" s="2"/>
      <c r="D14" s="55"/>
      <c r="E14" s="2"/>
      <c r="F14" s="222">
        <v>1</v>
      </c>
      <c r="G14" s="27">
        <v>0</v>
      </c>
      <c r="H14" s="110">
        <f t="shared" si="2"/>
        <v>0</v>
      </c>
      <c r="I14" s="2"/>
      <c r="J14" s="27"/>
      <c r="K14" s="27"/>
      <c r="L14" s="110"/>
      <c r="M14" s="2"/>
      <c r="N14" s="27"/>
      <c r="O14" s="27"/>
      <c r="P14" s="110"/>
      <c r="Q14" s="2"/>
      <c r="R14" s="2"/>
      <c r="S14" s="2"/>
      <c r="T14" s="55"/>
      <c r="U14" s="2"/>
      <c r="V14" s="2"/>
      <c r="W14" s="2"/>
      <c r="X14" s="55"/>
      <c r="Y14" s="2"/>
      <c r="Z14" s="2"/>
      <c r="AA14" s="2"/>
      <c r="AB14" s="2"/>
      <c r="AC14" s="2"/>
      <c r="AD14" s="2"/>
      <c r="AE14" s="2"/>
      <c r="AF14" s="2"/>
      <c r="AG14" s="2"/>
    </row>
    <row r="15" spans="1:33" ht="13" x14ac:dyDescent="0.3">
      <c r="A15" s="2">
        <v>4</v>
      </c>
      <c r="B15" s="2"/>
      <c r="C15" s="2"/>
      <c r="D15" s="55"/>
      <c r="E15" s="2"/>
      <c r="F15" s="222"/>
      <c r="G15" s="27"/>
      <c r="H15" s="110"/>
      <c r="I15" s="2"/>
      <c r="J15" s="2">
        <v>3</v>
      </c>
      <c r="K15" s="2">
        <v>3</v>
      </c>
      <c r="L15" s="110">
        <f t="shared" si="1"/>
        <v>1</v>
      </c>
      <c r="M15" s="2"/>
      <c r="N15" s="27">
        <v>5</v>
      </c>
      <c r="O15" s="2">
        <v>3</v>
      </c>
      <c r="P15" s="110">
        <f t="shared" si="0"/>
        <v>0.6</v>
      </c>
      <c r="Q15" s="2"/>
      <c r="R15" s="2"/>
      <c r="S15" s="2"/>
      <c r="T15" s="55"/>
      <c r="U15" s="2"/>
      <c r="V15" s="2"/>
      <c r="W15" s="2"/>
      <c r="X15" s="55"/>
      <c r="Y15" s="2"/>
      <c r="Z15" s="2"/>
      <c r="AA15" s="2"/>
      <c r="AB15" s="2"/>
      <c r="AC15" s="2"/>
      <c r="AD15" s="2"/>
      <c r="AE15" s="2"/>
      <c r="AF15" s="2"/>
      <c r="AG15" s="2"/>
    </row>
    <row r="16" spans="1:33" ht="13" x14ac:dyDescent="0.3">
      <c r="A16" s="41">
        <v>5</v>
      </c>
      <c r="B16" s="41"/>
      <c r="C16" s="41"/>
      <c r="D16" s="55"/>
      <c r="E16" s="41"/>
      <c r="F16" s="221"/>
      <c r="G16" s="221"/>
      <c r="H16" s="110"/>
      <c r="I16" s="41"/>
      <c r="J16" s="41">
        <v>1</v>
      </c>
      <c r="K16" s="41">
        <v>1</v>
      </c>
      <c r="L16" s="110">
        <f t="shared" si="1"/>
        <v>1</v>
      </c>
      <c r="M16" s="41"/>
      <c r="N16" s="41">
        <v>42</v>
      </c>
      <c r="O16" s="41">
        <v>28</v>
      </c>
      <c r="P16" s="110">
        <f t="shared" si="0"/>
        <v>0.66666666666666663</v>
      </c>
      <c r="Q16" s="41"/>
      <c r="R16" s="41"/>
      <c r="S16" s="41"/>
      <c r="T16" s="97"/>
      <c r="U16" s="41"/>
      <c r="V16" s="41"/>
      <c r="W16" s="41"/>
      <c r="X16" s="97"/>
      <c r="Y16" s="41"/>
      <c r="Z16" s="41"/>
      <c r="AA16" s="41"/>
      <c r="AB16" s="41"/>
      <c r="AC16" s="41"/>
      <c r="AD16" s="41"/>
      <c r="AE16" s="41"/>
      <c r="AF16" s="41"/>
      <c r="AG16" s="41"/>
    </row>
    <row r="17" spans="1:33" ht="13" x14ac:dyDescent="0.3">
      <c r="A17" s="41" t="s">
        <v>170</v>
      </c>
      <c r="B17" s="202">
        <f>SUM(B12:B16)</f>
        <v>1</v>
      </c>
      <c r="C17" s="202">
        <f>SUM(C12:C16)</f>
        <v>0</v>
      </c>
      <c r="D17" s="55">
        <f>C17/B17</f>
        <v>0</v>
      </c>
      <c r="E17" s="41"/>
      <c r="F17" s="202">
        <f>SUM(F12:F16)</f>
        <v>6</v>
      </c>
      <c r="G17" s="41">
        <f>SUM(G12:G16)</f>
        <v>2</v>
      </c>
      <c r="H17" s="101">
        <f t="shared" si="2"/>
        <v>0.33333333333333331</v>
      </c>
      <c r="I17" s="41"/>
      <c r="J17" s="41">
        <f>SUM(J12:J16)</f>
        <v>4</v>
      </c>
      <c r="K17" s="41">
        <f>SUM(K12:K16)</f>
        <v>4</v>
      </c>
      <c r="L17" s="223">
        <f t="shared" si="1"/>
        <v>1</v>
      </c>
      <c r="M17" s="41"/>
      <c r="N17" s="41">
        <f>SUM(N12:N16)</f>
        <v>47</v>
      </c>
      <c r="O17" s="41">
        <f>SUM(O14:O16)</f>
        <v>31</v>
      </c>
      <c r="P17" s="97">
        <f t="shared" si="0"/>
        <v>0.65957446808510634</v>
      </c>
      <c r="Q17" s="41"/>
      <c r="R17" s="41"/>
      <c r="S17" s="41"/>
      <c r="T17" s="41"/>
      <c r="U17" s="41"/>
      <c r="V17" s="41"/>
      <c r="W17" s="41"/>
      <c r="X17" s="41"/>
      <c r="Y17" s="41"/>
      <c r="Z17" s="41"/>
      <c r="AA17" s="41"/>
      <c r="AB17" s="41"/>
      <c r="AC17" s="41"/>
      <c r="AD17" s="41"/>
      <c r="AE17" s="41"/>
      <c r="AF17" s="41"/>
      <c r="AG17" s="41"/>
    </row>
    <row r="19" spans="1:33" ht="13" x14ac:dyDescent="0.3">
      <c r="A19" s="2"/>
      <c r="B19" s="2"/>
      <c r="C19" s="2" t="s">
        <v>12</v>
      </c>
      <c r="D19" s="2"/>
      <c r="E19" s="2"/>
      <c r="F19" s="2"/>
      <c r="G19" s="2" t="s">
        <v>5</v>
      </c>
      <c r="H19" s="2"/>
      <c r="I19" s="2"/>
      <c r="J19" s="2"/>
      <c r="K19" s="2" t="s">
        <v>6</v>
      </c>
      <c r="L19" s="2"/>
      <c r="M19" s="2"/>
      <c r="N19" s="2"/>
      <c r="O19" s="2" t="s">
        <v>7</v>
      </c>
      <c r="P19" s="2"/>
      <c r="Q19" s="2"/>
      <c r="R19" s="2"/>
      <c r="S19" s="2" t="s">
        <v>8</v>
      </c>
      <c r="T19" s="2"/>
      <c r="U19" s="2"/>
      <c r="V19" s="2"/>
      <c r="W19" s="2" t="s">
        <v>9</v>
      </c>
      <c r="X19" s="2"/>
      <c r="Y19" s="2"/>
      <c r="Z19" s="2"/>
      <c r="AA19" s="2" t="s">
        <v>10</v>
      </c>
      <c r="AB19" s="2"/>
      <c r="AC19" s="2"/>
      <c r="AD19" s="2"/>
      <c r="AE19" s="2" t="s">
        <v>11</v>
      </c>
      <c r="AF19" s="2"/>
      <c r="AG19" s="2"/>
    </row>
    <row r="20" spans="1:33" ht="13" x14ac:dyDescent="0.3">
      <c r="A20" s="2"/>
      <c r="B20" s="27" t="s">
        <v>44</v>
      </c>
      <c r="C20" s="2"/>
      <c r="D20" s="2"/>
      <c r="E20" s="2"/>
      <c r="F20" s="27" t="s">
        <v>44</v>
      </c>
      <c r="G20" s="2"/>
      <c r="H20" s="2"/>
      <c r="I20" s="2"/>
      <c r="J20" s="27" t="s">
        <v>44</v>
      </c>
      <c r="K20" s="2"/>
      <c r="L20" s="2"/>
      <c r="M20" s="2"/>
      <c r="N20" s="27" t="s">
        <v>44</v>
      </c>
      <c r="O20" s="2"/>
      <c r="P20" s="2"/>
      <c r="Q20" s="2"/>
      <c r="R20" s="27" t="s">
        <v>44</v>
      </c>
      <c r="S20" s="2"/>
      <c r="T20" s="2"/>
      <c r="U20" s="2"/>
      <c r="V20" s="27" t="s">
        <v>44</v>
      </c>
      <c r="W20" s="2"/>
      <c r="X20" s="2"/>
      <c r="Y20" s="2"/>
      <c r="Z20" s="27" t="s">
        <v>44</v>
      </c>
      <c r="AA20" s="2"/>
      <c r="AB20" s="2"/>
      <c r="AC20" s="2"/>
      <c r="AD20" s="27" t="s">
        <v>44</v>
      </c>
      <c r="AE20" s="2"/>
      <c r="AF20" s="2"/>
      <c r="AG20" s="2"/>
    </row>
    <row r="21" spans="1:33" x14ac:dyDescent="0.25">
      <c r="B21" t="s">
        <v>13</v>
      </c>
      <c r="C21" t="s">
        <v>51</v>
      </c>
      <c r="D21" t="s">
        <v>14</v>
      </c>
      <c r="F21" t="s">
        <v>13</v>
      </c>
      <c r="G21" t="s">
        <v>51</v>
      </c>
      <c r="H21" t="s">
        <v>14</v>
      </c>
      <c r="J21" t="s">
        <v>13</v>
      </c>
      <c r="K21" t="s">
        <v>51</v>
      </c>
      <c r="L21" t="s">
        <v>14</v>
      </c>
      <c r="N21" t="s">
        <v>13</v>
      </c>
      <c r="O21" t="s">
        <v>51</v>
      </c>
      <c r="P21" t="s">
        <v>14</v>
      </c>
      <c r="R21" t="s">
        <v>13</v>
      </c>
      <c r="S21" t="s">
        <v>51</v>
      </c>
      <c r="T21" t="s">
        <v>14</v>
      </c>
      <c r="V21" t="s">
        <v>13</v>
      </c>
      <c r="W21" t="s">
        <v>51</v>
      </c>
      <c r="X21" t="s">
        <v>14</v>
      </c>
      <c r="Z21" t="s">
        <v>13</v>
      </c>
      <c r="AA21" t="s">
        <v>51</v>
      </c>
      <c r="AB21" t="s">
        <v>14</v>
      </c>
      <c r="AD21" t="s">
        <v>13</v>
      </c>
      <c r="AE21" t="s">
        <v>51</v>
      </c>
      <c r="AF21" t="s">
        <v>14</v>
      </c>
    </row>
    <row r="22" spans="1:33" x14ac:dyDescent="0.25">
      <c r="A22" s="32"/>
    </row>
    <row r="23" spans="1:33" x14ac:dyDescent="0.25">
      <c r="A23" s="32" t="s">
        <v>178</v>
      </c>
      <c r="D23" s="3" t="e">
        <f t="shared" ref="D23:D30" si="3">C23/B23</f>
        <v>#DIV/0!</v>
      </c>
      <c r="H23" s="3" t="e">
        <f t="shared" ref="H23:H33" si="4">G23/F23</f>
        <v>#DIV/0!</v>
      </c>
      <c r="L23" s="3" t="e">
        <f t="shared" ref="L23:L33" si="5">K23/J23</f>
        <v>#DIV/0!</v>
      </c>
      <c r="P23" s="3" t="e">
        <f t="shared" ref="P23:P33" si="6">O23/N23</f>
        <v>#DIV/0!</v>
      </c>
      <c r="T23" s="110"/>
      <c r="X23" s="3" t="e">
        <f>W23/V23</f>
        <v>#DIV/0!</v>
      </c>
    </row>
    <row r="24" spans="1:33" x14ac:dyDescent="0.25">
      <c r="A24" t="s">
        <v>31</v>
      </c>
      <c r="B24">
        <v>4307</v>
      </c>
      <c r="C24">
        <v>114</v>
      </c>
      <c r="D24" s="3">
        <f t="shared" si="3"/>
        <v>2.6468539586719294E-2</v>
      </c>
      <c r="F24">
        <v>449</v>
      </c>
      <c r="G24">
        <v>8</v>
      </c>
      <c r="H24" s="3">
        <f t="shared" si="4"/>
        <v>1.7817371937639197E-2</v>
      </c>
      <c r="J24">
        <v>579</v>
      </c>
      <c r="K24">
        <v>20</v>
      </c>
      <c r="L24" s="3">
        <f t="shared" si="5"/>
        <v>3.4542314335060449E-2</v>
      </c>
      <c r="P24" s="3" t="e">
        <f t="shared" si="6"/>
        <v>#DIV/0!</v>
      </c>
      <c r="T24" s="110"/>
      <c r="X24" s="3"/>
      <c r="AB24" s="3" t="e">
        <f>AA24/Z24</f>
        <v>#DIV/0!</v>
      </c>
    </row>
    <row r="25" spans="1:33" x14ac:dyDescent="0.25">
      <c r="A25" t="s">
        <v>32</v>
      </c>
      <c r="B25">
        <v>739</v>
      </c>
      <c r="C25">
        <v>24</v>
      </c>
      <c r="D25" s="3">
        <f t="shared" si="3"/>
        <v>3.2476319350473612E-2</v>
      </c>
      <c r="F25">
        <v>426</v>
      </c>
      <c r="G25">
        <v>24</v>
      </c>
      <c r="H25" s="3">
        <f t="shared" si="4"/>
        <v>5.6338028169014086E-2</v>
      </c>
      <c r="J25">
        <v>229</v>
      </c>
      <c r="K25">
        <v>14</v>
      </c>
      <c r="L25" s="3">
        <f t="shared" si="5"/>
        <v>6.1135371179039298E-2</v>
      </c>
      <c r="P25" s="3" t="e">
        <f t="shared" si="6"/>
        <v>#DIV/0!</v>
      </c>
      <c r="T25" s="110" t="e">
        <f>S25/R25</f>
        <v>#DIV/0!</v>
      </c>
      <c r="X25" s="3" t="e">
        <f>W25/V25</f>
        <v>#DIV/0!</v>
      </c>
      <c r="AB25" s="3"/>
    </row>
    <row r="26" spans="1:33" x14ac:dyDescent="0.25">
      <c r="A26" s="42" t="s">
        <v>45</v>
      </c>
      <c r="B26" s="42">
        <v>366</v>
      </c>
      <c r="C26" s="42">
        <v>7</v>
      </c>
      <c r="D26" s="43">
        <f t="shared" si="3"/>
        <v>1.912568306010929E-2</v>
      </c>
      <c r="E26" s="42"/>
      <c r="F26" s="71">
        <v>14</v>
      </c>
      <c r="G26" s="71">
        <v>0</v>
      </c>
      <c r="H26" s="3">
        <v>0</v>
      </c>
      <c r="I26" s="42"/>
      <c r="J26" s="42">
        <v>228</v>
      </c>
      <c r="K26" s="42">
        <v>5</v>
      </c>
      <c r="L26" s="43">
        <f t="shared" si="5"/>
        <v>2.1929824561403508E-2</v>
      </c>
      <c r="M26" s="42"/>
      <c r="N26" s="42"/>
      <c r="O26" s="42"/>
      <c r="P26" s="43" t="e">
        <f t="shared" si="6"/>
        <v>#DIV/0!</v>
      </c>
      <c r="Q26" s="42"/>
      <c r="R26" s="42"/>
      <c r="S26" s="42"/>
      <c r="T26" s="110" t="e">
        <f>S26/R26</f>
        <v>#DIV/0!</v>
      </c>
      <c r="U26" s="42"/>
      <c r="V26" s="42"/>
      <c r="W26" s="42"/>
      <c r="X26" s="42">
        <v>0</v>
      </c>
      <c r="Y26" s="42"/>
      <c r="Z26" s="42"/>
      <c r="AA26" s="42"/>
      <c r="AB26" s="42"/>
      <c r="AC26" s="42"/>
      <c r="AD26" s="42"/>
      <c r="AE26" s="42"/>
      <c r="AF26" s="42"/>
      <c r="AG26" s="42"/>
    </row>
    <row r="27" spans="1:33" ht="13" x14ac:dyDescent="0.3">
      <c r="A27" s="99" t="s">
        <v>61</v>
      </c>
      <c r="B27" s="99">
        <f>SUM(B23:B26)</f>
        <v>5412</v>
      </c>
      <c r="C27" s="99">
        <f>SUM(C23:C26)</f>
        <v>145</v>
      </c>
      <c r="D27" s="101">
        <f t="shared" si="3"/>
        <v>2.679231337767923E-2</v>
      </c>
      <c r="E27" s="99"/>
      <c r="F27" s="99">
        <f>SUM(F23:F26)</f>
        <v>889</v>
      </c>
      <c r="G27" s="99">
        <f>SUM(G23:G26)</f>
        <v>32</v>
      </c>
      <c r="H27" s="101">
        <f t="shared" si="4"/>
        <v>3.59955005624297E-2</v>
      </c>
      <c r="I27" s="99"/>
      <c r="J27" s="99">
        <f>SUM(J23:J26)</f>
        <v>1036</v>
      </c>
      <c r="K27" s="99">
        <f>SUM(K23:K26)</f>
        <v>39</v>
      </c>
      <c r="L27" s="101">
        <f t="shared" si="5"/>
        <v>3.7644787644787646E-2</v>
      </c>
      <c r="M27" s="99"/>
      <c r="N27" s="99">
        <f>SUM(N23:N26)</f>
        <v>0</v>
      </c>
      <c r="O27" s="99">
        <f>SUM(O23:O26)</f>
        <v>0</v>
      </c>
      <c r="P27" s="101" t="e">
        <f t="shared" si="6"/>
        <v>#DIV/0!</v>
      </c>
      <c r="Q27" s="99"/>
      <c r="R27" s="99">
        <f>SUM(R23:R26)</f>
        <v>0</v>
      </c>
      <c r="S27" s="99">
        <f>SUM(S23:S26)</f>
        <v>0</v>
      </c>
      <c r="T27" s="101" t="e">
        <f>S27/R27</f>
        <v>#DIV/0!</v>
      </c>
      <c r="U27" s="99"/>
      <c r="V27" s="99">
        <f>SUM(V23:V26)</f>
        <v>0</v>
      </c>
      <c r="W27" s="99">
        <f>SUM(W23:W26)</f>
        <v>0</v>
      </c>
      <c r="X27" s="101" t="e">
        <f t="shared" ref="X27:X33" si="7">W27/V27</f>
        <v>#DIV/0!</v>
      </c>
      <c r="Y27" s="99"/>
      <c r="Z27" s="99">
        <f>SUM(Z24:Z26)</f>
        <v>0</v>
      </c>
      <c r="AA27" s="99">
        <f>SUM(AA24:AA26)</f>
        <v>0</v>
      </c>
      <c r="AB27" s="101" t="e">
        <f>AA27/Z27</f>
        <v>#DIV/0!</v>
      </c>
      <c r="AC27" s="99"/>
      <c r="AD27" s="99">
        <f>SUM(AD24:AD26)</f>
        <v>0</v>
      </c>
      <c r="AE27" s="99"/>
      <c r="AF27" s="101"/>
      <c r="AG27" s="99"/>
    </row>
    <row r="28" spans="1:33" ht="13" x14ac:dyDescent="0.3">
      <c r="A28" s="23" t="s">
        <v>63</v>
      </c>
      <c r="B28" s="73">
        <v>21</v>
      </c>
      <c r="C28" s="73">
        <v>3</v>
      </c>
      <c r="D28" s="3">
        <f t="shared" si="3"/>
        <v>0.14285714285714285</v>
      </c>
      <c r="F28" s="73">
        <v>92</v>
      </c>
      <c r="G28" s="73">
        <v>20</v>
      </c>
      <c r="H28" s="110">
        <f t="shared" si="4"/>
        <v>0.21739130434782608</v>
      </c>
      <c r="J28" s="73">
        <v>0</v>
      </c>
      <c r="K28" s="73"/>
      <c r="L28" s="110"/>
      <c r="N28" s="73"/>
      <c r="O28" s="73"/>
      <c r="P28" s="110" t="e">
        <f t="shared" si="6"/>
        <v>#DIV/0!</v>
      </c>
      <c r="R28" s="73"/>
      <c r="S28" s="73"/>
      <c r="T28" s="110" t="e">
        <f t="shared" ref="T28:T33" si="8">S28/R28</f>
        <v>#DIV/0!</v>
      </c>
      <c r="V28" s="73"/>
      <c r="W28" s="73"/>
      <c r="X28" s="110" t="e">
        <f t="shared" si="7"/>
        <v>#DIV/0!</v>
      </c>
      <c r="Z28" s="73"/>
      <c r="AA28" s="73"/>
      <c r="AB28" s="110" t="e">
        <f>AA28/Z28</f>
        <v>#DIV/0!</v>
      </c>
    </row>
    <row r="29" spans="1:33" ht="13" x14ac:dyDescent="0.3">
      <c r="A29" s="2">
        <v>2</v>
      </c>
      <c r="B29" s="73">
        <v>5</v>
      </c>
      <c r="C29">
        <v>2</v>
      </c>
      <c r="D29" s="3">
        <f t="shared" si="3"/>
        <v>0.4</v>
      </c>
      <c r="F29" s="73">
        <v>891</v>
      </c>
      <c r="G29" s="73">
        <v>140</v>
      </c>
      <c r="H29" s="110">
        <f t="shared" si="4"/>
        <v>0.15712682379349047</v>
      </c>
      <c r="J29" s="73">
        <v>0</v>
      </c>
      <c r="K29" s="73"/>
      <c r="L29" s="110"/>
      <c r="N29" s="73"/>
      <c r="O29" s="73"/>
      <c r="P29" s="110" t="e">
        <f t="shared" si="6"/>
        <v>#DIV/0!</v>
      </c>
      <c r="R29" s="73"/>
      <c r="S29" s="73"/>
      <c r="T29" s="110" t="e">
        <f t="shared" si="8"/>
        <v>#DIV/0!</v>
      </c>
      <c r="V29" s="73"/>
      <c r="W29" s="73"/>
      <c r="X29" s="110" t="e">
        <f t="shared" si="7"/>
        <v>#DIV/0!</v>
      </c>
      <c r="Z29" s="73"/>
      <c r="AA29" s="73"/>
      <c r="AB29" s="110" t="e">
        <f>AA29/Z29</f>
        <v>#DIV/0!</v>
      </c>
    </row>
    <row r="30" spans="1:33" ht="13" x14ac:dyDescent="0.3">
      <c r="A30" s="2">
        <v>3</v>
      </c>
      <c r="B30" s="73">
        <v>42</v>
      </c>
      <c r="C30">
        <v>10</v>
      </c>
      <c r="D30" s="3">
        <f t="shared" si="3"/>
        <v>0.23809523809523808</v>
      </c>
      <c r="F30" s="73">
        <v>261</v>
      </c>
      <c r="G30" s="73">
        <v>81</v>
      </c>
      <c r="H30" s="110">
        <f t="shared" si="4"/>
        <v>0.31034482758620691</v>
      </c>
      <c r="J30" s="73">
        <v>0</v>
      </c>
      <c r="K30" s="73"/>
      <c r="L30" s="110"/>
      <c r="N30" s="73"/>
      <c r="O30" s="73"/>
      <c r="P30" s="110" t="e">
        <f t="shared" si="6"/>
        <v>#DIV/0!</v>
      </c>
      <c r="R30" s="73"/>
      <c r="S30" s="73"/>
      <c r="T30" s="110" t="e">
        <f t="shared" si="8"/>
        <v>#DIV/0!</v>
      </c>
      <c r="V30" s="73"/>
      <c r="W30" s="73"/>
      <c r="X30" s="110" t="e">
        <f t="shared" si="7"/>
        <v>#DIV/0!</v>
      </c>
      <c r="Z30" s="73"/>
      <c r="AA30" s="73"/>
      <c r="AB30" s="110"/>
    </row>
    <row r="31" spans="1:33" ht="13" x14ac:dyDescent="0.3">
      <c r="A31" s="2">
        <v>4</v>
      </c>
      <c r="B31" s="73">
        <v>0</v>
      </c>
      <c r="C31">
        <v>0</v>
      </c>
      <c r="D31" s="3"/>
      <c r="F31" s="73">
        <v>140</v>
      </c>
      <c r="G31" s="73">
        <v>40</v>
      </c>
      <c r="H31" s="110">
        <f t="shared" si="4"/>
        <v>0.2857142857142857</v>
      </c>
      <c r="J31" s="73">
        <v>203</v>
      </c>
      <c r="K31" s="73">
        <v>88</v>
      </c>
      <c r="L31" s="110">
        <f t="shared" si="5"/>
        <v>0.43349753694581283</v>
      </c>
      <c r="N31" s="73"/>
      <c r="O31" s="73"/>
      <c r="P31" s="110" t="e">
        <f t="shared" si="6"/>
        <v>#DIV/0!</v>
      </c>
      <c r="R31" s="73"/>
      <c r="S31" s="73"/>
      <c r="T31" s="110" t="e">
        <f t="shared" si="8"/>
        <v>#DIV/0!</v>
      </c>
      <c r="V31" s="73"/>
      <c r="W31" s="73"/>
      <c r="X31" s="110" t="e">
        <f t="shared" si="7"/>
        <v>#DIV/0!</v>
      </c>
      <c r="Z31" s="73"/>
    </row>
    <row r="32" spans="1:33" ht="13" x14ac:dyDescent="0.3">
      <c r="A32" s="41">
        <v>5</v>
      </c>
      <c r="B32" s="71">
        <v>0</v>
      </c>
      <c r="C32" s="42">
        <v>0</v>
      </c>
      <c r="D32" s="43"/>
      <c r="E32" s="42"/>
      <c r="F32" s="71">
        <v>583</v>
      </c>
      <c r="G32" s="71">
        <v>200</v>
      </c>
      <c r="H32" s="216">
        <f t="shared" si="4"/>
        <v>0.34305317324185247</v>
      </c>
      <c r="I32" s="42"/>
      <c r="J32" s="71">
        <v>125</v>
      </c>
      <c r="K32" s="71">
        <v>63</v>
      </c>
      <c r="L32" s="216">
        <f t="shared" si="5"/>
        <v>0.504</v>
      </c>
      <c r="M32" s="42"/>
      <c r="N32" s="71"/>
      <c r="O32" s="71"/>
      <c r="P32" s="216" t="e">
        <f t="shared" si="6"/>
        <v>#DIV/0!</v>
      </c>
      <c r="Q32" s="42"/>
      <c r="R32" s="71"/>
      <c r="S32" s="71"/>
      <c r="T32" s="216" t="e">
        <f t="shared" si="8"/>
        <v>#DIV/0!</v>
      </c>
      <c r="U32" s="42"/>
      <c r="V32" s="42"/>
      <c r="W32" s="42"/>
      <c r="X32" s="216" t="e">
        <f t="shared" si="7"/>
        <v>#DIV/0!</v>
      </c>
      <c r="Y32" s="42"/>
      <c r="Z32" s="71"/>
      <c r="AA32" s="42"/>
      <c r="AB32" s="110" t="e">
        <f>AA32/Z32</f>
        <v>#DIV/0!</v>
      </c>
      <c r="AC32" s="42"/>
      <c r="AD32" s="42"/>
      <c r="AE32" s="42"/>
      <c r="AF32" s="42"/>
      <c r="AG32" s="42"/>
    </row>
    <row r="33" spans="1:33" ht="13" x14ac:dyDescent="0.3">
      <c r="A33" s="41" t="s">
        <v>44</v>
      </c>
      <c r="B33" s="202">
        <f>SUM(B28:B32)</f>
        <v>68</v>
      </c>
      <c r="C33" s="41">
        <f>SUM(C28:C32)</f>
        <v>15</v>
      </c>
      <c r="D33" s="97">
        <f>C33/B33</f>
        <v>0.22058823529411764</v>
      </c>
      <c r="E33" s="41"/>
      <c r="F33" s="202">
        <f>SUM(F28:F32)</f>
        <v>1967</v>
      </c>
      <c r="G33" s="41">
        <f>SUM(G28:G32)</f>
        <v>481</v>
      </c>
      <c r="H33" s="97">
        <f t="shared" si="4"/>
        <v>0.24453482460599898</v>
      </c>
      <c r="I33" s="41"/>
      <c r="J33" s="202">
        <f>SUM(J28:J32)</f>
        <v>328</v>
      </c>
      <c r="K33" s="41">
        <f>SUM(K28:K32)</f>
        <v>151</v>
      </c>
      <c r="L33" s="97">
        <f t="shared" si="5"/>
        <v>0.46036585365853661</v>
      </c>
      <c r="M33" s="41"/>
      <c r="N33" s="202">
        <f>SUM(N28:N32)</f>
        <v>0</v>
      </c>
      <c r="O33" s="202">
        <f>SUM(O28:O32)</f>
        <v>0</v>
      </c>
      <c r="P33" s="101" t="e">
        <f t="shared" si="6"/>
        <v>#DIV/0!</v>
      </c>
      <c r="Q33" s="41"/>
      <c r="R33" s="202">
        <f>SUM(R28:R32)</f>
        <v>0</v>
      </c>
      <c r="S33" s="202">
        <f>SUM(S28:S32)</f>
        <v>0</v>
      </c>
      <c r="T33" s="101" t="e">
        <f t="shared" si="8"/>
        <v>#DIV/0!</v>
      </c>
      <c r="U33" s="41"/>
      <c r="V33" s="41">
        <f>SUM(V28:V32)</f>
        <v>0</v>
      </c>
      <c r="W33" s="41">
        <f>SUM(W28:W32)</f>
        <v>0</v>
      </c>
      <c r="X33" s="101" t="e">
        <f t="shared" si="7"/>
        <v>#DIV/0!</v>
      </c>
      <c r="Y33" s="41"/>
      <c r="Z33" s="202">
        <f>SUM(Z28:Z32)</f>
        <v>0</v>
      </c>
      <c r="AA33" s="41">
        <f>SUM(AA28:AA32)</f>
        <v>0</v>
      </c>
      <c r="AB33" s="101" t="e">
        <f>AA33/Z33</f>
        <v>#DIV/0!</v>
      </c>
      <c r="AC33" s="41"/>
      <c r="AD33" s="41"/>
      <c r="AE33" s="41"/>
      <c r="AF33" s="41"/>
      <c r="AG33" s="41"/>
    </row>
    <row r="35" spans="1:33" ht="15.5" x14ac:dyDescent="0.35">
      <c r="A35" s="1" t="s">
        <v>257</v>
      </c>
    </row>
    <row r="36" spans="1:33" ht="13" x14ac:dyDescent="0.3">
      <c r="A36" s="2"/>
    </row>
    <row r="37" spans="1:33" ht="13" x14ac:dyDescent="0.3">
      <c r="B37" s="27" t="s">
        <v>44</v>
      </c>
      <c r="C37" s="2"/>
      <c r="D37" s="2"/>
    </row>
    <row r="38" spans="1:33" x14ac:dyDescent="0.25">
      <c r="B38" t="s">
        <v>13</v>
      </c>
      <c r="C38" t="s">
        <v>51</v>
      </c>
      <c r="D38" t="s">
        <v>14</v>
      </c>
    </row>
    <row r="39" spans="1:33" x14ac:dyDescent="0.25">
      <c r="A39" t="s">
        <v>259</v>
      </c>
      <c r="B39">
        <f>B23+F23+J23+N23+R23+V23+Z23+AD23+B7+F7+J7+N7+R7+V7</f>
        <v>924</v>
      </c>
      <c r="C39">
        <f>C23+G23+K23+O23+S23+W23+AA23+AE23+C7+G7+K7+O7+S7+W7</f>
        <v>5</v>
      </c>
      <c r="D39" s="3">
        <f>C39/B39</f>
        <v>5.411255411255411E-3</v>
      </c>
      <c r="K39" t="s">
        <v>174</v>
      </c>
    </row>
    <row r="40" spans="1:33" x14ac:dyDescent="0.25">
      <c r="A40" t="s">
        <v>31</v>
      </c>
      <c r="B40">
        <f t="shared" ref="B40:C42" si="9">B24+F24+J24+N24+R24+V24+Z24+AD24+B8+F8+J8+N8+R8+V8</f>
        <v>8408</v>
      </c>
      <c r="C40">
        <f t="shared" si="9"/>
        <v>225</v>
      </c>
      <c r="D40" s="3">
        <f t="shared" ref="D40:D47" si="10">C40/B40</f>
        <v>2.6760228353948621E-2</v>
      </c>
      <c r="K40" s="15">
        <v>0.52608388431837694</v>
      </c>
      <c r="L40" t="s">
        <v>175</v>
      </c>
    </row>
    <row r="41" spans="1:33" x14ac:dyDescent="0.25">
      <c r="A41" t="s">
        <v>32</v>
      </c>
      <c r="B41">
        <f t="shared" si="9"/>
        <v>2084</v>
      </c>
      <c r="C41">
        <f t="shared" si="9"/>
        <v>99</v>
      </c>
      <c r="D41" s="3">
        <f t="shared" si="10"/>
        <v>4.7504798464491363E-2</v>
      </c>
      <c r="K41" s="15">
        <v>0.57499394253663216</v>
      </c>
      <c r="L41" t="s">
        <v>172</v>
      </c>
    </row>
    <row r="42" spans="1:33" x14ac:dyDescent="0.25">
      <c r="A42" s="44" t="s">
        <v>45</v>
      </c>
      <c r="B42" s="44">
        <f t="shared" si="9"/>
        <v>2296</v>
      </c>
      <c r="C42" s="44">
        <f t="shared" si="9"/>
        <v>92</v>
      </c>
      <c r="D42" s="3">
        <f t="shared" si="10"/>
        <v>4.0069686411149823E-2</v>
      </c>
      <c r="K42" s="15">
        <v>0.31230019265398085</v>
      </c>
      <c r="L42" t="s">
        <v>176</v>
      </c>
    </row>
    <row r="43" spans="1:33" ht="13" x14ac:dyDescent="0.3">
      <c r="A43" s="46" t="s">
        <v>61</v>
      </c>
      <c r="B43" s="46">
        <f>SUM(B39:B42)</f>
        <v>13712</v>
      </c>
      <c r="C43" s="46">
        <f>SUM(C39:C42)</f>
        <v>421</v>
      </c>
      <c r="D43" s="67">
        <f t="shared" si="10"/>
        <v>3.0703033838973163E-2</v>
      </c>
      <c r="G43" s="5">
        <f>F17+J17+N17</f>
        <v>57</v>
      </c>
      <c r="H43">
        <f>G17+K17+O17</f>
        <v>37</v>
      </c>
    </row>
    <row r="44" spans="1:33" ht="13" x14ac:dyDescent="0.3">
      <c r="A44" s="2">
        <v>1</v>
      </c>
      <c r="B44">
        <f>B28+F28+J28+N28+R28+V28+Z28+AD28</f>
        <v>113</v>
      </c>
      <c r="C44">
        <f>C28+G28+K28+O28+S28+W28+AA28+AE28</f>
        <v>23</v>
      </c>
      <c r="D44" s="3">
        <f t="shared" si="10"/>
        <v>0.20353982300884957</v>
      </c>
      <c r="G44" s="5">
        <f>(F33*K40)+(J33*K41)+(K42*N33)</f>
        <v>1223.4050136062626</v>
      </c>
      <c r="H44" s="30">
        <f>(G33*K40)+(K33*K41)+(O33*K42)</f>
        <v>339.87043368017078</v>
      </c>
      <c r="L44" s="3"/>
      <c r="P44" s="3"/>
      <c r="T44" s="3"/>
    </row>
    <row r="45" spans="1:33" ht="13" x14ac:dyDescent="0.3">
      <c r="A45" s="2">
        <v>2</v>
      </c>
      <c r="B45">
        <f t="shared" ref="B45:C48" si="11">B29+F29+J29+N29+R29+V29+Z29+AD29</f>
        <v>896</v>
      </c>
      <c r="C45">
        <f t="shared" si="11"/>
        <v>142</v>
      </c>
      <c r="D45" s="3">
        <f t="shared" si="10"/>
        <v>0.15848214285714285</v>
      </c>
      <c r="G45" s="5">
        <f>SUM(G43:G44)</f>
        <v>1280.4050136062626</v>
      </c>
      <c r="H45" s="5">
        <f>SUM(H43:H44)</f>
        <v>376.87043368017078</v>
      </c>
      <c r="J45" s="19">
        <f>H45/G45</f>
        <v>0.29433689315126521</v>
      </c>
      <c r="K45" s="161">
        <f>1-J45</f>
        <v>0.70566310684873479</v>
      </c>
      <c r="L45" s="3"/>
      <c r="P45" s="3"/>
      <c r="T45" s="3"/>
      <c r="X45" s="3"/>
      <c r="AB45" s="3"/>
    </row>
    <row r="46" spans="1:33" ht="13" x14ac:dyDescent="0.3">
      <c r="A46" s="2">
        <v>3</v>
      </c>
      <c r="B46">
        <f t="shared" si="11"/>
        <v>303</v>
      </c>
      <c r="C46">
        <f t="shared" si="11"/>
        <v>91</v>
      </c>
      <c r="D46" s="3">
        <f t="shared" si="10"/>
        <v>0.30033003300330036</v>
      </c>
      <c r="H46" s="3"/>
      <c r="L46" s="3"/>
      <c r="P46" s="3"/>
      <c r="T46" s="3"/>
      <c r="X46" s="3"/>
      <c r="AB46" s="3"/>
    </row>
    <row r="47" spans="1:33" ht="13" x14ac:dyDescent="0.3">
      <c r="A47" s="2">
        <v>4</v>
      </c>
      <c r="B47">
        <f t="shared" si="11"/>
        <v>343</v>
      </c>
      <c r="C47">
        <f t="shared" si="11"/>
        <v>128</v>
      </c>
      <c r="D47" s="3">
        <f t="shared" si="10"/>
        <v>0.37317784256559766</v>
      </c>
      <c r="G47" s="5">
        <f>(F33*(1-K40))+(J33*(1-K41))+(N33*(1-K42))</f>
        <v>1071.5949863937371</v>
      </c>
      <c r="H47" s="5">
        <f>(G33*(1-K40))+(K33*(1-K41))+(O33*(1-K42))</f>
        <v>292.12956631982922</v>
      </c>
    </row>
    <row r="48" spans="1:33" ht="13" x14ac:dyDescent="0.3">
      <c r="A48" s="2">
        <v>5</v>
      </c>
      <c r="B48">
        <f t="shared" si="11"/>
        <v>708</v>
      </c>
      <c r="C48">
        <f t="shared" si="11"/>
        <v>263</v>
      </c>
      <c r="D48" s="3">
        <f>C48/B48</f>
        <v>0.37146892655367231</v>
      </c>
      <c r="G48">
        <f>R33</f>
        <v>0</v>
      </c>
      <c r="H48">
        <f>S33</f>
        <v>0</v>
      </c>
      <c r="P48" s="3"/>
      <c r="T48" s="3"/>
    </row>
    <row r="49" spans="1:28" x14ac:dyDescent="0.25">
      <c r="G49" s="5">
        <f>SUM(G47:G48)</f>
        <v>1071.5949863937371</v>
      </c>
      <c r="H49" s="5">
        <f>SUM(H47:H48)</f>
        <v>292.12956631982922</v>
      </c>
      <c r="J49" s="19">
        <f>H49/G49</f>
        <v>0.27261191964227033</v>
      </c>
      <c r="K49" s="161">
        <f>1-J49</f>
        <v>0.72738808035772973</v>
      </c>
    </row>
    <row r="50" spans="1:28" ht="13" x14ac:dyDescent="0.3">
      <c r="A50" s="2" t="s">
        <v>60</v>
      </c>
      <c r="B50">
        <f>SUM(B44:B49)</f>
        <v>2363</v>
      </c>
      <c r="C50" s="5">
        <f>SUM(C44:C49)</f>
        <v>647</v>
      </c>
      <c r="D50" s="19">
        <f>C50/B50</f>
        <v>0.27380448582310624</v>
      </c>
    </row>
    <row r="51" spans="1:28" ht="13" x14ac:dyDescent="0.3">
      <c r="A51" s="2"/>
    </row>
    <row r="54" spans="1:28" x14ac:dyDescent="0.25">
      <c r="H54" s="3"/>
      <c r="L54" s="3"/>
      <c r="P54" s="3"/>
      <c r="T54" s="3"/>
      <c r="X54" s="3"/>
    </row>
    <row r="55" spans="1:28" x14ac:dyDescent="0.25">
      <c r="D55" s="3"/>
      <c r="H55" s="3"/>
      <c r="L55" s="3"/>
      <c r="P55" s="3"/>
      <c r="T55" s="3"/>
      <c r="X55" s="3"/>
      <c r="AB55" s="3"/>
    </row>
    <row r="56" spans="1:28" x14ac:dyDescent="0.25">
      <c r="D56" s="3"/>
      <c r="H56" s="3"/>
      <c r="L56" s="3"/>
      <c r="P56" s="3"/>
      <c r="T56" s="3"/>
      <c r="X56" s="3"/>
      <c r="AB56" s="3"/>
    </row>
    <row r="57" spans="1:28" x14ac:dyDescent="0.25">
      <c r="D57" s="3"/>
      <c r="H57" s="3"/>
      <c r="L57" s="3"/>
      <c r="P57" s="3"/>
    </row>
    <row r="58" spans="1:28" x14ac:dyDescent="0.25">
      <c r="D58" s="3"/>
    </row>
  </sheetData>
  <phoneticPr fontId="4" type="noConversion"/>
  <pageMargins left="0.75" right="0.75" top="1" bottom="1" header="0.5" footer="0.5"/>
  <pageSetup scale="41" orientation="landscape" r:id="rId1"/>
  <headerFooter alignWithMargins="0"/>
  <drawing r:id="rId2"/>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O30"/>
  <sheetViews>
    <sheetView zoomScale="75" workbookViewId="0">
      <selection activeCell="I30" sqref="I30"/>
    </sheetView>
  </sheetViews>
  <sheetFormatPr defaultRowHeight="12.5" x14ac:dyDescent="0.25"/>
  <cols>
    <col min="1" max="1" width="3" style="44" customWidth="1"/>
    <col min="2" max="2" width="14.26953125" customWidth="1"/>
    <col min="3" max="3" width="17.7265625" style="31" bestFit="1" customWidth="1"/>
    <col min="4" max="4" width="13" customWidth="1"/>
    <col min="5" max="5" width="14.54296875" customWidth="1"/>
    <col min="6" max="6" width="10.453125" customWidth="1"/>
    <col min="7" max="7" width="14.81640625" bestFit="1" customWidth="1"/>
    <col min="8" max="8" width="14.453125" bestFit="1" customWidth="1"/>
    <col min="9" max="9" width="11.54296875" customWidth="1"/>
    <col min="10" max="10" width="10" customWidth="1"/>
  </cols>
  <sheetData>
    <row r="1" spans="1:11" ht="13.5" thickBot="1" x14ac:dyDescent="0.35">
      <c r="D1" s="151"/>
      <c r="E1" s="151"/>
      <c r="F1" s="151"/>
      <c r="G1" s="151"/>
      <c r="H1" s="151"/>
      <c r="I1" s="151"/>
      <c r="J1" s="151"/>
    </row>
    <row r="2" spans="1:11" ht="13.5" thickBot="1" x14ac:dyDescent="0.35">
      <c r="B2" s="921" t="s">
        <v>278</v>
      </c>
      <c r="C2" s="922"/>
      <c r="D2" s="922"/>
      <c r="E2" s="923"/>
      <c r="J2" s="2"/>
    </row>
    <row r="3" spans="1:11" ht="13" x14ac:dyDescent="0.3">
      <c r="A3" s="516"/>
      <c r="B3" s="248" t="s">
        <v>200</v>
      </c>
      <c r="C3" s="249" t="s">
        <v>177</v>
      </c>
      <c r="D3" s="249" t="s">
        <v>94</v>
      </c>
      <c r="E3" s="250" t="s">
        <v>184</v>
      </c>
      <c r="J3" s="517"/>
    </row>
    <row r="4" spans="1:11" ht="13" x14ac:dyDescent="0.3">
      <c r="A4" s="516"/>
      <c r="B4" s="251" t="s">
        <v>160</v>
      </c>
      <c r="C4" s="249">
        <v>539539</v>
      </c>
      <c r="D4" s="249">
        <v>139360</v>
      </c>
      <c r="E4" s="252">
        <f>D4+C4</f>
        <v>678899</v>
      </c>
      <c r="J4" s="517"/>
    </row>
    <row r="5" spans="1:11" ht="13" x14ac:dyDescent="0.3">
      <c r="A5" s="516"/>
      <c r="B5" s="251" t="s">
        <v>161</v>
      </c>
      <c r="C5" s="249">
        <v>292829</v>
      </c>
      <c r="D5" s="249">
        <v>80579</v>
      </c>
      <c r="E5" s="252">
        <f>D5+C5</f>
        <v>373408</v>
      </c>
      <c r="J5" s="517"/>
    </row>
    <row r="6" spans="1:11" ht="13.5" thickBot="1" x14ac:dyDescent="0.35">
      <c r="A6" s="516"/>
      <c r="B6" s="253" t="s">
        <v>44</v>
      </c>
      <c r="C6" s="254">
        <f>C5+C4</f>
        <v>832368</v>
      </c>
      <c r="D6" s="254">
        <f>D5+D4</f>
        <v>219939</v>
      </c>
      <c r="E6" s="255">
        <f>D6+C6</f>
        <v>1052307</v>
      </c>
      <c r="J6" s="224"/>
    </row>
    <row r="7" spans="1:11" ht="13" x14ac:dyDescent="0.3">
      <c r="A7" s="516"/>
      <c r="B7" s="251" t="s">
        <v>241</v>
      </c>
      <c r="C7" s="389" t="s">
        <v>252</v>
      </c>
      <c r="D7" s="249">
        <v>15379</v>
      </c>
      <c r="E7" s="252"/>
      <c r="J7" s="224"/>
    </row>
    <row r="8" spans="1:11" ht="13" x14ac:dyDescent="0.3">
      <c r="A8" s="516"/>
      <c r="B8" s="251" t="s">
        <v>242</v>
      </c>
      <c r="C8" s="249" t="s">
        <v>253</v>
      </c>
      <c r="D8" s="249">
        <v>17224</v>
      </c>
      <c r="E8" s="252"/>
      <c r="J8" s="224"/>
    </row>
    <row r="9" spans="1:11" ht="13.5" thickBot="1" x14ac:dyDescent="0.35">
      <c r="A9" s="516"/>
      <c r="B9" s="253" t="s">
        <v>44</v>
      </c>
      <c r="C9" s="254"/>
      <c r="D9" s="254">
        <f>D8+D7</f>
        <v>32603</v>
      </c>
      <c r="E9" s="255"/>
      <c r="J9" s="224"/>
    </row>
    <row r="10" spans="1:11" ht="13" x14ac:dyDescent="0.3">
      <c r="A10" s="516"/>
      <c r="B10" s="209"/>
      <c r="C10" s="210" t="s">
        <v>167</v>
      </c>
      <c r="D10" s="924" t="s">
        <v>250</v>
      </c>
      <c r="E10" s="925"/>
      <c r="F10" s="926"/>
      <c r="G10" s="924" t="s">
        <v>251</v>
      </c>
      <c r="H10" s="925"/>
      <c r="I10" s="926"/>
      <c r="J10" s="517"/>
    </row>
    <row r="11" spans="1:11" ht="13" x14ac:dyDescent="0.3">
      <c r="B11" s="211" t="s">
        <v>162</v>
      </c>
      <c r="C11" s="212" t="s">
        <v>163</v>
      </c>
      <c r="D11" s="211" t="s">
        <v>44</v>
      </c>
      <c r="E11" s="208" t="s">
        <v>165</v>
      </c>
      <c r="F11" s="263" t="s">
        <v>166</v>
      </c>
      <c r="G11" s="211" t="s">
        <v>213</v>
      </c>
      <c r="H11" s="208" t="s">
        <v>165</v>
      </c>
      <c r="I11" s="263" t="s">
        <v>166</v>
      </c>
    </row>
    <row r="12" spans="1:11" ht="15" x14ac:dyDescent="0.3">
      <c r="B12" s="211" t="s">
        <v>211</v>
      </c>
      <c r="C12" s="305">
        <v>40084</v>
      </c>
      <c r="D12" s="390">
        <f>E12+F12</f>
        <v>80950</v>
      </c>
      <c r="E12" s="70">
        <f>'2009 Comm catch'!B68</f>
        <v>80950</v>
      </c>
      <c r="F12" s="264">
        <f>'2009 Comm catch'!C68</f>
        <v>0</v>
      </c>
      <c r="G12" s="310">
        <f>H12+I12</f>
        <v>912.49723926661875</v>
      </c>
      <c r="H12" s="311">
        <f>'2009 Comm catch'!G49</f>
        <v>912.49723926661875</v>
      </c>
      <c r="I12" s="360">
        <v>0</v>
      </c>
      <c r="J12" s="518">
        <f>G12/$D$6</f>
        <v>4.1488650910780659E-3</v>
      </c>
      <c r="K12" s="519"/>
    </row>
    <row r="13" spans="1:11" ht="13" x14ac:dyDescent="0.3">
      <c r="A13" s="516"/>
      <c r="B13" s="211" t="s">
        <v>123</v>
      </c>
      <c r="C13" s="305">
        <v>40085</v>
      </c>
      <c r="D13" s="390">
        <f>E13+F13</f>
        <v>45241</v>
      </c>
      <c r="E13" s="70">
        <f>'2009 Comm catch'!B75</f>
        <v>21423.5</v>
      </c>
      <c r="F13" s="264">
        <f>'2009 Comm catch'!C75</f>
        <v>23817.5</v>
      </c>
      <c r="G13" s="310">
        <f>H13+I13</f>
        <v>13211.556364335174</v>
      </c>
      <c r="H13" s="311">
        <f>'2009 Comm catch'!G57</f>
        <v>6639.8808689653579</v>
      </c>
      <c r="I13" s="215">
        <f>'2009 Comm catch'!H57</f>
        <v>6571.6754953698155</v>
      </c>
      <c r="J13" s="518">
        <f>G13/$D$6</f>
        <v>6.0069184475400793E-2</v>
      </c>
      <c r="K13" s="18"/>
    </row>
    <row r="14" spans="1:11" ht="13" x14ac:dyDescent="0.3">
      <c r="A14" s="520"/>
      <c r="B14" s="394" t="s">
        <v>168</v>
      </c>
      <c r="C14" s="395">
        <v>40086</v>
      </c>
      <c r="D14" s="391">
        <v>46830</v>
      </c>
      <c r="E14" s="392">
        <v>43405</v>
      </c>
      <c r="F14" s="393">
        <v>3425</v>
      </c>
      <c r="G14" s="396">
        <f>H14+I14</f>
        <v>449</v>
      </c>
      <c r="H14" s="397">
        <v>331</v>
      </c>
      <c r="I14" s="398">
        <v>118</v>
      </c>
      <c r="J14" s="518">
        <f>G14/$D$9</f>
        <v>1.3771738797043217E-2</v>
      </c>
      <c r="K14" s="519"/>
    </row>
    <row r="15" spans="1:11" ht="13" x14ac:dyDescent="0.3">
      <c r="A15" s="516"/>
      <c r="B15" s="211" t="s">
        <v>169</v>
      </c>
      <c r="C15" s="305">
        <v>40087</v>
      </c>
      <c r="D15" s="390">
        <f>'2009 Sport'!D23</f>
        <v>3030</v>
      </c>
      <c r="E15" s="70">
        <f>'2009 Sport'!B23</f>
        <v>1500</v>
      </c>
      <c r="F15" s="264">
        <f>'2009 Sport'!C23</f>
        <v>1530</v>
      </c>
      <c r="G15" s="310">
        <f>H15+I15</f>
        <v>150</v>
      </c>
      <c r="H15" s="311">
        <f>'2009 Sport'!G23</f>
        <v>75</v>
      </c>
      <c r="I15" s="347">
        <f>'2009 Sport'!H23</f>
        <v>75</v>
      </c>
      <c r="J15" s="518">
        <f>G15/$D$6</f>
        <v>6.8200728383779137E-4</v>
      </c>
      <c r="K15" s="519"/>
    </row>
    <row r="16" spans="1:11" ht="13" x14ac:dyDescent="0.3">
      <c r="A16" s="516"/>
      <c r="B16" s="211"/>
      <c r="C16" s="212"/>
      <c r="D16" s="390"/>
      <c r="E16" s="70"/>
      <c r="F16" s="264"/>
      <c r="G16" s="211"/>
      <c r="H16" s="46"/>
      <c r="I16" s="212"/>
      <c r="J16" s="46"/>
    </row>
    <row r="17" spans="1:15" ht="13" x14ac:dyDescent="0.3">
      <c r="A17" s="516"/>
      <c r="B17" s="266" t="s">
        <v>173</v>
      </c>
      <c r="C17" s="212" t="s">
        <v>131</v>
      </c>
      <c r="D17" s="390">
        <f>SUM(D12:D16)</f>
        <v>176051</v>
      </c>
      <c r="E17" s="70">
        <f>SUM(E12:E16)</f>
        <v>147278.5</v>
      </c>
      <c r="F17" s="264">
        <f>SUM(F12:F16)</f>
        <v>28772.5</v>
      </c>
      <c r="G17" s="265"/>
      <c r="H17" s="213"/>
      <c r="I17" s="215"/>
      <c r="J17" s="46"/>
    </row>
    <row r="18" spans="1:15" ht="13.5" thickBot="1" x14ac:dyDescent="0.35">
      <c r="A18" s="516"/>
      <c r="B18" s="266"/>
      <c r="C18" s="212"/>
      <c r="D18" s="915" t="s">
        <v>276</v>
      </c>
      <c r="E18" s="916"/>
      <c r="F18" s="917"/>
      <c r="G18" s="265">
        <f>G12+G13+G15</f>
        <v>14274.053603601793</v>
      </c>
      <c r="H18" s="213">
        <f>H12+H13+H15</f>
        <v>7627.3781082319765</v>
      </c>
      <c r="I18" s="215">
        <f>I12+I13+I15</f>
        <v>6646.6754953698155</v>
      </c>
      <c r="J18" s="46"/>
    </row>
    <row r="19" spans="1:15" ht="13.5" thickBot="1" x14ac:dyDescent="0.35">
      <c r="A19" s="516"/>
      <c r="B19" s="266"/>
      <c r="C19" s="212"/>
      <c r="D19" s="927" t="s">
        <v>277</v>
      </c>
      <c r="E19" s="928"/>
      <c r="F19" s="929"/>
      <c r="G19" s="319">
        <f>G18/D6</f>
        <v>6.4900056850316648E-2</v>
      </c>
      <c r="H19" s="312">
        <f>H18/D4</f>
        <v>5.4731473222100868E-2</v>
      </c>
      <c r="I19" s="313">
        <f>I18/D5</f>
        <v>8.248644802454505E-2</v>
      </c>
      <c r="J19" s="46"/>
    </row>
    <row r="20" spans="1:15" ht="13.5" thickBot="1" x14ac:dyDescent="0.35">
      <c r="A20" s="516"/>
      <c r="B20" s="266"/>
      <c r="C20" s="212"/>
      <c r="D20" s="915" t="s">
        <v>274</v>
      </c>
      <c r="E20" s="916"/>
      <c r="F20" s="917"/>
      <c r="G20" s="265">
        <f>G14</f>
        <v>449</v>
      </c>
      <c r="H20" s="213">
        <f>H14</f>
        <v>331</v>
      </c>
      <c r="I20" s="215">
        <f>I14</f>
        <v>118</v>
      </c>
      <c r="J20" s="46"/>
    </row>
    <row r="21" spans="1:15" ht="13.5" thickBot="1" x14ac:dyDescent="0.35">
      <c r="A21" s="516"/>
      <c r="B21" s="267" t="s">
        <v>173</v>
      </c>
      <c r="C21" s="322" t="s">
        <v>202</v>
      </c>
      <c r="D21" s="918" t="s">
        <v>275</v>
      </c>
      <c r="E21" s="919"/>
      <c r="F21" s="920"/>
      <c r="G21" s="319">
        <f>G20/D9</f>
        <v>1.3771738797043217E-2</v>
      </c>
      <c r="H21" s="312">
        <f>H20/D7</f>
        <v>2.152285584238247E-2</v>
      </c>
      <c r="I21" s="313">
        <f>I20/D8</f>
        <v>6.8509057129586626E-3</v>
      </c>
      <c r="J21" s="178"/>
    </row>
    <row r="22" spans="1:15" ht="13" x14ac:dyDescent="0.3">
      <c r="A22" s="516"/>
      <c r="B22" s="268"/>
      <c r="C22" s="316"/>
      <c r="D22" s="211"/>
      <c r="E22" s="269"/>
      <c r="F22" s="212"/>
      <c r="G22" s="269"/>
      <c r="H22" s="269"/>
      <c r="I22" s="270"/>
      <c r="J22" s="46"/>
    </row>
    <row r="23" spans="1:15" ht="13.5" thickBot="1" x14ac:dyDescent="0.35">
      <c r="B23" s="266" t="s">
        <v>201</v>
      </c>
      <c r="C23" s="46" t="s">
        <v>131</v>
      </c>
      <c r="D23" s="915" t="s">
        <v>244</v>
      </c>
      <c r="E23" s="916"/>
      <c r="F23" s="917"/>
      <c r="G23" s="392">
        <f>H23+I23</f>
        <v>4074</v>
      </c>
      <c r="H23" s="392">
        <v>1716</v>
      </c>
      <c r="I23" s="393">
        <v>2358</v>
      </c>
      <c r="J23" s="46"/>
    </row>
    <row r="24" spans="1:15" s="11" customFormat="1" ht="13.5" thickBot="1" x14ac:dyDescent="0.35">
      <c r="A24" s="44"/>
      <c r="B24" s="267" t="s">
        <v>243</v>
      </c>
      <c r="C24" s="323" t="s">
        <v>202</v>
      </c>
      <c r="D24" s="918" t="s">
        <v>245</v>
      </c>
      <c r="E24" s="919"/>
      <c r="F24" s="920"/>
      <c r="G24" s="319">
        <f>G23/D9</f>
        <v>0.12495782596693555</v>
      </c>
      <c r="H24" s="320">
        <f>H23/D7</f>
        <v>0.11158072696534235</v>
      </c>
      <c r="I24" s="321">
        <f>I23/D8</f>
        <v>0.13690199721319091</v>
      </c>
      <c r="J24" s="213"/>
      <c r="K24"/>
      <c r="L24"/>
      <c r="M24"/>
      <c r="N24"/>
      <c r="O24"/>
    </row>
    <row r="25" spans="1:15" s="11" customFormat="1" ht="13" x14ac:dyDescent="0.3">
      <c r="A25" s="44"/>
      <c r="B25" s="268"/>
      <c r="C25" s="316"/>
      <c r="D25" s="211"/>
      <c r="E25" s="269"/>
      <c r="F25" s="212"/>
      <c r="G25" s="269"/>
      <c r="H25" s="269"/>
      <c r="I25" s="270"/>
      <c r="J25" s="46"/>
      <c r="K25"/>
      <c r="L25"/>
      <c r="M25"/>
      <c r="N25"/>
      <c r="O25"/>
    </row>
    <row r="26" spans="1:15" s="11" customFormat="1" ht="13.5" thickBot="1" x14ac:dyDescent="0.35">
      <c r="A26" s="44"/>
      <c r="B26" s="315" t="s">
        <v>164</v>
      </c>
      <c r="C26" s="316"/>
      <c r="D26" s="915" t="s">
        <v>244</v>
      </c>
      <c r="E26" s="916"/>
      <c r="F26" s="917"/>
      <c r="G26" s="70">
        <f>G23+G20+(G19*D9)</f>
        <v>6638.9365534908738</v>
      </c>
      <c r="H26" s="70">
        <f>H23+H20+(H19*D7)</f>
        <v>2888.715326682689</v>
      </c>
      <c r="I26" s="264">
        <f>I23+I20+(I19*D8)</f>
        <v>3896.746580774764</v>
      </c>
      <c r="J26" s="46"/>
      <c r="K26"/>
      <c r="L26"/>
      <c r="M26"/>
      <c r="N26"/>
      <c r="O26"/>
    </row>
    <row r="27" spans="1:15" s="11" customFormat="1" ht="13.5" thickBot="1" x14ac:dyDescent="0.35">
      <c r="A27" s="44"/>
      <c r="B27" s="317" t="s">
        <v>164</v>
      </c>
      <c r="C27" s="323" t="s">
        <v>202</v>
      </c>
      <c r="D27" s="918" t="s">
        <v>245</v>
      </c>
      <c r="E27" s="919"/>
      <c r="F27" s="920"/>
      <c r="G27" s="319">
        <f>G24+G21+G19</f>
        <v>0.20362962161429543</v>
      </c>
      <c r="H27" s="320">
        <f>H24+H21+H19</f>
        <v>0.1878350560298257</v>
      </c>
      <c r="I27" s="321">
        <f>I24+I21+I19</f>
        <v>0.22623935095069461</v>
      </c>
      <c r="J27" s="46"/>
      <c r="K27"/>
      <c r="L27"/>
      <c r="M27"/>
      <c r="N27"/>
      <c r="O27"/>
    </row>
    <row r="28" spans="1:15" s="11" customFormat="1" ht="13" x14ac:dyDescent="0.3">
      <c r="A28" s="44"/>
      <c r="B28" s="318" t="s">
        <v>212</v>
      </c>
      <c r="C28" s="31"/>
      <c r="D28"/>
      <c r="E28"/>
      <c r="F28"/>
      <c r="G28"/>
      <c r="H28"/>
      <c r="I28"/>
      <c r="J28" s="46"/>
      <c r="K28"/>
      <c r="L28"/>
      <c r="M28"/>
      <c r="N28"/>
      <c r="O28"/>
    </row>
    <row r="29" spans="1:15" s="11" customFormat="1" ht="13" x14ac:dyDescent="0.3">
      <c r="A29" s="44"/>
      <c r="B29"/>
      <c r="C29" s="31"/>
      <c r="D29"/>
      <c r="E29"/>
      <c r="F29" t="s">
        <v>225</v>
      </c>
      <c r="G29" s="26">
        <f>20%-G27</f>
        <v>-3.6296216142954196E-3</v>
      </c>
      <c r="H29"/>
      <c r="I29"/>
      <c r="J29" s="46"/>
      <c r="K29"/>
      <c r="L29"/>
      <c r="M29"/>
      <c r="N29"/>
      <c r="O29"/>
    </row>
    <row r="30" spans="1:15" s="11" customFormat="1" x14ac:dyDescent="0.25">
      <c r="A30" s="44"/>
      <c r="B30"/>
      <c r="C30" s="31"/>
      <c r="D30"/>
      <c r="E30"/>
      <c r="F30"/>
      <c r="G30"/>
      <c r="H30"/>
      <c r="I30"/>
      <c r="J30" s="44"/>
      <c r="K30"/>
      <c r="L30"/>
      <c r="M30"/>
      <c r="N30"/>
      <c r="O30"/>
    </row>
  </sheetData>
  <mergeCells count="11">
    <mergeCell ref="B2:E2"/>
    <mergeCell ref="D10:F10"/>
    <mergeCell ref="G10:I10"/>
    <mergeCell ref="D19:F19"/>
    <mergeCell ref="D18:F18"/>
    <mergeCell ref="D26:F26"/>
    <mergeCell ref="D27:F27"/>
    <mergeCell ref="D20:F20"/>
    <mergeCell ref="D21:F21"/>
    <mergeCell ref="D23:F23"/>
    <mergeCell ref="D24:F24"/>
  </mergeCells>
  <phoneticPr fontId="4" type="noConversion"/>
  <pageMargins left="0.75" right="0.75" top="1" bottom="1" header="0.5" footer="0.5"/>
  <pageSetup orientation="portrait" r:id="rId1"/>
  <headerFooter alignWithMargins="0"/>
  <legacy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Q39"/>
  <sheetViews>
    <sheetView topLeftCell="A10" workbookViewId="0">
      <pane xSplit="1" topLeftCell="B1" activePane="topRight" state="frozen"/>
      <selection activeCell="I30" sqref="I30"/>
      <selection pane="topRight" activeCell="I30" sqref="I30"/>
    </sheetView>
  </sheetViews>
  <sheetFormatPr defaultRowHeight="12.5" x14ac:dyDescent="0.25"/>
  <cols>
    <col min="1" max="1" width="5.81640625" bestFit="1" customWidth="1"/>
    <col min="2" max="2" width="11.1796875" bestFit="1" customWidth="1"/>
    <col min="3" max="3" width="9.453125" bestFit="1" customWidth="1"/>
    <col min="4" max="4" width="7.453125" bestFit="1" customWidth="1"/>
    <col min="5" max="5" width="7.1796875" bestFit="1" customWidth="1"/>
    <col min="6" max="6" width="11.1796875" bestFit="1" customWidth="1"/>
    <col min="7" max="7" width="9.453125" bestFit="1" customWidth="1"/>
    <col min="8" max="8" width="7.453125" bestFit="1" customWidth="1"/>
    <col min="9" max="9" width="7.1796875" bestFit="1" customWidth="1"/>
    <col min="10" max="10" width="11.1796875" bestFit="1" customWidth="1"/>
    <col min="11" max="11" width="9.453125" bestFit="1" customWidth="1"/>
    <col min="12" max="12" width="12" bestFit="1" customWidth="1"/>
    <col min="13" max="14" width="7.26953125" bestFit="1" customWidth="1"/>
    <col min="15" max="16" width="8.26953125" bestFit="1" customWidth="1"/>
  </cols>
  <sheetData>
    <row r="1" spans="1:13" ht="13" x14ac:dyDescent="0.3">
      <c r="B1" s="2" t="s">
        <v>258</v>
      </c>
    </row>
    <row r="2" spans="1:13" x14ac:dyDescent="0.25">
      <c r="B2" s="900" t="s">
        <v>265</v>
      </c>
      <c r="C2" s="901"/>
      <c r="D2" s="901"/>
      <c r="E2" s="902"/>
      <c r="F2" s="900" t="s">
        <v>266</v>
      </c>
      <c r="G2" s="901"/>
      <c r="H2" s="901"/>
      <c r="I2" s="902"/>
      <c r="J2" s="900" t="s">
        <v>267</v>
      </c>
      <c r="K2" s="901"/>
      <c r="L2" s="901"/>
      <c r="M2" s="902"/>
    </row>
    <row r="3" spans="1:13" x14ac:dyDescent="0.25">
      <c r="A3" t="s">
        <v>134</v>
      </c>
      <c r="B3" s="274" t="s">
        <v>31</v>
      </c>
      <c r="C3" s="42" t="s">
        <v>62</v>
      </c>
      <c r="D3" s="42" t="s">
        <v>260</v>
      </c>
      <c r="E3" s="134" t="s">
        <v>203</v>
      </c>
      <c r="F3" s="274" t="s">
        <v>31</v>
      </c>
      <c r="G3" s="42" t="s">
        <v>62</v>
      </c>
      <c r="H3" s="42" t="s">
        <v>260</v>
      </c>
      <c r="I3" s="134" t="s">
        <v>203</v>
      </c>
      <c r="J3" s="274" t="s">
        <v>31</v>
      </c>
      <c r="K3" s="42" t="s">
        <v>62</v>
      </c>
      <c r="L3" s="42" t="s">
        <v>260</v>
      </c>
      <c r="M3" s="134" t="s">
        <v>203</v>
      </c>
    </row>
    <row r="4" spans="1:13" x14ac:dyDescent="0.25">
      <c r="A4">
        <v>32</v>
      </c>
      <c r="B4" s="276">
        <v>0</v>
      </c>
      <c r="C4" s="401"/>
      <c r="D4" s="401"/>
      <c r="E4" s="277"/>
      <c r="F4" s="44"/>
      <c r="G4" s="44"/>
      <c r="H4" s="44"/>
      <c r="I4" s="44"/>
      <c r="J4" s="521" t="str">
        <f t="shared" ref="J4:J17" si="0">IF(B4&gt;0,F4/B4,"na")</f>
        <v>na</v>
      </c>
      <c r="K4" s="522" t="str">
        <f t="shared" ref="K4:K17" si="1">IF(C4&gt;0,G4/C4,"na")</f>
        <v>na</v>
      </c>
      <c r="L4" s="522" t="str">
        <f t="shared" ref="L4:L17" si="2">IF(D4&gt;0,H4/D4,"na")</f>
        <v>na</v>
      </c>
      <c r="M4" s="523" t="str">
        <f t="shared" ref="M4:M17" si="3">IF(E4&gt;0,I4/E4,"na")</f>
        <v>na</v>
      </c>
    </row>
    <row r="5" spans="1:13" x14ac:dyDescent="0.25">
      <c r="A5">
        <v>33</v>
      </c>
      <c r="B5" s="128">
        <v>1</v>
      </c>
      <c r="C5" s="44"/>
      <c r="D5" s="44"/>
      <c r="E5" s="130"/>
      <c r="F5" s="44">
        <v>1</v>
      </c>
      <c r="G5" s="44"/>
      <c r="H5" s="44"/>
      <c r="I5" s="44"/>
      <c r="J5" s="524">
        <f t="shared" si="0"/>
        <v>1</v>
      </c>
      <c r="K5" s="525" t="str">
        <f t="shared" si="1"/>
        <v>na</v>
      </c>
      <c r="L5" s="525" t="str">
        <f t="shared" si="2"/>
        <v>na</v>
      </c>
      <c r="M5" s="526" t="str">
        <f t="shared" si="3"/>
        <v>na</v>
      </c>
    </row>
    <row r="6" spans="1:13" x14ac:dyDescent="0.25">
      <c r="A6">
        <v>34</v>
      </c>
      <c r="B6" s="128">
        <v>53</v>
      </c>
      <c r="C6" s="44"/>
      <c r="D6" s="44"/>
      <c r="E6" s="130"/>
      <c r="F6" s="44">
        <v>3</v>
      </c>
      <c r="G6" s="44"/>
      <c r="H6" s="44"/>
      <c r="I6" s="44"/>
      <c r="J6" s="524">
        <f t="shared" si="0"/>
        <v>5.6603773584905662E-2</v>
      </c>
      <c r="K6" s="525" t="str">
        <f t="shared" si="1"/>
        <v>na</v>
      </c>
      <c r="L6" s="525" t="str">
        <f t="shared" si="2"/>
        <v>na</v>
      </c>
      <c r="M6" s="526" t="str">
        <f t="shared" si="3"/>
        <v>na</v>
      </c>
    </row>
    <row r="7" spans="1:13" x14ac:dyDescent="0.25">
      <c r="A7">
        <v>35</v>
      </c>
      <c r="B7" s="128">
        <v>971</v>
      </c>
      <c r="C7" s="44"/>
      <c r="D7" s="44">
        <v>16</v>
      </c>
      <c r="E7" s="130"/>
      <c r="F7" s="73">
        <v>64</v>
      </c>
      <c r="G7" s="44"/>
      <c r="H7" s="44">
        <v>0</v>
      </c>
      <c r="I7" s="44"/>
      <c r="J7" s="524">
        <f t="shared" si="0"/>
        <v>6.591143151390319E-2</v>
      </c>
      <c r="K7" s="525" t="str">
        <f t="shared" si="1"/>
        <v>na</v>
      </c>
      <c r="L7" s="525">
        <f t="shared" si="2"/>
        <v>0</v>
      </c>
      <c r="M7" s="526" t="str">
        <f t="shared" si="3"/>
        <v>na</v>
      </c>
    </row>
    <row r="8" spans="1:13" x14ac:dyDescent="0.25">
      <c r="A8">
        <v>36</v>
      </c>
      <c r="B8" s="128">
        <v>2372</v>
      </c>
      <c r="C8" s="44">
        <v>3190</v>
      </c>
      <c r="D8" s="73">
        <v>420</v>
      </c>
      <c r="E8" s="130">
        <v>76</v>
      </c>
      <c r="F8" s="73">
        <v>118</v>
      </c>
      <c r="G8" s="73">
        <v>513</v>
      </c>
      <c r="H8" s="73">
        <v>29</v>
      </c>
      <c r="I8" s="73">
        <v>4</v>
      </c>
      <c r="J8" s="524">
        <f t="shared" si="0"/>
        <v>4.9747048903878585E-2</v>
      </c>
      <c r="K8" s="525">
        <f t="shared" si="1"/>
        <v>0.16081504702194357</v>
      </c>
      <c r="L8" s="525">
        <f t="shared" si="2"/>
        <v>6.9047619047619052E-2</v>
      </c>
      <c r="M8" s="526">
        <f t="shared" si="3"/>
        <v>5.2631578947368418E-2</v>
      </c>
    </row>
    <row r="9" spans="1:13" x14ac:dyDescent="0.25">
      <c r="A9">
        <v>37</v>
      </c>
      <c r="B9" s="128">
        <v>2073</v>
      </c>
      <c r="C9" s="44">
        <v>1139</v>
      </c>
      <c r="D9" s="73">
        <v>896</v>
      </c>
      <c r="E9" s="130">
        <v>443</v>
      </c>
      <c r="F9" s="73">
        <v>132</v>
      </c>
      <c r="G9" s="73">
        <v>131</v>
      </c>
      <c r="H9" s="73">
        <v>56</v>
      </c>
      <c r="I9" s="73">
        <v>5</v>
      </c>
      <c r="J9" s="524">
        <f t="shared" si="0"/>
        <v>6.3675832127351659E-2</v>
      </c>
      <c r="K9" s="525">
        <f t="shared" si="1"/>
        <v>0.11501316944688324</v>
      </c>
      <c r="L9" s="525">
        <f t="shared" si="2"/>
        <v>6.25E-2</v>
      </c>
      <c r="M9" s="526">
        <f t="shared" si="3"/>
        <v>1.1286681715575621E-2</v>
      </c>
    </row>
    <row r="10" spans="1:13" x14ac:dyDescent="0.25">
      <c r="A10">
        <v>38</v>
      </c>
      <c r="B10" s="128">
        <v>2231</v>
      </c>
      <c r="C10" s="44">
        <v>516</v>
      </c>
      <c r="D10" s="73">
        <v>719</v>
      </c>
      <c r="E10" s="130">
        <v>301</v>
      </c>
      <c r="F10" s="73">
        <v>107</v>
      </c>
      <c r="G10" s="73">
        <v>47</v>
      </c>
      <c r="H10" s="73">
        <v>30</v>
      </c>
      <c r="I10" s="73">
        <v>19</v>
      </c>
      <c r="J10" s="524">
        <f t="shared" si="0"/>
        <v>4.7960555804571939E-2</v>
      </c>
      <c r="K10" s="525">
        <f t="shared" si="1"/>
        <v>9.1085271317829453E-2</v>
      </c>
      <c r="L10" s="525">
        <f t="shared" si="2"/>
        <v>4.1724617524339362E-2</v>
      </c>
      <c r="M10" s="526">
        <f t="shared" si="3"/>
        <v>6.3122923588039864E-2</v>
      </c>
    </row>
    <row r="11" spans="1:13" x14ac:dyDescent="0.25">
      <c r="A11">
        <v>39</v>
      </c>
      <c r="B11" s="128">
        <v>1652</v>
      </c>
      <c r="C11" s="73">
        <v>74</v>
      </c>
      <c r="D11" s="73">
        <v>751</v>
      </c>
      <c r="E11" s="130">
        <v>295</v>
      </c>
      <c r="F11" s="73">
        <v>74</v>
      </c>
      <c r="G11" s="73">
        <v>2</v>
      </c>
      <c r="H11" s="73">
        <v>37</v>
      </c>
      <c r="I11" s="73">
        <v>23</v>
      </c>
      <c r="J11" s="524">
        <f t="shared" si="0"/>
        <v>4.4794188861985475E-2</v>
      </c>
      <c r="K11" s="525">
        <f t="shared" si="1"/>
        <v>2.7027027027027029E-2</v>
      </c>
      <c r="L11" s="525">
        <f t="shared" si="2"/>
        <v>4.9267643142476697E-2</v>
      </c>
      <c r="M11" s="526">
        <f t="shared" si="3"/>
        <v>7.796610169491526E-2</v>
      </c>
    </row>
    <row r="12" spans="1:13" x14ac:dyDescent="0.25">
      <c r="A12">
        <v>40</v>
      </c>
      <c r="B12" s="128">
        <v>274</v>
      </c>
      <c r="C12" s="73">
        <v>0</v>
      </c>
      <c r="D12" s="73">
        <v>529</v>
      </c>
      <c r="E12" s="130">
        <v>116</v>
      </c>
      <c r="F12" s="73">
        <v>20</v>
      </c>
      <c r="G12" s="73">
        <v>0</v>
      </c>
      <c r="H12" s="73">
        <v>45</v>
      </c>
      <c r="I12" s="73">
        <v>24</v>
      </c>
      <c r="J12" s="524">
        <f t="shared" si="0"/>
        <v>7.2992700729927001E-2</v>
      </c>
      <c r="K12" s="525" t="str">
        <f t="shared" si="1"/>
        <v>na</v>
      </c>
      <c r="L12" s="525">
        <f t="shared" si="2"/>
        <v>8.5066162570888462E-2</v>
      </c>
      <c r="M12" s="526">
        <f t="shared" si="3"/>
        <v>0.20689655172413793</v>
      </c>
    </row>
    <row r="13" spans="1:13" x14ac:dyDescent="0.25">
      <c r="A13">
        <v>41</v>
      </c>
      <c r="B13" s="128">
        <v>296</v>
      </c>
      <c r="C13" s="73">
        <v>2</v>
      </c>
      <c r="D13" s="73">
        <v>1144</v>
      </c>
      <c r="E13" s="130">
        <v>214</v>
      </c>
      <c r="F13" s="73">
        <v>15</v>
      </c>
      <c r="G13" s="73">
        <v>1</v>
      </c>
      <c r="H13" s="73">
        <v>48</v>
      </c>
      <c r="I13" s="73">
        <v>35</v>
      </c>
      <c r="J13" s="524">
        <f t="shared" si="0"/>
        <v>5.0675675675675678E-2</v>
      </c>
      <c r="K13" s="525">
        <f t="shared" si="1"/>
        <v>0.5</v>
      </c>
      <c r="L13" s="525">
        <f t="shared" si="2"/>
        <v>4.195804195804196E-2</v>
      </c>
      <c r="M13" s="526">
        <f t="shared" si="3"/>
        <v>0.16355140186915887</v>
      </c>
    </row>
    <row r="14" spans="1:13" x14ac:dyDescent="0.25">
      <c r="A14">
        <v>42</v>
      </c>
      <c r="B14" s="128">
        <v>148</v>
      </c>
      <c r="C14" s="73">
        <v>205</v>
      </c>
      <c r="D14" s="73">
        <v>273</v>
      </c>
      <c r="E14" s="130">
        <v>5</v>
      </c>
      <c r="F14" s="73">
        <v>15</v>
      </c>
      <c r="G14" s="73">
        <v>8</v>
      </c>
      <c r="H14" s="73">
        <v>8</v>
      </c>
      <c r="I14" s="73">
        <v>1</v>
      </c>
      <c r="J14" s="410">
        <f t="shared" si="0"/>
        <v>0.10135135135135136</v>
      </c>
      <c r="K14" s="402">
        <f t="shared" si="1"/>
        <v>3.9024390243902439E-2</v>
      </c>
      <c r="L14" s="402">
        <f t="shared" si="2"/>
        <v>2.9304029304029304E-2</v>
      </c>
      <c r="M14" s="411">
        <f t="shared" si="3"/>
        <v>0.2</v>
      </c>
    </row>
    <row r="15" spans="1:13" x14ac:dyDescent="0.25">
      <c r="A15">
        <v>43</v>
      </c>
      <c r="B15" s="128">
        <v>0</v>
      </c>
      <c r="C15" s="73">
        <v>7</v>
      </c>
      <c r="D15" s="73"/>
      <c r="E15" s="130"/>
      <c r="F15" s="73"/>
      <c r="G15" s="73">
        <v>1</v>
      </c>
      <c r="H15" s="73"/>
      <c r="I15" s="73"/>
      <c r="J15" s="410" t="str">
        <f t="shared" si="0"/>
        <v>na</v>
      </c>
      <c r="K15" s="402">
        <f t="shared" si="1"/>
        <v>0.14285714285714285</v>
      </c>
      <c r="L15" s="402" t="str">
        <f t="shared" si="2"/>
        <v>na</v>
      </c>
      <c r="M15" s="411" t="str">
        <f t="shared" si="3"/>
        <v>na</v>
      </c>
    </row>
    <row r="16" spans="1:13" x14ac:dyDescent="0.25">
      <c r="A16">
        <v>44</v>
      </c>
      <c r="B16" s="128"/>
      <c r="C16" s="44"/>
      <c r="D16" s="44"/>
      <c r="E16" s="130"/>
      <c r="F16" s="73"/>
      <c r="G16" s="73"/>
      <c r="H16" s="73"/>
      <c r="I16" s="73"/>
      <c r="J16" s="410" t="str">
        <f t="shared" si="0"/>
        <v>na</v>
      </c>
      <c r="K16" s="402" t="str">
        <f t="shared" si="1"/>
        <v>na</v>
      </c>
      <c r="L16" s="402" t="str">
        <f t="shared" si="2"/>
        <v>na</v>
      </c>
      <c r="M16" s="411" t="str">
        <f t="shared" si="3"/>
        <v>na</v>
      </c>
    </row>
    <row r="17" spans="1:17" x14ac:dyDescent="0.25">
      <c r="A17">
        <v>45</v>
      </c>
      <c r="B17" s="274"/>
      <c r="C17" s="42"/>
      <c r="D17" s="42"/>
      <c r="E17" s="134"/>
      <c r="F17" s="73"/>
      <c r="G17" s="73"/>
      <c r="H17" s="73"/>
      <c r="I17" s="73"/>
      <c r="J17" s="412" t="str">
        <f t="shared" si="0"/>
        <v>na</v>
      </c>
      <c r="K17" s="229" t="str">
        <f t="shared" si="1"/>
        <v>na</v>
      </c>
      <c r="L17" s="229" t="str">
        <f t="shared" si="2"/>
        <v>na</v>
      </c>
      <c r="M17" s="413" t="str">
        <f t="shared" si="3"/>
        <v>na</v>
      </c>
    </row>
    <row r="18" spans="1:17" x14ac:dyDescent="0.25">
      <c r="A18" t="s">
        <v>184</v>
      </c>
      <c r="B18" s="274">
        <f t="shared" ref="B18:I18" si="4">SUM(B4:B17)</f>
        <v>10071</v>
      </c>
      <c r="C18" s="42">
        <f t="shared" si="4"/>
        <v>5133</v>
      </c>
      <c r="D18" s="42">
        <f t="shared" si="4"/>
        <v>4748</v>
      </c>
      <c r="E18" s="42">
        <f t="shared" si="4"/>
        <v>1450</v>
      </c>
      <c r="F18" s="329">
        <f t="shared" si="4"/>
        <v>549</v>
      </c>
      <c r="G18" s="195">
        <f t="shared" si="4"/>
        <v>703</v>
      </c>
      <c r="H18" s="195">
        <f t="shared" si="4"/>
        <v>253</v>
      </c>
      <c r="I18" s="403">
        <f t="shared" si="4"/>
        <v>111</v>
      </c>
      <c r="J18" s="527">
        <f>F18/B18</f>
        <v>5.4512957998212687E-2</v>
      </c>
      <c r="K18" s="528">
        <f>G18/C18</f>
        <v>0.13695694525618546</v>
      </c>
      <c r="L18" s="528">
        <f>H18/D18</f>
        <v>5.3285593934288118E-2</v>
      </c>
      <c r="M18" s="529">
        <f>I18/E18</f>
        <v>7.6551724137931029E-2</v>
      </c>
    </row>
    <row r="19" spans="1:17" x14ac:dyDescent="0.25">
      <c r="E19">
        <f>SUM(B18:E18)</f>
        <v>21402</v>
      </c>
      <c r="I19">
        <f>SUM(F18:I18)</f>
        <v>1616</v>
      </c>
      <c r="M19" s="530">
        <f>I19/E19</f>
        <v>7.550696196617139E-2</v>
      </c>
    </row>
    <row r="21" spans="1:17" ht="13" x14ac:dyDescent="0.3">
      <c r="B21" s="2" t="s">
        <v>123</v>
      </c>
    </row>
    <row r="22" spans="1:17" x14ac:dyDescent="0.25">
      <c r="B22" s="900" t="s">
        <v>268</v>
      </c>
      <c r="C22" s="901"/>
      <c r="D22" s="901"/>
      <c r="E22" s="901"/>
      <c r="F22" s="902"/>
      <c r="G22" s="900" t="s">
        <v>269</v>
      </c>
      <c r="H22" s="901"/>
      <c r="I22" s="901"/>
      <c r="J22" s="901"/>
      <c r="K22" s="902"/>
      <c r="L22" s="900" t="s">
        <v>56</v>
      </c>
      <c r="M22" s="901"/>
      <c r="N22" s="901"/>
      <c r="O22" s="901"/>
      <c r="P22" s="902"/>
      <c r="Q22" s="417"/>
    </row>
    <row r="23" spans="1:17" x14ac:dyDescent="0.25">
      <c r="A23" t="s">
        <v>134</v>
      </c>
      <c r="B23" s="274">
        <v>1</v>
      </c>
      <c r="C23" s="42">
        <v>2</v>
      </c>
      <c r="D23" s="42">
        <v>3</v>
      </c>
      <c r="E23" s="42">
        <v>4</v>
      </c>
      <c r="F23" s="134">
        <v>5</v>
      </c>
      <c r="G23" s="274">
        <v>1</v>
      </c>
      <c r="H23" s="42">
        <v>2</v>
      </c>
      <c r="I23" s="42">
        <v>3</v>
      </c>
      <c r="J23" s="42">
        <v>4</v>
      </c>
      <c r="K23" s="134">
        <v>5</v>
      </c>
      <c r="L23" s="274">
        <v>1</v>
      </c>
      <c r="M23" s="42">
        <v>2</v>
      </c>
      <c r="N23" s="42">
        <v>3</v>
      </c>
      <c r="O23" s="42">
        <v>4</v>
      </c>
      <c r="P23" s="134">
        <v>5</v>
      </c>
      <c r="Q23" s="44"/>
    </row>
    <row r="24" spans="1:17" x14ac:dyDescent="0.25">
      <c r="A24">
        <v>32</v>
      </c>
      <c r="B24" s="128">
        <v>49</v>
      </c>
      <c r="C24" s="44">
        <v>1</v>
      </c>
      <c r="D24" s="73"/>
      <c r="E24" s="73"/>
      <c r="F24" s="130"/>
      <c r="G24" s="276">
        <v>23</v>
      </c>
      <c r="H24" s="401"/>
      <c r="I24" s="401"/>
      <c r="J24" s="401"/>
      <c r="K24" s="277"/>
      <c r="L24" s="521">
        <f t="shared" ref="L24:L37" si="5">IF(B24&gt;0,G24/B24,"na")</f>
        <v>0.46938775510204084</v>
      </c>
      <c r="M24" s="522">
        <f t="shared" ref="M24:M37" si="6">IF(C24&gt;0,H24/C24,"na")</f>
        <v>0</v>
      </c>
      <c r="N24" s="522" t="str">
        <f t="shared" ref="N24:N37" si="7">IF(D24&gt;0,I24/D24,"na")</f>
        <v>na</v>
      </c>
      <c r="O24" s="522" t="str">
        <f t="shared" ref="O24:O37" si="8">IF(E24&gt;0,J24/E24,"na")</f>
        <v>na</v>
      </c>
      <c r="P24" s="523" t="str">
        <f t="shared" ref="P24:P37" si="9">IF(F24&gt;0,K24/F24,"na")</f>
        <v>na</v>
      </c>
      <c r="Q24" s="525"/>
    </row>
    <row r="25" spans="1:17" x14ac:dyDescent="0.25">
      <c r="A25">
        <v>33</v>
      </c>
      <c r="B25" s="128"/>
      <c r="C25" s="44">
        <v>10</v>
      </c>
      <c r="D25" s="546"/>
      <c r="E25" s="546"/>
      <c r="F25" s="130">
        <v>0</v>
      </c>
      <c r="G25" s="128"/>
      <c r="H25" s="73">
        <v>6</v>
      </c>
      <c r="I25" s="73"/>
      <c r="J25" s="73"/>
      <c r="K25" s="130"/>
      <c r="L25" s="524" t="str">
        <f t="shared" si="5"/>
        <v>na</v>
      </c>
      <c r="M25" s="525">
        <f t="shared" si="6"/>
        <v>0.6</v>
      </c>
      <c r="N25" s="525" t="str">
        <f t="shared" si="7"/>
        <v>na</v>
      </c>
      <c r="O25" s="525" t="str">
        <f t="shared" si="8"/>
        <v>na</v>
      </c>
      <c r="P25" s="526" t="str">
        <f t="shared" si="9"/>
        <v>na</v>
      </c>
      <c r="Q25" s="525"/>
    </row>
    <row r="26" spans="1:17" x14ac:dyDescent="0.25">
      <c r="A26">
        <v>34</v>
      </c>
      <c r="B26" s="128"/>
      <c r="C26" s="73"/>
      <c r="D26" s="546"/>
      <c r="E26" s="73">
        <v>113</v>
      </c>
      <c r="F26" s="130">
        <v>65</v>
      </c>
      <c r="G26" s="128"/>
      <c r="H26" s="73"/>
      <c r="I26" s="73"/>
      <c r="J26" s="73">
        <v>88</v>
      </c>
      <c r="K26" s="130">
        <v>50</v>
      </c>
      <c r="L26" s="524" t="str">
        <f t="shared" si="5"/>
        <v>na</v>
      </c>
      <c r="M26" s="525" t="str">
        <f t="shared" si="6"/>
        <v>na</v>
      </c>
      <c r="N26" s="525" t="str">
        <f t="shared" si="7"/>
        <v>na</v>
      </c>
      <c r="O26" s="525">
        <f t="shared" si="8"/>
        <v>0.77876106194690264</v>
      </c>
      <c r="P26" s="526">
        <f t="shared" si="9"/>
        <v>0.76923076923076927</v>
      </c>
      <c r="Q26" s="525"/>
    </row>
    <row r="27" spans="1:17" x14ac:dyDescent="0.25">
      <c r="A27">
        <v>35</v>
      </c>
      <c r="B27" s="128"/>
      <c r="C27" s="73"/>
      <c r="D27" s="73"/>
      <c r="E27" s="73"/>
      <c r="F27" s="130">
        <v>90</v>
      </c>
      <c r="G27" s="128"/>
      <c r="H27" s="73"/>
      <c r="I27" s="73"/>
      <c r="J27" s="73"/>
      <c r="K27" s="130">
        <v>64</v>
      </c>
      <c r="L27" s="524" t="str">
        <f t="shared" si="5"/>
        <v>na</v>
      </c>
      <c r="M27" s="525" t="str">
        <f t="shared" si="6"/>
        <v>na</v>
      </c>
      <c r="N27" s="525" t="str">
        <f t="shared" si="7"/>
        <v>na</v>
      </c>
      <c r="O27" s="525" t="str">
        <f t="shared" si="8"/>
        <v>na</v>
      </c>
      <c r="P27" s="526">
        <f t="shared" si="9"/>
        <v>0.71111111111111114</v>
      </c>
      <c r="Q27" s="525"/>
    </row>
    <row r="28" spans="1:17" x14ac:dyDescent="0.25">
      <c r="A28">
        <v>36</v>
      </c>
      <c r="B28" s="128"/>
      <c r="C28" s="44"/>
      <c r="D28" s="44"/>
      <c r="E28" s="44"/>
      <c r="F28" s="130"/>
      <c r="G28" s="128"/>
      <c r="H28" s="44"/>
      <c r="I28" s="44"/>
      <c r="J28" s="44"/>
      <c r="K28" s="130"/>
      <c r="L28" s="524" t="str">
        <f t="shared" si="5"/>
        <v>na</v>
      </c>
      <c r="M28" s="525" t="str">
        <f t="shared" si="6"/>
        <v>na</v>
      </c>
      <c r="N28" s="525" t="str">
        <f t="shared" si="7"/>
        <v>na</v>
      </c>
      <c r="O28" s="525" t="str">
        <f t="shared" si="8"/>
        <v>na</v>
      </c>
      <c r="P28" s="526" t="str">
        <f t="shared" si="9"/>
        <v>na</v>
      </c>
      <c r="Q28" s="525"/>
    </row>
    <row r="29" spans="1:17" x14ac:dyDescent="0.25">
      <c r="A29">
        <v>37</v>
      </c>
      <c r="B29" s="128"/>
      <c r="C29" s="44"/>
      <c r="D29" s="44"/>
      <c r="E29" s="44"/>
      <c r="F29" s="130"/>
      <c r="G29" s="128"/>
      <c r="H29" s="44"/>
      <c r="I29" s="44"/>
      <c r="J29" s="44"/>
      <c r="K29" s="130"/>
      <c r="L29" s="524" t="str">
        <f t="shared" si="5"/>
        <v>na</v>
      </c>
      <c r="M29" s="525" t="str">
        <f t="shared" si="6"/>
        <v>na</v>
      </c>
      <c r="N29" s="525" t="str">
        <f t="shared" si="7"/>
        <v>na</v>
      </c>
      <c r="O29" s="525" t="str">
        <f t="shared" si="8"/>
        <v>na</v>
      </c>
      <c r="P29" s="526" t="str">
        <f t="shared" si="9"/>
        <v>na</v>
      </c>
      <c r="Q29" s="525"/>
    </row>
    <row r="30" spans="1:17" x14ac:dyDescent="0.25">
      <c r="A30">
        <v>38</v>
      </c>
      <c r="B30" s="128"/>
      <c r="C30" s="44"/>
      <c r="D30" s="44"/>
      <c r="E30" s="44"/>
      <c r="F30" s="130"/>
      <c r="G30" s="128"/>
      <c r="H30" s="44"/>
      <c r="I30" s="44"/>
      <c r="J30" s="44"/>
      <c r="K30" s="130"/>
      <c r="L30" s="524" t="str">
        <f t="shared" si="5"/>
        <v>na</v>
      </c>
      <c r="M30" s="525" t="str">
        <f t="shared" si="6"/>
        <v>na</v>
      </c>
      <c r="N30" s="525" t="str">
        <f t="shared" si="7"/>
        <v>na</v>
      </c>
      <c r="O30" s="525" t="str">
        <f t="shared" si="8"/>
        <v>na</v>
      </c>
      <c r="P30" s="526" t="str">
        <f t="shared" si="9"/>
        <v>na</v>
      </c>
      <c r="Q30" s="525"/>
    </row>
    <row r="31" spans="1:17" x14ac:dyDescent="0.25">
      <c r="A31">
        <v>39</v>
      </c>
      <c r="B31" s="128"/>
      <c r="C31" s="44"/>
      <c r="D31" s="44"/>
      <c r="E31" s="73">
        <v>35</v>
      </c>
      <c r="F31" s="130">
        <v>148</v>
      </c>
      <c r="G31" s="128"/>
      <c r="H31" s="73"/>
      <c r="I31" s="73"/>
      <c r="J31" s="73">
        <v>10</v>
      </c>
      <c r="K31" s="130">
        <v>69</v>
      </c>
      <c r="L31" s="524" t="str">
        <f t="shared" si="5"/>
        <v>na</v>
      </c>
      <c r="M31" s="525" t="str">
        <f t="shared" si="6"/>
        <v>na</v>
      </c>
      <c r="N31" s="525" t="str">
        <f t="shared" si="7"/>
        <v>na</v>
      </c>
      <c r="O31" s="525">
        <f t="shared" si="8"/>
        <v>0.2857142857142857</v>
      </c>
      <c r="P31" s="526">
        <f t="shared" si="9"/>
        <v>0.46621621621621623</v>
      </c>
      <c r="Q31" s="525"/>
    </row>
    <row r="32" spans="1:17" x14ac:dyDescent="0.25">
      <c r="A32">
        <v>40</v>
      </c>
      <c r="B32" s="128">
        <v>1093</v>
      </c>
      <c r="C32" s="44">
        <v>9003</v>
      </c>
      <c r="D32" s="546"/>
      <c r="E32" s="546"/>
      <c r="F32" s="130">
        <v>92</v>
      </c>
      <c r="G32" s="44">
        <v>432</v>
      </c>
      <c r="H32" s="44">
        <v>2816</v>
      </c>
      <c r="I32" s="44"/>
      <c r="J32" s="44"/>
      <c r="K32" s="44">
        <v>55</v>
      </c>
      <c r="L32" s="524">
        <f t="shared" si="5"/>
        <v>0.39524245196706315</v>
      </c>
      <c r="M32" s="525">
        <f t="shared" si="6"/>
        <v>0.31278462734644008</v>
      </c>
      <c r="N32" s="525" t="str">
        <f t="shared" si="7"/>
        <v>na</v>
      </c>
      <c r="O32" s="525" t="str">
        <f t="shared" si="8"/>
        <v>na</v>
      </c>
      <c r="P32" s="526">
        <f t="shared" si="9"/>
        <v>0.59782608695652173</v>
      </c>
      <c r="Q32" s="525"/>
    </row>
    <row r="33" spans="1:17" x14ac:dyDescent="0.25">
      <c r="A33">
        <v>41</v>
      </c>
      <c r="B33" s="128"/>
      <c r="C33" s="44">
        <v>77</v>
      </c>
      <c r="D33" s="73"/>
      <c r="E33" s="73">
        <v>116</v>
      </c>
      <c r="F33" s="130">
        <v>63</v>
      </c>
      <c r="G33" s="73"/>
      <c r="H33" s="73">
        <v>40</v>
      </c>
      <c r="I33" s="73"/>
      <c r="J33" s="73">
        <v>48</v>
      </c>
      <c r="K33" s="44">
        <v>44</v>
      </c>
      <c r="L33" s="524" t="str">
        <f t="shared" si="5"/>
        <v>na</v>
      </c>
      <c r="M33" s="525">
        <f t="shared" si="6"/>
        <v>0.51948051948051943</v>
      </c>
      <c r="N33" s="525" t="str">
        <f t="shared" si="7"/>
        <v>na</v>
      </c>
      <c r="O33" s="525">
        <f t="shared" si="8"/>
        <v>0.41379310344827586</v>
      </c>
      <c r="P33" s="526">
        <f t="shared" si="9"/>
        <v>0.69841269841269837</v>
      </c>
      <c r="Q33" s="525"/>
    </row>
    <row r="34" spans="1:17" x14ac:dyDescent="0.25">
      <c r="A34">
        <v>42</v>
      </c>
      <c r="B34" s="128"/>
      <c r="C34" s="44"/>
      <c r="D34" s="44"/>
      <c r="E34" s="73"/>
      <c r="F34" s="130">
        <v>81</v>
      </c>
      <c r="G34" s="44"/>
      <c r="H34" s="44"/>
      <c r="I34" s="44"/>
      <c r="J34" s="44"/>
      <c r="K34" s="73">
        <v>30</v>
      </c>
      <c r="L34" s="410" t="str">
        <f t="shared" si="5"/>
        <v>na</v>
      </c>
      <c r="M34" s="402" t="str">
        <f t="shared" si="6"/>
        <v>na</v>
      </c>
      <c r="N34" s="402" t="str">
        <f t="shared" si="7"/>
        <v>na</v>
      </c>
      <c r="O34" s="402" t="str">
        <f t="shared" si="8"/>
        <v>na</v>
      </c>
      <c r="P34" s="411">
        <f t="shared" si="9"/>
        <v>0.37037037037037035</v>
      </c>
      <c r="Q34" s="402"/>
    </row>
    <row r="35" spans="1:17" x14ac:dyDescent="0.25">
      <c r="A35">
        <v>43</v>
      </c>
      <c r="B35" s="128"/>
      <c r="C35" s="44">
        <v>300</v>
      </c>
      <c r="D35" s="73">
        <v>742</v>
      </c>
      <c r="E35" s="73">
        <v>13</v>
      </c>
      <c r="F35" s="130">
        <v>63</v>
      </c>
      <c r="G35" s="44"/>
      <c r="H35" s="73">
        <v>59</v>
      </c>
      <c r="I35" s="73">
        <v>179</v>
      </c>
      <c r="J35" s="73">
        <v>1</v>
      </c>
      <c r="K35" s="73">
        <v>36</v>
      </c>
      <c r="L35" s="410" t="str">
        <f t="shared" si="5"/>
        <v>na</v>
      </c>
      <c r="M35" s="402">
        <f t="shared" si="6"/>
        <v>0.19666666666666666</v>
      </c>
      <c r="N35" s="402">
        <f t="shared" si="7"/>
        <v>0.24123989218328842</v>
      </c>
      <c r="O35" s="402">
        <f t="shared" si="8"/>
        <v>7.6923076923076927E-2</v>
      </c>
      <c r="P35" s="411">
        <f t="shared" si="9"/>
        <v>0.5714285714285714</v>
      </c>
      <c r="Q35" s="402"/>
    </row>
    <row r="36" spans="1:17" x14ac:dyDescent="0.25">
      <c r="A36">
        <v>44</v>
      </c>
      <c r="B36" s="128"/>
      <c r="C36" s="73">
        <v>143</v>
      </c>
      <c r="D36" s="44">
        <v>283</v>
      </c>
      <c r="E36" s="44"/>
      <c r="F36" s="130"/>
      <c r="G36" s="44"/>
      <c r="H36" s="73">
        <v>46</v>
      </c>
      <c r="I36" s="44">
        <v>84</v>
      </c>
      <c r="J36" s="44"/>
      <c r="K36" s="44"/>
      <c r="L36" s="410" t="str">
        <f t="shared" si="5"/>
        <v>na</v>
      </c>
      <c r="M36" s="402">
        <f t="shared" si="6"/>
        <v>0.32167832167832167</v>
      </c>
      <c r="N36" s="402">
        <f t="shared" si="7"/>
        <v>0.29681978798586572</v>
      </c>
      <c r="O36" s="402" t="str">
        <f t="shared" si="8"/>
        <v>na</v>
      </c>
      <c r="P36" s="411" t="str">
        <f t="shared" si="9"/>
        <v>na</v>
      </c>
      <c r="Q36" s="402"/>
    </row>
    <row r="37" spans="1:17" x14ac:dyDescent="0.25">
      <c r="A37">
        <v>45</v>
      </c>
      <c r="B37" s="128"/>
      <c r="C37" s="44"/>
      <c r="D37" s="44"/>
      <c r="E37" s="44"/>
      <c r="F37" s="130"/>
      <c r="G37" s="44"/>
      <c r="H37" s="44"/>
      <c r="I37" s="44"/>
      <c r="J37" s="44"/>
      <c r="K37" s="44"/>
      <c r="L37" s="410" t="str">
        <f t="shared" si="5"/>
        <v>na</v>
      </c>
      <c r="M37" s="402" t="str">
        <f t="shared" si="6"/>
        <v>na</v>
      </c>
      <c r="N37" s="402" t="str">
        <f t="shared" si="7"/>
        <v>na</v>
      </c>
      <c r="O37" s="402" t="str">
        <f t="shared" si="8"/>
        <v>na</v>
      </c>
      <c r="P37" s="411" t="str">
        <f t="shared" si="9"/>
        <v>na</v>
      </c>
      <c r="Q37" s="402"/>
    </row>
    <row r="38" spans="1:17" x14ac:dyDescent="0.25">
      <c r="A38" t="s">
        <v>184</v>
      </c>
      <c r="B38" s="329">
        <f t="shared" ref="B38:K38" si="10">SUM(B24:B37)</f>
        <v>1142</v>
      </c>
      <c r="C38" s="195">
        <f t="shared" si="10"/>
        <v>9534</v>
      </c>
      <c r="D38" s="195">
        <f t="shared" si="10"/>
        <v>1025</v>
      </c>
      <c r="E38" s="195">
        <f t="shared" si="10"/>
        <v>277</v>
      </c>
      <c r="F38" s="330">
        <f t="shared" si="10"/>
        <v>602</v>
      </c>
      <c r="G38" s="329">
        <f t="shared" si="10"/>
        <v>455</v>
      </c>
      <c r="H38" s="195">
        <f t="shared" si="10"/>
        <v>2967</v>
      </c>
      <c r="I38" s="195">
        <f t="shared" si="10"/>
        <v>263</v>
      </c>
      <c r="J38" s="195">
        <f t="shared" si="10"/>
        <v>147</v>
      </c>
      <c r="K38" s="404">
        <f t="shared" si="10"/>
        <v>348</v>
      </c>
      <c r="L38" s="446">
        <f>G38/B38</f>
        <v>0.39842381786339753</v>
      </c>
      <c r="M38" s="528">
        <f>H38/C38</f>
        <v>0.31120201384518564</v>
      </c>
      <c r="N38" s="528">
        <f>I38/D38</f>
        <v>0.25658536585365854</v>
      </c>
      <c r="O38" s="528">
        <f>J38/E38</f>
        <v>0.53068592057761732</v>
      </c>
      <c r="P38" s="529">
        <f>K38/F38</f>
        <v>0.57807308970099669</v>
      </c>
      <c r="Q38" s="525"/>
    </row>
    <row r="39" spans="1:17" x14ac:dyDescent="0.25">
      <c r="B39" s="44"/>
      <c r="C39" s="44"/>
      <c r="D39" s="44"/>
      <c r="E39" s="44"/>
      <c r="F39" s="44">
        <f>SUM(B38:F38)</f>
        <v>12580</v>
      </c>
      <c r="G39" s="44"/>
      <c r="H39" s="44"/>
      <c r="I39" s="44"/>
      <c r="J39" s="44"/>
      <c r="K39" s="44">
        <f>SUM(G38:K38)</f>
        <v>4180</v>
      </c>
      <c r="L39" s="44"/>
      <c r="M39" s="44"/>
      <c r="N39" s="44"/>
      <c r="O39" s="44"/>
      <c r="P39" s="531">
        <f>K39/F39</f>
        <v>0.33227344992050872</v>
      </c>
      <c r="Q39" s="531"/>
    </row>
  </sheetData>
  <mergeCells count="6">
    <mergeCell ref="B2:E2"/>
    <mergeCell ref="F2:I2"/>
    <mergeCell ref="J2:M2"/>
    <mergeCell ref="B22:F22"/>
    <mergeCell ref="G22:K22"/>
    <mergeCell ref="L22:P22"/>
  </mergeCells>
  <phoneticPr fontId="4" type="noConversion"/>
  <pageMargins left="0.75" right="0.75" top="1" bottom="1" header="0.5" footer="0.5"/>
  <headerFooter alignWithMargins="0"/>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A2:Y76"/>
  <sheetViews>
    <sheetView topLeftCell="A34" workbookViewId="0">
      <pane xSplit="1" topLeftCell="B1" activePane="topRight" state="frozen"/>
      <selection activeCell="I30" sqref="I30"/>
      <selection pane="topRight" activeCell="I30" sqref="I30"/>
    </sheetView>
  </sheetViews>
  <sheetFormatPr defaultRowHeight="13" x14ac:dyDescent="0.3"/>
  <cols>
    <col min="1" max="1" width="11.7265625" style="2" bestFit="1" customWidth="1"/>
    <col min="2" max="2" width="11.54296875" style="27" bestFit="1" customWidth="1"/>
    <col min="3" max="3" width="11.81640625" style="27" bestFit="1" customWidth="1"/>
    <col min="4" max="4" width="12.26953125" style="27" bestFit="1" customWidth="1"/>
    <col min="5" max="5" width="7.54296875" style="27" bestFit="1" customWidth="1"/>
    <col min="6" max="6" width="12.7265625" style="27" bestFit="1" customWidth="1"/>
    <col min="7" max="7" width="10.26953125" style="27" bestFit="1" customWidth="1"/>
    <col min="8" max="8" width="8.1796875" style="27" bestFit="1" customWidth="1"/>
    <col min="9" max="9" width="8.26953125" style="27" bestFit="1" customWidth="1"/>
    <col min="10" max="10" width="11.54296875" style="27" bestFit="1" customWidth="1"/>
    <col min="11" max="11" width="11.453125" style="27" bestFit="1" customWidth="1"/>
    <col min="12" max="12" width="8.26953125" style="27" bestFit="1" customWidth="1"/>
    <col min="13" max="13" width="7.54296875" style="27" bestFit="1" customWidth="1"/>
    <col min="14" max="14" width="11.54296875" style="27" bestFit="1" customWidth="1"/>
    <col min="15" max="15" width="10.26953125" style="27" bestFit="1" customWidth="1"/>
    <col min="16" max="16" width="8.1796875" style="27" bestFit="1" customWidth="1"/>
    <col min="17" max="17" width="8.26953125" style="27" bestFit="1" customWidth="1"/>
    <col min="18" max="21" width="4.7265625" style="27" customWidth="1"/>
    <col min="22" max="22" width="7.7265625" style="27" bestFit="1" customWidth="1"/>
    <col min="23" max="23" width="6" bestFit="1" customWidth="1"/>
    <col min="24" max="24" width="7" bestFit="1" customWidth="1"/>
  </cols>
  <sheetData>
    <row r="2" spans="1:22" x14ac:dyDescent="0.3">
      <c r="B2" s="2" t="s">
        <v>258</v>
      </c>
    </row>
    <row r="3" spans="1:22" x14ac:dyDescent="0.3">
      <c r="B3" s="947" t="s">
        <v>208</v>
      </c>
      <c r="C3" s="948"/>
      <c r="D3" s="948"/>
      <c r="E3" s="949"/>
      <c r="F3" s="947" t="s">
        <v>264</v>
      </c>
      <c r="G3" s="948"/>
      <c r="H3" s="948"/>
      <c r="I3" s="949"/>
      <c r="J3" s="947" t="s">
        <v>261</v>
      </c>
      <c r="K3" s="948"/>
      <c r="L3" s="948"/>
      <c r="M3" s="949"/>
      <c r="N3" s="947" t="s">
        <v>262</v>
      </c>
      <c r="O3" s="948"/>
      <c r="P3" s="948"/>
      <c r="Q3" s="949"/>
      <c r="R3" s="164"/>
      <c r="S3" s="164"/>
      <c r="T3" s="164"/>
      <c r="U3" s="164"/>
      <c r="V3" s="164"/>
    </row>
    <row r="4" spans="1:22" x14ac:dyDescent="0.3">
      <c r="A4" s="2" t="s">
        <v>134</v>
      </c>
      <c r="B4" s="419" t="s">
        <v>31</v>
      </c>
      <c r="C4" s="41" t="s">
        <v>62</v>
      </c>
      <c r="D4" s="41" t="s">
        <v>260</v>
      </c>
      <c r="E4" s="420" t="s">
        <v>203</v>
      </c>
      <c r="F4" s="419" t="s">
        <v>31</v>
      </c>
      <c r="G4" s="41" t="s">
        <v>62</v>
      </c>
      <c r="H4" s="41" t="s">
        <v>260</v>
      </c>
      <c r="I4" s="420" t="s">
        <v>203</v>
      </c>
      <c r="J4" s="422" t="s">
        <v>31</v>
      </c>
      <c r="K4" s="46" t="s">
        <v>62</v>
      </c>
      <c r="L4" s="46" t="s">
        <v>260</v>
      </c>
      <c r="M4" s="135" t="s">
        <v>203</v>
      </c>
      <c r="N4" s="422" t="s">
        <v>31</v>
      </c>
      <c r="O4" s="46" t="s">
        <v>62</v>
      </c>
      <c r="P4" s="46" t="s">
        <v>260</v>
      </c>
      <c r="Q4" s="135" t="s">
        <v>203</v>
      </c>
      <c r="R4" s="46"/>
      <c r="S4" s="46"/>
      <c r="T4" s="46"/>
      <c r="U4" s="46"/>
      <c r="V4" s="46"/>
    </row>
    <row r="5" spans="1:22" x14ac:dyDescent="0.3">
      <c r="A5" s="2">
        <v>32</v>
      </c>
      <c r="B5" s="426">
        <v>0</v>
      </c>
      <c r="C5" s="427"/>
      <c r="D5" s="427"/>
      <c r="E5" s="437"/>
      <c r="F5" s="452" t="str">
        <f>'2009 comm sample'!J4</f>
        <v>na</v>
      </c>
      <c r="G5" s="427" t="str">
        <f>'2009 comm sample'!K4</f>
        <v>na</v>
      </c>
      <c r="H5" s="427" t="str">
        <f>'2009 comm sample'!L4</f>
        <v>na</v>
      </c>
      <c r="I5" s="427" t="str">
        <f>'2009 comm sample'!M4</f>
        <v>na</v>
      </c>
      <c r="J5" s="429" t="str">
        <f>IF(B5&gt;0,'2009 comm sample'!B4/'2009 Comm catch'!B5,"na")</f>
        <v>na</v>
      </c>
      <c r="K5" s="430" t="str">
        <f>IF(C5&gt;0,'2009 comm sample'!C4/'2009 Comm catch'!C5,"na")</f>
        <v>na</v>
      </c>
      <c r="L5" s="430" t="str">
        <f>IF(D5&gt;0,'2009 comm sample'!D4/'2009 Comm catch'!D5,"na")</f>
        <v>na</v>
      </c>
      <c r="M5" s="430" t="str">
        <f>IF(E5&gt;0,'2009 comm sample'!E4/'2009 Comm catch'!E5,"na")</f>
        <v>na</v>
      </c>
      <c r="N5" s="439" t="str">
        <f t="shared" ref="N5:N18" si="0">IF(F5&lt;&gt;"na",B5*F5,"na")</f>
        <v>na</v>
      </c>
      <c r="O5" s="440" t="str">
        <f t="shared" ref="O5:O18" si="1">IF(G5&lt;&gt;"na",C5*G5,"na")</f>
        <v>na</v>
      </c>
      <c r="P5" s="440" t="str">
        <f t="shared" ref="P5:P18" si="2">IF(H5&lt;&gt;"na",D5*H5,"na")</f>
        <v>na</v>
      </c>
      <c r="Q5" s="441" t="str">
        <f t="shared" ref="Q5:Q18" si="3">IF(I5&lt;&gt;"na",E5*I5,"na")</f>
        <v>na</v>
      </c>
      <c r="R5" s="443"/>
      <c r="S5" s="443"/>
      <c r="T5" s="443"/>
      <c r="U5" s="443"/>
      <c r="V5" s="443"/>
    </row>
    <row r="6" spans="1:22" x14ac:dyDescent="0.3">
      <c r="A6" s="2">
        <v>33</v>
      </c>
      <c r="B6" s="426">
        <v>2</v>
      </c>
      <c r="C6" s="427"/>
      <c r="D6" s="427"/>
      <c r="E6" s="437"/>
      <c r="F6" s="426">
        <f>'2009 comm sample'!J5</f>
        <v>1</v>
      </c>
      <c r="G6" s="427" t="str">
        <f>'2009 comm sample'!K5</f>
        <v>na</v>
      </c>
      <c r="H6" s="427" t="str">
        <f>'2009 comm sample'!L5</f>
        <v>na</v>
      </c>
      <c r="I6" s="427" t="str">
        <f>'2009 comm sample'!M5</f>
        <v>na</v>
      </c>
      <c r="J6" s="431">
        <f>IF(B6&gt;0,'2009 comm sample'!B5/'2009 Comm catch'!B6,"na")</f>
        <v>0.5</v>
      </c>
      <c r="K6" s="432" t="str">
        <f>IF(C6&gt;0,'2009 comm sample'!C5/'2009 Comm catch'!C6,"na")</f>
        <v>na</v>
      </c>
      <c r="L6" s="432" t="str">
        <f>IF(D6&gt;0,'2009 comm sample'!D5/'2009 Comm catch'!D6,"na")</f>
        <v>na</v>
      </c>
      <c r="M6" s="432" t="str">
        <f>IF(E6&gt;0,'2009 comm sample'!E5/'2009 Comm catch'!E6,"na")</f>
        <v>na</v>
      </c>
      <c r="N6" s="442">
        <f t="shared" si="0"/>
        <v>2</v>
      </c>
      <c r="O6" s="443" t="str">
        <f t="shared" si="1"/>
        <v>na</v>
      </c>
      <c r="P6" s="443" t="str">
        <f t="shared" si="2"/>
        <v>na</v>
      </c>
      <c r="Q6" s="444" t="str">
        <f t="shared" si="3"/>
        <v>na</v>
      </c>
      <c r="R6" s="443"/>
      <c r="S6" s="443"/>
      <c r="T6" s="443"/>
      <c r="U6" s="443"/>
      <c r="V6" s="443"/>
    </row>
    <row r="7" spans="1:22" x14ac:dyDescent="0.3">
      <c r="A7" s="2">
        <v>34</v>
      </c>
      <c r="B7" s="426">
        <v>212</v>
      </c>
      <c r="C7" s="427"/>
      <c r="D7" s="427"/>
      <c r="E7" s="437"/>
      <c r="F7" s="452">
        <f>'2009 comm sample'!J6</f>
        <v>5.6603773584905662E-2</v>
      </c>
      <c r="G7" s="427" t="str">
        <f>'2009 comm sample'!K6</f>
        <v>na</v>
      </c>
      <c r="H7" s="427" t="str">
        <f>'2009 comm sample'!L6</f>
        <v>na</v>
      </c>
      <c r="I7" s="427" t="str">
        <f>'2009 comm sample'!M6</f>
        <v>na</v>
      </c>
      <c r="J7" s="431">
        <f>IF(B7&gt;0,'2009 comm sample'!B6/'2009 Comm catch'!B7,"na")</f>
        <v>0.25</v>
      </c>
      <c r="K7" s="432" t="str">
        <f>IF(C7&gt;0,'2009 comm sample'!C6/'2009 Comm catch'!C7,"na")</f>
        <v>na</v>
      </c>
      <c r="L7" s="432" t="str">
        <f>IF(D7&gt;0,'2009 comm sample'!D6/'2009 Comm catch'!D7,"na")</f>
        <v>na</v>
      </c>
      <c r="M7" s="432" t="str">
        <f>IF(E7&gt;0,'2009 comm sample'!E6/'2009 Comm catch'!E7,"na")</f>
        <v>na</v>
      </c>
      <c r="N7" s="442">
        <f t="shared" si="0"/>
        <v>12</v>
      </c>
      <c r="O7" s="443" t="str">
        <f t="shared" si="1"/>
        <v>na</v>
      </c>
      <c r="P7" s="443" t="str">
        <f t="shared" si="2"/>
        <v>na</v>
      </c>
      <c r="Q7" s="444" t="str">
        <f t="shared" si="3"/>
        <v>na</v>
      </c>
      <c r="R7" s="443"/>
      <c r="S7" s="443"/>
      <c r="T7" s="443"/>
      <c r="U7" s="443"/>
      <c r="V7" s="443"/>
    </row>
    <row r="8" spans="1:22" x14ac:dyDescent="0.3">
      <c r="A8" s="2">
        <v>35</v>
      </c>
      <c r="B8" s="426">
        <v>1614</v>
      </c>
      <c r="C8" s="427"/>
      <c r="D8" s="427">
        <v>18</v>
      </c>
      <c r="E8" s="437"/>
      <c r="F8" s="452">
        <f>'2009 comm sample'!J7</f>
        <v>6.591143151390319E-2</v>
      </c>
      <c r="G8" s="427" t="str">
        <f>'2009 comm sample'!K7</f>
        <v>na</v>
      </c>
      <c r="H8" s="427">
        <f>'2009 comm sample'!L7</f>
        <v>0</v>
      </c>
      <c r="I8" s="427" t="str">
        <f>'2009 comm sample'!M7</f>
        <v>na</v>
      </c>
      <c r="J8" s="431">
        <f>IF(B8&gt;0,'2009 comm sample'!B7/'2009 Comm catch'!B8,"na")</f>
        <v>0.60161090458488231</v>
      </c>
      <c r="K8" s="432" t="str">
        <f>IF(C8&gt;0,'2009 comm sample'!C7/'2009 Comm catch'!C8,"na")</f>
        <v>na</v>
      </c>
      <c r="L8" s="432">
        <f>IF(D8&gt;0,'2009 comm sample'!D7/'2009 Comm catch'!D8,"na")</f>
        <v>0.88888888888888884</v>
      </c>
      <c r="M8" s="432" t="str">
        <f>IF(E8&gt;0,'2009 comm sample'!E7/'2009 Comm catch'!E8,"na")</f>
        <v>na</v>
      </c>
      <c r="N8" s="442">
        <f t="shared" si="0"/>
        <v>106.38105046343975</v>
      </c>
      <c r="O8" s="443" t="str">
        <f t="shared" si="1"/>
        <v>na</v>
      </c>
      <c r="P8" s="443">
        <f t="shared" si="2"/>
        <v>0</v>
      </c>
      <c r="Q8" s="444" t="str">
        <f t="shared" si="3"/>
        <v>na</v>
      </c>
      <c r="R8" s="443"/>
      <c r="S8" s="443"/>
      <c r="T8" s="443"/>
      <c r="U8" s="443"/>
      <c r="V8" s="443"/>
    </row>
    <row r="9" spans="1:22" x14ac:dyDescent="0.3">
      <c r="A9" s="2">
        <v>36</v>
      </c>
      <c r="B9" s="426">
        <v>24882</v>
      </c>
      <c r="C9" s="427">
        <v>12046</v>
      </c>
      <c r="D9" s="427">
        <v>899</v>
      </c>
      <c r="E9" s="437">
        <v>257</v>
      </c>
      <c r="F9" s="452">
        <f>'2009 comm sample'!J8</f>
        <v>4.9747048903878585E-2</v>
      </c>
      <c r="G9" s="453">
        <f>'2009 comm sample'!K8</f>
        <v>0.16081504702194357</v>
      </c>
      <c r="H9" s="453">
        <f>'2009 comm sample'!L8</f>
        <v>6.9047619047619052E-2</v>
      </c>
      <c r="I9" s="453">
        <f>'2009 comm sample'!M8</f>
        <v>5.2631578947368418E-2</v>
      </c>
      <c r="J9" s="431">
        <f>IF(B9&gt;0,'2009 comm sample'!B8/'2009 Comm catch'!B9,"na")</f>
        <v>9.5329957398922915E-2</v>
      </c>
      <c r="K9" s="432">
        <f>IF(C9&gt;0,'2009 comm sample'!C8/'2009 Comm catch'!C9,"na")</f>
        <v>0.26481819691183794</v>
      </c>
      <c r="L9" s="432">
        <f>IF(D9&gt;0,'2009 comm sample'!D8/'2009 Comm catch'!D9,"na")</f>
        <v>0.46718576195773082</v>
      </c>
      <c r="M9" s="432">
        <f>IF(E9&gt;0,'2009 comm sample'!E8/'2009 Comm catch'!E9,"na")</f>
        <v>0.29571984435797666</v>
      </c>
      <c r="N9" s="442">
        <f t="shared" si="0"/>
        <v>1237.806070826307</v>
      </c>
      <c r="O9" s="443">
        <f t="shared" si="1"/>
        <v>1937.1780564263322</v>
      </c>
      <c r="P9" s="443">
        <f t="shared" si="2"/>
        <v>62.07380952380953</v>
      </c>
      <c r="Q9" s="444">
        <f t="shared" si="3"/>
        <v>13.526315789473683</v>
      </c>
      <c r="R9" s="443"/>
      <c r="S9" s="443"/>
      <c r="T9" s="443"/>
      <c r="U9" s="443"/>
      <c r="V9" s="443"/>
    </row>
    <row r="10" spans="1:22" x14ac:dyDescent="0.3">
      <c r="A10" s="2">
        <v>37</v>
      </c>
      <c r="B10" s="426">
        <v>9654</v>
      </c>
      <c r="C10" s="427">
        <v>2126</v>
      </c>
      <c r="D10" s="427">
        <v>2543</v>
      </c>
      <c r="E10" s="437">
        <v>1146</v>
      </c>
      <c r="F10" s="452">
        <f>'2009 comm sample'!J9</f>
        <v>6.3675832127351659E-2</v>
      </c>
      <c r="G10" s="453">
        <f>'2009 comm sample'!K9</f>
        <v>0.11501316944688324</v>
      </c>
      <c r="H10" s="453">
        <f>'2009 comm sample'!L9</f>
        <v>6.25E-2</v>
      </c>
      <c r="I10" s="453">
        <f>'2009 comm sample'!M9</f>
        <v>1.1286681715575621E-2</v>
      </c>
      <c r="J10" s="431">
        <f>IF(B10&gt;0,'2009 comm sample'!B9/'2009 Comm catch'!B10,"na")</f>
        <v>0.21472964574269732</v>
      </c>
      <c r="K10" s="432">
        <f>IF(C10&gt;0,'2009 comm sample'!C9/'2009 Comm catch'!C10,"na")</f>
        <v>0.53574788334901224</v>
      </c>
      <c r="L10" s="432">
        <f>IF(D10&gt;0,'2009 comm sample'!D9/'2009 Comm catch'!D10,"na")</f>
        <v>0.3523397561934723</v>
      </c>
      <c r="M10" s="432">
        <f>IF(E10&gt;0,'2009 comm sample'!E9/'2009 Comm catch'!E10,"na")</f>
        <v>0.38656195462478182</v>
      </c>
      <c r="N10" s="442">
        <f t="shared" si="0"/>
        <v>614.72648335745293</v>
      </c>
      <c r="O10" s="443">
        <f t="shared" si="1"/>
        <v>244.51799824407377</v>
      </c>
      <c r="P10" s="443">
        <f t="shared" si="2"/>
        <v>158.9375</v>
      </c>
      <c r="Q10" s="444">
        <f t="shared" si="3"/>
        <v>12.934537246049661</v>
      </c>
      <c r="R10" s="443"/>
      <c r="S10" s="443"/>
      <c r="T10" s="443"/>
      <c r="U10" s="443"/>
      <c r="V10" s="443"/>
    </row>
    <row r="11" spans="1:22" x14ac:dyDescent="0.3">
      <c r="A11" s="2">
        <v>38</v>
      </c>
      <c r="B11" s="426">
        <v>7897</v>
      </c>
      <c r="C11" s="427">
        <v>1427</v>
      </c>
      <c r="D11" s="457">
        <v>2357</v>
      </c>
      <c r="E11" s="437">
        <v>1083</v>
      </c>
      <c r="F11" s="452">
        <f>'2009 comm sample'!J10</f>
        <v>4.7960555804571939E-2</v>
      </c>
      <c r="G11" s="453">
        <f>'2009 comm sample'!K10</f>
        <v>9.1085271317829453E-2</v>
      </c>
      <c r="H11" s="453">
        <f>'2009 comm sample'!L10</f>
        <v>4.1724617524339362E-2</v>
      </c>
      <c r="I11" s="453">
        <f>'2009 comm sample'!M10</f>
        <v>6.3122923588039864E-2</v>
      </c>
      <c r="J11" s="431">
        <f>IF(B11&gt;0,'2009 comm sample'!B10/'2009 Comm catch'!B11,"na")</f>
        <v>0.2825123464606813</v>
      </c>
      <c r="K11" s="432">
        <f>IF(C11&gt;0,'2009 comm sample'!C10/'2009 Comm catch'!C11,"na")</f>
        <v>0.3615977575332866</v>
      </c>
      <c r="L11" s="432">
        <f>IF(D11&gt;0,'2009 comm sample'!D10/'2009 Comm catch'!D11,"na")</f>
        <v>0.30504879083580821</v>
      </c>
      <c r="M11" s="432">
        <f>IF(E11&gt;0,'2009 comm sample'!E10/'2009 Comm catch'!E11,"na")</f>
        <v>0.27793167128347185</v>
      </c>
      <c r="N11" s="442">
        <f t="shared" si="0"/>
        <v>378.74450918870463</v>
      </c>
      <c r="O11" s="443">
        <f t="shared" si="1"/>
        <v>129.97868217054264</v>
      </c>
      <c r="P11" s="443">
        <f t="shared" si="2"/>
        <v>98.344923504867879</v>
      </c>
      <c r="Q11" s="444">
        <f t="shared" si="3"/>
        <v>68.362126245847179</v>
      </c>
      <c r="R11" s="443"/>
      <c r="S11" s="443"/>
      <c r="T11" s="443"/>
      <c r="U11" s="443"/>
      <c r="V11" s="443"/>
    </row>
    <row r="12" spans="1:22" x14ac:dyDescent="0.3">
      <c r="A12" s="2">
        <v>39</v>
      </c>
      <c r="B12" s="426">
        <v>1695</v>
      </c>
      <c r="C12" s="457">
        <v>302</v>
      </c>
      <c r="D12" s="457">
        <v>1353</v>
      </c>
      <c r="E12" s="437">
        <v>1010</v>
      </c>
      <c r="F12" s="452">
        <f>'2009 comm sample'!J11</f>
        <v>4.4794188861985475E-2</v>
      </c>
      <c r="G12" s="453">
        <f>'2009 comm sample'!K11</f>
        <v>2.7027027027027029E-2</v>
      </c>
      <c r="H12" s="453">
        <f>'2009 comm sample'!L11</f>
        <v>4.9267643142476697E-2</v>
      </c>
      <c r="I12" s="453">
        <f>'2009 comm sample'!M11</f>
        <v>7.796610169491526E-2</v>
      </c>
      <c r="J12" s="431">
        <f>IF(B12&gt;0,'2009 comm sample'!B11/'2009 Comm catch'!B12,"na")</f>
        <v>0.97463126843657821</v>
      </c>
      <c r="K12" s="432">
        <f>IF(C12&gt;0,'2009 comm sample'!C11/'2009 Comm catch'!C12,"na")</f>
        <v>0.24503311258278146</v>
      </c>
      <c r="L12" s="432">
        <f>IF(D12&gt;0,'2009 comm sample'!D11/'2009 Comm catch'!D12,"na")</f>
        <v>0.55506282335550627</v>
      </c>
      <c r="M12" s="432">
        <f>IF(E12&gt;0,'2009 comm sample'!E11/'2009 Comm catch'!E12,"na")</f>
        <v>0.29207920792079206</v>
      </c>
      <c r="N12" s="442">
        <f t="shared" si="0"/>
        <v>75.926150121065376</v>
      </c>
      <c r="O12" s="443">
        <f t="shared" si="1"/>
        <v>8.1621621621621632</v>
      </c>
      <c r="P12" s="443">
        <f t="shared" si="2"/>
        <v>66.659121171770977</v>
      </c>
      <c r="Q12" s="444">
        <f t="shared" si="3"/>
        <v>78.745762711864415</v>
      </c>
      <c r="R12" s="443"/>
      <c r="S12" s="443"/>
      <c r="T12" s="443"/>
      <c r="U12" s="443"/>
      <c r="V12" s="443"/>
    </row>
    <row r="13" spans="1:22" x14ac:dyDescent="0.3">
      <c r="A13" s="2">
        <v>40</v>
      </c>
      <c r="B13" s="426">
        <v>1221</v>
      </c>
      <c r="C13" s="457">
        <v>53</v>
      </c>
      <c r="D13" s="457">
        <v>951</v>
      </c>
      <c r="E13" s="437">
        <v>441</v>
      </c>
      <c r="F13" s="452">
        <f>'2009 comm sample'!J12</f>
        <v>7.2992700729927001E-2</v>
      </c>
      <c r="G13" s="511">
        <f>'Mean Unmarked Rates'!L45</f>
        <v>0</v>
      </c>
      <c r="H13" s="453">
        <f>'2009 comm sample'!L12</f>
        <v>8.5066162570888462E-2</v>
      </c>
      <c r="I13" s="453">
        <f>'2009 comm sample'!M12</f>
        <v>0.20689655172413793</v>
      </c>
      <c r="J13" s="431">
        <f>IF(B13&gt;0,'2009 comm sample'!B12/'2009 Comm catch'!B13,"na")</f>
        <v>0.2244062244062244</v>
      </c>
      <c r="K13" s="432">
        <f>IF(C13&gt;0,'2009 comm sample'!C12/'2009 Comm catch'!C13,"na")</f>
        <v>0</v>
      </c>
      <c r="L13" s="432">
        <f>IF(D13&gt;0,'2009 comm sample'!D12/'2009 Comm catch'!D13,"na")</f>
        <v>0.55625657202944268</v>
      </c>
      <c r="M13" s="432">
        <f>IF(E13&gt;0,'2009 comm sample'!E12/'2009 Comm catch'!E13,"na")</f>
        <v>0.26303854875283444</v>
      </c>
      <c r="N13" s="442">
        <f t="shared" si="0"/>
        <v>89.124087591240865</v>
      </c>
      <c r="O13" s="443">
        <f t="shared" si="1"/>
        <v>0</v>
      </c>
      <c r="P13" s="443">
        <f t="shared" si="2"/>
        <v>80.89792060491493</v>
      </c>
      <c r="Q13" s="444">
        <f t="shared" si="3"/>
        <v>91.241379310344826</v>
      </c>
      <c r="R13" s="443"/>
      <c r="S13" s="443"/>
      <c r="T13" s="443"/>
      <c r="U13" s="443"/>
      <c r="V13" s="443"/>
    </row>
    <row r="14" spans="1:22" x14ac:dyDescent="0.3">
      <c r="A14" s="2">
        <v>41</v>
      </c>
      <c r="B14" s="426">
        <v>352</v>
      </c>
      <c r="C14" s="457">
        <v>129</v>
      </c>
      <c r="D14" s="457">
        <v>1343</v>
      </c>
      <c r="E14" s="515">
        <v>427</v>
      </c>
      <c r="F14" s="452">
        <f>'2009 comm sample'!J13</f>
        <v>5.0675675675675678E-2</v>
      </c>
      <c r="G14" s="511">
        <f>'Mean Unmarked Rates'!P45</f>
        <v>0</v>
      </c>
      <c r="H14" s="453">
        <f>'2009 comm sample'!L13</f>
        <v>4.195804195804196E-2</v>
      </c>
      <c r="I14" s="453">
        <f>'2009 comm sample'!M13</f>
        <v>0.16355140186915887</v>
      </c>
      <c r="J14" s="431">
        <f>IF(B14&gt;0,'2009 comm sample'!B13/'2009 Comm catch'!B14,"na")</f>
        <v>0.84090909090909094</v>
      </c>
      <c r="K14" s="432">
        <f>IF(C14&gt;0,'2009 comm sample'!C13/'2009 Comm catch'!C14,"na")</f>
        <v>1.5503875968992248E-2</v>
      </c>
      <c r="L14" s="432">
        <f>IF(D14&gt;0,'2009 comm sample'!D13/'2009 Comm catch'!D14,"na")</f>
        <v>0.85182427401340288</v>
      </c>
      <c r="M14" s="432">
        <f>IF(E14&gt;0,'2009 comm sample'!E13/'2009 Comm catch'!E14,"na")</f>
        <v>0.50117096018735363</v>
      </c>
      <c r="N14" s="442">
        <f t="shared" si="0"/>
        <v>17.837837837837839</v>
      </c>
      <c r="O14" s="443">
        <f t="shared" si="1"/>
        <v>0</v>
      </c>
      <c r="P14" s="443">
        <f t="shared" si="2"/>
        <v>56.349650349650354</v>
      </c>
      <c r="Q14" s="444">
        <f t="shared" si="3"/>
        <v>69.836448598130843</v>
      </c>
      <c r="R14" s="443"/>
      <c r="S14" s="443"/>
      <c r="T14" s="443"/>
      <c r="U14" s="443"/>
      <c r="V14" s="443"/>
    </row>
    <row r="15" spans="1:22" x14ac:dyDescent="0.3">
      <c r="A15" s="2">
        <v>42</v>
      </c>
      <c r="B15" s="426">
        <v>1594</v>
      </c>
      <c r="C15" s="457">
        <v>522</v>
      </c>
      <c r="D15" s="457">
        <v>559</v>
      </c>
      <c r="E15" s="437">
        <v>228</v>
      </c>
      <c r="F15" s="452">
        <f>'2009 comm sample'!J14</f>
        <v>0.10135135135135136</v>
      </c>
      <c r="G15" s="453">
        <f>'2009 comm sample'!K14</f>
        <v>3.9024390243902439E-2</v>
      </c>
      <c r="H15" s="453">
        <f>'2009 comm sample'!L14</f>
        <v>2.9304029304029304E-2</v>
      </c>
      <c r="I15" s="453">
        <f>'2009 comm sample'!M14</f>
        <v>0.2</v>
      </c>
      <c r="J15" s="431">
        <f>IF(B15&gt;0,'2009 comm sample'!B14/'2009 Comm catch'!B15,"na")</f>
        <v>9.2848180677540776E-2</v>
      </c>
      <c r="K15" s="432">
        <f>IF(C15&gt;0,'2009 comm sample'!C14/'2009 Comm catch'!C15,"na")</f>
        <v>0.39272030651340994</v>
      </c>
      <c r="L15" s="432">
        <f>IF(D15&gt;0,'2009 comm sample'!D14/'2009 Comm catch'!D15,"na")</f>
        <v>0.48837209302325579</v>
      </c>
      <c r="M15" s="432">
        <f>IF(E15&gt;0,'2009 comm sample'!E14/'2009 Comm catch'!E15,"na")</f>
        <v>2.1929824561403508E-2</v>
      </c>
      <c r="N15" s="442">
        <f t="shared" si="0"/>
        <v>161.55405405405406</v>
      </c>
      <c r="O15" s="443">
        <f t="shared" si="1"/>
        <v>20.370731707317074</v>
      </c>
      <c r="P15" s="443">
        <f t="shared" si="2"/>
        <v>16.38095238095238</v>
      </c>
      <c r="Q15" s="444">
        <f t="shared" si="3"/>
        <v>45.6</v>
      </c>
      <c r="R15" s="443"/>
      <c r="S15" s="443"/>
      <c r="T15" s="443"/>
      <c r="U15" s="443"/>
      <c r="V15" s="443"/>
    </row>
    <row r="16" spans="1:22" x14ac:dyDescent="0.3">
      <c r="A16" s="2">
        <v>43</v>
      </c>
      <c r="B16" s="426">
        <v>194</v>
      </c>
      <c r="C16" s="457">
        <v>313</v>
      </c>
      <c r="D16" s="457">
        <v>20</v>
      </c>
      <c r="E16" s="437">
        <v>68</v>
      </c>
      <c r="F16" s="452" t="str">
        <f>'2009 comm sample'!J15</f>
        <v>na</v>
      </c>
      <c r="G16" s="453">
        <f>'2009 comm sample'!K15</f>
        <v>0.14285714285714285</v>
      </c>
      <c r="H16" s="453" t="str">
        <f>'2009 comm sample'!L15</f>
        <v>na</v>
      </c>
      <c r="I16" s="453" t="str">
        <f>'2009 comm sample'!M15</f>
        <v>na</v>
      </c>
      <c r="J16" s="431">
        <f>IF(B16&gt;0,'2009 comm sample'!B15/'2009 Comm catch'!B16,"na")</f>
        <v>0</v>
      </c>
      <c r="K16" s="432">
        <f>IF(C16&gt;0,'2009 comm sample'!C15/'2009 Comm catch'!C16,"na")</f>
        <v>2.2364217252396165E-2</v>
      </c>
      <c r="L16" s="432">
        <f>IF(D16&gt;0,'2009 comm sample'!D15/'2009 Comm catch'!D16,"na")</f>
        <v>0</v>
      </c>
      <c r="M16" s="432">
        <f>IF(E16&gt;0,'2009 comm sample'!E15/'2009 Comm catch'!E16,"na")</f>
        <v>0</v>
      </c>
      <c r="N16" s="442" t="str">
        <f t="shared" si="0"/>
        <v>na</v>
      </c>
      <c r="O16" s="443">
        <f t="shared" si="1"/>
        <v>44.714285714285715</v>
      </c>
      <c r="P16" s="443" t="str">
        <f t="shared" si="2"/>
        <v>na</v>
      </c>
      <c r="Q16" s="444" t="str">
        <f t="shared" si="3"/>
        <v>na</v>
      </c>
      <c r="R16" s="443"/>
      <c r="S16" s="443"/>
      <c r="T16" s="443"/>
      <c r="U16" s="443"/>
      <c r="V16" s="443"/>
    </row>
    <row r="17" spans="1:25" x14ac:dyDescent="0.3">
      <c r="A17" s="2">
        <v>44</v>
      </c>
      <c r="B17" s="426">
        <v>12</v>
      </c>
      <c r="C17" s="457">
        <v>0</v>
      </c>
      <c r="D17" s="457">
        <v>0</v>
      </c>
      <c r="E17" s="437">
        <v>0</v>
      </c>
      <c r="F17" s="452" t="str">
        <f>'2009 comm sample'!J16</f>
        <v>na</v>
      </c>
      <c r="G17" s="453" t="str">
        <f>'2009 comm sample'!K16</f>
        <v>na</v>
      </c>
      <c r="H17" s="453" t="str">
        <f>'2009 comm sample'!L16</f>
        <v>na</v>
      </c>
      <c r="I17" s="453" t="str">
        <f>'2009 comm sample'!M16</f>
        <v>na</v>
      </c>
      <c r="J17" s="431">
        <f>IF(B17&gt;0,'2009 comm sample'!B16/'2009 Comm catch'!B17,"na")</f>
        <v>0</v>
      </c>
      <c r="K17" s="432" t="str">
        <f>IF(C17&gt;0,'2009 comm sample'!C16/'2009 Comm catch'!C17,"na")</f>
        <v>na</v>
      </c>
      <c r="L17" s="432" t="str">
        <f>IF(D17&gt;0,'2009 comm sample'!D16/'2009 Comm catch'!D17,"na")</f>
        <v>na</v>
      </c>
      <c r="M17" s="432" t="str">
        <f>IF(E17&gt;0,'2009 comm sample'!E16/'2009 Comm catch'!E17,"na")</f>
        <v>na</v>
      </c>
      <c r="N17" s="442" t="str">
        <f t="shared" si="0"/>
        <v>na</v>
      </c>
      <c r="O17" s="443" t="str">
        <f t="shared" si="1"/>
        <v>na</v>
      </c>
      <c r="P17" s="443" t="str">
        <f t="shared" si="2"/>
        <v>na</v>
      </c>
      <c r="Q17" s="444" t="str">
        <f t="shared" si="3"/>
        <v>na</v>
      </c>
      <c r="R17" s="443"/>
      <c r="S17" s="443"/>
      <c r="T17" s="443"/>
      <c r="U17" s="443"/>
      <c r="V17" s="443"/>
    </row>
    <row r="18" spans="1:25" x14ac:dyDescent="0.3">
      <c r="A18" s="2">
        <v>45</v>
      </c>
      <c r="B18" s="428"/>
      <c r="C18" s="221"/>
      <c r="D18" s="221"/>
      <c r="E18" s="438"/>
      <c r="F18" s="458" t="str">
        <f>'2009 comm sample'!J17</f>
        <v>na</v>
      </c>
      <c r="G18" s="456" t="str">
        <f>'2009 comm sample'!K17</f>
        <v>na</v>
      </c>
      <c r="H18" s="456" t="str">
        <f>'2009 comm sample'!L17</f>
        <v>na</v>
      </c>
      <c r="I18" s="456" t="str">
        <f>'2009 comm sample'!M17</f>
        <v>na</v>
      </c>
      <c r="J18" s="433" t="str">
        <f>IF(B18&gt;0,'2009 comm sample'!B17/'2009 Comm catch'!B18,"na")</f>
        <v>na</v>
      </c>
      <c r="K18" s="434" t="str">
        <f>IF(C18&gt;0,'2009 comm sample'!C17/'2009 Comm catch'!C18,"na")</f>
        <v>na</v>
      </c>
      <c r="L18" s="434" t="str">
        <f>IF(D18&gt;0,'2009 comm sample'!D17/'2009 Comm catch'!D18,"na")</f>
        <v>na</v>
      </c>
      <c r="M18" s="434" t="str">
        <f>IF(E18&gt;0,'2009 comm sample'!E17/'2009 Comm catch'!E18,"na")</f>
        <v>na</v>
      </c>
      <c r="N18" s="442" t="str">
        <f t="shared" si="0"/>
        <v>na</v>
      </c>
      <c r="O18" s="443" t="str">
        <f t="shared" si="1"/>
        <v>na</v>
      </c>
      <c r="P18" s="443" t="str">
        <f t="shared" si="2"/>
        <v>na</v>
      </c>
      <c r="Q18" s="444" t="str">
        <f t="shared" si="3"/>
        <v>na</v>
      </c>
      <c r="R18" s="443"/>
      <c r="S18" s="443"/>
      <c r="T18" s="443"/>
      <c r="U18" s="443"/>
      <c r="V18" s="443"/>
    </row>
    <row r="19" spans="1:25" x14ac:dyDescent="0.3">
      <c r="A19" s="2" t="s">
        <v>184</v>
      </c>
      <c r="B19" s="419">
        <f>SUM(B5:B18)</f>
        <v>49329</v>
      </c>
      <c r="C19" s="41">
        <f>SUM(C5:C18)</f>
        <v>16918</v>
      </c>
      <c r="D19" s="41">
        <f>SUM(D5:D18)</f>
        <v>10043</v>
      </c>
      <c r="E19" s="420">
        <f>SUM(E5:E18)</f>
        <v>4660</v>
      </c>
      <c r="F19" s="469">
        <f>'2009 comm sample'!J18</f>
        <v>5.4512957998212687E-2</v>
      </c>
      <c r="G19" s="203">
        <f>'2009 comm sample'!K18</f>
        <v>0.13695694525618546</v>
      </c>
      <c r="H19" s="203">
        <f>'2009 comm sample'!L18</f>
        <v>5.3285593934288118E-2</v>
      </c>
      <c r="I19" s="203">
        <f>'2009 comm sample'!M18</f>
        <v>7.6551724137931029E-2</v>
      </c>
      <c r="J19" s="470">
        <f>IF(B19&gt;0,'2009 comm sample'!B18/'2009 Comm catch'!B19,"na")</f>
        <v>0.20415982484948003</v>
      </c>
      <c r="K19" s="471">
        <f>IF(C19&gt;0,'2009 comm sample'!C18/'2009 Comm catch'!C19,"na")</f>
        <v>0.30340465776096465</v>
      </c>
      <c r="L19" s="471">
        <f>IF(D19&gt;0,'2009 comm sample'!D18/'2009 Comm catch'!D19,"na")</f>
        <v>0.47276710146370604</v>
      </c>
      <c r="M19" s="471">
        <f>IF(E19&gt;0,'2009 comm sample'!E18/'2009 Comm catch'!E19,"na")</f>
        <v>0.31115879828326182</v>
      </c>
      <c r="N19" s="508">
        <f>SUM(N5:N18)</f>
        <v>2696.1002434401025</v>
      </c>
      <c r="O19" s="219">
        <f>SUM(O5:O18)</f>
        <v>2384.9219164247133</v>
      </c>
      <c r="P19" s="219">
        <f>SUM(P5:P18)</f>
        <v>539.64387753596611</v>
      </c>
      <c r="Q19" s="509">
        <f>SUM(Q5:Q18)</f>
        <v>380.24656990171064</v>
      </c>
      <c r="R19" s="102"/>
      <c r="S19" s="102"/>
      <c r="T19" s="102"/>
      <c r="U19" s="102"/>
      <c r="V19" s="102"/>
    </row>
    <row r="20" spans="1:25" x14ac:dyDescent="0.3">
      <c r="A20" s="46"/>
      <c r="B20" s="46"/>
      <c r="C20" s="46"/>
      <c r="D20" s="46"/>
      <c r="E20" s="102">
        <f>SUM(B19:E19)</f>
        <v>80950</v>
      </c>
      <c r="F20" s="2"/>
      <c r="G20" s="2"/>
      <c r="H20" s="46"/>
      <c r="I20" s="459">
        <f>Q20/E20</f>
        <v>7.4131100769641661E-2</v>
      </c>
      <c r="J20" s="46"/>
      <c r="K20" s="46"/>
      <c r="L20" s="46"/>
      <c r="M20" s="460">
        <f>'2008 new sample form'!E19/'2009 Comm catch'!E20</f>
        <v>0.24054354539839407</v>
      </c>
      <c r="N20" s="46"/>
      <c r="O20" s="46"/>
      <c r="P20" s="46"/>
      <c r="Q20" s="102">
        <f>SUM(N19:Q19)</f>
        <v>6000.9126073024927</v>
      </c>
      <c r="R20" s="102"/>
      <c r="S20" s="102"/>
      <c r="T20" s="102"/>
      <c r="U20" s="102"/>
      <c r="V20" s="102"/>
    </row>
    <row r="21" spans="1:25" x14ac:dyDescent="0.3">
      <c r="A21" s="46"/>
      <c r="B21" s="427"/>
      <c r="C21" s="427"/>
      <c r="D21" s="427"/>
      <c r="E21" s="443"/>
      <c r="H21" s="427"/>
      <c r="I21" s="427"/>
      <c r="J21" s="427"/>
      <c r="K21" s="427"/>
      <c r="L21" s="427"/>
      <c r="M21" s="427"/>
      <c r="N21" s="427"/>
      <c r="O21" s="427"/>
      <c r="P21" s="427"/>
      <c r="Q21" s="443"/>
      <c r="R21" s="443"/>
      <c r="S21" s="443"/>
      <c r="T21" s="443"/>
      <c r="U21" s="443"/>
      <c r="V21" s="443"/>
    </row>
    <row r="22" spans="1:25" x14ac:dyDescent="0.3">
      <c r="B22" s="2" t="s">
        <v>123</v>
      </c>
      <c r="F22" s="427"/>
      <c r="G22" s="427"/>
    </row>
    <row r="23" spans="1:25" x14ac:dyDescent="0.3">
      <c r="B23" s="947" t="s">
        <v>263</v>
      </c>
      <c r="C23" s="948"/>
      <c r="D23" s="948"/>
      <c r="E23" s="948"/>
      <c r="F23" s="948"/>
      <c r="G23" s="949"/>
      <c r="H23" s="947" t="s">
        <v>264</v>
      </c>
      <c r="I23" s="948"/>
      <c r="J23" s="948"/>
      <c r="K23" s="948"/>
      <c r="L23" s="949"/>
      <c r="M23" s="947" t="s">
        <v>261</v>
      </c>
      <c r="N23" s="948"/>
      <c r="O23" s="948"/>
      <c r="P23" s="948"/>
      <c r="Q23" s="948"/>
      <c r="R23" s="947" t="s">
        <v>262</v>
      </c>
      <c r="S23" s="948"/>
      <c r="T23" s="948"/>
      <c r="U23" s="948"/>
      <c r="V23" s="948"/>
      <c r="W23" s="949"/>
      <c r="X23" s="33" t="s">
        <v>315</v>
      </c>
      <c r="Y23" s="32"/>
    </row>
    <row r="24" spans="1:25" x14ac:dyDescent="0.3">
      <c r="A24" s="2" t="s">
        <v>134</v>
      </c>
      <c r="B24" s="419">
        <v>1</v>
      </c>
      <c r="C24" s="41">
        <v>2</v>
      </c>
      <c r="D24" s="41">
        <v>3</v>
      </c>
      <c r="E24" s="41">
        <v>4</v>
      </c>
      <c r="F24" s="41">
        <v>5</v>
      </c>
      <c r="G24" s="420" t="s">
        <v>272</v>
      </c>
      <c r="H24" s="338">
        <v>1</v>
      </c>
      <c r="I24" s="174">
        <v>2</v>
      </c>
      <c r="J24" s="174">
        <v>3</v>
      </c>
      <c r="K24" s="174">
        <v>4</v>
      </c>
      <c r="L24" s="339">
        <v>5</v>
      </c>
      <c r="M24" s="338">
        <v>1</v>
      </c>
      <c r="N24" s="174">
        <v>2</v>
      </c>
      <c r="O24" s="174">
        <v>3</v>
      </c>
      <c r="P24" s="174">
        <v>4</v>
      </c>
      <c r="Q24" s="174">
        <v>5</v>
      </c>
      <c r="R24" s="338">
        <v>1</v>
      </c>
      <c r="S24" s="174">
        <v>2</v>
      </c>
      <c r="T24" s="174">
        <v>3</v>
      </c>
      <c r="U24" s="174">
        <v>4</v>
      </c>
      <c r="V24" s="174">
        <v>5</v>
      </c>
      <c r="W24" s="339" t="s">
        <v>272</v>
      </c>
      <c r="X24" s="690" t="s">
        <v>316</v>
      </c>
      <c r="Y24" s="690" t="s">
        <v>317</v>
      </c>
    </row>
    <row r="25" spans="1:25" x14ac:dyDescent="0.3">
      <c r="A25" s="2">
        <v>32</v>
      </c>
      <c r="B25" s="424">
        <v>122</v>
      </c>
      <c r="C25" s="536"/>
      <c r="D25" s="536"/>
      <c r="E25" s="536"/>
      <c r="F25" s="536"/>
      <c r="G25" s="436">
        <f t="shared" ref="G25:G39" si="4">SUM(B25:F25)</f>
        <v>122</v>
      </c>
      <c r="H25" s="541">
        <f>'2009 comm sample'!L24</f>
        <v>0.46938775510204084</v>
      </c>
      <c r="I25" s="542">
        <f>'2009 comm sample'!M24</f>
        <v>0</v>
      </c>
      <c r="J25" s="542" t="str">
        <f>'2009 comm sample'!N24</f>
        <v>na</v>
      </c>
      <c r="K25" s="542" t="str">
        <f>'2009 comm sample'!O24</f>
        <v>na</v>
      </c>
      <c r="L25" s="542" t="str">
        <f>'2009 comm sample'!P24</f>
        <v>na</v>
      </c>
      <c r="M25" s="432">
        <f>IF(B25&gt;0,'2009 comm sample'!B24/'2009 Comm catch'!B25,"na")</f>
        <v>0.40163934426229508</v>
      </c>
      <c r="N25" s="432" t="str">
        <f>IF(C25&gt;0,'2009 comm sample'!C24/'2009 Comm catch'!C25,"na")</f>
        <v>na</v>
      </c>
      <c r="O25" s="27" t="str">
        <f>IF(D25&gt;0,'2009 comm sample'!D24/'2009 Comm catch'!D25,"na")</f>
        <v>na</v>
      </c>
      <c r="P25" s="430" t="str">
        <f>IF(E25&gt;0,'2009 comm sample'!E24/'2009 Comm catch'!E25,"na")</f>
        <v>na</v>
      </c>
      <c r="Q25" s="430" t="str">
        <f>IF(F25&gt;0,'2009 comm sample'!F24/'2009 Comm catch'!F25,"na")</f>
        <v>na</v>
      </c>
      <c r="R25" s="442">
        <f t="shared" ref="R25:R38" si="5">IF(H25&lt;&gt;"na",B25*H25,0)</f>
        <v>57.265306122448983</v>
      </c>
      <c r="S25" s="443">
        <f t="shared" ref="S25:S38" si="6">IF(I25&lt;&gt;"na",C25*I25,0)</f>
        <v>0</v>
      </c>
      <c r="T25" s="443">
        <f t="shared" ref="T25:T38" si="7">IF(J25&lt;&gt;"na",D25*J25,0)</f>
        <v>0</v>
      </c>
      <c r="U25" s="443">
        <f t="shared" ref="U25:U38" si="8">IF(K25&lt;&gt;"na",E25*K25,0)</f>
        <v>0</v>
      </c>
      <c r="V25" s="443">
        <f t="shared" ref="V25:V38" si="9">IF(L25&lt;&gt;"na",F25*L25,0)</f>
        <v>0</v>
      </c>
      <c r="W25" s="356">
        <f t="shared" ref="W25:W39" si="10">SUM(R25:V25)</f>
        <v>57.265306122448983</v>
      </c>
      <c r="X25" s="647">
        <f>SUM(R25:T25)/SUM(B25:D25)</f>
        <v>0.46938775510204084</v>
      </c>
      <c r="Y25" s="691" t="e">
        <f>SUM(U25:V25)/SUM(E25:F25)</f>
        <v>#DIV/0!</v>
      </c>
    </row>
    <row r="26" spans="1:25" x14ac:dyDescent="0.3">
      <c r="A26" s="2">
        <v>33</v>
      </c>
      <c r="B26" s="537"/>
      <c r="C26" s="427">
        <v>31</v>
      </c>
      <c r="D26" s="427">
        <v>6</v>
      </c>
      <c r="E26" s="457">
        <v>1</v>
      </c>
      <c r="F26" s="538"/>
      <c r="G26" s="437">
        <f t="shared" si="4"/>
        <v>38</v>
      </c>
      <c r="H26" s="543" t="str">
        <f>'2009 comm sample'!L25</f>
        <v>na</v>
      </c>
      <c r="I26" s="110">
        <f>'2009 comm sample'!M25</f>
        <v>0.6</v>
      </c>
      <c r="J26" s="512">
        <f>'Mean Unmarked Rates'!H33</f>
        <v>0</v>
      </c>
      <c r="K26" s="512">
        <f>'Mean Unmarked Rates'!H33</f>
        <v>0</v>
      </c>
      <c r="L26" s="544" t="str">
        <f>'2009 comm sample'!P25</f>
        <v>na</v>
      </c>
      <c r="M26" s="432" t="str">
        <f>IF(B26&gt;0,'2009 comm sample'!B25/'2009 Comm catch'!B26,"na")</f>
        <v>na</v>
      </c>
      <c r="N26" s="432">
        <f>IF(C26&gt;0,'2009 comm sample'!C25/'2009 Comm catch'!C26,"na")</f>
        <v>0.32258064516129031</v>
      </c>
      <c r="O26" s="432">
        <f>IF(D26&gt;0,'2009 comm sample'!D25/'2009 Comm catch'!D26,"na")</f>
        <v>0</v>
      </c>
      <c r="P26" s="432">
        <f>IF(E26&gt;0,'2009 comm sample'!E25/'2009 Comm catch'!E26,"na")</f>
        <v>0</v>
      </c>
      <c r="Q26" s="432" t="str">
        <f>IF(F26&gt;0,'2009 comm sample'!F25/'2009 Comm catch'!F26,"na")</f>
        <v>na</v>
      </c>
      <c r="R26" s="442">
        <f t="shared" si="5"/>
        <v>0</v>
      </c>
      <c r="S26" s="443">
        <f t="shared" si="6"/>
        <v>18.599999999999998</v>
      </c>
      <c r="T26" s="443">
        <f t="shared" si="7"/>
        <v>0</v>
      </c>
      <c r="U26" s="443">
        <f t="shared" si="8"/>
        <v>0</v>
      </c>
      <c r="V26" s="443">
        <f t="shared" si="9"/>
        <v>0</v>
      </c>
      <c r="W26" s="356">
        <f t="shared" si="10"/>
        <v>18.599999999999998</v>
      </c>
      <c r="X26" s="647">
        <f t="shared" ref="X26:X39" si="11">SUM(R26:T26)/SUM(B26:D26)</f>
        <v>0.50270270270270268</v>
      </c>
      <c r="Y26" s="691">
        <f t="shared" ref="Y26:Y39" si="12">SUM(U26:V26)/SUM(E26:F26)</f>
        <v>0</v>
      </c>
    </row>
    <row r="27" spans="1:25" x14ac:dyDescent="0.3">
      <c r="A27" s="2">
        <v>34</v>
      </c>
      <c r="B27" s="537"/>
      <c r="C27" s="538"/>
      <c r="D27" s="457">
        <v>76</v>
      </c>
      <c r="E27" s="457">
        <v>326</v>
      </c>
      <c r="F27" s="457">
        <v>293</v>
      </c>
      <c r="G27" s="437">
        <f t="shared" si="4"/>
        <v>695</v>
      </c>
      <c r="H27" s="543" t="str">
        <f>'2009 comm sample'!L26</f>
        <v>na</v>
      </c>
      <c r="I27" s="544" t="str">
        <f>'2009 comm sample'!M26</f>
        <v>na</v>
      </c>
      <c r="J27" s="512">
        <f>'Mean Unmarked Rates'!L33</f>
        <v>0</v>
      </c>
      <c r="K27" s="532">
        <f>'2009 comm sample'!O26</f>
        <v>0.77876106194690264</v>
      </c>
      <c r="L27" s="532">
        <f>'2009 comm sample'!P26</f>
        <v>0.76923076923076927</v>
      </c>
      <c r="M27" s="432" t="str">
        <f>IF(B27&gt;0,'2009 comm sample'!B26/'2009 Comm catch'!B27,"na")</f>
        <v>na</v>
      </c>
      <c r="N27" s="432" t="str">
        <f>IF(C27&gt;0,'2009 comm sample'!C26/'2009 Comm catch'!C27,"na")</f>
        <v>na</v>
      </c>
      <c r="O27" s="432">
        <f>IF(D27&gt;0,'2009 comm sample'!D26/'2009 Comm catch'!D27,"na")</f>
        <v>0</v>
      </c>
      <c r="P27" s="432">
        <f>IF(E27&gt;0,'2009 comm sample'!E26/'2009 Comm catch'!E27,"na")</f>
        <v>0.34662576687116564</v>
      </c>
      <c r="Q27" s="432">
        <f>IF(F27&gt;0,'2009 comm sample'!F26/'2009 Comm catch'!F27,"na")</f>
        <v>0.22184300341296928</v>
      </c>
      <c r="R27" s="442">
        <f t="shared" si="5"/>
        <v>0</v>
      </c>
      <c r="S27" s="443">
        <f t="shared" si="6"/>
        <v>0</v>
      </c>
      <c r="T27" s="443">
        <f t="shared" si="7"/>
        <v>0</v>
      </c>
      <c r="U27" s="443">
        <f t="shared" si="8"/>
        <v>253.87610619469027</v>
      </c>
      <c r="V27" s="443">
        <f t="shared" si="9"/>
        <v>225.38461538461539</v>
      </c>
      <c r="W27" s="356">
        <f t="shared" si="10"/>
        <v>479.26072157930565</v>
      </c>
      <c r="X27" s="647">
        <f t="shared" si="11"/>
        <v>0</v>
      </c>
      <c r="Y27" s="691">
        <f t="shared" si="12"/>
        <v>0.77424995408611574</v>
      </c>
    </row>
    <row r="28" spans="1:25" x14ac:dyDescent="0.3">
      <c r="A28" s="2">
        <v>35</v>
      </c>
      <c r="B28" s="537"/>
      <c r="C28" s="538"/>
      <c r="D28" s="538"/>
      <c r="E28" s="538"/>
      <c r="F28" s="457">
        <v>476</v>
      </c>
      <c r="G28" s="437">
        <f t="shared" si="4"/>
        <v>476</v>
      </c>
      <c r="H28" s="543" t="str">
        <f>'2009 comm sample'!L27</f>
        <v>na</v>
      </c>
      <c r="I28" s="544" t="str">
        <f>'2009 comm sample'!M27</f>
        <v>na</v>
      </c>
      <c r="J28" s="544" t="str">
        <f>'2009 comm sample'!N27</f>
        <v>na</v>
      </c>
      <c r="K28" s="544" t="str">
        <f>'2009 comm sample'!O27</f>
        <v>na</v>
      </c>
      <c r="L28" s="532">
        <f>'2009 comm sample'!P27</f>
        <v>0.71111111111111114</v>
      </c>
      <c r="M28" s="432" t="str">
        <f>IF(B28&gt;0,'2009 comm sample'!B27/'2009 Comm catch'!B28,"na")</f>
        <v>na</v>
      </c>
      <c r="N28" s="432" t="str">
        <f>IF(C28&gt;0,'2009 comm sample'!C27/'2009 Comm catch'!C28,"na")</f>
        <v>na</v>
      </c>
      <c r="O28" s="432" t="str">
        <f>IF(D28&gt;0,'2009 comm sample'!D27/'2009 Comm catch'!D28,"na")</f>
        <v>na</v>
      </c>
      <c r="P28" s="432" t="str">
        <f>IF(E28&gt;0,'2009 comm sample'!E27/'2009 Comm catch'!E28,"na")</f>
        <v>na</v>
      </c>
      <c r="Q28" s="432">
        <f>IF(F28&gt;0,'2009 comm sample'!F27/'2009 Comm catch'!F28,"na")</f>
        <v>0.18907563025210083</v>
      </c>
      <c r="R28" s="442">
        <f t="shared" si="5"/>
        <v>0</v>
      </c>
      <c r="S28" s="443">
        <f t="shared" si="6"/>
        <v>0</v>
      </c>
      <c r="T28" s="443">
        <f t="shared" si="7"/>
        <v>0</v>
      </c>
      <c r="U28" s="443">
        <f t="shared" si="8"/>
        <v>0</v>
      </c>
      <c r="V28" s="443">
        <f t="shared" si="9"/>
        <v>338.48888888888888</v>
      </c>
      <c r="W28" s="356">
        <f t="shared" si="10"/>
        <v>338.48888888888888</v>
      </c>
      <c r="X28" s="647" t="e">
        <f t="shared" si="11"/>
        <v>#DIV/0!</v>
      </c>
      <c r="Y28" s="691">
        <f t="shared" si="12"/>
        <v>0.71111111111111114</v>
      </c>
    </row>
    <row r="29" spans="1:25" x14ac:dyDescent="0.3">
      <c r="A29" s="2">
        <v>36</v>
      </c>
      <c r="B29" s="537"/>
      <c r="C29" s="538"/>
      <c r="D29" s="538"/>
      <c r="E29" s="538"/>
      <c r="F29" s="538"/>
      <c r="G29" s="437">
        <f t="shared" si="4"/>
        <v>0</v>
      </c>
      <c r="H29" s="543" t="str">
        <f>'2009 comm sample'!L28</f>
        <v>na</v>
      </c>
      <c r="I29" s="544" t="str">
        <f>'2009 comm sample'!M28</f>
        <v>na</v>
      </c>
      <c r="J29" s="544" t="str">
        <f>'2009 comm sample'!N28</f>
        <v>na</v>
      </c>
      <c r="K29" s="544" t="str">
        <f>'2009 comm sample'!O28</f>
        <v>na</v>
      </c>
      <c r="L29" s="544" t="str">
        <f>'2009 comm sample'!P28</f>
        <v>na</v>
      </c>
      <c r="M29" s="432" t="str">
        <f>IF(B29&gt;0,'2009 comm sample'!B28/'2009 Comm catch'!B29,"na")</f>
        <v>na</v>
      </c>
      <c r="N29" s="432" t="str">
        <f>IF(C29&gt;0,'2009 comm sample'!C28/'2009 Comm catch'!C29,"na")</f>
        <v>na</v>
      </c>
      <c r="O29" s="432" t="str">
        <f>IF(D29&gt;0,'2009 comm sample'!D28/'2009 Comm catch'!D29,"na")</f>
        <v>na</v>
      </c>
      <c r="P29" s="432" t="str">
        <f>IF(E29&gt;0,'2009 comm sample'!E28/'2009 Comm catch'!E29,"na")</f>
        <v>na</v>
      </c>
      <c r="Q29" s="432" t="str">
        <f>IF(F29&gt;0,'2009 comm sample'!F28/'2009 Comm catch'!F29,"na")</f>
        <v>na</v>
      </c>
      <c r="R29" s="442">
        <f t="shared" si="5"/>
        <v>0</v>
      </c>
      <c r="S29" s="443">
        <f t="shared" si="6"/>
        <v>0</v>
      </c>
      <c r="T29" s="443">
        <f t="shared" si="7"/>
        <v>0</v>
      </c>
      <c r="U29" s="443">
        <f t="shared" si="8"/>
        <v>0</v>
      </c>
      <c r="V29" s="443">
        <f t="shared" si="9"/>
        <v>0</v>
      </c>
      <c r="W29" s="356">
        <f t="shared" si="10"/>
        <v>0</v>
      </c>
      <c r="X29" s="647" t="e">
        <f t="shared" si="11"/>
        <v>#DIV/0!</v>
      </c>
      <c r="Y29" s="691" t="e">
        <f t="shared" si="12"/>
        <v>#DIV/0!</v>
      </c>
    </row>
    <row r="30" spans="1:25" x14ac:dyDescent="0.3">
      <c r="A30" s="2">
        <v>37</v>
      </c>
      <c r="B30" s="537"/>
      <c r="C30" s="538"/>
      <c r="D30" s="538"/>
      <c r="E30" s="538"/>
      <c r="F30" s="538"/>
      <c r="G30" s="437">
        <f t="shared" si="4"/>
        <v>0</v>
      </c>
      <c r="H30" s="543" t="str">
        <f>'2009 comm sample'!L29</f>
        <v>na</v>
      </c>
      <c r="I30" s="544" t="str">
        <f>'2009 comm sample'!M29</f>
        <v>na</v>
      </c>
      <c r="J30" s="544" t="str">
        <f>'2009 comm sample'!N29</f>
        <v>na</v>
      </c>
      <c r="K30" s="544" t="str">
        <f>'2009 comm sample'!O29</f>
        <v>na</v>
      </c>
      <c r="L30" s="544" t="str">
        <f>'2009 comm sample'!P29</f>
        <v>na</v>
      </c>
      <c r="M30" s="431" t="str">
        <f>IF(B30&gt;0,'2009 comm sample'!B29/'2009 Comm catch'!B30,"na")</f>
        <v>na</v>
      </c>
      <c r="N30" s="432" t="str">
        <f>IF(C30&gt;0,'2009 comm sample'!C29/'2009 Comm catch'!C30,"na")</f>
        <v>na</v>
      </c>
      <c r="O30" s="432" t="str">
        <f>IF(D30&gt;0,'2009 comm sample'!D29/'2009 Comm catch'!D30,"na")</f>
        <v>na</v>
      </c>
      <c r="P30" s="432" t="str">
        <f>IF(E30&gt;0,'2009 comm sample'!E29/'2009 Comm catch'!E30,"na")</f>
        <v>na</v>
      </c>
      <c r="Q30" s="432" t="str">
        <f>IF(F30&gt;0,'2009 comm sample'!F29/'2009 Comm catch'!F30,"na")</f>
        <v>na</v>
      </c>
      <c r="R30" s="442">
        <f t="shared" si="5"/>
        <v>0</v>
      </c>
      <c r="S30" s="443">
        <f t="shared" si="6"/>
        <v>0</v>
      </c>
      <c r="T30" s="443">
        <f t="shared" si="7"/>
        <v>0</v>
      </c>
      <c r="U30" s="443">
        <f t="shared" si="8"/>
        <v>0</v>
      </c>
      <c r="V30" s="443">
        <f t="shared" si="9"/>
        <v>0</v>
      </c>
      <c r="W30" s="356">
        <f t="shared" si="10"/>
        <v>0</v>
      </c>
      <c r="X30" s="647" t="e">
        <f t="shared" si="11"/>
        <v>#DIV/0!</v>
      </c>
      <c r="Y30" s="691" t="e">
        <f t="shared" si="12"/>
        <v>#DIV/0!</v>
      </c>
    </row>
    <row r="31" spans="1:25" x14ac:dyDescent="0.3">
      <c r="A31" s="2">
        <v>38</v>
      </c>
      <c r="B31" s="537"/>
      <c r="C31" s="538"/>
      <c r="D31" s="538"/>
      <c r="E31" s="538"/>
      <c r="F31" s="538"/>
      <c r="G31" s="437">
        <f t="shared" si="4"/>
        <v>0</v>
      </c>
      <c r="H31" s="543" t="str">
        <f>'2009 comm sample'!L30</f>
        <v>na</v>
      </c>
      <c r="I31" s="544" t="str">
        <f>'2009 comm sample'!M30</f>
        <v>na</v>
      </c>
      <c r="J31" s="544" t="str">
        <f>'2009 comm sample'!N30</f>
        <v>na</v>
      </c>
      <c r="K31" s="544" t="str">
        <f>'2009 comm sample'!O30</f>
        <v>na</v>
      </c>
      <c r="L31" s="544" t="str">
        <f>'2009 comm sample'!P30</f>
        <v>na</v>
      </c>
      <c r="M31" s="431" t="str">
        <f>IF(B31&gt;0,'2009 comm sample'!B30/'2009 Comm catch'!B31,"na")</f>
        <v>na</v>
      </c>
      <c r="N31" s="432" t="str">
        <f>IF(C31&gt;0,'2009 comm sample'!C30/'2009 Comm catch'!C31,"na")</f>
        <v>na</v>
      </c>
      <c r="O31" s="432" t="str">
        <f>IF(D31&gt;0,'2009 comm sample'!D30/'2009 Comm catch'!D31,"na")</f>
        <v>na</v>
      </c>
      <c r="P31" s="432" t="str">
        <f>IF(E31&gt;0,'2009 comm sample'!E30/'2009 Comm catch'!E31,"na")</f>
        <v>na</v>
      </c>
      <c r="Q31" s="432" t="str">
        <f>IF(F31&gt;0,'2009 comm sample'!F30/'2009 Comm catch'!F31,"na")</f>
        <v>na</v>
      </c>
      <c r="R31" s="442">
        <f t="shared" si="5"/>
        <v>0</v>
      </c>
      <c r="S31" s="443">
        <f t="shared" si="6"/>
        <v>0</v>
      </c>
      <c r="T31" s="443">
        <f t="shared" si="7"/>
        <v>0</v>
      </c>
      <c r="U31" s="443">
        <f t="shared" si="8"/>
        <v>0</v>
      </c>
      <c r="V31" s="443">
        <f t="shared" si="9"/>
        <v>0</v>
      </c>
      <c r="W31" s="356">
        <f t="shared" si="10"/>
        <v>0</v>
      </c>
      <c r="X31" s="647" t="e">
        <f t="shared" si="11"/>
        <v>#DIV/0!</v>
      </c>
      <c r="Y31" s="691" t="e">
        <f t="shared" si="12"/>
        <v>#DIV/0!</v>
      </c>
    </row>
    <row r="32" spans="1:25" x14ac:dyDescent="0.3">
      <c r="A32" s="2">
        <v>39</v>
      </c>
      <c r="B32" s="539"/>
      <c r="C32" s="540"/>
      <c r="D32" s="540"/>
      <c r="E32" s="123">
        <v>321</v>
      </c>
      <c r="F32" s="123">
        <v>259</v>
      </c>
      <c r="G32" s="437">
        <f t="shared" si="4"/>
        <v>580</v>
      </c>
      <c r="H32" s="543" t="str">
        <f>'2009 comm sample'!L31</f>
        <v>na</v>
      </c>
      <c r="I32" s="544" t="str">
        <f>'2009 comm sample'!M31</f>
        <v>na</v>
      </c>
      <c r="J32" s="544" t="str">
        <f>'2009 comm sample'!N31</f>
        <v>na</v>
      </c>
      <c r="K32" s="110">
        <f>'2009 comm sample'!O31</f>
        <v>0.2857142857142857</v>
      </c>
      <c r="L32" s="110">
        <f>'2009 comm sample'!P31</f>
        <v>0.46621621621621623</v>
      </c>
      <c r="M32" s="431" t="str">
        <f>IF(B32&gt;0,'2009 comm sample'!B31/'2009 Comm catch'!B32,"na")</f>
        <v>na</v>
      </c>
      <c r="N32" s="432" t="str">
        <f>IF(C32&gt;0,'2009 comm sample'!C31/'2009 Comm catch'!C32,"na")</f>
        <v>na</v>
      </c>
      <c r="O32" s="432" t="str">
        <f>IF(D32&gt;0,'2009 comm sample'!D31/'2009 Comm catch'!D32,"na")</f>
        <v>na</v>
      </c>
      <c r="P32" s="432">
        <f>IF(E32&gt;0,'2009 comm sample'!E31/'2009 Comm catch'!E32,"na")</f>
        <v>0.10903426791277258</v>
      </c>
      <c r="Q32" s="432">
        <f>IF(F32&gt;0,'2009 comm sample'!F31/'2009 Comm catch'!F32,"na")</f>
        <v>0.5714285714285714</v>
      </c>
      <c r="R32" s="450">
        <f t="shared" si="5"/>
        <v>0</v>
      </c>
      <c r="S32" s="451">
        <f t="shared" si="6"/>
        <v>0</v>
      </c>
      <c r="T32" s="451">
        <f t="shared" si="7"/>
        <v>0</v>
      </c>
      <c r="U32" s="451">
        <f t="shared" si="8"/>
        <v>91.714285714285708</v>
      </c>
      <c r="V32" s="451">
        <f t="shared" si="9"/>
        <v>120.75</v>
      </c>
      <c r="W32" s="356">
        <f t="shared" si="10"/>
        <v>212.46428571428572</v>
      </c>
      <c r="X32" s="647" t="e">
        <f t="shared" si="11"/>
        <v>#DIV/0!</v>
      </c>
      <c r="Y32" s="691">
        <f t="shared" si="12"/>
        <v>0.36631773399014778</v>
      </c>
    </row>
    <row r="33" spans="1:25" x14ac:dyDescent="0.3">
      <c r="A33" s="2">
        <v>40</v>
      </c>
      <c r="B33" s="426">
        <v>9364</v>
      </c>
      <c r="C33" s="427">
        <v>22668</v>
      </c>
      <c r="D33" s="427">
        <v>5549</v>
      </c>
      <c r="E33" s="457">
        <v>1014</v>
      </c>
      <c r="F33" s="457">
        <v>130</v>
      </c>
      <c r="G33" s="437">
        <f t="shared" si="4"/>
        <v>38725</v>
      </c>
      <c r="H33" s="545">
        <f>'2009 comm sample'!L32</f>
        <v>0.39524245196706315</v>
      </c>
      <c r="I33" s="110">
        <f>'2009 comm sample'!M32</f>
        <v>0.31278462734644008</v>
      </c>
      <c r="J33" s="512">
        <f>'Mean Unmarked Rates'!L49</f>
        <v>0</v>
      </c>
      <c r="K33" s="512">
        <f>'Mean Unmarked Rates'!L50</f>
        <v>0</v>
      </c>
      <c r="L33" s="532">
        <f>'2009 comm sample'!P32</f>
        <v>0.59782608695652173</v>
      </c>
      <c r="M33" s="431">
        <f>IF(B33&gt;0,'2009 comm sample'!B32/'2009 Comm catch'!B33,"na")</f>
        <v>0.11672362238359675</v>
      </c>
      <c r="N33" s="432">
        <f>IF(C33&gt;0,'2009 comm sample'!C32/'2009 Comm catch'!C33,"na")</f>
        <v>0.39716781365802012</v>
      </c>
      <c r="O33" s="432">
        <f>IF(D33&gt;0,'2009 comm sample'!D32/'2009 Comm catch'!D33,"na")</f>
        <v>0</v>
      </c>
      <c r="P33" s="432">
        <f>IF(E33&gt;0,'2009 comm sample'!E32/'2009 Comm catch'!E33,"na")</f>
        <v>0</v>
      </c>
      <c r="Q33" s="432">
        <f>IF(F33&gt;0,'2009 comm sample'!F32/'2009 Comm catch'!F33,"na")</f>
        <v>0.70769230769230773</v>
      </c>
      <c r="R33" s="442">
        <f t="shared" si="5"/>
        <v>3701.0503202195791</v>
      </c>
      <c r="S33" s="443">
        <f t="shared" si="6"/>
        <v>7090.2019326891041</v>
      </c>
      <c r="T33" s="443">
        <f t="shared" si="7"/>
        <v>0</v>
      </c>
      <c r="U33" s="443">
        <f t="shared" si="8"/>
        <v>0</v>
      </c>
      <c r="V33" s="443">
        <f t="shared" si="9"/>
        <v>77.717391304347828</v>
      </c>
      <c r="W33" s="356">
        <f t="shared" si="10"/>
        <v>10868.969644213032</v>
      </c>
      <c r="X33" s="647">
        <f t="shared" si="11"/>
        <v>0.28714649032512929</v>
      </c>
      <c r="Y33" s="691">
        <f t="shared" si="12"/>
        <v>6.7934782608695649E-2</v>
      </c>
    </row>
    <row r="34" spans="1:25" x14ac:dyDescent="0.3">
      <c r="A34" s="2">
        <v>41</v>
      </c>
      <c r="B34" s="426">
        <v>4</v>
      </c>
      <c r="C34" s="427">
        <v>33</v>
      </c>
      <c r="D34" s="427">
        <v>12</v>
      </c>
      <c r="E34" s="514">
        <v>655</v>
      </c>
      <c r="F34" s="514">
        <v>176</v>
      </c>
      <c r="G34" s="437">
        <f t="shared" si="4"/>
        <v>880</v>
      </c>
      <c r="H34" s="532" t="str">
        <f>'2009 comm sample'!L33</f>
        <v>na</v>
      </c>
      <c r="I34" s="532">
        <f>'2009 comm sample'!M33</f>
        <v>0.51948051948051943</v>
      </c>
      <c r="J34" s="532" t="str">
        <f>'2009 comm sample'!N33</f>
        <v>na</v>
      </c>
      <c r="K34" s="532">
        <f>'2009 comm sample'!O33</f>
        <v>0.41379310344827586</v>
      </c>
      <c r="L34" s="533">
        <f>'2009 comm sample'!P33</f>
        <v>0.69841269841269837</v>
      </c>
      <c r="M34" s="431">
        <f>IF(B34&gt;0,'2009 comm sample'!B33/'2009 Comm catch'!B34,"na")</f>
        <v>0</v>
      </c>
      <c r="N34" s="432">
        <f>IF(C34&gt;0,'2009 comm sample'!C33/'2009 Comm catch'!C34,"na")</f>
        <v>2.3333333333333335</v>
      </c>
      <c r="O34" s="432">
        <f>IF(D34&gt;0,'2009 comm sample'!D33/'2009 Comm catch'!D34,"na")</f>
        <v>0</v>
      </c>
      <c r="P34" s="432">
        <f>IF(E34&gt;0,'2009 comm sample'!E33/'2009 Comm catch'!E34,"na")</f>
        <v>0.17709923664122137</v>
      </c>
      <c r="Q34" s="432">
        <f>IF(F34&gt;0,'2009 comm sample'!F33/'2009 Comm catch'!F34,"na")</f>
        <v>0.35795454545454547</v>
      </c>
      <c r="R34" s="442">
        <f t="shared" si="5"/>
        <v>0</v>
      </c>
      <c r="S34" s="443">
        <f t="shared" si="6"/>
        <v>17.142857142857142</v>
      </c>
      <c r="T34" s="443">
        <f t="shared" si="7"/>
        <v>0</v>
      </c>
      <c r="U34" s="443">
        <f t="shared" si="8"/>
        <v>271.0344827586207</v>
      </c>
      <c r="V34" s="443">
        <f t="shared" si="9"/>
        <v>122.92063492063491</v>
      </c>
      <c r="W34" s="356">
        <f t="shared" si="10"/>
        <v>411.09797482211275</v>
      </c>
      <c r="X34" s="647">
        <f t="shared" si="11"/>
        <v>0.3498542274052478</v>
      </c>
      <c r="Y34" s="691">
        <f t="shared" si="12"/>
        <v>0.47407354714711869</v>
      </c>
    </row>
    <row r="35" spans="1:25" x14ac:dyDescent="0.3">
      <c r="A35" s="2">
        <v>42</v>
      </c>
      <c r="B35" s="426"/>
      <c r="C35" s="427">
        <v>9</v>
      </c>
      <c r="D35" s="427">
        <v>37</v>
      </c>
      <c r="E35" s="457">
        <v>100</v>
      </c>
      <c r="F35" s="457">
        <v>6</v>
      </c>
      <c r="G35" s="437">
        <f t="shared" si="4"/>
        <v>152</v>
      </c>
      <c r="H35" s="532" t="str">
        <f>'2009 comm sample'!L34</f>
        <v>na</v>
      </c>
      <c r="I35" s="532" t="str">
        <f>'2009 comm sample'!M34</f>
        <v>na</v>
      </c>
      <c r="J35" s="532" t="str">
        <f>'2009 comm sample'!N34</f>
        <v>na</v>
      </c>
      <c r="K35" s="532" t="str">
        <f>'2009 comm sample'!O34</f>
        <v>na</v>
      </c>
      <c r="L35" s="533">
        <f>'2009 comm sample'!P34</f>
        <v>0.37037037037037035</v>
      </c>
      <c r="M35" s="431" t="str">
        <f>IF(B35&gt;0,'2009 comm sample'!B34/'2009 Comm catch'!B35,"na")</f>
        <v>na</v>
      </c>
      <c r="N35" s="432">
        <f>IF(C35&gt;0,'2009 comm sample'!C34/'2009 Comm catch'!C35,"na")</f>
        <v>0</v>
      </c>
      <c r="O35" s="432">
        <f>IF(D35&gt;0,'2009 comm sample'!D34/'2009 Comm catch'!D35,"na")</f>
        <v>0</v>
      </c>
      <c r="P35" s="432">
        <f>IF(E35&gt;0,'2009 comm sample'!E34/'2009 Comm catch'!E35,"na")</f>
        <v>0</v>
      </c>
      <c r="Q35" s="432">
        <f>IF(F35&gt;0,'2009 comm sample'!F34/'2009 Comm catch'!F35,"na")</f>
        <v>13.5</v>
      </c>
      <c r="R35" s="442">
        <f t="shared" si="5"/>
        <v>0</v>
      </c>
      <c r="S35" s="443">
        <f t="shared" si="6"/>
        <v>0</v>
      </c>
      <c r="T35" s="443">
        <f t="shared" si="7"/>
        <v>0</v>
      </c>
      <c r="U35" s="443">
        <f t="shared" si="8"/>
        <v>0</v>
      </c>
      <c r="V35" s="443">
        <f t="shared" si="9"/>
        <v>2.2222222222222223</v>
      </c>
      <c r="W35" s="356">
        <f t="shared" si="10"/>
        <v>2.2222222222222223</v>
      </c>
      <c r="X35" s="647">
        <f t="shared" si="11"/>
        <v>0</v>
      </c>
      <c r="Y35" s="691">
        <f t="shared" si="12"/>
        <v>2.0964360587002098E-2</v>
      </c>
    </row>
    <row r="36" spans="1:25" x14ac:dyDescent="0.3">
      <c r="A36" s="2">
        <v>43</v>
      </c>
      <c r="B36" s="426">
        <v>198</v>
      </c>
      <c r="C36" s="457">
        <v>1309</v>
      </c>
      <c r="D36" s="457">
        <v>1026</v>
      </c>
      <c r="E36" s="457">
        <v>162</v>
      </c>
      <c r="F36" s="457">
        <v>139</v>
      </c>
      <c r="G36" s="437">
        <f t="shared" si="4"/>
        <v>2834</v>
      </c>
      <c r="H36" s="532" t="str">
        <f>'2009 comm sample'!L35</f>
        <v>na</v>
      </c>
      <c r="I36" s="532">
        <f>'2009 comm sample'!M35</f>
        <v>0.19666666666666666</v>
      </c>
      <c r="J36" s="532">
        <f>'2009 comm sample'!N35</f>
        <v>0.24123989218328842</v>
      </c>
      <c r="K36" s="532">
        <f>'2009 comm sample'!O35</f>
        <v>7.6923076923076927E-2</v>
      </c>
      <c r="L36" s="532">
        <f>'2009 comm sample'!P35</f>
        <v>0.5714285714285714</v>
      </c>
      <c r="M36" s="431">
        <f>IF(B36&gt;0,'2009 comm sample'!B35/'2009 Comm catch'!B36,"na")</f>
        <v>0</v>
      </c>
      <c r="N36" s="432">
        <f>IF(C36&gt;0,'2009 comm sample'!C35/'2009 Comm catch'!C36,"na")</f>
        <v>0.22918258212375858</v>
      </c>
      <c r="O36" s="432">
        <f>IF(D36&gt;0,'2009 comm sample'!D35/'2009 Comm catch'!D36,"na")</f>
        <v>0.72319688109161795</v>
      </c>
      <c r="P36" s="432">
        <f>IF(E36&gt;0,'2009 comm sample'!E35/'2009 Comm catch'!E36,"na")</f>
        <v>8.0246913580246909E-2</v>
      </c>
      <c r="Q36" s="432">
        <f>IF(F36&gt;0,'2009 comm sample'!F35/'2009 Comm catch'!F36,"na")</f>
        <v>0.45323741007194246</v>
      </c>
      <c r="R36" s="442">
        <f t="shared" si="5"/>
        <v>0</v>
      </c>
      <c r="S36" s="443">
        <f t="shared" si="6"/>
        <v>257.43666666666667</v>
      </c>
      <c r="T36" s="443">
        <f t="shared" si="7"/>
        <v>247.51212938005392</v>
      </c>
      <c r="U36" s="443">
        <f t="shared" si="8"/>
        <v>12.461538461538462</v>
      </c>
      <c r="V36" s="443">
        <f t="shared" si="9"/>
        <v>79.428571428571431</v>
      </c>
      <c r="W36" s="356">
        <f t="shared" si="10"/>
        <v>596.83890593683054</v>
      </c>
      <c r="X36" s="647">
        <f t="shared" si="11"/>
        <v>0.19934812319254663</v>
      </c>
      <c r="Y36" s="691">
        <f t="shared" si="12"/>
        <v>0.30528275710999964</v>
      </c>
    </row>
    <row r="37" spans="1:25" x14ac:dyDescent="0.3">
      <c r="A37" s="2">
        <v>44</v>
      </c>
      <c r="B37" s="426"/>
      <c r="C37" s="457">
        <v>389</v>
      </c>
      <c r="D37" s="457">
        <v>341</v>
      </c>
      <c r="E37" s="457">
        <v>7</v>
      </c>
      <c r="F37" s="457">
        <v>2</v>
      </c>
      <c r="G37" s="437">
        <f t="shared" si="4"/>
        <v>739</v>
      </c>
      <c r="H37" s="532" t="str">
        <f>'2009 comm sample'!L36</f>
        <v>na</v>
      </c>
      <c r="I37" s="532">
        <f>'2009 comm sample'!M36</f>
        <v>0.32167832167832167</v>
      </c>
      <c r="J37" s="532">
        <f>'2009 comm sample'!N36</f>
        <v>0.29681978798586572</v>
      </c>
      <c r="K37" s="532" t="str">
        <f>'2009 comm sample'!O36</f>
        <v>na</v>
      </c>
      <c r="L37" s="533" t="str">
        <f>'2009 comm sample'!P36</f>
        <v>na</v>
      </c>
      <c r="M37" s="431" t="str">
        <f>IF(B37&gt;0,'2009 comm sample'!B36/'2009 Comm catch'!B37,"na")</f>
        <v>na</v>
      </c>
      <c r="N37" s="432">
        <f>IF(C37&gt;0,'2009 comm sample'!C36/'2009 Comm catch'!C37,"na")</f>
        <v>0.36760925449871468</v>
      </c>
      <c r="O37" s="432">
        <f>IF(D37&gt;0,'2009 comm sample'!D36/'2009 Comm catch'!D37,"na")</f>
        <v>0.8299120234604106</v>
      </c>
      <c r="P37" s="432">
        <f>IF(E37&gt;0,'2009 comm sample'!E36/'2009 Comm catch'!E37,"na")</f>
        <v>0</v>
      </c>
      <c r="Q37" s="432">
        <f>IF(F37&gt;0,'2009 comm sample'!F36/'2009 Comm catch'!F37,"na")</f>
        <v>0</v>
      </c>
      <c r="R37" s="442">
        <f t="shared" si="5"/>
        <v>0</v>
      </c>
      <c r="S37" s="443">
        <f t="shared" si="6"/>
        <v>125.13286713286713</v>
      </c>
      <c r="T37" s="443">
        <f t="shared" si="7"/>
        <v>101.21554770318021</v>
      </c>
      <c r="U37" s="443">
        <f t="shared" si="8"/>
        <v>0</v>
      </c>
      <c r="V37" s="443">
        <f t="shared" si="9"/>
        <v>0</v>
      </c>
      <c r="W37" s="356">
        <f t="shared" si="10"/>
        <v>226.34841483604734</v>
      </c>
      <c r="X37" s="647">
        <f t="shared" si="11"/>
        <v>0.31006632169321552</v>
      </c>
      <c r="Y37" s="691">
        <f t="shared" si="12"/>
        <v>0</v>
      </c>
    </row>
    <row r="38" spans="1:25" x14ac:dyDescent="0.3">
      <c r="A38" s="2">
        <v>45</v>
      </c>
      <c r="B38" s="478"/>
      <c r="C38" s="52"/>
      <c r="D38" s="52"/>
      <c r="E38" s="52"/>
      <c r="F38" s="52"/>
      <c r="G38" s="438">
        <f t="shared" si="4"/>
        <v>0</v>
      </c>
      <c r="H38" s="534" t="str">
        <f>'2009 comm sample'!L37</f>
        <v>na</v>
      </c>
      <c r="I38" s="534" t="str">
        <f>'2009 comm sample'!M37</f>
        <v>na</v>
      </c>
      <c r="J38" s="534" t="str">
        <f>'2009 comm sample'!N37</f>
        <v>na</v>
      </c>
      <c r="K38" s="534" t="str">
        <f>'2009 comm sample'!O37</f>
        <v>na</v>
      </c>
      <c r="L38" s="535" t="str">
        <f>'2009 comm sample'!P37</f>
        <v>na</v>
      </c>
      <c r="M38" s="433" t="str">
        <f>IF(B38&gt;0,'2009 comm sample'!B37/'2009 Comm catch'!B38,"na")</f>
        <v>na</v>
      </c>
      <c r="N38" s="434" t="str">
        <f>IF(C38&gt;0,'2009 comm sample'!C37/'2009 Comm catch'!C38,"na")</f>
        <v>na</v>
      </c>
      <c r="O38" s="434" t="str">
        <f>IF(D38&gt;0,'2009 comm sample'!D37/'2009 Comm catch'!D38,"na")</f>
        <v>na</v>
      </c>
      <c r="P38" s="434" t="str">
        <f>IF(E38&gt;0,'2009 comm sample'!E37/'2009 Comm catch'!E38,"na")</f>
        <v>na</v>
      </c>
      <c r="Q38" s="434" t="str">
        <f>IF(F38&gt;0,'2009 comm sample'!F37/'2009 Comm catch'!F38,"na")</f>
        <v>na</v>
      </c>
      <c r="R38" s="480">
        <f t="shared" si="5"/>
        <v>0</v>
      </c>
      <c r="S38" s="481">
        <f t="shared" si="6"/>
        <v>0</v>
      </c>
      <c r="T38" s="481">
        <f t="shared" si="7"/>
        <v>0</v>
      </c>
      <c r="U38" s="481">
        <f t="shared" si="8"/>
        <v>0</v>
      </c>
      <c r="V38" s="481">
        <f t="shared" si="9"/>
        <v>0</v>
      </c>
      <c r="W38" s="510">
        <f t="shared" si="10"/>
        <v>0</v>
      </c>
      <c r="X38" s="647" t="e">
        <f t="shared" si="11"/>
        <v>#DIV/0!</v>
      </c>
      <c r="Y38" s="691" t="e">
        <f t="shared" si="12"/>
        <v>#DIV/0!</v>
      </c>
    </row>
    <row r="39" spans="1:25" x14ac:dyDescent="0.3">
      <c r="A39" s="24" t="s">
        <v>184</v>
      </c>
      <c r="B39" s="476">
        <f>SUM(B25:B38)</f>
        <v>9688</v>
      </c>
      <c r="C39" s="463">
        <f>SUM(C25:C38)</f>
        <v>24439</v>
      </c>
      <c r="D39" s="463">
        <f>SUM(D25:D38)</f>
        <v>7047</v>
      </c>
      <c r="E39" s="463">
        <f>SUM(E25:E38)</f>
        <v>2586</v>
      </c>
      <c r="F39" s="463">
        <f>SUM(F25:F38)</f>
        <v>1481</v>
      </c>
      <c r="G39" s="404">
        <f t="shared" si="4"/>
        <v>45241</v>
      </c>
      <c r="H39" s="446">
        <f>'2009 comm sample'!L38</f>
        <v>0.39842381786339753</v>
      </c>
      <c r="I39" s="223">
        <f>'2009 comm sample'!M38</f>
        <v>0.31120201384518564</v>
      </c>
      <c r="J39" s="223">
        <f>'2009 comm sample'!N38</f>
        <v>0.25658536585365854</v>
      </c>
      <c r="K39" s="223">
        <f>'2009 comm sample'!O38</f>
        <v>0.53068592057761732</v>
      </c>
      <c r="L39" s="477">
        <f>'2009 comm sample'!P38</f>
        <v>0.57807308970099669</v>
      </c>
      <c r="M39" s="445">
        <f>IF(B39&gt;0,'2009 comm sample'!B38/'2009 Comm catch'!B39,"na")</f>
        <v>0.11787778695293147</v>
      </c>
      <c r="N39" s="475">
        <f>IF(C39&gt;0,'2009 comm sample'!C38/'2009 Comm catch'!C39,"na")</f>
        <v>0.39011416179058062</v>
      </c>
      <c r="O39" s="475">
        <f>IF(D39&gt;0,'2009 comm sample'!D38/'2009 Comm catch'!D39,"na")</f>
        <v>0.14545196537533703</v>
      </c>
      <c r="P39" s="475">
        <f>IF(E39&gt;0,'2009 comm sample'!E38/'2009 Comm catch'!E39,"na")</f>
        <v>0.10711523588553751</v>
      </c>
      <c r="Q39" s="475">
        <f>IF(F39&gt;0,'2009 comm sample'!F38/'2009 Comm catch'!F39,"na")</f>
        <v>0.4064821066846725</v>
      </c>
      <c r="R39" s="480">
        <f>SUM(R25:R38)</f>
        <v>3758.3156263420283</v>
      </c>
      <c r="S39" s="481">
        <f>SUM(S25:S38)</f>
        <v>7508.5143236314952</v>
      </c>
      <c r="T39" s="481">
        <f>SUM(T25:T38)</f>
        <v>348.72767708323414</v>
      </c>
      <c r="U39" s="481">
        <f>SUM(U25:U38)</f>
        <v>629.08641312913517</v>
      </c>
      <c r="V39" s="481">
        <f>SUM(V25:V38)</f>
        <v>966.91232414928072</v>
      </c>
      <c r="W39" s="510">
        <f t="shared" si="10"/>
        <v>13211.556364335174</v>
      </c>
      <c r="X39" s="647">
        <f t="shared" si="11"/>
        <v>0.28210904034237039</v>
      </c>
      <c r="Y39" s="691">
        <f t="shared" si="12"/>
        <v>0.39242653977831715</v>
      </c>
    </row>
    <row r="40" spans="1:25" x14ac:dyDescent="0.3">
      <c r="A40" s="24"/>
      <c r="B40" s="29"/>
      <c r="C40" s="29"/>
      <c r="D40" s="29"/>
      <c r="E40" s="29"/>
      <c r="F40" s="29">
        <f>SUM(B39:F39)</f>
        <v>45241</v>
      </c>
      <c r="G40" s="29"/>
      <c r="H40" s="29"/>
      <c r="I40" s="29"/>
      <c r="J40" s="29"/>
      <c r="K40" s="29"/>
      <c r="L40" s="220">
        <f>V40/F40</f>
        <v>0.29202617900433619</v>
      </c>
      <c r="M40" s="29"/>
      <c r="N40" s="29"/>
      <c r="O40" s="29"/>
      <c r="P40" s="29"/>
      <c r="Q40" s="28">
        <f>'2009 comm sample'!F39/'2009 Comm catch'!F40</f>
        <v>0.27806635573926308</v>
      </c>
      <c r="R40" s="29"/>
      <c r="S40" s="29"/>
      <c r="T40" s="29"/>
      <c r="U40" s="29"/>
      <c r="V40" s="29">
        <f>SUM(R39:V39)</f>
        <v>13211.556364335174</v>
      </c>
    </row>
    <row r="43" spans="1:25" ht="15" x14ac:dyDescent="0.3">
      <c r="A43" s="27"/>
      <c r="B43" s="29"/>
      <c r="C43" s="29"/>
      <c r="D43" s="29"/>
      <c r="F43" s="947" t="s">
        <v>209</v>
      </c>
      <c r="G43" s="948"/>
      <c r="H43" s="948"/>
      <c r="I43" s="949"/>
      <c r="J43" s="29"/>
      <c r="K43" s="29"/>
      <c r="V43" s="29"/>
    </row>
    <row r="44" spans="1:25" x14ac:dyDescent="0.3">
      <c r="A44" s="484" t="s">
        <v>258</v>
      </c>
      <c r="B44" s="423" t="s">
        <v>44</v>
      </c>
      <c r="C44" s="423" t="s">
        <v>55</v>
      </c>
      <c r="D44" s="435" t="s">
        <v>56</v>
      </c>
      <c r="F44" s="338"/>
      <c r="G44" s="174" t="s">
        <v>160</v>
      </c>
      <c r="H44" s="339" t="s">
        <v>161</v>
      </c>
      <c r="I44" s="337" t="s">
        <v>44</v>
      </c>
      <c r="J44" s="951" t="s">
        <v>207</v>
      </c>
      <c r="K44" s="952"/>
    </row>
    <row r="45" spans="1:25" x14ac:dyDescent="0.3">
      <c r="A45" s="426" t="s">
        <v>31</v>
      </c>
      <c r="B45" s="123">
        <f>B19</f>
        <v>49329</v>
      </c>
      <c r="C45" s="123">
        <f>N19</f>
        <v>2696.1002434401025</v>
      </c>
      <c r="D45" s="461">
        <f>C45/B45</f>
        <v>5.4655481429587108E-2</v>
      </c>
      <c r="F45" s="472" t="s">
        <v>31</v>
      </c>
      <c r="G45" s="283">
        <f>C45*J45</f>
        <v>323.53202921281229</v>
      </c>
      <c r="H45" s="284">
        <v>0</v>
      </c>
      <c r="I45" s="285">
        <f>H45+G45</f>
        <v>323.53202921281229</v>
      </c>
      <c r="J45" s="466">
        <v>0.12</v>
      </c>
      <c r="K45" s="437" t="s">
        <v>31</v>
      </c>
    </row>
    <row r="46" spans="1:25" x14ac:dyDescent="0.3">
      <c r="A46" s="426" t="s">
        <v>62</v>
      </c>
      <c r="B46" s="123">
        <f>C19</f>
        <v>16918</v>
      </c>
      <c r="C46" s="123">
        <f>O19</f>
        <v>2384.9219164247133</v>
      </c>
      <c r="D46" s="461">
        <f>C46/B46</f>
        <v>0.14096949500086969</v>
      </c>
      <c r="F46" s="338" t="s">
        <v>62</v>
      </c>
      <c r="G46" s="287">
        <f>C46*J46</f>
        <v>476.98438328494268</v>
      </c>
      <c r="H46" s="288">
        <v>0</v>
      </c>
      <c r="I46" s="289">
        <f>H46+G46</f>
        <v>476.98438328494268</v>
      </c>
      <c r="J46" s="468">
        <v>0.2</v>
      </c>
      <c r="K46" s="437" t="s">
        <v>62</v>
      </c>
    </row>
    <row r="47" spans="1:25" x14ac:dyDescent="0.3">
      <c r="A47" s="426" t="s">
        <v>32</v>
      </c>
      <c r="B47" s="123">
        <f>D19</f>
        <v>10043</v>
      </c>
      <c r="C47" s="123">
        <f>P19</f>
        <v>539.64387753596611</v>
      </c>
      <c r="D47" s="461">
        <f>C47/B47</f>
        <v>5.3733334415609492E-2</v>
      </c>
      <c r="F47" s="472" t="s">
        <v>32</v>
      </c>
      <c r="G47" s="283">
        <f>C47*J47</f>
        <v>70.153704079675592</v>
      </c>
      <c r="H47" s="284">
        <v>0</v>
      </c>
      <c r="I47" s="285">
        <f>H47+G47</f>
        <v>70.153704079675592</v>
      </c>
      <c r="J47" s="466">
        <v>0.13</v>
      </c>
      <c r="K47" s="437" t="s">
        <v>32</v>
      </c>
    </row>
    <row r="48" spans="1:25" x14ac:dyDescent="0.3">
      <c r="A48" s="485" t="s">
        <v>203</v>
      </c>
      <c r="B48" s="123">
        <f>E19</f>
        <v>4660</v>
      </c>
      <c r="C48" s="123">
        <f>Q19</f>
        <v>380.24656990171064</v>
      </c>
      <c r="D48" s="461">
        <f>C48/B48</f>
        <v>8.1597976373757652E-2</v>
      </c>
      <c r="F48" s="472" t="s">
        <v>203</v>
      </c>
      <c r="G48" s="283">
        <f>C48*J48</f>
        <v>41.827122689188172</v>
      </c>
      <c r="H48" s="465">
        <v>0</v>
      </c>
      <c r="I48" s="285">
        <f>H48+G48</f>
        <v>41.827122689188172</v>
      </c>
      <c r="J48" s="466">
        <v>0.11</v>
      </c>
      <c r="K48" s="437" t="s">
        <v>203</v>
      </c>
    </row>
    <row r="49" spans="1:11" x14ac:dyDescent="0.3">
      <c r="A49" s="421" t="s">
        <v>61</v>
      </c>
      <c r="B49" s="106">
        <f>SUM(B45:B48)</f>
        <v>80950</v>
      </c>
      <c r="C49" s="106">
        <f>SUM(C45:C48)</f>
        <v>6000.9126073024927</v>
      </c>
      <c r="D49" s="447">
        <f>C49/B49</f>
        <v>7.4131100769641661E-2</v>
      </c>
      <c r="E49" s="2"/>
      <c r="F49" s="290" t="s">
        <v>61</v>
      </c>
      <c r="G49" s="291">
        <f>SUM(G45:G48)</f>
        <v>912.49723926661875</v>
      </c>
      <c r="H49" s="292"/>
      <c r="I49" s="293">
        <f>H49+G49</f>
        <v>912.49723926661875</v>
      </c>
    </row>
    <row r="50" spans="1:11" x14ac:dyDescent="0.3">
      <c r="B50" s="24"/>
      <c r="C50" s="24"/>
      <c r="D50" s="67"/>
      <c r="E50" s="2"/>
      <c r="F50" s="472"/>
      <c r="G50" s="482"/>
      <c r="H50" s="482"/>
      <c r="I50" s="483"/>
      <c r="J50" s="466"/>
      <c r="K50" s="437"/>
    </row>
    <row r="51" spans="1:11" x14ac:dyDescent="0.3">
      <c r="A51" s="484" t="s">
        <v>123</v>
      </c>
      <c r="B51" s="423" t="s">
        <v>44</v>
      </c>
      <c r="C51" s="423" t="s">
        <v>55</v>
      </c>
      <c r="D51" s="435" t="s">
        <v>56</v>
      </c>
      <c r="E51" s="2"/>
      <c r="F51" s="334" t="s">
        <v>123</v>
      </c>
      <c r="G51" s="487" t="s">
        <v>160</v>
      </c>
      <c r="H51" s="418" t="s">
        <v>161</v>
      </c>
      <c r="I51" s="488" t="s">
        <v>44</v>
      </c>
      <c r="J51" s="953" t="s">
        <v>270</v>
      </c>
      <c r="K51" s="954"/>
    </row>
    <row r="52" spans="1:11" x14ac:dyDescent="0.3">
      <c r="A52" s="426">
        <v>1</v>
      </c>
      <c r="B52" s="123">
        <f>B39</f>
        <v>9688</v>
      </c>
      <c r="C52" s="123">
        <f>R39</f>
        <v>3758.3156263420283</v>
      </c>
      <c r="D52" s="461">
        <f t="shared" ref="D52:D57" si="13">C52/B52</f>
        <v>0.38793513897006898</v>
      </c>
      <c r="F52" s="472">
        <v>1</v>
      </c>
      <c r="G52" s="65">
        <f>SUM(R25:R30)*$J$52+R31*$J$53+R32*$J$54+R33*$J$55+R34*$J$56+SUM(R35:R38)*$J$57</f>
        <v>1907.7904662322385</v>
      </c>
      <c r="H52" s="65">
        <f>R31*$J$53+R32*$J$54+R33*$J$55+R34*$J$56+SUM(R35:R38)</f>
        <v>1850.5251601097896</v>
      </c>
      <c r="I52" s="359">
        <f>H52+G52</f>
        <v>3758.3156263420278</v>
      </c>
      <c r="J52" s="466">
        <v>1</v>
      </c>
      <c r="K52" s="437" t="s">
        <v>206</v>
      </c>
    </row>
    <row r="53" spans="1:11" x14ac:dyDescent="0.3">
      <c r="A53" s="426">
        <v>2</v>
      </c>
      <c r="B53" s="123">
        <f>C39</f>
        <v>24439</v>
      </c>
      <c r="C53" s="123">
        <f>S39</f>
        <v>7508.5143236314952</v>
      </c>
      <c r="D53" s="461">
        <f t="shared" si="13"/>
        <v>0.30723492465450697</v>
      </c>
      <c r="F53" s="472">
        <v>2</v>
      </c>
      <c r="G53" s="65">
        <f>SUM(S25:S30)*$J$52+S31*$J$53+S32*$J$54+S33*$J$55+S34*$J$56+SUM(S35:S38)*$J$57</f>
        <v>3572.2723949159804</v>
      </c>
      <c r="H53" s="65">
        <f>S31*$J$53+S32*$J$54+S33*$J$55+S34*$J$56+SUM(S35:S38)</f>
        <v>3936.2419287155144</v>
      </c>
      <c r="I53" s="359">
        <f>H53+G53</f>
        <v>7508.5143236314943</v>
      </c>
      <c r="J53" s="466">
        <v>0.5</v>
      </c>
      <c r="K53" s="437" t="s">
        <v>204</v>
      </c>
    </row>
    <row r="54" spans="1:11" x14ac:dyDescent="0.3">
      <c r="A54" s="426">
        <v>3</v>
      </c>
      <c r="B54" s="123">
        <f>D39</f>
        <v>7047</v>
      </c>
      <c r="C54" s="123">
        <f>T39</f>
        <v>348.72767708323414</v>
      </c>
      <c r="D54" s="461">
        <f t="shared" si="13"/>
        <v>4.948597659759247E-2</v>
      </c>
      <c r="F54" s="472">
        <v>3</v>
      </c>
      <c r="G54" s="65">
        <f>SUM(T25:T30)*$J$52+T31*$J$53+T32*$J$54+T33*$J$55+T34*$J$56+SUM(T35:T38)*$J$57</f>
        <v>0</v>
      </c>
      <c r="H54" s="65">
        <f>T31*$J$53+T32*$J$54+T33*$J$55+T34*$J$56+SUM(T35:T38)</f>
        <v>348.72767708323414</v>
      </c>
      <c r="I54" s="359">
        <f>H54+G54</f>
        <v>348.72767708323414</v>
      </c>
      <c r="J54" s="466">
        <v>0.5</v>
      </c>
      <c r="K54" s="437" t="s">
        <v>175</v>
      </c>
    </row>
    <row r="55" spans="1:11" x14ac:dyDescent="0.3">
      <c r="A55" s="426">
        <v>4</v>
      </c>
      <c r="B55" s="123">
        <f>E39</f>
        <v>2586</v>
      </c>
      <c r="C55" s="123">
        <f>U39</f>
        <v>629.08641312913517</v>
      </c>
      <c r="D55" s="461">
        <f t="shared" si="13"/>
        <v>0.24326620770654878</v>
      </c>
      <c r="F55" s="472">
        <v>4</v>
      </c>
      <c r="G55" s="65">
        <f>SUM(U25:U30)*$J$52+U31*$J$53+U32*$J$54+U33*$J$55+U34*$J$56+SUM(U35:U38)*$J$57</f>
        <v>435.25049043114348</v>
      </c>
      <c r="H55" s="65">
        <f>U31*$J$53+U32*$J$54+U33*$J$55+U34*$J$56+SUM(U35:U38)</f>
        <v>193.83592269799166</v>
      </c>
      <c r="I55" s="359">
        <f>H55+G55</f>
        <v>629.08641312913517</v>
      </c>
      <c r="J55" s="466">
        <v>0.5</v>
      </c>
      <c r="K55" s="437" t="s">
        <v>172</v>
      </c>
    </row>
    <row r="56" spans="1:11" x14ac:dyDescent="0.3">
      <c r="A56" s="428">
        <v>5</v>
      </c>
      <c r="B56" s="52">
        <f>F39</f>
        <v>1481</v>
      </c>
      <c r="C56" s="52">
        <f>V39</f>
        <v>966.91232414928072</v>
      </c>
      <c r="D56" s="479">
        <f t="shared" si="13"/>
        <v>0.65287800415211394</v>
      </c>
      <c r="F56" s="338">
        <v>5</v>
      </c>
      <c r="G56" s="65">
        <f>SUM(V25:V30)*$J$52+V31*$J$53+V32*$J$54+V33*$J$55+V34*$J$56+SUM(V35:V38)*$J$57</f>
        <v>724.56751738599564</v>
      </c>
      <c r="H56" s="65">
        <f>V31*$J$53+V32*$J$54+V33*$J$55+V34*$J$56+SUM(V35:V38)</f>
        <v>242.34480676328502</v>
      </c>
      <c r="I56" s="359">
        <f>H56+G56</f>
        <v>966.91232414928072</v>
      </c>
      <c r="J56" s="466">
        <v>0.5</v>
      </c>
      <c r="K56" s="437" t="s">
        <v>176</v>
      </c>
    </row>
    <row r="57" spans="1:11" x14ac:dyDescent="0.3">
      <c r="A57" s="419" t="s">
        <v>60</v>
      </c>
      <c r="B57" s="96">
        <f>SUM(B52:B56)</f>
        <v>45241</v>
      </c>
      <c r="C57" s="96">
        <f>SUM(C52:C56)</f>
        <v>13211.556364335174</v>
      </c>
      <c r="D57" s="486">
        <f t="shared" si="13"/>
        <v>0.29202617900433619</v>
      </c>
      <c r="F57" s="273" t="s">
        <v>60</v>
      </c>
      <c r="G57" s="303">
        <f>SUM(G52:G56)</f>
        <v>6639.8808689653579</v>
      </c>
      <c r="H57" s="292">
        <f>SUM(H52:H56)</f>
        <v>6571.6754953698155</v>
      </c>
      <c r="I57" s="292">
        <f>SUM(I52:I56)</f>
        <v>13211.556364335171</v>
      </c>
      <c r="J57" s="466">
        <v>0</v>
      </c>
      <c r="K57" s="437" t="s">
        <v>205</v>
      </c>
    </row>
    <row r="58" spans="1:11" x14ac:dyDescent="0.3">
      <c r="A58" s="27"/>
      <c r="B58" s="218"/>
      <c r="C58" s="218"/>
      <c r="D58" s="220"/>
      <c r="F58" s="467"/>
      <c r="G58" s="287"/>
      <c r="H58" s="489"/>
      <c r="I58" s="489"/>
    </row>
    <row r="59" spans="1:11" ht="15.5" x14ac:dyDescent="0.35">
      <c r="A59" s="27"/>
      <c r="F59" s="492" t="s">
        <v>44</v>
      </c>
      <c r="G59" s="493">
        <f>G57+G49</f>
        <v>7552.3781082319765</v>
      </c>
      <c r="H59" s="494">
        <f>H57+H49</f>
        <v>6571.6754953698155</v>
      </c>
      <c r="I59" s="495">
        <f>H59+G59</f>
        <v>14124.053603601791</v>
      </c>
    </row>
    <row r="60" spans="1:11" x14ac:dyDescent="0.3">
      <c r="A60" s="421" t="s">
        <v>69</v>
      </c>
      <c r="B60" s="100">
        <f>B49+B57</f>
        <v>126191</v>
      </c>
      <c r="C60" s="100">
        <f>C49+C57</f>
        <v>19212.468971637667</v>
      </c>
      <c r="D60" s="447">
        <f>C60/B60</f>
        <v>0.1522491221373764</v>
      </c>
      <c r="F60" s="950" t="s">
        <v>210</v>
      </c>
      <c r="G60" s="950"/>
      <c r="H60" s="950"/>
      <c r="I60" s="950"/>
    </row>
    <row r="61" spans="1:11" ht="12.5" x14ac:dyDescent="0.25">
      <c r="A61" s="27"/>
      <c r="C61" s="455"/>
      <c r="D61" s="65"/>
      <c r="G61" s="29"/>
      <c r="K61" s="455"/>
    </row>
    <row r="62" spans="1:11" x14ac:dyDescent="0.3">
      <c r="A62" s="947" t="s">
        <v>208</v>
      </c>
      <c r="B62" s="948"/>
      <c r="C62" s="948"/>
      <c r="D62" s="949"/>
      <c r="K62" s="455"/>
    </row>
    <row r="63" spans="1:11" x14ac:dyDescent="0.3">
      <c r="A63" s="472" t="s">
        <v>258</v>
      </c>
      <c r="B63" s="164" t="s">
        <v>160</v>
      </c>
      <c r="C63" s="473" t="s">
        <v>161</v>
      </c>
      <c r="D63" s="340" t="s">
        <v>44</v>
      </c>
      <c r="K63" s="455"/>
    </row>
    <row r="64" spans="1:11" ht="12.5" x14ac:dyDescent="0.25">
      <c r="A64" s="426" t="s">
        <v>31</v>
      </c>
      <c r="B64" s="123">
        <f>B19</f>
        <v>49329</v>
      </c>
      <c r="C64" s="465">
        <v>0</v>
      </c>
      <c r="D64" s="496">
        <f>C64+B64</f>
        <v>49329</v>
      </c>
    </row>
    <row r="65" spans="1:11" ht="12.5" x14ac:dyDescent="0.25">
      <c r="A65" s="426" t="s">
        <v>62</v>
      </c>
      <c r="B65" s="123">
        <f>C19</f>
        <v>16918</v>
      </c>
      <c r="C65" s="284">
        <v>0</v>
      </c>
      <c r="D65" s="496">
        <f>C65+B65</f>
        <v>16918</v>
      </c>
      <c r="J65" s="455"/>
      <c r="K65" s="65"/>
    </row>
    <row r="66" spans="1:11" ht="12.5" x14ac:dyDescent="0.25">
      <c r="A66" s="426" t="s">
        <v>32</v>
      </c>
      <c r="B66" s="123">
        <f>D19</f>
        <v>10043</v>
      </c>
      <c r="C66" s="284">
        <v>0</v>
      </c>
      <c r="D66" s="496">
        <f>C66+B66</f>
        <v>10043</v>
      </c>
      <c r="K66" s="65"/>
    </row>
    <row r="67" spans="1:11" ht="12.5" x14ac:dyDescent="0.25">
      <c r="A67" s="485" t="s">
        <v>203</v>
      </c>
      <c r="B67" s="123">
        <f>E19</f>
        <v>4660</v>
      </c>
      <c r="C67" s="288">
        <v>0</v>
      </c>
      <c r="D67" s="496">
        <f>C67+B67</f>
        <v>4660</v>
      </c>
    </row>
    <row r="68" spans="1:11" x14ac:dyDescent="0.3">
      <c r="A68" s="499" t="s">
        <v>61</v>
      </c>
      <c r="B68" s="500">
        <f>SUM(B64:B67)</f>
        <v>80950</v>
      </c>
      <c r="C68" s="500">
        <f>SUM(C64:C67)</f>
        <v>0</v>
      </c>
      <c r="D68" s="501">
        <f>SUM(D64:D67)</f>
        <v>80950</v>
      </c>
    </row>
    <row r="69" spans="1:11" x14ac:dyDescent="0.3">
      <c r="A69" s="472" t="s">
        <v>123</v>
      </c>
      <c r="B69" s="164" t="s">
        <v>160</v>
      </c>
      <c r="C69" s="473" t="s">
        <v>161</v>
      </c>
      <c r="D69" s="340" t="s">
        <v>44</v>
      </c>
    </row>
    <row r="70" spans="1:11" ht="12.5" x14ac:dyDescent="0.25">
      <c r="A70" s="464">
        <v>1</v>
      </c>
      <c r="B70" s="497">
        <f>SUM(B25:B30)*$J$52+B31*$J$53+B32*$J$54+B33*$J$55+B34*$J$56</f>
        <v>4806</v>
      </c>
      <c r="C70" s="498">
        <f>B31*$J$53+B32*$J$54+B33*$J$55+B34*$J$56+SUM(B35:B38)</f>
        <v>4882</v>
      </c>
      <c r="D70" s="296">
        <f>C70+B70</f>
        <v>9688</v>
      </c>
    </row>
    <row r="71" spans="1:11" ht="12.5" x14ac:dyDescent="0.25">
      <c r="A71" s="464">
        <v>2</v>
      </c>
      <c r="B71" s="454">
        <f>SUM(C25:C30)*$J$52+C31*$J$53+C32*$J$54+C33*$J$55+C34*$J$56</f>
        <v>11381.5</v>
      </c>
      <c r="C71" s="454">
        <f>C31*$J$53+C32*$J$54+C33*$J$55+C34*$J$56+SUM(C35:C38)</f>
        <v>13057.5</v>
      </c>
      <c r="D71" s="296">
        <f>C71+B71</f>
        <v>24439</v>
      </c>
    </row>
    <row r="72" spans="1:11" ht="12.5" x14ac:dyDescent="0.25">
      <c r="A72" s="464">
        <v>3</v>
      </c>
      <c r="B72" s="454">
        <f>SUM(D25:D30)*$J$52+D31*$J$53+D32*$J$54+D33*$J$55+D34*$J$56</f>
        <v>2862.5</v>
      </c>
      <c r="C72" s="454">
        <f>D31*$J$53+D32*$J$54+D33*$J$55+D34*$J$56+SUM(D35:D38)</f>
        <v>4184.5</v>
      </c>
      <c r="D72" s="296">
        <f>C72+B72</f>
        <v>7047</v>
      </c>
    </row>
    <row r="73" spans="1:11" ht="12.5" x14ac:dyDescent="0.25">
      <c r="A73" s="464">
        <v>4</v>
      </c>
      <c r="B73" s="454">
        <f>SUM(E25:E30)*$J$52+E31*$J$53+E32*$J$54+E33*$J$55+E34*$J$56</f>
        <v>1322</v>
      </c>
      <c r="C73" s="454">
        <f>E31*$J$53+E32*$J$54+E33*$J$55+E34*$J$56+SUM(E35:E38)</f>
        <v>1264</v>
      </c>
      <c r="D73" s="296">
        <f>C73+B73</f>
        <v>2586</v>
      </c>
    </row>
    <row r="74" spans="1:11" ht="12.5" x14ac:dyDescent="0.25">
      <c r="A74" s="467">
        <v>5</v>
      </c>
      <c r="B74" s="454">
        <f>SUM(F25:F30)*$J$52+F31*$J$53+F32*$J$54+F33*$J$55+F34*$J$56</f>
        <v>1051.5</v>
      </c>
      <c r="C74" s="454">
        <f>F31*$J$53+F32*$J$54+F33*$J$55+F34*$J$56+SUM(F35:F38)</f>
        <v>429.5</v>
      </c>
      <c r="D74" s="296">
        <f>C74+B74</f>
        <v>1481</v>
      </c>
    </row>
    <row r="75" spans="1:11" x14ac:dyDescent="0.3">
      <c r="A75" s="499" t="s">
        <v>60</v>
      </c>
      <c r="B75" s="502">
        <f>SUM(B70:B74)</f>
        <v>21423.5</v>
      </c>
      <c r="C75" s="502">
        <f>SUM(C70:C74)</f>
        <v>23817.5</v>
      </c>
      <c r="D75" s="503">
        <f>SUM(D70:D74)</f>
        <v>45241</v>
      </c>
    </row>
    <row r="76" spans="1:11" x14ac:dyDescent="0.3">
      <c r="A76" s="338" t="s">
        <v>44</v>
      </c>
      <c r="B76" s="474">
        <f>B75+B68</f>
        <v>102373.5</v>
      </c>
      <c r="C76" s="490">
        <f>C75+C68</f>
        <v>23817.5</v>
      </c>
      <c r="D76" s="491">
        <f>C76+B76</f>
        <v>126191</v>
      </c>
    </row>
  </sheetData>
  <mergeCells count="13">
    <mergeCell ref="R23:W23"/>
    <mergeCell ref="B3:E3"/>
    <mergeCell ref="F3:I3"/>
    <mergeCell ref="J3:M3"/>
    <mergeCell ref="N3:Q3"/>
    <mergeCell ref="M23:Q23"/>
    <mergeCell ref="H23:L23"/>
    <mergeCell ref="B23:G23"/>
    <mergeCell ref="F43:I43"/>
    <mergeCell ref="A62:D62"/>
    <mergeCell ref="F60:I60"/>
    <mergeCell ref="J44:K44"/>
    <mergeCell ref="J51:K51"/>
  </mergeCells>
  <phoneticPr fontId="4" type="noConversion"/>
  <pageMargins left="0.75" right="0.75" top="1" bottom="1" header="0.5" footer="0.5"/>
  <pageSetup scale="49" orientation="landscape" r:id="rId1"/>
  <headerFooter alignWithMargins="0"/>
  <legacyDrawing r:id="rId2"/>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P23"/>
  <sheetViews>
    <sheetView workbookViewId="0">
      <selection activeCell="I30" sqref="I30"/>
    </sheetView>
  </sheetViews>
  <sheetFormatPr defaultRowHeight="12.5" x14ac:dyDescent="0.25"/>
  <cols>
    <col min="1" max="1" width="11" style="32" bestFit="1" customWidth="1"/>
    <col min="2" max="4" width="6.1796875" style="32" bestFit="1" customWidth="1"/>
    <col min="5" max="6" width="6.1796875" style="32" customWidth="1"/>
    <col min="7" max="7" width="5.54296875" style="32" bestFit="1" customWidth="1"/>
    <col min="8" max="8" width="5" style="32" bestFit="1" customWidth="1"/>
    <col min="9" max="9" width="5.54296875" style="32" bestFit="1" customWidth="1"/>
    <col min="10" max="10" width="3" customWidth="1"/>
    <col min="11" max="11" width="7.26953125" style="32" bestFit="1" customWidth="1"/>
    <col min="12" max="12" width="6.453125" bestFit="1" customWidth="1"/>
    <col min="14" max="14" width="15.453125" bestFit="1" customWidth="1"/>
    <col min="15" max="15" width="15.453125" customWidth="1"/>
    <col min="16" max="16" width="14.1796875" customWidth="1"/>
  </cols>
  <sheetData>
    <row r="1" spans="1:16" ht="13" x14ac:dyDescent="0.3">
      <c r="B1" s="944" t="s">
        <v>44</v>
      </c>
      <c r="C1" s="945"/>
      <c r="D1" s="946"/>
      <c r="E1" s="944" t="s">
        <v>215</v>
      </c>
      <c r="F1" s="946"/>
      <c r="G1" s="944" t="s">
        <v>238</v>
      </c>
      <c r="H1" s="945"/>
      <c r="I1" s="946"/>
      <c r="K1" s="34">
        <v>2008</v>
      </c>
      <c r="N1" s="947" t="s">
        <v>256</v>
      </c>
      <c r="O1" s="948"/>
      <c r="P1" s="949"/>
    </row>
    <row r="2" spans="1:16" ht="13" x14ac:dyDescent="0.3">
      <c r="A2" s="362" t="s">
        <v>168</v>
      </c>
      <c r="B2" s="363" t="s">
        <v>160</v>
      </c>
      <c r="C2" s="364" t="s">
        <v>161</v>
      </c>
      <c r="D2" s="365" t="s">
        <v>44</v>
      </c>
      <c r="E2" s="363" t="s">
        <v>160</v>
      </c>
      <c r="F2" s="364" t="s">
        <v>161</v>
      </c>
      <c r="G2" s="363"/>
      <c r="H2" s="364"/>
      <c r="I2" s="365"/>
      <c r="K2" s="386" t="s">
        <v>174</v>
      </c>
      <c r="L2" s="330"/>
      <c r="N2" s="128" t="s">
        <v>234</v>
      </c>
      <c r="O2" s="44" t="s">
        <v>248</v>
      </c>
      <c r="P2" s="130" t="s">
        <v>235</v>
      </c>
    </row>
    <row r="3" spans="1:16" ht="13" x14ac:dyDescent="0.3">
      <c r="A3" s="366" t="s">
        <v>134</v>
      </c>
      <c r="B3" s="367" t="s">
        <v>131</v>
      </c>
      <c r="C3" s="175" t="s">
        <v>131</v>
      </c>
      <c r="D3" s="368" t="s">
        <v>131</v>
      </c>
      <c r="E3" s="367" t="s">
        <v>131</v>
      </c>
      <c r="F3" s="175" t="s">
        <v>131</v>
      </c>
      <c r="G3" s="367" t="s">
        <v>160</v>
      </c>
      <c r="H3" s="175" t="s">
        <v>161</v>
      </c>
      <c r="I3" s="368" t="s">
        <v>44</v>
      </c>
      <c r="K3" s="387">
        <v>1</v>
      </c>
      <c r="L3" s="277" t="s">
        <v>206</v>
      </c>
      <c r="N3" s="128">
        <v>139360</v>
      </c>
      <c r="O3" s="44">
        <v>539539</v>
      </c>
      <c r="P3" s="356">
        <v>15379</v>
      </c>
    </row>
    <row r="4" spans="1:16" ht="13" x14ac:dyDescent="0.3">
      <c r="A4" s="369">
        <v>31</v>
      </c>
      <c r="B4" s="370"/>
      <c r="C4" s="371"/>
      <c r="D4" s="372">
        <f t="shared" ref="D4:D12" si="0">C4+B4</f>
        <v>0</v>
      </c>
      <c r="E4" s="371"/>
      <c r="F4" s="371"/>
      <c r="G4" s="373">
        <f t="shared" ref="G4:G15" si="1">((E4/$N$10)*$P$10)*0.22</f>
        <v>0</v>
      </c>
      <c r="H4" s="373">
        <f t="shared" ref="H4:H15" si="2">((F4/$N$13)*$P$13)*0.22</f>
        <v>0</v>
      </c>
      <c r="I4" s="372">
        <f t="shared" ref="I4:I16" si="3">H4+G4</f>
        <v>0</v>
      </c>
      <c r="K4" s="279">
        <v>0.5</v>
      </c>
      <c r="L4" s="130" t="s">
        <v>204</v>
      </c>
      <c r="N4" s="128"/>
      <c r="O4" s="44"/>
      <c r="P4" s="130"/>
    </row>
    <row r="5" spans="1:16" ht="13" x14ac:dyDescent="0.3">
      <c r="A5" s="369">
        <v>32</v>
      </c>
      <c r="B5" s="370"/>
      <c r="C5" s="371"/>
      <c r="D5" s="372">
        <f t="shared" si="0"/>
        <v>0</v>
      </c>
      <c r="E5" s="371"/>
      <c r="F5" s="371"/>
      <c r="G5" s="373">
        <f t="shared" si="1"/>
        <v>0</v>
      </c>
      <c r="H5" s="373">
        <f t="shared" si="2"/>
        <v>0</v>
      </c>
      <c r="I5" s="372">
        <f t="shared" si="3"/>
        <v>0</v>
      </c>
      <c r="K5" s="279">
        <v>0.5</v>
      </c>
      <c r="L5" s="130" t="s">
        <v>175</v>
      </c>
      <c r="N5" s="128" t="s">
        <v>236</v>
      </c>
      <c r="O5" s="44" t="s">
        <v>249</v>
      </c>
      <c r="P5" s="130" t="s">
        <v>237</v>
      </c>
    </row>
    <row r="6" spans="1:16" ht="13" x14ac:dyDescent="0.3">
      <c r="A6" s="369">
        <v>33</v>
      </c>
      <c r="B6" s="370"/>
      <c r="C6" s="371"/>
      <c r="D6" s="372">
        <f t="shared" si="0"/>
        <v>0</v>
      </c>
      <c r="E6" s="371"/>
      <c r="F6" s="371"/>
      <c r="G6" s="373">
        <f t="shared" si="1"/>
        <v>0</v>
      </c>
      <c r="H6" s="373">
        <f t="shared" si="2"/>
        <v>0</v>
      </c>
      <c r="I6" s="372">
        <f t="shared" si="3"/>
        <v>0</v>
      </c>
      <c r="K6" s="279">
        <v>0.5</v>
      </c>
      <c r="L6" s="130" t="s">
        <v>172</v>
      </c>
      <c r="N6" s="274">
        <v>80579</v>
      </c>
      <c r="O6" s="42">
        <v>292829</v>
      </c>
      <c r="P6" s="134">
        <v>17224</v>
      </c>
    </row>
    <row r="7" spans="1:16" ht="13" x14ac:dyDescent="0.3">
      <c r="A7" s="369">
        <v>34</v>
      </c>
      <c r="B7" s="370"/>
      <c r="C7" s="371"/>
      <c r="D7" s="372">
        <f t="shared" si="0"/>
        <v>0</v>
      </c>
      <c r="E7" s="371"/>
      <c r="F7" s="371"/>
      <c r="G7" s="373">
        <f t="shared" si="1"/>
        <v>0</v>
      </c>
      <c r="H7" s="373">
        <f t="shared" si="2"/>
        <v>0</v>
      </c>
      <c r="I7" s="372">
        <f t="shared" si="3"/>
        <v>0</v>
      </c>
      <c r="K7" s="279">
        <v>0.5</v>
      </c>
      <c r="L7" s="130" t="s">
        <v>176</v>
      </c>
    </row>
    <row r="8" spans="1:16" ht="13" x14ac:dyDescent="0.3">
      <c r="A8" s="369">
        <v>35</v>
      </c>
      <c r="B8" s="370"/>
      <c r="C8" s="371"/>
      <c r="D8" s="372">
        <f t="shared" si="0"/>
        <v>0</v>
      </c>
      <c r="E8" s="371"/>
      <c r="F8" s="371"/>
      <c r="G8" s="373">
        <f t="shared" si="1"/>
        <v>0</v>
      </c>
      <c r="H8" s="373">
        <f t="shared" si="2"/>
        <v>0</v>
      </c>
      <c r="I8" s="372">
        <f t="shared" si="3"/>
        <v>0</v>
      </c>
      <c r="K8" s="388">
        <v>0</v>
      </c>
      <c r="L8" s="134" t="s">
        <v>205</v>
      </c>
      <c r="N8" s="947" t="s">
        <v>246</v>
      </c>
      <c r="O8" s="948"/>
      <c r="P8" s="949"/>
    </row>
    <row r="9" spans="1:16" ht="13" x14ac:dyDescent="0.3">
      <c r="A9" s="369">
        <v>36</v>
      </c>
      <c r="B9" s="370"/>
      <c r="C9" s="371"/>
      <c r="D9" s="372">
        <f t="shared" si="0"/>
        <v>0</v>
      </c>
      <c r="E9" s="371"/>
      <c r="F9" s="371"/>
      <c r="G9" s="373">
        <f t="shared" si="1"/>
        <v>0</v>
      </c>
      <c r="H9" s="373">
        <f t="shared" si="2"/>
        <v>0</v>
      </c>
      <c r="I9" s="372">
        <f t="shared" si="3"/>
        <v>0</v>
      </c>
      <c r="N9" s="128" t="s">
        <v>234</v>
      </c>
      <c r="O9" s="44" t="s">
        <v>248</v>
      </c>
      <c r="P9" s="130" t="s">
        <v>235</v>
      </c>
    </row>
    <row r="10" spans="1:16" ht="13" x14ac:dyDescent="0.3">
      <c r="A10" s="369">
        <v>37</v>
      </c>
      <c r="B10" s="370"/>
      <c r="C10" s="371"/>
      <c r="D10" s="372">
        <f t="shared" si="0"/>
        <v>0</v>
      </c>
      <c r="E10" s="371"/>
      <c r="F10" s="371"/>
      <c r="G10" s="373">
        <f t="shared" si="1"/>
        <v>0</v>
      </c>
      <c r="H10" s="373">
        <f t="shared" si="2"/>
        <v>0</v>
      </c>
      <c r="I10" s="372">
        <f t="shared" si="3"/>
        <v>0</v>
      </c>
      <c r="N10" s="354">
        <v>123475</v>
      </c>
      <c r="O10" s="44">
        <v>341060</v>
      </c>
      <c r="P10" s="130">
        <v>13635</v>
      </c>
    </row>
    <row r="11" spans="1:16" ht="13" x14ac:dyDescent="0.3">
      <c r="A11" s="369">
        <v>38</v>
      </c>
      <c r="B11" s="370"/>
      <c r="C11" s="371"/>
      <c r="D11" s="372">
        <f t="shared" si="0"/>
        <v>0</v>
      </c>
      <c r="E11" s="371"/>
      <c r="F11" s="371"/>
      <c r="G11" s="373">
        <f t="shared" si="1"/>
        <v>0</v>
      </c>
      <c r="H11" s="373">
        <f t="shared" si="2"/>
        <v>0</v>
      </c>
      <c r="I11" s="372">
        <f t="shared" si="3"/>
        <v>0</v>
      </c>
      <c r="N11" s="128"/>
      <c r="O11" s="44"/>
      <c r="P11" s="130"/>
    </row>
    <row r="12" spans="1:16" ht="13" x14ac:dyDescent="0.3">
      <c r="A12" s="369">
        <v>39</v>
      </c>
      <c r="B12" s="370"/>
      <c r="C12" s="371"/>
      <c r="D12" s="372">
        <f t="shared" si="0"/>
        <v>0</v>
      </c>
      <c r="E12" s="371"/>
      <c r="F12" s="371"/>
      <c r="G12" s="373">
        <f t="shared" si="1"/>
        <v>0</v>
      </c>
      <c r="H12" s="373">
        <f t="shared" si="2"/>
        <v>0</v>
      </c>
      <c r="I12" s="372">
        <f t="shared" si="3"/>
        <v>0</v>
      </c>
      <c r="N12" s="128" t="s">
        <v>236</v>
      </c>
      <c r="O12" s="44" t="s">
        <v>249</v>
      </c>
      <c r="P12" s="130" t="s">
        <v>237</v>
      </c>
    </row>
    <row r="13" spans="1:16" ht="13" x14ac:dyDescent="0.3">
      <c r="A13" s="369">
        <v>40</v>
      </c>
      <c r="B13" s="370"/>
      <c r="C13" s="371"/>
      <c r="D13" s="372">
        <v>0</v>
      </c>
      <c r="E13" s="371"/>
      <c r="F13" s="371"/>
      <c r="G13" s="373">
        <f t="shared" si="1"/>
        <v>0</v>
      </c>
      <c r="H13" s="373">
        <f t="shared" si="2"/>
        <v>0</v>
      </c>
      <c r="I13" s="372">
        <f t="shared" si="3"/>
        <v>0</v>
      </c>
      <c r="N13" s="355">
        <v>69061</v>
      </c>
      <c r="O13" s="50">
        <v>167141</v>
      </c>
      <c r="P13" s="134">
        <v>14768</v>
      </c>
    </row>
    <row r="14" spans="1:16" ht="13" x14ac:dyDescent="0.3">
      <c r="A14" s="369">
        <v>41</v>
      </c>
      <c r="B14" s="370"/>
      <c r="C14" s="371"/>
      <c r="D14" s="372">
        <v>0</v>
      </c>
      <c r="E14" s="371"/>
      <c r="F14" s="371"/>
      <c r="G14" s="373">
        <f t="shared" si="1"/>
        <v>0</v>
      </c>
      <c r="H14" s="373">
        <f t="shared" si="2"/>
        <v>0</v>
      </c>
      <c r="I14" s="372">
        <f t="shared" si="3"/>
        <v>0</v>
      </c>
    </row>
    <row r="15" spans="1:16" ht="13" x14ac:dyDescent="0.3">
      <c r="A15" s="366">
        <v>42</v>
      </c>
      <c r="B15" s="370"/>
      <c r="C15" s="371"/>
      <c r="D15" s="374">
        <v>0</v>
      </c>
      <c r="E15" s="371"/>
      <c r="F15" s="371"/>
      <c r="G15" s="373">
        <f t="shared" si="1"/>
        <v>0</v>
      </c>
      <c r="H15" s="373">
        <f t="shared" si="2"/>
        <v>0</v>
      </c>
      <c r="I15" s="372">
        <f t="shared" si="3"/>
        <v>0</v>
      </c>
      <c r="N15" s="947" t="s">
        <v>247</v>
      </c>
      <c r="O15" s="948"/>
      <c r="P15" s="949"/>
    </row>
    <row r="16" spans="1:16" ht="13" x14ac:dyDescent="0.3">
      <c r="A16" s="361" t="s">
        <v>184</v>
      </c>
      <c r="B16" s="375">
        <f t="shared" ref="B16:H16" si="4">SUM(B4:B15)</f>
        <v>0</v>
      </c>
      <c r="C16" s="376">
        <f t="shared" si="4"/>
        <v>0</v>
      </c>
      <c r="D16" s="377">
        <f t="shared" si="4"/>
        <v>0</v>
      </c>
      <c r="E16" s="375">
        <f t="shared" si="4"/>
        <v>0</v>
      </c>
      <c r="F16" s="375">
        <f t="shared" si="4"/>
        <v>0</v>
      </c>
      <c r="G16" s="378">
        <f t="shared" si="4"/>
        <v>0</v>
      </c>
      <c r="H16" s="378">
        <f t="shared" si="4"/>
        <v>0</v>
      </c>
      <c r="I16" s="377">
        <f t="shared" si="3"/>
        <v>0</v>
      </c>
      <c r="N16" s="128" t="s">
        <v>234</v>
      </c>
      <c r="O16" s="44" t="s">
        <v>248</v>
      </c>
      <c r="P16" s="130" t="s">
        <v>235</v>
      </c>
    </row>
    <row r="17" spans="1:16" ht="13" x14ac:dyDescent="0.3">
      <c r="B17" s="944" t="s">
        <v>44</v>
      </c>
      <c r="C17" s="945"/>
      <c r="D17" s="946"/>
      <c r="E17" s="944" t="s">
        <v>215</v>
      </c>
      <c r="F17" s="946"/>
      <c r="G17" s="379"/>
      <c r="H17" s="380"/>
      <c r="I17" s="381"/>
      <c r="N17" s="44">
        <v>120050</v>
      </c>
      <c r="O17" s="128">
        <v>297655</v>
      </c>
      <c r="P17" s="356">
        <v>13304</v>
      </c>
    </row>
    <row r="18" spans="1:16" ht="13" x14ac:dyDescent="0.3">
      <c r="A18" s="362" t="s">
        <v>214</v>
      </c>
      <c r="B18" s="363" t="s">
        <v>160</v>
      </c>
      <c r="C18" s="364" t="s">
        <v>161</v>
      </c>
      <c r="D18" s="365" t="s">
        <v>44</v>
      </c>
      <c r="E18" s="363" t="s">
        <v>160</v>
      </c>
      <c r="F18" s="364" t="s">
        <v>161</v>
      </c>
      <c r="G18" s="944" t="s">
        <v>273</v>
      </c>
      <c r="H18" s="945"/>
      <c r="I18" s="946"/>
      <c r="N18" s="128"/>
      <c r="O18" s="44"/>
      <c r="P18" s="130"/>
    </row>
    <row r="19" spans="1:16" ht="13" x14ac:dyDescent="0.3">
      <c r="A19" s="366" t="s">
        <v>231</v>
      </c>
      <c r="B19" s="367" t="s">
        <v>232</v>
      </c>
      <c r="C19" s="175" t="s">
        <v>232</v>
      </c>
      <c r="D19" s="368" t="s">
        <v>232</v>
      </c>
      <c r="E19" s="367" t="s">
        <v>131</v>
      </c>
      <c r="F19" s="175" t="s">
        <v>131</v>
      </c>
      <c r="G19" s="367" t="s">
        <v>160</v>
      </c>
      <c r="H19" s="175" t="s">
        <v>161</v>
      </c>
      <c r="I19" s="368" t="s">
        <v>44</v>
      </c>
      <c r="N19" s="128" t="s">
        <v>236</v>
      </c>
      <c r="O19" s="44" t="s">
        <v>249</v>
      </c>
      <c r="P19" s="130" t="s">
        <v>237</v>
      </c>
    </row>
    <row r="20" spans="1:16" ht="13" x14ac:dyDescent="0.3">
      <c r="A20" s="369" t="s">
        <v>216</v>
      </c>
      <c r="B20" s="370">
        <v>1000</v>
      </c>
      <c r="C20" s="371"/>
      <c r="D20" s="372">
        <f>C20+B20</f>
        <v>1000</v>
      </c>
      <c r="E20" s="371">
        <v>500</v>
      </c>
      <c r="F20" s="371"/>
      <c r="G20" s="382">
        <f>E20*0.1</f>
        <v>50</v>
      </c>
      <c r="H20" s="382"/>
      <c r="I20" s="382">
        <f>H20+G20</f>
        <v>50</v>
      </c>
      <c r="K20" s="32" t="s">
        <v>219</v>
      </c>
      <c r="N20" s="42">
        <v>68509</v>
      </c>
      <c r="O20" s="42">
        <v>161044</v>
      </c>
      <c r="P20" s="134">
        <v>14650</v>
      </c>
    </row>
    <row r="21" spans="1:16" ht="13" x14ac:dyDescent="0.3">
      <c r="A21" s="369" t="s">
        <v>217</v>
      </c>
      <c r="B21" s="370">
        <v>500</v>
      </c>
      <c r="C21" s="371">
        <v>530</v>
      </c>
      <c r="D21" s="372">
        <f>C21+B21</f>
        <v>1030</v>
      </c>
      <c r="E21" s="371">
        <v>250</v>
      </c>
      <c r="F21" s="371">
        <v>250</v>
      </c>
      <c r="G21" s="382">
        <f>E21*0.1</f>
        <v>25</v>
      </c>
      <c r="H21" s="382">
        <f>F21*0.1</f>
        <v>25</v>
      </c>
      <c r="I21" s="382">
        <f>H21+G21</f>
        <v>50</v>
      </c>
      <c r="K21" s="32" t="s">
        <v>220</v>
      </c>
    </row>
    <row r="22" spans="1:16" ht="13" x14ac:dyDescent="0.3">
      <c r="A22" s="366" t="s">
        <v>218</v>
      </c>
      <c r="B22" s="383"/>
      <c r="C22" s="384">
        <v>1000</v>
      </c>
      <c r="D22" s="374">
        <f>C22+B22</f>
        <v>1000</v>
      </c>
      <c r="E22" s="371"/>
      <c r="F22" s="371">
        <v>500</v>
      </c>
      <c r="G22" s="385"/>
      <c r="H22" s="385">
        <f>F22*0.1</f>
        <v>50</v>
      </c>
      <c r="I22" s="382">
        <f>H22+G22</f>
        <v>50</v>
      </c>
      <c r="K22" s="71" t="s">
        <v>221</v>
      </c>
      <c r="L22" s="42"/>
    </row>
    <row r="23" spans="1:16" ht="13" x14ac:dyDescent="0.3">
      <c r="A23" s="361" t="s">
        <v>184</v>
      </c>
      <c r="B23" s="377">
        <f t="shared" ref="B23:H23" si="5">SUM(B20:B22)</f>
        <v>1500</v>
      </c>
      <c r="C23" s="377">
        <f t="shared" si="5"/>
        <v>1530</v>
      </c>
      <c r="D23" s="377">
        <f t="shared" si="5"/>
        <v>3030</v>
      </c>
      <c r="E23" s="377">
        <f t="shared" si="5"/>
        <v>750</v>
      </c>
      <c r="F23" s="377">
        <f t="shared" si="5"/>
        <v>750</v>
      </c>
      <c r="G23" s="382">
        <f t="shared" si="5"/>
        <v>75</v>
      </c>
      <c r="H23" s="382">
        <f t="shared" si="5"/>
        <v>75</v>
      </c>
      <c r="I23" s="382">
        <f>H23+G23</f>
        <v>150</v>
      </c>
      <c r="K23" s="345" t="s">
        <v>222</v>
      </c>
    </row>
  </sheetData>
  <mergeCells count="9">
    <mergeCell ref="G18:I18"/>
    <mergeCell ref="N15:P15"/>
    <mergeCell ref="B17:D17"/>
    <mergeCell ref="E17:F17"/>
    <mergeCell ref="B1:D1"/>
    <mergeCell ref="G1:I1"/>
    <mergeCell ref="N1:P1"/>
    <mergeCell ref="N8:P8"/>
    <mergeCell ref="E1:F1"/>
  </mergeCells>
  <phoneticPr fontId="4" type="noConversion"/>
  <pageMargins left="0.75" right="0.75" top="1" bottom="1" header="0.5" footer="0.5"/>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43"/>
  <sheetViews>
    <sheetView topLeftCell="A22" zoomScaleNormal="100" workbookViewId="0">
      <pane xSplit="2" topLeftCell="C1" activePane="topRight" state="frozen"/>
      <selection activeCell="S15" sqref="S15"/>
      <selection pane="topRight" activeCell="S15" sqref="S15"/>
    </sheetView>
  </sheetViews>
  <sheetFormatPr defaultRowHeight="12.5" x14ac:dyDescent="0.25"/>
  <cols>
    <col min="1" max="1" width="20.7265625" bestFit="1" customWidth="1"/>
    <col min="2" max="2" width="5.81640625" bestFit="1" customWidth="1"/>
    <col min="3" max="3" width="11.1796875" bestFit="1" customWidth="1"/>
    <col min="4" max="4" width="9.453125" bestFit="1" customWidth="1"/>
    <col min="5" max="5" width="7.453125" bestFit="1" customWidth="1"/>
    <col min="6" max="6" width="7.1796875" bestFit="1" customWidth="1"/>
    <col min="7" max="7" width="11.1796875" bestFit="1" customWidth="1"/>
    <col min="8" max="8" width="9.453125" bestFit="1" customWidth="1"/>
    <col min="9" max="9" width="7.453125" bestFit="1" customWidth="1"/>
    <col min="10" max="10" width="7.1796875" bestFit="1" customWidth="1"/>
    <col min="11" max="11" width="11.1796875" bestFit="1" customWidth="1"/>
    <col min="12" max="12" width="9.453125" bestFit="1" customWidth="1"/>
    <col min="13" max="14" width="8.26953125" customWidth="1"/>
    <col min="15" max="15" width="7" bestFit="1" customWidth="1"/>
    <col min="16" max="17" width="8.26953125" bestFit="1" customWidth="1"/>
  </cols>
  <sheetData>
    <row r="2" spans="1:14" ht="13" x14ac:dyDescent="0.3">
      <c r="C2" s="34" t="s">
        <v>330</v>
      </c>
    </row>
    <row r="3" spans="1:14" x14ac:dyDescent="0.25">
      <c r="C3" s="900" t="s">
        <v>265</v>
      </c>
      <c r="D3" s="901"/>
      <c r="E3" s="901"/>
      <c r="F3" s="902"/>
      <c r="G3" s="900" t="s">
        <v>266</v>
      </c>
      <c r="H3" s="901"/>
      <c r="I3" s="901"/>
      <c r="J3" s="902"/>
      <c r="K3" s="900" t="s">
        <v>267</v>
      </c>
      <c r="L3" s="901"/>
      <c r="M3" s="901"/>
      <c r="N3" s="902"/>
    </row>
    <row r="4" spans="1:14" x14ac:dyDescent="0.25">
      <c r="B4" t="s">
        <v>134</v>
      </c>
      <c r="C4" s="286" t="s">
        <v>31</v>
      </c>
      <c r="D4" s="810" t="s">
        <v>62</v>
      </c>
      <c r="E4" s="810" t="s">
        <v>260</v>
      </c>
      <c r="F4" s="811" t="s">
        <v>203</v>
      </c>
      <c r="G4" s="286" t="s">
        <v>31</v>
      </c>
      <c r="H4" s="810" t="s">
        <v>62</v>
      </c>
      <c r="I4" s="810" t="s">
        <v>260</v>
      </c>
      <c r="J4" s="811" t="s">
        <v>203</v>
      </c>
      <c r="K4" s="274" t="s">
        <v>31</v>
      </c>
      <c r="L4" s="42" t="s">
        <v>62</v>
      </c>
      <c r="M4" s="42" t="s">
        <v>260</v>
      </c>
      <c r="N4" s="134" t="s">
        <v>203</v>
      </c>
    </row>
    <row r="5" spans="1:14" x14ac:dyDescent="0.25">
      <c r="B5">
        <v>31</v>
      </c>
      <c r="C5" s="813"/>
      <c r="D5" s="813"/>
      <c r="E5" s="813"/>
      <c r="F5" s="814"/>
      <c r="G5" s="813"/>
      <c r="H5" s="813"/>
      <c r="I5" s="813"/>
      <c r="J5" s="813"/>
      <c r="K5" s="521" t="str">
        <f t="shared" ref="K5:N21" si="0">IF(C5&gt;0,G5/C5,"na")</f>
        <v>na</v>
      </c>
      <c r="L5" s="522" t="str">
        <f t="shared" si="0"/>
        <v>na</v>
      </c>
      <c r="M5" s="522" t="str">
        <f t="shared" si="0"/>
        <v>na</v>
      </c>
      <c r="N5" s="523" t="str">
        <f t="shared" si="0"/>
        <v>na</v>
      </c>
    </row>
    <row r="6" spans="1:14" x14ac:dyDescent="0.25">
      <c r="B6">
        <v>32</v>
      </c>
      <c r="C6" s="812">
        <v>0</v>
      </c>
      <c r="D6" s="813"/>
      <c r="E6" s="813"/>
      <c r="F6" s="815"/>
      <c r="G6" s="812">
        <v>0</v>
      </c>
      <c r="H6" s="817"/>
      <c r="I6" s="817"/>
      <c r="J6" s="817"/>
      <c r="K6" s="524" t="str">
        <f t="shared" si="0"/>
        <v>na</v>
      </c>
      <c r="L6" s="525" t="str">
        <f t="shared" si="0"/>
        <v>na</v>
      </c>
      <c r="M6" s="525" t="str">
        <f t="shared" si="0"/>
        <v>na</v>
      </c>
      <c r="N6" s="526" t="str">
        <f t="shared" si="0"/>
        <v>na</v>
      </c>
    </row>
    <row r="7" spans="1:14" x14ac:dyDescent="0.25">
      <c r="B7">
        <v>33</v>
      </c>
      <c r="C7" s="812">
        <v>0</v>
      </c>
      <c r="D7" s="813"/>
      <c r="E7" s="813"/>
      <c r="F7" s="815"/>
      <c r="G7" s="812">
        <v>0</v>
      </c>
      <c r="H7" s="813"/>
      <c r="I7" s="813"/>
      <c r="J7" s="813"/>
      <c r="K7" s="524" t="str">
        <f t="shared" si="0"/>
        <v>na</v>
      </c>
      <c r="L7" s="525" t="str">
        <f t="shared" si="0"/>
        <v>na</v>
      </c>
      <c r="M7" s="525" t="str">
        <f t="shared" si="0"/>
        <v>na</v>
      </c>
      <c r="N7" s="526" t="str">
        <f t="shared" si="0"/>
        <v>na</v>
      </c>
    </row>
    <row r="8" spans="1:14" x14ac:dyDescent="0.25">
      <c r="B8">
        <v>34</v>
      </c>
      <c r="C8" s="812">
        <v>3</v>
      </c>
      <c r="D8" s="813"/>
      <c r="E8" s="813"/>
      <c r="F8" s="815"/>
      <c r="G8" s="812">
        <v>0</v>
      </c>
      <c r="H8" s="813"/>
      <c r="I8" s="813"/>
      <c r="J8" s="813"/>
      <c r="K8" s="524">
        <f t="shared" si="0"/>
        <v>0</v>
      </c>
      <c r="L8" s="525" t="str">
        <f t="shared" si="0"/>
        <v>na</v>
      </c>
      <c r="M8" s="525" t="str">
        <f t="shared" si="0"/>
        <v>na</v>
      </c>
      <c r="N8" s="526" t="str">
        <f t="shared" si="0"/>
        <v>na</v>
      </c>
    </row>
    <row r="9" spans="1:14" x14ac:dyDescent="0.25">
      <c r="B9">
        <v>35</v>
      </c>
      <c r="C9" s="812">
        <v>90</v>
      </c>
      <c r="D9" s="812">
        <v>21</v>
      </c>
      <c r="E9" s="812">
        <v>33</v>
      </c>
      <c r="F9" s="815"/>
      <c r="G9" s="812">
        <v>3</v>
      </c>
      <c r="H9" s="812">
        <v>1</v>
      </c>
      <c r="I9" s="812">
        <v>0</v>
      </c>
      <c r="J9" s="813"/>
      <c r="K9" s="524">
        <f t="shared" si="0"/>
        <v>3.3333333333333333E-2</v>
      </c>
      <c r="L9" s="525">
        <f t="shared" si="0"/>
        <v>4.7619047619047616E-2</v>
      </c>
      <c r="M9" s="525">
        <f t="shared" si="0"/>
        <v>0</v>
      </c>
      <c r="N9" s="526" t="str">
        <f t="shared" si="0"/>
        <v>na</v>
      </c>
    </row>
    <row r="10" spans="1:14" x14ac:dyDescent="0.25">
      <c r="B10">
        <v>36</v>
      </c>
      <c r="C10" s="812">
        <v>1732</v>
      </c>
      <c r="D10" s="812">
        <v>817</v>
      </c>
      <c r="E10" s="812">
        <v>333</v>
      </c>
      <c r="F10" s="815"/>
      <c r="G10" s="812">
        <v>35</v>
      </c>
      <c r="H10" s="812">
        <v>53</v>
      </c>
      <c r="I10" s="812">
        <v>10</v>
      </c>
      <c r="J10" s="813"/>
      <c r="K10" s="524">
        <f t="shared" si="0"/>
        <v>2.0207852193995381E-2</v>
      </c>
      <c r="L10" s="525">
        <f t="shared" si="0"/>
        <v>6.4871481028151781E-2</v>
      </c>
      <c r="M10" s="525">
        <f t="shared" si="0"/>
        <v>3.003003003003003E-2</v>
      </c>
      <c r="N10" s="526" t="str">
        <f t="shared" si="0"/>
        <v>na</v>
      </c>
    </row>
    <row r="11" spans="1:14" x14ac:dyDescent="0.25">
      <c r="B11">
        <v>37</v>
      </c>
      <c r="C11" s="812">
        <v>1511</v>
      </c>
      <c r="D11" s="812">
        <v>1605</v>
      </c>
      <c r="E11" s="812">
        <v>952</v>
      </c>
      <c r="F11" s="815"/>
      <c r="G11" s="812">
        <v>39</v>
      </c>
      <c r="H11" s="812">
        <v>108</v>
      </c>
      <c r="I11" s="812">
        <v>42</v>
      </c>
      <c r="J11" s="813"/>
      <c r="K11" s="524">
        <f t="shared" si="0"/>
        <v>2.5810721376571807E-2</v>
      </c>
      <c r="L11" s="525">
        <f t="shared" si="0"/>
        <v>6.7289719626168226E-2</v>
      </c>
      <c r="M11" s="525">
        <f t="shared" si="0"/>
        <v>4.4117647058823532E-2</v>
      </c>
      <c r="N11" s="526" t="str">
        <f t="shared" si="0"/>
        <v>na</v>
      </c>
    </row>
    <row r="12" spans="1:14" x14ac:dyDescent="0.25">
      <c r="B12">
        <v>38</v>
      </c>
      <c r="C12" s="812">
        <v>2339</v>
      </c>
      <c r="D12" s="812">
        <v>1457</v>
      </c>
      <c r="E12" s="812">
        <v>595</v>
      </c>
      <c r="F12" s="815"/>
      <c r="G12" s="812">
        <v>56</v>
      </c>
      <c r="H12" s="812">
        <v>53</v>
      </c>
      <c r="I12" s="812">
        <v>26</v>
      </c>
      <c r="J12" s="813"/>
      <c r="K12" s="524">
        <f t="shared" si="0"/>
        <v>2.3941855493800769E-2</v>
      </c>
      <c r="L12" s="525">
        <f t="shared" si="0"/>
        <v>3.6376115305422098E-2</v>
      </c>
      <c r="M12" s="525">
        <f t="shared" si="0"/>
        <v>4.3697478991596636E-2</v>
      </c>
      <c r="N12" s="526" t="str">
        <f t="shared" si="0"/>
        <v>na</v>
      </c>
    </row>
    <row r="13" spans="1:14" x14ac:dyDescent="0.25">
      <c r="B13">
        <v>39</v>
      </c>
      <c r="C13" s="812">
        <v>832</v>
      </c>
      <c r="D13" s="812">
        <v>609</v>
      </c>
      <c r="E13" s="812">
        <v>789</v>
      </c>
      <c r="F13" s="815"/>
      <c r="G13" s="812">
        <v>27</v>
      </c>
      <c r="H13" s="812">
        <v>31</v>
      </c>
      <c r="I13" s="812">
        <v>48</v>
      </c>
      <c r="J13" s="813"/>
      <c r="K13" s="524">
        <f t="shared" si="0"/>
        <v>3.245192307692308E-2</v>
      </c>
      <c r="L13" s="525">
        <f t="shared" si="0"/>
        <v>5.090311986863711E-2</v>
      </c>
      <c r="M13" s="525">
        <f t="shared" si="0"/>
        <v>6.0836501901140684E-2</v>
      </c>
      <c r="N13" s="526" t="str">
        <f t="shared" si="0"/>
        <v>na</v>
      </c>
    </row>
    <row r="14" spans="1:14" x14ac:dyDescent="0.25">
      <c r="B14">
        <v>40</v>
      </c>
      <c r="C14" s="812">
        <v>259</v>
      </c>
      <c r="D14" s="812">
        <v>158</v>
      </c>
      <c r="E14" s="812">
        <v>506</v>
      </c>
      <c r="F14" s="818">
        <v>400</v>
      </c>
      <c r="G14" s="812">
        <v>6</v>
      </c>
      <c r="H14" s="812">
        <v>6</v>
      </c>
      <c r="I14" s="812">
        <v>44</v>
      </c>
      <c r="J14" s="812">
        <v>54</v>
      </c>
      <c r="K14" s="524">
        <f t="shared" si="0"/>
        <v>2.3166023166023165E-2</v>
      </c>
      <c r="L14" s="525">
        <f t="shared" si="0"/>
        <v>3.7974683544303799E-2</v>
      </c>
      <c r="M14" s="525">
        <f t="shared" si="0"/>
        <v>8.6956521739130432E-2</v>
      </c>
      <c r="N14" s="526">
        <f t="shared" si="0"/>
        <v>0.13500000000000001</v>
      </c>
    </row>
    <row r="15" spans="1:14" x14ac:dyDescent="0.25">
      <c r="A15" s="11"/>
      <c r="B15">
        <v>41</v>
      </c>
      <c r="C15" s="812">
        <v>0</v>
      </c>
      <c r="D15" s="812">
        <v>109</v>
      </c>
      <c r="E15" s="812">
        <v>264</v>
      </c>
      <c r="F15" s="818">
        <v>248</v>
      </c>
      <c r="G15" s="812">
        <v>0</v>
      </c>
      <c r="H15" s="812">
        <v>3</v>
      </c>
      <c r="I15" s="812">
        <v>56</v>
      </c>
      <c r="J15" s="812">
        <v>14</v>
      </c>
      <c r="K15" s="524" t="str">
        <f t="shared" si="0"/>
        <v>na</v>
      </c>
      <c r="L15" s="525">
        <f t="shared" si="0"/>
        <v>2.7522935779816515E-2</v>
      </c>
      <c r="M15" s="525">
        <f t="shared" si="0"/>
        <v>0.21212121212121213</v>
      </c>
      <c r="N15" s="526">
        <f t="shared" si="0"/>
        <v>5.6451612903225805E-2</v>
      </c>
    </row>
    <row r="16" spans="1:14" x14ac:dyDescent="0.25">
      <c r="B16">
        <v>42</v>
      </c>
      <c r="C16" s="812">
        <v>62</v>
      </c>
      <c r="D16" s="812">
        <v>135</v>
      </c>
      <c r="E16" s="812">
        <v>431</v>
      </c>
      <c r="F16" s="818">
        <v>274</v>
      </c>
      <c r="G16" s="812">
        <v>2</v>
      </c>
      <c r="H16" s="812">
        <v>4</v>
      </c>
      <c r="I16" s="812">
        <v>40</v>
      </c>
      <c r="J16" s="812">
        <v>4</v>
      </c>
      <c r="K16" s="524">
        <f t="shared" si="0"/>
        <v>3.2258064516129031E-2</v>
      </c>
      <c r="L16" s="525">
        <f t="shared" si="0"/>
        <v>2.9629629629629631E-2</v>
      </c>
      <c r="M16" s="525">
        <f t="shared" si="0"/>
        <v>9.2807424593967514E-2</v>
      </c>
      <c r="N16" s="526">
        <f t="shared" si="0"/>
        <v>1.4598540145985401E-2</v>
      </c>
    </row>
    <row r="17" spans="1:19" x14ac:dyDescent="0.25">
      <c r="B17">
        <v>43</v>
      </c>
      <c r="C17" s="812">
        <v>0</v>
      </c>
      <c r="D17" s="812">
        <v>50</v>
      </c>
      <c r="E17" s="812">
        <v>55</v>
      </c>
      <c r="F17" s="818">
        <v>185</v>
      </c>
      <c r="G17" s="812">
        <v>0</v>
      </c>
      <c r="H17" s="812">
        <v>1</v>
      </c>
      <c r="I17" s="812">
        <v>6</v>
      </c>
      <c r="J17" s="812">
        <v>7</v>
      </c>
      <c r="K17" s="524" t="str">
        <f t="shared" si="0"/>
        <v>na</v>
      </c>
      <c r="L17" s="525">
        <f t="shared" si="0"/>
        <v>0.02</v>
      </c>
      <c r="M17" s="525">
        <f t="shared" si="0"/>
        <v>0.10909090909090909</v>
      </c>
      <c r="N17" s="526">
        <f t="shared" si="0"/>
        <v>3.783783783783784E-2</v>
      </c>
    </row>
    <row r="18" spans="1:19" x14ac:dyDescent="0.25">
      <c r="B18">
        <v>44</v>
      </c>
      <c r="C18" s="821">
        <v>0</v>
      </c>
      <c r="D18" s="816">
        <v>0</v>
      </c>
      <c r="E18" s="816">
        <v>0</v>
      </c>
      <c r="F18" s="818">
        <v>91</v>
      </c>
      <c r="G18" s="816">
        <v>0</v>
      </c>
      <c r="H18" s="816">
        <v>0</v>
      </c>
      <c r="I18" s="816">
        <v>0</v>
      </c>
      <c r="J18" s="816">
        <v>1</v>
      </c>
      <c r="K18" s="524" t="str">
        <f>IF(C18&gt;0,G18/C18,"na")</f>
        <v>na</v>
      </c>
      <c r="L18" s="525" t="str">
        <f>IF(D18&gt;0,H18/D18,"na")</f>
        <v>na</v>
      </c>
      <c r="M18" s="525" t="str">
        <f>IF(E18&gt;0,I18/E18,"na")</f>
        <v>na</v>
      </c>
      <c r="N18" s="526">
        <f>IF(F18&gt;0,J18/F18,"na")</f>
        <v>1.098901098901099E-2</v>
      </c>
    </row>
    <row r="19" spans="1:19" x14ac:dyDescent="0.25">
      <c r="B19">
        <v>45</v>
      </c>
      <c r="C19" s="826"/>
      <c r="D19" s="817"/>
      <c r="E19" s="817"/>
      <c r="F19" s="818">
        <v>16</v>
      </c>
      <c r="G19" s="817"/>
      <c r="H19" s="817"/>
      <c r="I19" s="817"/>
      <c r="J19" s="816">
        <v>1</v>
      </c>
      <c r="K19" s="410" t="str">
        <f t="shared" si="0"/>
        <v>na</v>
      </c>
      <c r="L19" s="402" t="str">
        <f t="shared" si="0"/>
        <v>na</v>
      </c>
      <c r="M19" s="402" t="str">
        <f t="shared" si="0"/>
        <v>na</v>
      </c>
      <c r="N19" s="411">
        <f t="shared" si="0"/>
        <v>6.25E-2</v>
      </c>
    </row>
    <row r="20" spans="1:19" x14ac:dyDescent="0.25">
      <c r="B20">
        <v>46</v>
      </c>
      <c r="C20" s="826"/>
      <c r="D20" s="817"/>
      <c r="E20" s="817"/>
      <c r="F20" s="816">
        <v>127</v>
      </c>
      <c r="G20" s="817"/>
      <c r="H20" s="817"/>
      <c r="I20" s="817"/>
      <c r="J20" s="816">
        <v>1</v>
      </c>
      <c r="K20" s="410" t="str">
        <f t="shared" ref="K20:K21" si="1">IF(C20&gt;0,G20/C20,"na")</f>
        <v>na</v>
      </c>
      <c r="L20" s="402" t="str">
        <f t="shared" ref="L20:L21" si="2">IF(D20&gt;0,H20/D20,"na")</f>
        <v>na</v>
      </c>
      <c r="M20" s="402" t="str">
        <f t="shared" ref="M20:M21" si="3">IF(E20&gt;0,I20/E20,"na")</f>
        <v>na</v>
      </c>
      <c r="N20" s="411">
        <f t="shared" si="0"/>
        <v>7.874015748031496E-3</v>
      </c>
    </row>
    <row r="21" spans="1:19" x14ac:dyDescent="0.25">
      <c r="B21">
        <v>47</v>
      </c>
      <c r="C21" s="822"/>
      <c r="D21" s="823"/>
      <c r="E21" s="823"/>
      <c r="F21" s="890">
        <v>125</v>
      </c>
      <c r="G21" s="817"/>
      <c r="H21" s="817"/>
      <c r="I21" s="817"/>
      <c r="J21" s="816">
        <v>2</v>
      </c>
      <c r="K21" s="412" t="str">
        <f t="shared" si="1"/>
        <v>na</v>
      </c>
      <c r="L21" s="229" t="str">
        <f t="shared" si="2"/>
        <v>na</v>
      </c>
      <c r="M21" s="229" t="str">
        <f t="shared" si="3"/>
        <v>na</v>
      </c>
      <c r="N21" s="413">
        <f t="shared" si="0"/>
        <v>1.6E-2</v>
      </c>
    </row>
    <row r="22" spans="1:19" x14ac:dyDescent="0.25">
      <c r="B22" t="s">
        <v>184</v>
      </c>
      <c r="C22" s="286">
        <f t="shared" ref="C22:I22" si="4">SUM(C6:C19)</f>
        <v>6828</v>
      </c>
      <c r="D22" s="810">
        <f t="shared" si="4"/>
        <v>4961</v>
      </c>
      <c r="E22" s="810">
        <f t="shared" si="4"/>
        <v>3958</v>
      </c>
      <c r="F22" s="810">
        <f>SUM(F6:F21)</f>
        <v>1466</v>
      </c>
      <c r="G22" s="827">
        <f t="shared" si="4"/>
        <v>168</v>
      </c>
      <c r="H22" s="828">
        <f t="shared" si="4"/>
        <v>260</v>
      </c>
      <c r="I22" s="828">
        <f t="shared" si="4"/>
        <v>272</v>
      </c>
      <c r="J22" s="831">
        <f>SUM(J6:J21)</f>
        <v>84</v>
      </c>
      <c r="K22" s="527">
        <f>IF(C22&gt;0,G22/C22,"na")</f>
        <v>2.4604569420035149E-2</v>
      </c>
      <c r="L22" s="528">
        <f>IF(D22&gt;0,H22/D22,"na")</f>
        <v>5.2408788550695425E-2</v>
      </c>
      <c r="M22" s="528">
        <f>IF(E22&gt;0,I22/E22,"na")</f>
        <v>6.8721576553815056E-2</v>
      </c>
      <c r="N22" s="529">
        <f>IF(F22&gt;0,J22/F22,"na")</f>
        <v>5.7298772169167803E-2</v>
      </c>
    </row>
    <row r="23" spans="1:19" x14ac:dyDescent="0.25">
      <c r="C23" s="153"/>
      <c r="D23" s="153"/>
      <c r="E23" s="153"/>
      <c r="F23" s="893">
        <f>SUM(C22:F22)</f>
        <v>17213</v>
      </c>
      <c r="G23" s="153"/>
      <c r="H23" s="153"/>
      <c r="I23" s="153"/>
      <c r="J23" s="893">
        <f>SUM(G22:J22)</f>
        <v>784</v>
      </c>
      <c r="N23" s="894">
        <f>J23/F23</f>
        <v>4.5546970313135419E-2</v>
      </c>
    </row>
    <row r="25" spans="1:19" ht="13" x14ac:dyDescent="0.3">
      <c r="C25" s="34" t="s">
        <v>123</v>
      </c>
    </row>
    <row r="26" spans="1:19" x14ac:dyDescent="0.25">
      <c r="C26" s="900" t="s">
        <v>268</v>
      </c>
      <c r="D26" s="901"/>
      <c r="E26" s="901"/>
      <c r="F26" s="901"/>
      <c r="G26" s="902"/>
      <c r="H26" s="900" t="s">
        <v>269</v>
      </c>
      <c r="I26" s="901"/>
      <c r="J26" s="901"/>
      <c r="K26" s="901"/>
      <c r="L26" s="902"/>
      <c r="M26" s="900" t="s">
        <v>56</v>
      </c>
      <c r="N26" s="901"/>
      <c r="O26" s="901"/>
      <c r="P26" s="901"/>
      <c r="Q26" s="902"/>
      <c r="R26" s="417"/>
    </row>
    <row r="27" spans="1:19" x14ac:dyDescent="0.25">
      <c r="B27" t="s">
        <v>134</v>
      </c>
      <c r="C27" s="286">
        <v>1</v>
      </c>
      <c r="D27" s="810">
        <v>2</v>
      </c>
      <c r="E27" s="810">
        <v>3</v>
      </c>
      <c r="F27" s="810">
        <v>4</v>
      </c>
      <c r="G27" s="811">
        <v>5</v>
      </c>
      <c r="H27" s="286">
        <v>1</v>
      </c>
      <c r="I27" s="810">
        <v>2</v>
      </c>
      <c r="J27" s="810">
        <v>3</v>
      </c>
      <c r="K27" s="810">
        <v>4</v>
      </c>
      <c r="L27" s="811">
        <v>5</v>
      </c>
      <c r="M27" s="274">
        <v>1</v>
      </c>
      <c r="N27" s="42">
        <v>2</v>
      </c>
      <c r="O27" s="42">
        <v>3</v>
      </c>
      <c r="P27" s="42">
        <v>4</v>
      </c>
      <c r="Q27" s="134">
        <v>5</v>
      </c>
      <c r="R27" s="44" t="s">
        <v>282</v>
      </c>
      <c r="S27" t="s">
        <v>283</v>
      </c>
    </row>
    <row r="28" spans="1:19" ht="13" x14ac:dyDescent="0.3">
      <c r="A28" s="34">
        <f>'2020 Comm catch'!A28</f>
        <v>0</v>
      </c>
      <c r="B28">
        <v>32</v>
      </c>
      <c r="C28" s="835"/>
      <c r="D28" s="835"/>
      <c r="E28" s="835"/>
      <c r="F28" s="835"/>
      <c r="G28" s="883"/>
      <c r="H28" s="840"/>
      <c r="I28" s="840"/>
      <c r="J28" s="840"/>
      <c r="K28" s="840"/>
      <c r="L28" s="883"/>
      <c r="M28" s="3" t="str">
        <f t="shared" ref="M28:Q40" si="5">IF(C28&gt;0,H28/C28,"na")</f>
        <v>na</v>
      </c>
      <c r="N28" s="3" t="str">
        <f t="shared" si="5"/>
        <v>na</v>
      </c>
      <c r="O28" s="3" t="str">
        <f t="shared" si="5"/>
        <v>na</v>
      </c>
      <c r="P28" s="3" t="str">
        <f t="shared" si="5"/>
        <v>na</v>
      </c>
      <c r="Q28" s="407" t="str">
        <f t="shared" si="5"/>
        <v>na</v>
      </c>
      <c r="R28" s="525"/>
    </row>
    <row r="29" spans="1:19" ht="13" x14ac:dyDescent="0.3">
      <c r="A29" s="34" t="str">
        <f>'2020 Comm catch'!A29</f>
        <v>9-inch</v>
      </c>
      <c r="B29">
        <v>33</v>
      </c>
      <c r="C29" s="807"/>
      <c r="D29" s="807"/>
      <c r="E29" s="807"/>
      <c r="F29" s="865">
        <v>1</v>
      </c>
      <c r="G29" s="886">
        <v>2</v>
      </c>
      <c r="H29" s="840"/>
      <c r="I29" s="840"/>
      <c r="J29" s="840"/>
      <c r="K29" s="871">
        <v>1</v>
      </c>
      <c r="L29" s="886">
        <v>2</v>
      </c>
      <c r="M29" s="3" t="str">
        <f t="shared" si="5"/>
        <v>na</v>
      </c>
      <c r="N29" s="3" t="str">
        <f t="shared" si="5"/>
        <v>na</v>
      </c>
      <c r="O29" s="3" t="str">
        <f t="shared" si="5"/>
        <v>na</v>
      </c>
      <c r="P29" s="3">
        <f t="shared" si="5"/>
        <v>1</v>
      </c>
      <c r="Q29" s="409">
        <f t="shared" si="5"/>
        <v>1</v>
      </c>
      <c r="R29" s="525"/>
      <c r="S29" s="656">
        <f t="shared" ref="S29:S31" si="6">SUM(K29:L29)/SUM(F29:G29)</f>
        <v>1</v>
      </c>
    </row>
    <row r="30" spans="1:19" ht="13" x14ac:dyDescent="0.3">
      <c r="A30" s="34" t="str">
        <f>'2020 Comm catch'!A30</f>
        <v>9-inch</v>
      </c>
      <c r="B30">
        <v>34</v>
      </c>
      <c r="C30" s="807"/>
      <c r="D30" s="807"/>
      <c r="E30" s="807"/>
      <c r="F30" s="865">
        <v>30</v>
      </c>
      <c r="G30" s="886">
        <v>5</v>
      </c>
      <c r="H30" s="840"/>
      <c r="I30" s="840"/>
      <c r="J30" s="840"/>
      <c r="K30" s="871">
        <v>24</v>
      </c>
      <c r="L30" s="886">
        <v>3</v>
      </c>
      <c r="M30" s="3" t="str">
        <f t="shared" si="5"/>
        <v>na</v>
      </c>
      <c r="N30" s="3" t="str">
        <f t="shared" si="5"/>
        <v>na</v>
      </c>
      <c r="O30" s="3" t="str">
        <f t="shared" si="5"/>
        <v>na</v>
      </c>
      <c r="P30" s="3">
        <f t="shared" si="5"/>
        <v>0.8</v>
      </c>
      <c r="Q30" s="409">
        <f t="shared" si="5"/>
        <v>0.6</v>
      </c>
      <c r="R30" s="525"/>
      <c r="S30" s="656">
        <f t="shared" si="6"/>
        <v>0.77142857142857146</v>
      </c>
    </row>
    <row r="31" spans="1:19" ht="13" x14ac:dyDescent="0.3">
      <c r="A31" s="34" t="str">
        <f>'2020 Comm catch'!A31</f>
        <v>9-inch</v>
      </c>
      <c r="B31">
        <v>35</v>
      </c>
      <c r="C31" s="807"/>
      <c r="D31" s="807"/>
      <c r="E31" s="807"/>
      <c r="F31" s="865">
        <v>165</v>
      </c>
      <c r="G31" s="886">
        <v>9</v>
      </c>
      <c r="H31" s="840"/>
      <c r="I31" s="840"/>
      <c r="J31" s="840"/>
      <c r="K31" s="871">
        <v>123</v>
      </c>
      <c r="L31" s="886">
        <v>7</v>
      </c>
      <c r="M31" s="3" t="str">
        <f t="shared" si="5"/>
        <v>na</v>
      </c>
      <c r="N31" s="3" t="str">
        <f t="shared" si="5"/>
        <v>na</v>
      </c>
      <c r="O31" s="3" t="str">
        <f t="shared" si="5"/>
        <v>na</v>
      </c>
      <c r="P31" s="3">
        <f t="shared" si="5"/>
        <v>0.74545454545454548</v>
      </c>
      <c r="Q31" s="409">
        <f t="shared" si="5"/>
        <v>0.77777777777777779</v>
      </c>
      <c r="R31" s="525"/>
      <c r="S31" s="656">
        <f t="shared" si="6"/>
        <v>0.74712643678160917</v>
      </c>
    </row>
    <row r="32" spans="1:19" ht="13" x14ac:dyDescent="0.3">
      <c r="A32" s="34">
        <f>'2020 Comm catch'!A32</f>
        <v>0</v>
      </c>
      <c r="B32">
        <v>36</v>
      </c>
      <c r="C32" s="807"/>
      <c r="D32" s="807"/>
      <c r="E32" s="807"/>
      <c r="F32" s="807"/>
      <c r="G32" s="863"/>
      <c r="H32" s="840"/>
      <c r="I32" s="840"/>
      <c r="J32" s="840"/>
      <c r="K32" s="840"/>
      <c r="L32" s="863"/>
      <c r="M32" s="3" t="str">
        <f t="shared" si="5"/>
        <v>na</v>
      </c>
      <c r="N32" s="3" t="str">
        <f t="shared" si="5"/>
        <v>na</v>
      </c>
      <c r="O32" s="3" t="str">
        <f t="shared" si="5"/>
        <v>na</v>
      </c>
      <c r="P32" s="3" t="str">
        <f t="shared" si="5"/>
        <v>na</v>
      </c>
      <c r="Q32" s="409" t="str">
        <f t="shared" si="5"/>
        <v>na</v>
      </c>
      <c r="R32" s="525"/>
      <c r="S32" s="656"/>
    </row>
    <row r="33" spans="1:19" ht="13" x14ac:dyDescent="0.3">
      <c r="A33" s="34">
        <f>'2020 Comm catch'!A33</f>
        <v>0</v>
      </c>
      <c r="B33">
        <v>37</v>
      </c>
      <c r="C33" s="807"/>
      <c r="D33" s="807"/>
      <c r="E33" s="807"/>
      <c r="F33" s="807"/>
      <c r="G33" s="863"/>
      <c r="H33" s="840"/>
      <c r="I33" s="840"/>
      <c r="J33" s="840"/>
      <c r="K33" s="840"/>
      <c r="L33" s="863"/>
      <c r="M33" s="3" t="str">
        <f t="shared" si="5"/>
        <v>na</v>
      </c>
      <c r="N33" s="3" t="str">
        <f t="shared" si="5"/>
        <v>na</v>
      </c>
      <c r="O33" s="3" t="str">
        <f t="shared" si="5"/>
        <v>na</v>
      </c>
      <c r="P33" s="3" t="str">
        <f t="shared" si="5"/>
        <v>na</v>
      </c>
      <c r="Q33" s="409" t="str">
        <f t="shared" si="5"/>
        <v>na</v>
      </c>
      <c r="R33" s="525"/>
    </row>
    <row r="34" spans="1:19" ht="13" x14ac:dyDescent="0.3">
      <c r="A34" s="34" t="str">
        <f>'2020 Comm catch'!A34</f>
        <v>8-inch</v>
      </c>
      <c r="B34">
        <v>38</v>
      </c>
      <c r="C34" s="807"/>
      <c r="D34" s="807"/>
      <c r="E34" s="807"/>
      <c r="F34" s="865">
        <v>265</v>
      </c>
      <c r="G34" s="886">
        <v>140</v>
      </c>
      <c r="H34" s="840"/>
      <c r="I34" s="840"/>
      <c r="J34" s="840"/>
      <c r="K34" s="871">
        <v>117</v>
      </c>
      <c r="L34" s="886">
        <v>68</v>
      </c>
      <c r="M34" s="3" t="str">
        <f t="shared" si="5"/>
        <v>na</v>
      </c>
      <c r="N34" s="3" t="str">
        <f t="shared" si="5"/>
        <v>na</v>
      </c>
      <c r="O34" s="3" t="str">
        <f t="shared" si="5"/>
        <v>na</v>
      </c>
      <c r="P34" s="3">
        <f t="shared" si="5"/>
        <v>0.44150943396226416</v>
      </c>
      <c r="Q34" s="409">
        <f t="shared" si="5"/>
        <v>0.48571428571428571</v>
      </c>
      <c r="R34" s="525"/>
      <c r="S34" s="656"/>
    </row>
    <row r="35" spans="1:19" ht="13" x14ac:dyDescent="0.3">
      <c r="A35" s="34" t="str">
        <f>'2020 Comm catch'!A35</f>
        <v>8-inch</v>
      </c>
      <c r="B35">
        <v>39</v>
      </c>
      <c r="C35" s="807"/>
      <c r="D35" s="807"/>
      <c r="E35" s="807"/>
      <c r="F35" s="865">
        <v>141</v>
      </c>
      <c r="G35" s="865">
        <v>183</v>
      </c>
      <c r="H35" s="884"/>
      <c r="I35" s="840"/>
      <c r="J35" s="840"/>
      <c r="K35" s="871">
        <v>40</v>
      </c>
      <c r="L35" s="886">
        <v>32</v>
      </c>
      <c r="M35" s="3" t="str">
        <f t="shared" si="5"/>
        <v>na</v>
      </c>
      <c r="N35" s="3" t="str">
        <f t="shared" si="5"/>
        <v>na</v>
      </c>
      <c r="O35" s="3" t="str">
        <f t="shared" si="5"/>
        <v>na</v>
      </c>
      <c r="P35" s="3">
        <f t="shared" si="5"/>
        <v>0.28368794326241137</v>
      </c>
      <c r="Q35" s="409">
        <f t="shared" si="5"/>
        <v>0.17486338797814208</v>
      </c>
      <c r="R35" s="525"/>
      <c r="S35" s="656"/>
    </row>
    <row r="36" spans="1:19" ht="13" x14ac:dyDescent="0.3">
      <c r="A36" s="34" t="str">
        <f>'2020 Comm catch'!A36</f>
        <v>1-3=tangle, 4-5=8-inch</v>
      </c>
      <c r="B36" s="32">
        <v>40</v>
      </c>
      <c r="C36" s="865">
        <v>0</v>
      </c>
      <c r="D36" s="865">
        <v>352</v>
      </c>
      <c r="E36" s="865">
        <v>116</v>
      </c>
      <c r="F36" s="865">
        <v>78</v>
      </c>
      <c r="G36" s="886">
        <v>29</v>
      </c>
      <c r="H36" s="871">
        <v>0</v>
      </c>
      <c r="I36" s="871">
        <v>4</v>
      </c>
      <c r="J36" s="871">
        <v>0</v>
      </c>
      <c r="K36" s="871">
        <v>8</v>
      </c>
      <c r="L36" s="886">
        <v>7</v>
      </c>
      <c r="M36" s="3" t="str">
        <f>IF(C36&gt;0,H36/C36,"na")</f>
        <v>na</v>
      </c>
      <c r="N36" s="3">
        <f>IF(D36&gt;0,I36/D36,"na")</f>
        <v>1.1363636363636364E-2</v>
      </c>
      <c r="O36" s="3">
        <f>IF(E36&gt;0,J36/E36,"na")</f>
        <v>0</v>
      </c>
      <c r="P36" s="3">
        <f>IF(F36&gt;0,K36/F36,"na")</f>
        <v>0.10256410256410256</v>
      </c>
      <c r="Q36" s="409">
        <f>IF(G36&gt;0,L36/G36,"na")</f>
        <v>0.2413793103448276</v>
      </c>
      <c r="R36" s="656">
        <f>SUM(H36:J36)/SUM(C36:E36)</f>
        <v>8.5470085470085479E-3</v>
      </c>
      <c r="S36" s="656"/>
    </row>
    <row r="37" spans="1:19" ht="13" x14ac:dyDescent="0.3">
      <c r="A37" s="34" t="str">
        <f>'2020 Comm catch'!A37</f>
        <v>1-3=tangle, 4-5=8-inch</v>
      </c>
      <c r="B37" s="32">
        <v>41</v>
      </c>
      <c r="C37" s="865">
        <v>15</v>
      </c>
      <c r="D37" s="865">
        <v>202</v>
      </c>
      <c r="E37" s="865">
        <v>148</v>
      </c>
      <c r="F37" s="865">
        <v>0</v>
      </c>
      <c r="G37" s="886">
        <v>23</v>
      </c>
      <c r="H37" s="871">
        <v>0</v>
      </c>
      <c r="I37" s="871">
        <v>1</v>
      </c>
      <c r="J37" s="871">
        <v>0</v>
      </c>
      <c r="K37" s="871">
        <v>0</v>
      </c>
      <c r="L37" s="886">
        <v>1</v>
      </c>
      <c r="M37" s="3">
        <f t="shared" si="5"/>
        <v>0</v>
      </c>
      <c r="N37" s="3">
        <f t="shared" si="5"/>
        <v>4.9504950495049506E-3</v>
      </c>
      <c r="O37" s="3">
        <f t="shared" si="5"/>
        <v>0</v>
      </c>
      <c r="P37" s="3" t="str">
        <f t="shared" si="5"/>
        <v>na</v>
      </c>
      <c r="Q37" s="409">
        <f t="shared" si="5"/>
        <v>4.3478260869565216E-2</v>
      </c>
      <c r="R37" s="525"/>
      <c r="S37" s="656">
        <f>SUM(K37:L37)/SUM(F37:G37)</f>
        <v>4.3478260869565216E-2</v>
      </c>
    </row>
    <row r="38" spans="1:19" ht="13" x14ac:dyDescent="0.3">
      <c r="A38" s="34" t="str">
        <f>'2020 Comm catch'!A38</f>
        <v>1-3=tangle, 4-5=8-inch</v>
      </c>
      <c r="B38" s="32">
        <v>42</v>
      </c>
      <c r="C38" s="865">
        <v>0</v>
      </c>
      <c r="D38" s="865">
        <v>543</v>
      </c>
      <c r="E38" s="865">
        <v>125</v>
      </c>
      <c r="F38" s="865">
        <v>0</v>
      </c>
      <c r="G38" s="865">
        <v>40</v>
      </c>
      <c r="H38" s="873">
        <v>0</v>
      </c>
      <c r="I38" s="871">
        <v>0</v>
      </c>
      <c r="J38" s="871">
        <v>0</v>
      </c>
      <c r="K38" s="871">
        <v>0</v>
      </c>
      <c r="L38" s="886">
        <v>4</v>
      </c>
      <c r="M38" s="3">
        <f>N38</f>
        <v>0</v>
      </c>
      <c r="N38" s="3">
        <f t="shared" si="5"/>
        <v>0</v>
      </c>
      <c r="O38" s="3">
        <f t="shared" si="5"/>
        <v>0</v>
      </c>
      <c r="P38" s="3" t="str">
        <f t="shared" si="5"/>
        <v>na</v>
      </c>
      <c r="Q38" s="409">
        <f t="shared" si="5"/>
        <v>0.1</v>
      </c>
      <c r="R38" s="656">
        <f>SUM(H38:J38)/SUM(C38:E38)</f>
        <v>0</v>
      </c>
      <c r="S38" s="656">
        <f>SUM(K38:L38)/SUM(F38:G38)</f>
        <v>0.1</v>
      </c>
    </row>
    <row r="39" spans="1:19" ht="13" x14ac:dyDescent="0.3">
      <c r="A39" s="34" t="str">
        <f>'2020 Comm catch'!A39</f>
        <v>1-3=tangle, 4-5=8-inch</v>
      </c>
      <c r="B39">
        <v>43</v>
      </c>
      <c r="C39" s="865">
        <v>0</v>
      </c>
      <c r="D39" s="865">
        <v>173</v>
      </c>
      <c r="E39" s="865">
        <v>23</v>
      </c>
      <c r="F39" s="865">
        <v>0</v>
      </c>
      <c r="G39" s="886">
        <v>4</v>
      </c>
      <c r="H39" s="871">
        <v>0</v>
      </c>
      <c r="I39" s="871">
        <v>0</v>
      </c>
      <c r="J39" s="871">
        <v>0</v>
      </c>
      <c r="K39" s="871">
        <v>0</v>
      </c>
      <c r="L39" s="886">
        <v>0</v>
      </c>
      <c r="M39" s="3" t="str">
        <f>IF(C39&gt;0,H39/C39,"na")</f>
        <v>na</v>
      </c>
      <c r="N39" s="3">
        <f t="shared" si="5"/>
        <v>0</v>
      </c>
      <c r="O39" s="3">
        <f t="shared" si="5"/>
        <v>0</v>
      </c>
      <c r="P39" s="3" t="str">
        <f t="shared" si="5"/>
        <v>na</v>
      </c>
      <c r="Q39" s="409">
        <f t="shared" si="5"/>
        <v>0</v>
      </c>
      <c r="R39" s="525"/>
      <c r="S39" s="656"/>
    </row>
    <row r="40" spans="1:19" ht="13" x14ac:dyDescent="0.3">
      <c r="A40" s="34" t="str">
        <f>'2020 Comm catch'!A40</f>
        <v>1-3=tangle, 4-5=8-inch</v>
      </c>
      <c r="B40">
        <v>44</v>
      </c>
      <c r="C40" s="865">
        <v>0</v>
      </c>
      <c r="D40" s="865">
        <v>11</v>
      </c>
      <c r="E40" s="865">
        <v>0</v>
      </c>
      <c r="F40" s="807"/>
      <c r="G40" s="863"/>
      <c r="H40" s="871">
        <v>0</v>
      </c>
      <c r="I40" s="871">
        <v>0</v>
      </c>
      <c r="J40" s="871">
        <v>0</v>
      </c>
      <c r="K40" s="840"/>
      <c r="L40" s="863"/>
      <c r="M40" s="3" t="str">
        <f>IF(C40&gt;0,H40/C40,"na")</f>
        <v>na</v>
      </c>
      <c r="N40" s="3">
        <f>IF(D40&gt;0,I40/D40,"na")</f>
        <v>0</v>
      </c>
      <c r="O40" s="3" t="str">
        <f t="shared" si="5"/>
        <v>na</v>
      </c>
      <c r="P40" s="3" t="str">
        <f t="shared" si="5"/>
        <v>na</v>
      </c>
      <c r="Q40" s="409" t="str">
        <f t="shared" si="5"/>
        <v>na</v>
      </c>
      <c r="R40" s="656">
        <f>SUM(H40:J40)/SUM(C40:E40)</f>
        <v>0</v>
      </c>
      <c r="S40" s="656"/>
    </row>
    <row r="41" spans="1:19" x14ac:dyDescent="0.25">
      <c r="A41">
        <f>'2020 Comm catch'!A41</f>
        <v>0</v>
      </c>
      <c r="B41">
        <v>45</v>
      </c>
      <c r="C41" s="868"/>
      <c r="D41" s="868"/>
      <c r="E41" s="868"/>
      <c r="F41" s="868"/>
      <c r="G41" s="885"/>
      <c r="H41" s="840"/>
      <c r="I41" s="840"/>
      <c r="J41" s="840"/>
      <c r="K41" s="840"/>
      <c r="L41" s="863"/>
      <c r="M41" s="3" t="str">
        <f>IF(C41&gt;0,H41/C41,"na")</f>
        <v>na</v>
      </c>
      <c r="N41" s="3" t="str">
        <f t="shared" ref="N41:P42" si="7">IF(D41&gt;0,I41/D41,"na")</f>
        <v>na</v>
      </c>
      <c r="O41" s="3" t="str">
        <f t="shared" si="7"/>
        <v>na</v>
      </c>
      <c r="P41" s="3" t="str">
        <f t="shared" si="7"/>
        <v>na</v>
      </c>
      <c r="Q41" s="409" t="str">
        <f>IF(G41&gt;0,L41/G41,"na")</f>
        <v>na</v>
      </c>
      <c r="R41" s="402"/>
    </row>
    <row r="42" spans="1:19" x14ac:dyDescent="0.25">
      <c r="B42" t="s">
        <v>184</v>
      </c>
      <c r="C42" s="827">
        <f>SUM(C28:C41)</f>
        <v>15</v>
      </c>
      <c r="D42" s="828">
        <f t="shared" ref="D42:L42" si="8">SUM(D28:D41)</f>
        <v>1281</v>
      </c>
      <c r="E42" s="828">
        <f t="shared" si="8"/>
        <v>412</v>
      </c>
      <c r="F42" s="828">
        <f t="shared" si="8"/>
        <v>680</v>
      </c>
      <c r="G42" s="829">
        <f t="shared" si="8"/>
        <v>435</v>
      </c>
      <c r="H42" s="827">
        <f t="shared" si="8"/>
        <v>0</v>
      </c>
      <c r="I42" s="828">
        <f t="shared" si="8"/>
        <v>5</v>
      </c>
      <c r="J42" s="828">
        <f t="shared" si="8"/>
        <v>0</v>
      </c>
      <c r="K42" s="828">
        <f t="shared" si="8"/>
        <v>313</v>
      </c>
      <c r="L42" s="830">
        <f t="shared" si="8"/>
        <v>124</v>
      </c>
      <c r="M42" s="223">
        <f>IF(C42&gt;0,H42/C42,"na")</f>
        <v>0</v>
      </c>
      <c r="N42" s="528">
        <f t="shared" si="7"/>
        <v>3.9032006245120999E-3</v>
      </c>
      <c r="O42" s="528">
        <f t="shared" si="7"/>
        <v>0</v>
      </c>
      <c r="P42" s="528">
        <f t="shared" si="7"/>
        <v>0.4602941176470588</v>
      </c>
      <c r="Q42" s="529">
        <f>IF(G42&gt;0,L42/G42,"na")</f>
        <v>0.28505747126436781</v>
      </c>
      <c r="R42" s="525"/>
    </row>
    <row r="43" spans="1:19" x14ac:dyDescent="0.25">
      <c r="C43" s="44"/>
      <c r="D43" s="44"/>
      <c r="E43" s="44"/>
      <c r="F43" s="44"/>
      <c r="G43" s="44"/>
      <c r="H43" s="44"/>
      <c r="I43" s="44"/>
      <c r="J43" s="44"/>
      <c r="K43" s="44"/>
      <c r="L43" s="44"/>
      <c r="M43" s="44"/>
      <c r="N43" s="44"/>
      <c r="O43" s="44"/>
      <c r="P43" s="44"/>
      <c r="Q43" s="531"/>
      <c r="R43" s="531"/>
    </row>
  </sheetData>
  <mergeCells count="6">
    <mergeCell ref="C3:F3"/>
    <mergeCell ref="G3:J3"/>
    <mergeCell ref="K3:N3"/>
    <mergeCell ref="C26:G26"/>
    <mergeCell ref="H26:L26"/>
    <mergeCell ref="M26:Q26"/>
  </mergeCells>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F43"/>
  <sheetViews>
    <sheetView topLeftCell="A22" zoomScaleNormal="100" workbookViewId="0">
      <pane xSplit="2" topLeftCell="P1" activePane="topRight" state="frozen"/>
      <selection activeCell="S15" sqref="S15"/>
      <selection pane="topRight" activeCell="S15" sqref="S15"/>
    </sheetView>
  </sheetViews>
  <sheetFormatPr defaultColWidth="9.1796875" defaultRowHeight="13" x14ac:dyDescent="0.3"/>
  <cols>
    <col min="1" max="1" width="21" style="32" bestFit="1" customWidth="1"/>
    <col min="2" max="2" width="11.7265625" style="34" bestFit="1" customWidth="1"/>
    <col min="3" max="3" width="11.7265625" style="33" bestFit="1" customWidth="1"/>
    <col min="4" max="4" width="12" style="33" bestFit="1" customWidth="1"/>
    <col min="5" max="5" width="12.453125" style="33" bestFit="1" customWidth="1"/>
    <col min="6" max="6" width="10.26953125" style="33" bestFit="1" customWidth="1"/>
    <col min="7" max="7" width="12.7265625" style="33" bestFit="1" customWidth="1"/>
    <col min="8" max="8" width="10.26953125" style="33" bestFit="1" customWidth="1"/>
    <col min="9" max="9" width="8.1796875" style="33" bestFit="1" customWidth="1"/>
    <col min="10" max="10" width="7.54296875" style="33" bestFit="1" customWidth="1"/>
    <col min="11" max="11" width="11.54296875" style="33" bestFit="1" customWidth="1"/>
    <col min="12" max="12" width="11.453125" style="33" bestFit="1" customWidth="1"/>
    <col min="13" max="13" width="8.1796875" style="33" bestFit="1" customWidth="1"/>
    <col min="14" max="14" width="10" style="33" bestFit="1" customWidth="1"/>
    <col min="15" max="15" width="11.54296875" style="33" bestFit="1" customWidth="1"/>
    <col min="16" max="16" width="10.26953125" style="33" bestFit="1" customWidth="1"/>
    <col min="17" max="17" width="8.1796875" style="33" bestFit="1" customWidth="1"/>
    <col min="18" max="18" width="9.26953125" style="33" bestFit="1" customWidth="1"/>
    <col min="19" max="19" width="7.7265625" style="33" bestFit="1" customWidth="1"/>
    <col min="20" max="20" width="7.26953125" style="33" customWidth="1"/>
    <col min="21" max="21" width="5.54296875" style="33" customWidth="1"/>
    <col min="22" max="22" width="5" style="33" bestFit="1" customWidth="1"/>
    <col min="23" max="23" width="8.54296875" style="33" bestFit="1" customWidth="1"/>
    <col min="24" max="24" width="6.7265625" style="33" customWidth="1"/>
    <col min="25" max="25" width="5" style="32" bestFit="1" customWidth="1"/>
    <col min="26" max="26" width="8.26953125" style="32" bestFit="1" customWidth="1"/>
    <col min="27" max="27" width="8.26953125" style="32" customWidth="1"/>
    <col min="28" max="28" width="7" style="32" bestFit="1" customWidth="1"/>
    <col min="29" max="29" width="12" style="32" bestFit="1" customWidth="1"/>
    <col min="30" max="30" width="9.26953125" style="32" bestFit="1" customWidth="1"/>
    <col min="31" max="31" width="2.54296875" style="32" customWidth="1"/>
    <col min="32" max="16384" width="9.1796875" style="32"/>
  </cols>
  <sheetData>
    <row r="1" spans="1:24" x14ac:dyDescent="0.3">
      <c r="A1" s="34" t="s">
        <v>344</v>
      </c>
    </row>
    <row r="2" spans="1:24" x14ac:dyDescent="0.3">
      <c r="C2" s="34" t="s">
        <v>330</v>
      </c>
    </row>
    <row r="3" spans="1:24" x14ac:dyDescent="0.3">
      <c r="C3" s="903" t="s">
        <v>208</v>
      </c>
      <c r="D3" s="904"/>
      <c r="E3" s="904"/>
      <c r="F3" s="905"/>
      <c r="G3" s="903" t="s">
        <v>264</v>
      </c>
      <c r="H3" s="904"/>
      <c r="I3" s="904"/>
      <c r="J3" s="905"/>
      <c r="K3" s="903" t="s">
        <v>261</v>
      </c>
      <c r="L3" s="904"/>
      <c r="M3" s="904"/>
      <c r="N3" s="905"/>
      <c r="O3" s="903" t="s">
        <v>262</v>
      </c>
      <c r="P3" s="904"/>
      <c r="Q3" s="904"/>
      <c r="R3" s="905"/>
      <c r="S3" s="781" t="s">
        <v>339</v>
      </c>
      <c r="T3" s="781"/>
      <c r="U3" s="781"/>
      <c r="V3" s="781"/>
      <c r="W3" s="165"/>
      <c r="X3" s="165"/>
    </row>
    <row r="4" spans="1:24" x14ac:dyDescent="0.3">
      <c r="B4" s="34" t="s">
        <v>134</v>
      </c>
      <c r="C4" s="547" t="s">
        <v>31</v>
      </c>
      <c r="D4" s="202" t="s">
        <v>62</v>
      </c>
      <c r="E4" s="202" t="s">
        <v>260</v>
      </c>
      <c r="F4" s="548" t="s">
        <v>203</v>
      </c>
      <c r="G4" s="547" t="s">
        <v>31</v>
      </c>
      <c r="H4" s="202" t="s">
        <v>62</v>
      </c>
      <c r="I4" s="202" t="s">
        <v>260</v>
      </c>
      <c r="J4" s="548" t="s">
        <v>203</v>
      </c>
      <c r="K4" s="549" t="s">
        <v>31</v>
      </c>
      <c r="L4" s="208" t="s">
        <v>62</v>
      </c>
      <c r="M4" s="208" t="s">
        <v>260</v>
      </c>
      <c r="N4" s="550" t="s">
        <v>203</v>
      </c>
      <c r="O4" s="549" t="s">
        <v>31</v>
      </c>
      <c r="P4" s="208" t="s">
        <v>62</v>
      </c>
      <c r="Q4" s="208" t="s">
        <v>260</v>
      </c>
      <c r="R4" s="550" t="s">
        <v>203</v>
      </c>
      <c r="S4" s="781" t="s">
        <v>335</v>
      </c>
      <c r="T4" s="781" t="s">
        <v>336</v>
      </c>
      <c r="U4" s="781" t="s">
        <v>337</v>
      </c>
      <c r="V4" s="781" t="s">
        <v>338</v>
      </c>
      <c r="W4" s="208"/>
      <c r="X4" s="208"/>
    </row>
    <row r="5" spans="1:24" x14ac:dyDescent="0.3">
      <c r="B5" s="34">
        <v>31</v>
      </c>
      <c r="C5" s="807"/>
      <c r="D5" s="807"/>
      <c r="E5" s="807"/>
      <c r="F5" s="863"/>
      <c r="G5" s="551" t="str">
        <f>'2020 comm sample'!K5</f>
        <v>na</v>
      </c>
      <c r="H5" s="552" t="str">
        <f>'2020 comm sample'!L5</f>
        <v>na</v>
      </c>
      <c r="I5" s="552" t="str">
        <f>'2020 comm sample'!M5</f>
        <v>na</v>
      </c>
      <c r="J5" s="552" t="str">
        <f>'2020 comm sample'!N5</f>
        <v>na</v>
      </c>
      <c r="K5" s="553" t="str">
        <f>IF(C5&gt;0,'2020 comm sample'!C5/'2020 Comm catch'!C5,"na")</f>
        <v>na</v>
      </c>
      <c r="L5" s="554" t="str">
        <f>IF(D5&gt;0,'2020 comm sample'!D5/'2020 Comm catch'!D5,"na")</f>
        <v>na</v>
      </c>
      <c r="M5" s="554" t="str">
        <f>IF(E5&gt;0,'2020 comm sample'!E5/'2020 Comm catch'!E5,"na")</f>
        <v>na</v>
      </c>
      <c r="N5" s="554" t="str">
        <f>IF(F5&gt;0,'2020 comm sample'!F5/'2020 Comm catch'!F5,"na")</f>
        <v>na</v>
      </c>
      <c r="O5" s="555" t="str">
        <f t="shared" ref="O5:R19" si="0">IF(G5&lt;&gt;"na",C5*G5,"na")</f>
        <v>na</v>
      </c>
      <c r="P5" s="556" t="str">
        <f t="shared" si="0"/>
        <v>na</v>
      </c>
      <c r="Q5" s="556" t="str">
        <f t="shared" si="0"/>
        <v>na</v>
      </c>
      <c r="R5" s="557" t="str">
        <f t="shared" si="0"/>
        <v>na</v>
      </c>
      <c r="S5" s="514"/>
      <c r="T5" s="514"/>
      <c r="U5" s="514"/>
      <c r="V5" s="514"/>
      <c r="W5" s="514"/>
      <c r="X5" s="514"/>
    </row>
    <row r="6" spans="1:24" x14ac:dyDescent="0.3">
      <c r="B6" s="34">
        <v>32</v>
      </c>
      <c r="C6" s="862">
        <v>0</v>
      </c>
      <c r="D6" s="807"/>
      <c r="E6" s="807"/>
      <c r="F6" s="863"/>
      <c r="G6" s="551" t="str">
        <f>'2020 comm sample'!K6</f>
        <v>na</v>
      </c>
      <c r="H6" s="552" t="str">
        <f>'2020 comm sample'!L6</f>
        <v>na</v>
      </c>
      <c r="I6" s="552" t="str">
        <f>'2020 comm sample'!M6</f>
        <v>na</v>
      </c>
      <c r="J6" s="552" t="str">
        <f>'2020 comm sample'!N6</f>
        <v>na</v>
      </c>
      <c r="K6" s="558" t="str">
        <f>IF(C6&gt;0,'2020 comm sample'!C6/'2020 Comm catch'!C6,"na")</f>
        <v>na</v>
      </c>
      <c r="L6" s="559" t="str">
        <f>IF(D6&gt;0,'2020 comm sample'!D6/'2020 Comm catch'!D6,"na")</f>
        <v>na</v>
      </c>
      <c r="M6" s="559" t="str">
        <f>IF(E6&gt;0,'2020 comm sample'!E6/'2020 Comm catch'!E6,"na")</f>
        <v>na</v>
      </c>
      <c r="N6" s="559" t="str">
        <f>IF(F6&gt;0,'2020 comm sample'!F6/'2020 Comm catch'!F6,"na")</f>
        <v>na</v>
      </c>
      <c r="O6" s="560" t="str">
        <f t="shared" si="0"/>
        <v>na</v>
      </c>
      <c r="P6" s="514" t="str">
        <f t="shared" si="0"/>
        <v>na</v>
      </c>
      <c r="Q6" s="514" t="str">
        <f t="shared" si="0"/>
        <v>na</v>
      </c>
      <c r="R6" s="563" t="str">
        <f t="shared" si="0"/>
        <v>na</v>
      </c>
      <c r="S6" s="514"/>
      <c r="T6" s="514"/>
      <c r="U6" s="514"/>
      <c r="V6" s="514"/>
      <c r="W6" s="514"/>
      <c r="X6" s="514"/>
    </row>
    <row r="7" spans="1:24" x14ac:dyDescent="0.3">
      <c r="B7" s="34">
        <v>33</v>
      </c>
      <c r="C7" s="862">
        <v>0</v>
      </c>
      <c r="D7" s="807"/>
      <c r="E7" s="807"/>
      <c r="F7" s="863"/>
      <c r="G7" s="551" t="str">
        <f>'2020 comm sample'!K7</f>
        <v>na</v>
      </c>
      <c r="H7" s="552" t="str">
        <f>'2020 comm sample'!L7</f>
        <v>na</v>
      </c>
      <c r="I7" s="552" t="str">
        <f>'2020 comm sample'!M7</f>
        <v>na</v>
      </c>
      <c r="J7" s="552" t="str">
        <f>'2020 comm sample'!N7</f>
        <v>na</v>
      </c>
      <c r="K7" s="558" t="str">
        <f>IF(C7&gt;0,'2020 comm sample'!C7/'2020 Comm catch'!C7,"na")</f>
        <v>na</v>
      </c>
      <c r="L7" s="559" t="str">
        <f>IF(D7&gt;0,'2020 comm sample'!D7/'2020 Comm catch'!D7,"na")</f>
        <v>na</v>
      </c>
      <c r="M7" s="559" t="str">
        <f>IF(E7&gt;0,'2020 comm sample'!E7/'2020 Comm catch'!E7,"na")</f>
        <v>na</v>
      </c>
      <c r="N7" s="559" t="str">
        <f>IF(F7&gt;0,'2020 comm sample'!F7/'2020 Comm catch'!F7,"na")</f>
        <v>na</v>
      </c>
      <c r="O7" s="560" t="str">
        <f t="shared" si="0"/>
        <v>na</v>
      </c>
      <c r="P7" s="514" t="str">
        <f t="shared" si="0"/>
        <v>na</v>
      </c>
      <c r="Q7" s="514" t="str">
        <f t="shared" si="0"/>
        <v>na</v>
      </c>
      <c r="R7" s="563" t="str">
        <f t="shared" si="0"/>
        <v>na</v>
      </c>
      <c r="S7" s="514"/>
      <c r="T7" s="514"/>
      <c r="U7" s="514"/>
      <c r="V7" s="514"/>
      <c r="W7" s="514"/>
      <c r="X7" s="514"/>
    </row>
    <row r="8" spans="1:24" x14ac:dyDescent="0.3">
      <c r="B8" s="34">
        <v>34</v>
      </c>
      <c r="C8" s="862">
        <v>9</v>
      </c>
      <c r="D8" s="807"/>
      <c r="E8" s="864"/>
      <c r="F8" s="864"/>
      <c r="G8" s="551">
        <f>'2020 comm sample'!K8</f>
        <v>0</v>
      </c>
      <c r="H8" s="552" t="str">
        <f>'2020 comm sample'!L8</f>
        <v>na</v>
      </c>
      <c r="I8" s="552" t="str">
        <f>'2020 comm sample'!M8</f>
        <v>na</v>
      </c>
      <c r="J8" s="552" t="str">
        <f>'2020 comm sample'!N8</f>
        <v>na</v>
      </c>
      <c r="K8" s="558">
        <f>IF(C8&gt;0,'2020 comm sample'!C8/'2020 Comm catch'!C8,"na")</f>
        <v>0.33333333333333331</v>
      </c>
      <c r="L8" s="559" t="str">
        <f>IF(D8&gt;0,'2020 comm sample'!D8/'2020 Comm catch'!D8,"na")</f>
        <v>na</v>
      </c>
      <c r="M8" s="559" t="str">
        <f>IF(E8&gt;0,'2020 comm sample'!E8/'2020 Comm catch'!E8,"na")</f>
        <v>na</v>
      </c>
      <c r="N8" s="559" t="str">
        <f>IF(F8&gt;0,'2020 comm sample'!F8/'2020 Comm catch'!F8,"na")</f>
        <v>na</v>
      </c>
      <c r="O8" s="560">
        <f t="shared" si="0"/>
        <v>0</v>
      </c>
      <c r="P8" s="514" t="str">
        <f t="shared" si="0"/>
        <v>na</v>
      </c>
      <c r="Q8" s="514" t="str">
        <f t="shared" si="0"/>
        <v>na</v>
      </c>
      <c r="R8" s="563" t="str">
        <f t="shared" si="0"/>
        <v>na</v>
      </c>
      <c r="S8" s="514"/>
      <c r="T8" s="514"/>
      <c r="U8" s="514"/>
      <c r="V8" s="514"/>
      <c r="W8" s="514"/>
      <c r="X8" s="514"/>
    </row>
    <row r="9" spans="1:24" x14ac:dyDescent="0.3">
      <c r="B9" s="34">
        <v>35</v>
      </c>
      <c r="C9" s="862">
        <v>165</v>
      </c>
      <c r="D9" s="865">
        <v>111</v>
      </c>
      <c r="E9" s="866">
        <v>82</v>
      </c>
      <c r="F9" s="864"/>
      <c r="G9" s="551">
        <f>'2020 comm sample'!K9</f>
        <v>3.3333333333333333E-2</v>
      </c>
      <c r="H9" s="552">
        <f>'2020 comm sample'!L9</f>
        <v>4.7619047619047616E-2</v>
      </c>
      <c r="I9" s="552">
        <f>'2020 comm sample'!M9</f>
        <v>0</v>
      </c>
      <c r="J9" s="552" t="str">
        <f>'2020 comm sample'!N9</f>
        <v>na</v>
      </c>
      <c r="K9" s="558">
        <f>IF(C9&gt;0,'2020 comm sample'!C9/'2020 Comm catch'!C9,"na")</f>
        <v>0.54545454545454541</v>
      </c>
      <c r="L9" s="559">
        <f>IF(D9&gt;0,'2020 comm sample'!D9/'2020 Comm catch'!D9,"na")</f>
        <v>0.1891891891891892</v>
      </c>
      <c r="M9" s="559">
        <f>IF(E9&gt;0,'2020 comm sample'!E9/'2020 Comm catch'!E9,"na")</f>
        <v>0.40243902439024393</v>
      </c>
      <c r="N9" s="559" t="str">
        <f>IF(F9&gt;0,'2020 comm sample'!F9/'2020 Comm catch'!F9,"na")</f>
        <v>na</v>
      </c>
      <c r="O9" s="560">
        <f t="shared" si="0"/>
        <v>5.5</v>
      </c>
      <c r="P9" s="514">
        <f t="shared" si="0"/>
        <v>5.2857142857142856</v>
      </c>
      <c r="Q9" s="514">
        <f t="shared" si="0"/>
        <v>0</v>
      </c>
      <c r="R9" s="563" t="str">
        <f t="shared" si="0"/>
        <v>na</v>
      </c>
      <c r="S9" s="514"/>
      <c r="T9" s="514"/>
      <c r="U9" s="514"/>
      <c r="V9" s="514"/>
      <c r="W9" s="514"/>
      <c r="X9" s="514"/>
    </row>
    <row r="10" spans="1:24" x14ac:dyDescent="0.3">
      <c r="B10" s="34">
        <v>36</v>
      </c>
      <c r="C10" s="862">
        <v>4165</v>
      </c>
      <c r="D10" s="866">
        <v>1511</v>
      </c>
      <c r="E10" s="866">
        <v>753</v>
      </c>
      <c r="F10" s="864"/>
      <c r="G10" s="551">
        <f>'2020 comm sample'!K10</f>
        <v>2.0207852193995381E-2</v>
      </c>
      <c r="H10" s="552">
        <f>'2020 comm sample'!L10</f>
        <v>6.4871481028151781E-2</v>
      </c>
      <c r="I10" s="552">
        <f>'2020 comm sample'!M10</f>
        <v>3.003003003003003E-2</v>
      </c>
      <c r="J10" s="552" t="str">
        <f>'2020 comm sample'!N10</f>
        <v>na</v>
      </c>
      <c r="K10" s="558">
        <f>IF(C10&gt;0,'2020 comm sample'!C10/'2020 Comm catch'!C10,"na")</f>
        <v>0.41584633853541414</v>
      </c>
      <c r="L10" s="559">
        <f>IF(D10&gt;0,'2020 comm sample'!D10/'2020 Comm catch'!D10,"na")</f>
        <v>0.54070152217074785</v>
      </c>
      <c r="M10" s="559">
        <f>IF(E10&gt;0,'2020 comm sample'!E10/'2020 Comm catch'!E10,"na")</f>
        <v>0.44223107569721115</v>
      </c>
      <c r="N10" s="559" t="str">
        <f>IF(F10&gt;0,'2020 comm sample'!F10/'2020 Comm catch'!F10,"na")</f>
        <v>na</v>
      </c>
      <c r="O10" s="560">
        <f t="shared" si="0"/>
        <v>84.165704387990758</v>
      </c>
      <c r="P10" s="514">
        <f t="shared" si="0"/>
        <v>98.020807833537347</v>
      </c>
      <c r="Q10" s="514">
        <f t="shared" si="0"/>
        <v>22.612612612612612</v>
      </c>
      <c r="R10" s="563" t="str">
        <f t="shared" si="0"/>
        <v>na</v>
      </c>
      <c r="S10" s="514"/>
      <c r="T10" s="514"/>
      <c r="U10" s="514"/>
      <c r="V10" s="514"/>
      <c r="W10" s="514"/>
      <c r="X10" s="514"/>
    </row>
    <row r="11" spans="1:24" x14ac:dyDescent="0.3">
      <c r="B11" s="34">
        <v>37</v>
      </c>
      <c r="C11" s="862">
        <v>7031</v>
      </c>
      <c r="D11" s="866">
        <v>4810</v>
      </c>
      <c r="E11" s="866">
        <v>1908</v>
      </c>
      <c r="F11" s="864"/>
      <c r="G11" s="551">
        <f>'2020 comm sample'!K11</f>
        <v>2.5810721376571807E-2</v>
      </c>
      <c r="H11" s="552">
        <f>'2020 comm sample'!L11</f>
        <v>6.7289719626168226E-2</v>
      </c>
      <c r="I11" s="552">
        <f>'2020 comm sample'!M11</f>
        <v>4.4117647058823532E-2</v>
      </c>
      <c r="J11" s="552" t="str">
        <f>'2020 comm sample'!N11</f>
        <v>na</v>
      </c>
      <c r="K11" s="558">
        <f>IF(C11&gt;0,'2020 comm sample'!C11/'2020 Comm catch'!C11,"na")</f>
        <v>0.21490541885933723</v>
      </c>
      <c r="L11" s="559">
        <f>IF(D11&gt;0,'2020 comm sample'!D11/'2020 Comm catch'!D11,"na")</f>
        <v>0.33367983367983367</v>
      </c>
      <c r="M11" s="559">
        <f>IF(E11&gt;0,'2020 comm sample'!E11/'2020 Comm catch'!E11,"na")</f>
        <v>0.49895178197064988</v>
      </c>
      <c r="N11" s="559" t="str">
        <f>IF(F11&gt;0,'2020 comm sample'!F11/'2020 Comm catch'!F11,"na")</f>
        <v>na</v>
      </c>
      <c r="O11" s="560">
        <f t="shared" si="0"/>
        <v>181.47518199867636</v>
      </c>
      <c r="P11" s="514">
        <f t="shared" si="0"/>
        <v>323.66355140186914</v>
      </c>
      <c r="Q11" s="514">
        <f t="shared" si="0"/>
        <v>84.176470588235304</v>
      </c>
      <c r="R11" s="563" t="str">
        <f t="shared" si="0"/>
        <v>na</v>
      </c>
      <c r="S11" s="514"/>
      <c r="T11" s="514"/>
      <c r="U11" s="514"/>
      <c r="V11" s="514"/>
      <c r="W11" s="514"/>
      <c r="X11" s="514"/>
    </row>
    <row r="12" spans="1:24" x14ac:dyDescent="0.3">
      <c r="B12" s="34">
        <v>38</v>
      </c>
      <c r="C12" s="862">
        <v>5735</v>
      </c>
      <c r="D12" s="866">
        <v>2803</v>
      </c>
      <c r="E12" s="866">
        <v>2827</v>
      </c>
      <c r="F12" s="864"/>
      <c r="G12" s="551">
        <f>'2020 comm sample'!K12</f>
        <v>2.3941855493800769E-2</v>
      </c>
      <c r="H12" s="552">
        <f>'2020 comm sample'!L12</f>
        <v>3.6376115305422098E-2</v>
      </c>
      <c r="I12" s="552">
        <f>'2020 comm sample'!M12</f>
        <v>4.3697478991596636E-2</v>
      </c>
      <c r="J12" s="552" t="str">
        <f>'2020 comm sample'!N12</f>
        <v>na</v>
      </c>
      <c r="K12" s="558">
        <f>IF(C12&gt;0,'2020 comm sample'!C12/'2020 Comm catch'!C12,"na")</f>
        <v>0.40784655623365301</v>
      </c>
      <c r="L12" s="559">
        <f>IF(D12&gt;0,'2020 comm sample'!D12/'2020 Comm catch'!D12,"na")</f>
        <v>0.51980021405636823</v>
      </c>
      <c r="M12" s="559">
        <f>IF(E12&gt;0,'2020 comm sample'!E12/'2020 Comm catch'!E12,"na")</f>
        <v>0.21047046338875133</v>
      </c>
      <c r="N12" s="559" t="str">
        <f>IF(F12&gt;0,'2020 comm sample'!F12/'2020 Comm catch'!F12,"na")</f>
        <v>na</v>
      </c>
      <c r="O12" s="560">
        <f t="shared" si="0"/>
        <v>137.30654125694741</v>
      </c>
      <c r="P12" s="514">
        <f t="shared" si="0"/>
        <v>101.96225120109814</v>
      </c>
      <c r="Q12" s="514">
        <f t="shared" si="0"/>
        <v>123.53277310924369</v>
      </c>
      <c r="R12" s="563" t="str">
        <f t="shared" si="0"/>
        <v>na</v>
      </c>
      <c r="S12" s="514"/>
      <c r="T12" s="514"/>
      <c r="U12" s="514"/>
      <c r="V12" s="514"/>
      <c r="W12" s="514"/>
      <c r="X12" s="514"/>
    </row>
    <row r="13" spans="1:24" x14ac:dyDescent="0.3">
      <c r="B13" s="34">
        <v>39</v>
      </c>
      <c r="C13" s="862">
        <v>1855</v>
      </c>
      <c r="D13" s="866">
        <v>978</v>
      </c>
      <c r="E13" s="866">
        <v>2369</v>
      </c>
      <c r="F13" s="864"/>
      <c r="G13" s="551">
        <f>'2020 comm sample'!K13</f>
        <v>3.245192307692308E-2</v>
      </c>
      <c r="H13" s="552">
        <f>'2020 comm sample'!L13</f>
        <v>5.090311986863711E-2</v>
      </c>
      <c r="I13" s="552">
        <f>'2020 comm sample'!M13</f>
        <v>6.0836501901140684E-2</v>
      </c>
      <c r="J13" s="552" t="str">
        <f>'2020 comm sample'!N13</f>
        <v>na</v>
      </c>
      <c r="K13" s="558">
        <f>IF(C13&gt;0,'2020 comm sample'!C13/'2020 Comm catch'!C13,"na")</f>
        <v>0.4485175202156334</v>
      </c>
      <c r="L13" s="559">
        <f>IF(D13&gt;0,'2020 comm sample'!D13/'2020 Comm catch'!D13,"na")</f>
        <v>0.62269938650306744</v>
      </c>
      <c r="M13" s="559">
        <f>IF(E13&gt;0,'2020 comm sample'!E13/'2020 Comm catch'!E13,"na")</f>
        <v>0.33305192064162092</v>
      </c>
      <c r="N13" s="559" t="str">
        <f>IF(F13&gt;0,'2020 comm sample'!F13/'2020 Comm catch'!F13,"na")</f>
        <v>na</v>
      </c>
      <c r="O13" s="560">
        <f t="shared" si="0"/>
        <v>60.198317307692314</v>
      </c>
      <c r="P13" s="514">
        <f t="shared" si="0"/>
        <v>49.783251231527096</v>
      </c>
      <c r="Q13" s="514">
        <f t="shared" si="0"/>
        <v>144.12167300380227</v>
      </c>
      <c r="R13" s="563" t="str">
        <f t="shared" si="0"/>
        <v>na</v>
      </c>
      <c r="S13" s="514"/>
      <c r="T13" s="514"/>
      <c r="U13" s="514"/>
      <c r="V13" s="514"/>
      <c r="W13" s="514"/>
      <c r="X13" s="514"/>
    </row>
    <row r="14" spans="1:24" x14ac:dyDescent="0.3">
      <c r="B14" s="34">
        <v>40</v>
      </c>
      <c r="C14" s="862">
        <v>548</v>
      </c>
      <c r="D14" s="866">
        <v>194</v>
      </c>
      <c r="E14" s="866">
        <v>951</v>
      </c>
      <c r="F14" s="866">
        <v>563</v>
      </c>
      <c r="G14" s="551">
        <f>'2020 comm sample'!K14</f>
        <v>2.3166023166023165E-2</v>
      </c>
      <c r="H14" s="552">
        <f>'2020 comm sample'!L14</f>
        <v>3.7974683544303799E-2</v>
      </c>
      <c r="I14" s="552">
        <f>'2020 comm sample'!M14</f>
        <v>8.6956521739130432E-2</v>
      </c>
      <c r="J14" s="552">
        <f>'2020 comm sample'!N14</f>
        <v>0.13500000000000001</v>
      </c>
      <c r="K14" s="558">
        <f>IF(C14&gt;0,'2020 comm sample'!C14/'2020 Comm catch'!C14,"na")</f>
        <v>0.47262773722627738</v>
      </c>
      <c r="L14" s="559">
        <f>IF(D14&gt;0,'2020 comm sample'!D14/'2020 Comm catch'!D14,"na")</f>
        <v>0.81443298969072164</v>
      </c>
      <c r="M14" s="559">
        <f>IF(E14&gt;0,'2020 comm sample'!E14/'2020 Comm catch'!E14,"na")</f>
        <v>0.53207150368033651</v>
      </c>
      <c r="N14" s="559">
        <f>IF(F14&gt;0,'2020 comm sample'!F14/'2020 Comm catch'!F14,"na")</f>
        <v>0.71047957371225579</v>
      </c>
      <c r="O14" s="560">
        <f t="shared" si="0"/>
        <v>12.694980694980694</v>
      </c>
      <c r="P14" s="514">
        <f t="shared" si="0"/>
        <v>7.3670886075949369</v>
      </c>
      <c r="Q14" s="514">
        <f t="shared" si="0"/>
        <v>82.695652173913047</v>
      </c>
      <c r="R14" s="563">
        <f t="shared" si="0"/>
        <v>76.00500000000001</v>
      </c>
      <c r="S14" s="514"/>
      <c r="T14" s="514"/>
      <c r="U14" s="514"/>
      <c r="V14" s="514"/>
      <c r="W14" s="514"/>
      <c r="X14" s="514"/>
    </row>
    <row r="15" spans="1:24" x14ac:dyDescent="0.3">
      <c r="A15" s="11"/>
      <c r="B15" s="34">
        <v>41</v>
      </c>
      <c r="C15" s="862">
        <v>116</v>
      </c>
      <c r="D15" s="866">
        <v>131</v>
      </c>
      <c r="E15" s="866">
        <v>492</v>
      </c>
      <c r="F15" s="866">
        <v>420</v>
      </c>
      <c r="G15" s="551" t="str">
        <f>'2020 comm sample'!K15</f>
        <v>na</v>
      </c>
      <c r="H15" s="552">
        <f>'2020 comm sample'!L15</f>
        <v>2.7522935779816515E-2</v>
      </c>
      <c r="I15" s="552">
        <f>'2020 comm sample'!M15</f>
        <v>0.21212121212121213</v>
      </c>
      <c r="J15" s="552">
        <f>'2020 comm sample'!N15</f>
        <v>5.6451612903225805E-2</v>
      </c>
      <c r="K15" s="558">
        <f>IF(C15&gt;0,'2020 comm sample'!C15/'2020 Comm catch'!C15,"na")</f>
        <v>0</v>
      </c>
      <c r="L15" s="559">
        <f>IF(D15&gt;0,'2020 comm sample'!D15/'2020 Comm catch'!D15,"na")</f>
        <v>0.83206106870229013</v>
      </c>
      <c r="M15" s="559">
        <f>IF(E15&gt;0,'2020 comm sample'!E15/'2020 Comm catch'!E15,"na")</f>
        <v>0.53658536585365857</v>
      </c>
      <c r="N15" s="559">
        <f>IF(F15&gt;0,'2020 comm sample'!F15/'2020 Comm catch'!F15,"na")</f>
        <v>0.59047619047619049</v>
      </c>
      <c r="O15" s="560" t="str">
        <f t="shared" si="0"/>
        <v>na</v>
      </c>
      <c r="P15" s="514">
        <f t="shared" si="0"/>
        <v>3.6055045871559637</v>
      </c>
      <c r="Q15" s="514">
        <f t="shared" si="0"/>
        <v>104.36363636363636</v>
      </c>
      <c r="R15" s="563">
        <f t="shared" si="0"/>
        <v>23.709677419354836</v>
      </c>
      <c r="S15" s="802">
        <f>AVERAGE(G9:G14)*C15</f>
        <v>3.0722930337191858</v>
      </c>
      <c r="T15" s="514"/>
      <c r="U15" s="514"/>
      <c r="V15" s="874"/>
      <c r="W15" s="514"/>
      <c r="X15" s="514"/>
    </row>
    <row r="16" spans="1:24" x14ac:dyDescent="0.3">
      <c r="A16" s="11"/>
      <c r="B16" s="34">
        <v>42</v>
      </c>
      <c r="C16" s="862">
        <v>134</v>
      </c>
      <c r="D16" s="865">
        <v>287</v>
      </c>
      <c r="E16" s="866">
        <v>963</v>
      </c>
      <c r="F16" s="866">
        <v>693</v>
      </c>
      <c r="G16" s="551">
        <f>'2020 comm sample'!K16</f>
        <v>3.2258064516129031E-2</v>
      </c>
      <c r="H16" s="552">
        <f>'2020 comm sample'!L16</f>
        <v>2.9629629629629631E-2</v>
      </c>
      <c r="I16" s="552">
        <f>'2020 comm sample'!M16</f>
        <v>9.2807424593967514E-2</v>
      </c>
      <c r="J16" s="552">
        <f>'2020 comm sample'!N16</f>
        <v>1.4598540145985401E-2</v>
      </c>
      <c r="K16" s="558">
        <f>IF(C16&gt;0,'2020 comm sample'!C16/'2020 Comm catch'!C16,"na")</f>
        <v>0.46268656716417911</v>
      </c>
      <c r="L16" s="559">
        <f>IF(D16&gt;0,'2020 comm sample'!D16/'2020 Comm catch'!D16,"na")</f>
        <v>0.47038327526132406</v>
      </c>
      <c r="M16" s="559">
        <f>IF(E16&gt;0,'2020 comm sample'!E16/'2020 Comm catch'!E16,"na")</f>
        <v>0.44755970924195221</v>
      </c>
      <c r="N16" s="559">
        <f>IF(F16&gt;0,'2020 comm sample'!F16/'2020 Comm catch'!F16,"na")</f>
        <v>0.39538239538239539</v>
      </c>
      <c r="O16" s="560">
        <f t="shared" si="0"/>
        <v>4.32258064516129</v>
      </c>
      <c r="P16" s="514">
        <f t="shared" si="0"/>
        <v>8.5037037037037049</v>
      </c>
      <c r="Q16" s="514">
        <f t="shared" si="0"/>
        <v>89.373549883990719</v>
      </c>
      <c r="R16" s="563">
        <f t="shared" si="0"/>
        <v>10.116788321167883</v>
      </c>
      <c r="S16" s="514"/>
      <c r="T16" s="514"/>
      <c r="U16" s="514"/>
      <c r="W16" s="514"/>
      <c r="X16" s="514"/>
    </row>
    <row r="17" spans="1:32" x14ac:dyDescent="0.3">
      <c r="A17" s="11"/>
      <c r="B17" s="34">
        <v>43</v>
      </c>
      <c r="C17" s="862">
        <v>25</v>
      </c>
      <c r="D17" s="865">
        <v>67</v>
      </c>
      <c r="E17" s="866">
        <v>79</v>
      </c>
      <c r="F17" s="866">
        <v>285</v>
      </c>
      <c r="G17" s="551" t="str">
        <f>'2020 comm sample'!K17</f>
        <v>na</v>
      </c>
      <c r="H17" s="552">
        <f>'2020 comm sample'!L17</f>
        <v>0.02</v>
      </c>
      <c r="I17" s="552">
        <f>'2020 comm sample'!M17</f>
        <v>0.10909090909090909</v>
      </c>
      <c r="J17" s="552">
        <f>'2020 comm sample'!N17</f>
        <v>3.783783783783784E-2</v>
      </c>
      <c r="K17" s="558">
        <f>IF(C17&gt;0,'2020 comm sample'!C17/'2020 Comm catch'!C17,"na")</f>
        <v>0</v>
      </c>
      <c r="L17" s="559">
        <f>IF(D17&gt;0,'2020 comm sample'!D17/'2020 Comm catch'!D17,"na")</f>
        <v>0.74626865671641796</v>
      </c>
      <c r="M17" s="559">
        <f>IF(E17&gt;0,'2020 comm sample'!E17/'2020 Comm catch'!E17,"na")</f>
        <v>0.69620253164556967</v>
      </c>
      <c r="N17" s="559">
        <f>IF(F17&gt;0,'2020 comm sample'!F17/'2020 Comm catch'!F17,"na")</f>
        <v>0.64912280701754388</v>
      </c>
      <c r="O17" s="560" t="str">
        <f t="shared" si="0"/>
        <v>na</v>
      </c>
      <c r="P17" s="514">
        <f t="shared" si="0"/>
        <v>1.34</v>
      </c>
      <c r="Q17" s="514">
        <f t="shared" si="0"/>
        <v>8.6181818181818173</v>
      </c>
      <c r="R17" s="563">
        <f t="shared" si="0"/>
        <v>10.783783783783784</v>
      </c>
      <c r="S17" s="802">
        <f>AVERAGE(G9:G14,G16)*C17</f>
        <v>0.6827491898456306</v>
      </c>
      <c r="T17" s="514"/>
      <c r="U17" s="514"/>
      <c r="V17" s="514"/>
      <c r="W17" s="514"/>
      <c r="X17" s="514"/>
    </row>
    <row r="18" spans="1:32" x14ac:dyDescent="0.3">
      <c r="B18" s="34">
        <v>44</v>
      </c>
      <c r="C18" s="862">
        <v>0</v>
      </c>
      <c r="D18" s="865">
        <v>11</v>
      </c>
      <c r="E18" s="866">
        <v>0</v>
      </c>
      <c r="F18" s="866">
        <v>135</v>
      </c>
      <c r="G18" s="551" t="str">
        <f>'2020 comm sample'!K18</f>
        <v>na</v>
      </c>
      <c r="H18" s="552" t="str">
        <f>'2020 comm sample'!L18</f>
        <v>na</v>
      </c>
      <c r="I18" s="552" t="str">
        <f>'2020 comm sample'!M18</f>
        <v>na</v>
      </c>
      <c r="J18" s="552">
        <f>'2020 comm sample'!N18</f>
        <v>1.098901098901099E-2</v>
      </c>
      <c r="K18" s="558" t="str">
        <f>IF(C18&gt;0,'2020 comm sample'!C18/'2020 Comm catch'!C18,"na")</f>
        <v>na</v>
      </c>
      <c r="L18" s="559">
        <f>IF(D18&gt;0,'2020 comm sample'!D18/'2020 Comm catch'!D18,"na")</f>
        <v>0</v>
      </c>
      <c r="M18" s="559" t="str">
        <f>IF(E18&gt;0,'2020 comm sample'!E18/'2020 Comm catch'!E18,"na")</f>
        <v>na</v>
      </c>
      <c r="N18" s="559">
        <f>IF(F18&gt;0,'2020 comm sample'!F18/'2020 Comm catch'!F18,"na")</f>
        <v>0.67407407407407405</v>
      </c>
      <c r="O18" s="560" t="str">
        <f t="shared" si="0"/>
        <v>na</v>
      </c>
      <c r="P18" s="514" t="str">
        <f t="shared" si="0"/>
        <v>na</v>
      </c>
      <c r="Q18" s="514" t="str">
        <f t="shared" si="0"/>
        <v>na</v>
      </c>
      <c r="R18" s="563">
        <f t="shared" si="0"/>
        <v>1.4835164835164836</v>
      </c>
      <c r="S18" s="514"/>
      <c r="T18" s="848">
        <f>AVERAGE(H9:H17)*D18</f>
        <v>0.46711711737921607</v>
      </c>
      <c r="U18" s="514"/>
      <c r="V18" s="514"/>
      <c r="W18" s="514"/>
      <c r="X18" s="514"/>
    </row>
    <row r="19" spans="1:32" x14ac:dyDescent="0.3">
      <c r="B19" s="34">
        <v>45</v>
      </c>
      <c r="C19" s="884"/>
      <c r="D19" s="807"/>
      <c r="E19" s="864"/>
      <c r="F19" s="892">
        <v>26</v>
      </c>
      <c r="G19" s="551" t="str">
        <f>'2020 comm sample'!K19</f>
        <v>na</v>
      </c>
      <c r="H19" s="552" t="str">
        <f>'2020 comm sample'!L19</f>
        <v>na</v>
      </c>
      <c r="I19" s="552" t="str">
        <f>'2020 comm sample'!M19</f>
        <v>na</v>
      </c>
      <c r="J19" s="552">
        <f>'2020 comm sample'!N19</f>
        <v>6.25E-2</v>
      </c>
      <c r="K19" s="558" t="str">
        <f>IF(C19&gt;0,'2020 comm sample'!C19/'2020 Comm catch'!C19,"na")</f>
        <v>na</v>
      </c>
      <c r="L19" s="559" t="str">
        <f>IF(D19&gt;0,'2020 comm sample'!D19/'2020 Comm catch'!D19,"na")</f>
        <v>na</v>
      </c>
      <c r="M19" s="559" t="str">
        <f>IF(E19&gt;0,'2020 comm sample'!E19/'2020 Comm catch'!E19,"na")</f>
        <v>na</v>
      </c>
      <c r="N19" s="559">
        <f>IF(F19&gt;0,'2020 comm sample'!F19/'2020 Comm catch'!F19,"na")</f>
        <v>0.61538461538461542</v>
      </c>
      <c r="O19" s="560" t="str">
        <f t="shared" si="0"/>
        <v>na</v>
      </c>
      <c r="P19" s="514" t="str">
        <f t="shared" si="0"/>
        <v>na</v>
      </c>
      <c r="Q19" s="514" t="str">
        <f t="shared" si="0"/>
        <v>na</v>
      </c>
      <c r="R19" s="563">
        <f t="shared" si="0"/>
        <v>1.625</v>
      </c>
      <c r="S19" s="514"/>
      <c r="T19" s="514"/>
      <c r="U19" s="514"/>
      <c r="V19" s="514"/>
      <c r="W19" s="514"/>
      <c r="X19" s="514"/>
    </row>
    <row r="20" spans="1:32" x14ac:dyDescent="0.3">
      <c r="B20" s="34">
        <v>46</v>
      </c>
      <c r="C20" s="884"/>
      <c r="D20" s="807"/>
      <c r="E20" s="864"/>
      <c r="F20" s="892">
        <v>132</v>
      </c>
      <c r="G20" s="551" t="str">
        <f>'2020 comm sample'!K20</f>
        <v>na</v>
      </c>
      <c r="H20" s="552" t="str">
        <f>'2020 comm sample'!L20</f>
        <v>na</v>
      </c>
      <c r="I20" s="552" t="str">
        <f>'2020 comm sample'!M20</f>
        <v>na</v>
      </c>
      <c r="J20" s="552">
        <f>'2020 comm sample'!N20</f>
        <v>7.874015748031496E-3</v>
      </c>
      <c r="K20" s="558" t="str">
        <f>IF(C20&gt;0,'2020 comm sample'!C20/'2020 Comm catch'!C20,"na")</f>
        <v>na</v>
      </c>
      <c r="L20" s="559" t="str">
        <f>IF(D20&gt;0,'2020 comm sample'!D20/'2020 Comm catch'!D20,"na")</f>
        <v>na</v>
      </c>
      <c r="M20" s="559" t="str">
        <f>IF(E20&gt;0,'2020 comm sample'!E20/'2020 Comm catch'!E20,"na")</f>
        <v>na</v>
      </c>
      <c r="N20" s="891">
        <f>IF(F20&gt;0,'2020 comm sample'!F20/'2020 Comm catch'!F20,"na")</f>
        <v>0.96212121212121215</v>
      </c>
      <c r="O20" s="560" t="str">
        <f t="shared" ref="O20:O21" si="1">IF(G20&lt;&gt;"na",C20*G20,"na")</f>
        <v>na</v>
      </c>
      <c r="P20" s="514" t="str">
        <f t="shared" ref="P20:P21" si="2">IF(H20&lt;&gt;"na",D20*H20,"na")</f>
        <v>na</v>
      </c>
      <c r="Q20" s="514" t="str">
        <f t="shared" ref="Q20:Q21" si="3">IF(I20&lt;&gt;"na",E20*I20,"na")</f>
        <v>na</v>
      </c>
      <c r="R20" s="563">
        <f t="shared" ref="R20:R21" si="4">IF(J20&lt;&gt;"na",F20*J20,"na")</f>
        <v>1.0393700787401574</v>
      </c>
      <c r="S20" s="514"/>
      <c r="T20" s="514"/>
      <c r="U20" s="514"/>
      <c r="V20" s="514"/>
      <c r="W20" s="514"/>
      <c r="X20" s="514"/>
    </row>
    <row r="21" spans="1:32" x14ac:dyDescent="0.3">
      <c r="B21" s="34">
        <v>47</v>
      </c>
      <c r="C21" s="867"/>
      <c r="D21" s="868"/>
      <c r="E21" s="869"/>
      <c r="F21" s="875">
        <v>136</v>
      </c>
      <c r="G21" s="567" t="str">
        <f>'2020 comm sample'!K21</f>
        <v>na</v>
      </c>
      <c r="H21" s="568" t="str">
        <f>'2020 comm sample'!L21</f>
        <v>na</v>
      </c>
      <c r="I21" s="568" t="str">
        <f>'2020 comm sample'!M21</f>
        <v>na</v>
      </c>
      <c r="J21" s="568">
        <f>'2020 comm sample'!N21</f>
        <v>1.6E-2</v>
      </c>
      <c r="K21" s="569" t="str">
        <f>IF(C21&gt;0,'2020 comm sample'!C21/'2020 Comm catch'!C21,"na")</f>
        <v>na</v>
      </c>
      <c r="L21" s="570" t="str">
        <f>IF(D21&gt;0,'2020 comm sample'!D21/'2020 Comm catch'!D21,"na")</f>
        <v>na</v>
      </c>
      <c r="M21" s="570" t="str">
        <f>IF(E21&gt;0,'2020 comm sample'!E21/'2020 Comm catch'!E21,"na")</f>
        <v>na</v>
      </c>
      <c r="N21" s="570">
        <f>IF(F21&gt;0,'2020 comm sample'!F21/'2020 Comm catch'!F21,"na")</f>
        <v>0.91911764705882348</v>
      </c>
      <c r="O21" s="560" t="str">
        <f t="shared" si="1"/>
        <v>na</v>
      </c>
      <c r="P21" s="514" t="str">
        <f t="shared" si="2"/>
        <v>na</v>
      </c>
      <c r="Q21" s="514" t="str">
        <f t="shared" si="3"/>
        <v>na</v>
      </c>
      <c r="R21" s="563">
        <f t="shared" si="4"/>
        <v>2.1760000000000002</v>
      </c>
      <c r="S21" s="514"/>
      <c r="T21" s="514"/>
      <c r="U21" s="514"/>
      <c r="V21" s="514"/>
      <c r="W21" s="514"/>
      <c r="X21" s="514"/>
    </row>
    <row r="22" spans="1:32" x14ac:dyDescent="0.3">
      <c r="B22" s="34" t="s">
        <v>184</v>
      </c>
      <c r="C22" s="808">
        <f>SUM(C5:C19)</f>
        <v>19783</v>
      </c>
      <c r="D22" s="651">
        <f>SUM(D5:D19)</f>
        <v>10903</v>
      </c>
      <c r="E22" s="651">
        <f>SUM(E5:E19)</f>
        <v>10424</v>
      </c>
      <c r="F22" s="809">
        <f>SUM(F5:F21)</f>
        <v>2390</v>
      </c>
      <c r="G22" s="571">
        <f>'2020 comm sample'!K22</f>
        <v>2.4604569420035149E-2</v>
      </c>
      <c r="H22" s="571">
        <f>'2020 comm sample'!L22</f>
        <v>5.2408788550695425E-2</v>
      </c>
      <c r="I22" s="571">
        <f>'2020 comm sample'!M22</f>
        <v>6.8721576553815056E-2</v>
      </c>
      <c r="J22" s="571">
        <f>'2020 comm sample'!N22</f>
        <v>5.7298772169167803E-2</v>
      </c>
      <c r="K22" s="721">
        <f>IF(C22&gt;0,'2018 comm sample'!C20/'2020 Comm catch'!C22,"na")</f>
        <v>8.6437850679876665E-2</v>
      </c>
      <c r="L22" s="722">
        <f>IF(D22&gt;0,'2018 comm sample'!D20/'2020 Comm catch'!D22,"na")</f>
        <v>0.18994772081078604</v>
      </c>
      <c r="M22" s="722">
        <f>IF(E22&gt;0,'2018 comm sample'!E20/'2020 Comm catch'!E22,"na")</f>
        <v>7.6937835763622411E-2</v>
      </c>
      <c r="N22" s="723">
        <f>IF(F22&gt;0,'2018 comm sample'!F20/'2020 Comm catch'!F22,"na")</f>
        <v>0.35271966527196652</v>
      </c>
      <c r="O22" s="572">
        <f>SUM(O5:O19)</f>
        <v>485.66330629144886</v>
      </c>
      <c r="P22" s="573">
        <f>SUM(P5:P19)</f>
        <v>599.53187285220065</v>
      </c>
      <c r="Q22" s="573">
        <f>SUM(Q5:Q19)</f>
        <v>659.4945495536158</v>
      </c>
      <c r="R22" s="574">
        <f>SUM(R5:R19)</f>
        <v>123.723766007823</v>
      </c>
      <c r="S22" s="575"/>
      <c r="T22" s="575"/>
      <c r="U22" s="575"/>
      <c r="V22" s="575"/>
      <c r="W22" s="575"/>
      <c r="X22" s="575"/>
    </row>
    <row r="23" spans="1:32" x14ac:dyDescent="0.3">
      <c r="B23" s="208"/>
      <c r="C23" s="208"/>
      <c r="D23" s="208"/>
      <c r="E23" s="208"/>
      <c r="F23" s="575"/>
      <c r="G23" s="34"/>
      <c r="H23" s="34"/>
      <c r="I23" s="208"/>
      <c r="J23" s="576"/>
      <c r="K23" s="208"/>
      <c r="L23" s="208"/>
      <c r="M23" s="208"/>
      <c r="N23" s="577"/>
      <c r="O23" s="208"/>
      <c r="P23" s="208"/>
      <c r="Q23" s="208"/>
      <c r="R23" s="575"/>
      <c r="S23" s="575"/>
      <c r="T23" s="575"/>
      <c r="U23" s="575"/>
      <c r="V23" s="575"/>
      <c r="W23" s="575"/>
      <c r="X23" s="575"/>
    </row>
    <row r="24" spans="1:32" x14ac:dyDescent="0.3">
      <c r="B24" s="208"/>
      <c r="C24" s="457"/>
      <c r="D24" s="457"/>
      <c r="E24" s="457"/>
      <c r="F24" s="514"/>
      <c r="I24" s="457"/>
      <c r="J24" s="457"/>
      <c r="K24" s="457"/>
      <c r="L24" s="457"/>
      <c r="M24" s="457"/>
      <c r="N24" s="457"/>
      <c r="O24" s="457"/>
      <c r="P24" s="457"/>
      <c r="Q24" s="457"/>
      <c r="R24" s="514"/>
      <c r="S24" s="514"/>
      <c r="T24" s="514"/>
      <c r="U24" s="514"/>
      <c r="V24" s="514"/>
      <c r="W24" s="514"/>
      <c r="X24" s="514"/>
    </row>
    <row r="25" spans="1:32" x14ac:dyDescent="0.3">
      <c r="C25" s="34" t="s">
        <v>123</v>
      </c>
      <c r="H25" s="457"/>
      <c r="I25" s="457"/>
      <c r="J25" s="457"/>
      <c r="Y25" s="33"/>
      <c r="Z25" s="33"/>
      <c r="AA25" s="33"/>
    </row>
    <row r="26" spans="1:32" x14ac:dyDescent="0.3">
      <c r="C26" s="903" t="s">
        <v>263</v>
      </c>
      <c r="D26" s="904"/>
      <c r="E26" s="904"/>
      <c r="F26" s="904"/>
      <c r="G26" s="904"/>
      <c r="H26" s="904"/>
      <c r="I26" s="904"/>
      <c r="J26" s="905"/>
      <c r="K26" s="903" t="s">
        <v>264</v>
      </c>
      <c r="L26" s="904"/>
      <c r="M26" s="904"/>
      <c r="N26" s="904"/>
      <c r="O26" s="905"/>
      <c r="P26" s="903" t="s">
        <v>261</v>
      </c>
      <c r="Q26" s="904"/>
      <c r="R26" s="904"/>
      <c r="S26" s="904"/>
      <c r="T26" s="904"/>
      <c r="U26" s="697" t="s">
        <v>323</v>
      </c>
      <c r="V26" s="698"/>
      <c r="W26" s="698"/>
      <c r="X26" s="698"/>
      <c r="Y26" s="698"/>
      <c r="Z26" s="698"/>
      <c r="AA26" s="698"/>
      <c r="AB26" s="699"/>
      <c r="AC26" s="34" t="s">
        <v>328</v>
      </c>
    </row>
    <row r="27" spans="1:32" x14ac:dyDescent="0.3">
      <c r="B27" s="34" t="s">
        <v>134</v>
      </c>
      <c r="C27" s="547">
        <v>1</v>
      </c>
      <c r="D27" s="202">
        <v>2</v>
      </c>
      <c r="E27" s="202">
        <v>3</v>
      </c>
      <c r="F27" s="202"/>
      <c r="G27" s="202">
        <v>4</v>
      </c>
      <c r="H27" s="202">
        <v>5</v>
      </c>
      <c r="I27" s="202"/>
      <c r="J27" s="548" t="s">
        <v>272</v>
      </c>
      <c r="K27" s="367">
        <v>1</v>
      </c>
      <c r="L27" s="175">
        <v>2</v>
      </c>
      <c r="M27" s="175">
        <v>3</v>
      </c>
      <c r="N27" s="175">
        <v>4</v>
      </c>
      <c r="O27" s="368">
        <v>5</v>
      </c>
      <c r="P27" s="367">
        <v>1</v>
      </c>
      <c r="Q27" s="175">
        <v>2</v>
      </c>
      <c r="R27" s="175">
        <v>3</v>
      </c>
      <c r="S27" s="175">
        <v>4</v>
      </c>
      <c r="T27" s="175">
        <v>5</v>
      </c>
      <c r="U27" s="367">
        <v>1</v>
      </c>
      <c r="V27" s="175">
        <v>2</v>
      </c>
      <c r="W27" s="175">
        <v>3</v>
      </c>
      <c r="X27" s="175"/>
      <c r="Y27" s="175">
        <v>4</v>
      </c>
      <c r="Z27" s="175">
        <v>5</v>
      </c>
      <c r="AA27" s="175"/>
      <c r="AB27" s="368" t="s">
        <v>272</v>
      </c>
      <c r="AC27" s="32" t="str">
        <f>'2013 comm sample'!R24</f>
        <v>Z1-3 Agg</v>
      </c>
      <c r="AD27" s="32" t="str">
        <f>'2013 comm sample'!S24</f>
        <v>Z4-5 Agg</v>
      </c>
      <c r="AE27" s="73"/>
      <c r="AF27" s="73"/>
    </row>
    <row r="28" spans="1:32" x14ac:dyDescent="0.3">
      <c r="A28" s="34"/>
      <c r="B28" s="34">
        <v>32</v>
      </c>
      <c r="C28" s="832"/>
      <c r="D28" s="833"/>
      <c r="E28" s="833"/>
      <c r="F28" s="834"/>
      <c r="G28" s="835"/>
      <c r="H28" s="835"/>
      <c r="I28" s="834"/>
      <c r="J28" s="579"/>
      <c r="K28" s="532" t="str">
        <f>'2020 comm sample'!M28</f>
        <v>na</v>
      </c>
      <c r="L28" s="532" t="str">
        <f>'2020 comm sample'!N28</f>
        <v>na</v>
      </c>
      <c r="M28" s="532" t="str">
        <f>'2020 comm sample'!O28</f>
        <v>na</v>
      </c>
      <c r="N28" s="532" t="str">
        <f>'2020 comm sample'!P28</f>
        <v>na</v>
      </c>
      <c r="O28" s="533" t="str">
        <f>'2020 comm sample'!Q28</f>
        <v>na</v>
      </c>
      <c r="P28" s="559" t="str">
        <f>IF(C28&gt;0,'2020 comm sample'!C28/'2020 Comm catch'!C28,"na")</f>
        <v>na</v>
      </c>
      <c r="Q28" s="559" t="str">
        <f>IF(D28&gt;0,'2020 comm sample'!D28/'2020 Comm catch'!D28,"na")</f>
        <v>na</v>
      </c>
      <c r="R28" s="559" t="str">
        <f>IF(E28&gt;0,'2020 comm sample'!E28/'2020 Comm catch'!E28,"na")</f>
        <v>na</v>
      </c>
      <c r="S28" s="559" t="str">
        <f>IF(G28&gt;0,'2020 comm sample'!F28/'2020 Comm catch'!G28,"na")</f>
        <v>na</v>
      </c>
      <c r="T28" s="559" t="str">
        <f>IF(H28&gt;0,'2020 comm sample'!G28/'2020 Comm catch'!H28,"na")</f>
        <v>na</v>
      </c>
      <c r="U28" s="560">
        <f t="shared" ref="U28:W41" si="5">IF(K28&lt;&gt;"na",C28*K28,0)</f>
        <v>0</v>
      </c>
      <c r="V28" s="514">
        <f t="shared" si="5"/>
        <v>0</v>
      </c>
      <c r="W28" s="514">
        <f t="shared" si="5"/>
        <v>0</v>
      </c>
      <c r="X28" s="705">
        <f t="shared" ref="X28:X40" si="6">SUM(U28:W28)</f>
        <v>0</v>
      </c>
      <c r="Y28" s="514">
        <f t="shared" ref="Y28:Z41" si="7">IF(N28&lt;&gt;"na",G28*N28,0)</f>
        <v>0</v>
      </c>
      <c r="Z28" s="514">
        <f t="shared" si="7"/>
        <v>0</v>
      </c>
      <c r="AA28" s="705">
        <f t="shared" ref="AA28:AA40" si="8">SUM(Y28:Z28)</f>
        <v>0</v>
      </c>
      <c r="AB28" s="580">
        <f>X28+AA28</f>
        <v>0</v>
      </c>
    </row>
    <row r="29" spans="1:32" x14ac:dyDescent="0.3">
      <c r="A29" s="34" t="s">
        <v>324</v>
      </c>
      <c r="B29" s="34">
        <v>33</v>
      </c>
      <c r="C29" s="836"/>
      <c r="D29" s="837"/>
      <c r="E29" s="837"/>
      <c r="F29" s="838"/>
      <c r="G29" s="871">
        <v>1</v>
      </c>
      <c r="H29" s="871">
        <v>2</v>
      </c>
      <c r="I29" s="839">
        <f t="shared" ref="I29:I40" si="9">SUM(G29:H29)</f>
        <v>3</v>
      </c>
      <c r="J29" s="515">
        <f>F29+I29</f>
        <v>3</v>
      </c>
      <c r="K29" s="532" t="str">
        <f>'2020 comm sample'!M29</f>
        <v>na</v>
      </c>
      <c r="L29" s="532" t="str">
        <f>'2020 comm sample'!N29</f>
        <v>na</v>
      </c>
      <c r="M29" s="532" t="str">
        <f>'2020 comm sample'!O29</f>
        <v>na</v>
      </c>
      <c r="N29" s="532">
        <f>'2020 comm sample'!P29</f>
        <v>1</v>
      </c>
      <c r="O29" s="533">
        <f>'2020 comm sample'!Q29</f>
        <v>1</v>
      </c>
      <c r="P29" s="559" t="str">
        <f>IF(C29&gt;0,'2020 comm sample'!C29/'2020 Comm catch'!C29,"na")</f>
        <v>na</v>
      </c>
      <c r="Q29" s="559" t="str">
        <f>IF(D29&gt;0,'2020 comm sample'!D29/'2020 Comm catch'!D29,"na")</f>
        <v>na</v>
      </c>
      <c r="R29" s="559" t="str">
        <f>IF(E29&gt;0,'2020 comm sample'!E29/'2020 Comm catch'!E29,"na")</f>
        <v>na</v>
      </c>
      <c r="S29" s="559">
        <f>IF(G29&gt;0,'2020 comm sample'!F29/'2020 Comm catch'!G29,"na")</f>
        <v>1</v>
      </c>
      <c r="T29" s="559">
        <f>IF(H29&gt;0,'2020 comm sample'!G29/'2020 Comm catch'!H29,"na")</f>
        <v>1</v>
      </c>
      <c r="U29" s="560">
        <f t="shared" si="5"/>
        <v>0</v>
      </c>
      <c r="V29" s="514">
        <f t="shared" si="5"/>
        <v>0</v>
      </c>
      <c r="W29" s="514">
        <f t="shared" si="5"/>
        <v>0</v>
      </c>
      <c r="X29" s="705">
        <f t="shared" si="6"/>
        <v>0</v>
      </c>
      <c r="Y29" s="514">
        <f t="shared" si="7"/>
        <v>1</v>
      </c>
      <c r="Z29" s="514">
        <f t="shared" si="7"/>
        <v>2</v>
      </c>
      <c r="AA29" s="705">
        <f t="shared" si="8"/>
        <v>3</v>
      </c>
      <c r="AB29" s="580">
        <f t="shared" ref="AB29:AB42" si="10">X29+AA29</f>
        <v>3</v>
      </c>
      <c r="AD29" s="585"/>
    </row>
    <row r="30" spans="1:32" x14ac:dyDescent="0.3">
      <c r="A30" s="34" t="s">
        <v>324</v>
      </c>
      <c r="B30" s="34">
        <v>34</v>
      </c>
      <c r="C30" s="836"/>
      <c r="D30" s="837"/>
      <c r="E30" s="837"/>
      <c r="F30" s="838"/>
      <c r="G30" s="871">
        <v>39</v>
      </c>
      <c r="H30" s="871">
        <v>6</v>
      </c>
      <c r="I30" s="839">
        <f t="shared" si="9"/>
        <v>45</v>
      </c>
      <c r="J30" s="515">
        <f t="shared" ref="J30:J41" si="11">F30+I30</f>
        <v>45</v>
      </c>
      <c r="K30" s="532" t="str">
        <f>'2020 comm sample'!M30</f>
        <v>na</v>
      </c>
      <c r="L30" s="532" t="str">
        <f>'2020 comm sample'!N30</f>
        <v>na</v>
      </c>
      <c r="M30" s="532" t="str">
        <f>'2020 comm sample'!O30</f>
        <v>na</v>
      </c>
      <c r="N30" s="532">
        <f>'2020 comm sample'!P30</f>
        <v>0.8</v>
      </c>
      <c r="O30" s="533">
        <f>'2020 comm sample'!Q30</f>
        <v>0.6</v>
      </c>
      <c r="P30" s="559" t="str">
        <f>IF(C30&gt;0,'2020 comm sample'!C30/'2020 Comm catch'!C30,"na")</f>
        <v>na</v>
      </c>
      <c r="Q30" s="559" t="str">
        <f>IF(D30&gt;0,'2020 comm sample'!D30/'2020 Comm catch'!D30,"na")</f>
        <v>na</v>
      </c>
      <c r="R30" s="559" t="str">
        <f>IF(E30&gt;0,'2020 comm sample'!E30/'2020 Comm catch'!E30,"na")</f>
        <v>na</v>
      </c>
      <c r="S30" s="559">
        <f>IF(G30&gt;0,'2020 comm sample'!F30/'2020 Comm catch'!G30,"na")</f>
        <v>0.76923076923076927</v>
      </c>
      <c r="T30" s="559">
        <f>IF(H30&gt;0,'2020 comm sample'!G30/'2020 Comm catch'!H30,"na")</f>
        <v>0.83333333333333337</v>
      </c>
      <c r="U30" s="560">
        <f t="shared" si="5"/>
        <v>0</v>
      </c>
      <c r="V30" s="514">
        <f t="shared" si="5"/>
        <v>0</v>
      </c>
      <c r="W30" s="514">
        <f t="shared" si="5"/>
        <v>0</v>
      </c>
      <c r="X30" s="705">
        <f t="shared" si="6"/>
        <v>0</v>
      </c>
      <c r="Y30" s="514">
        <f t="shared" si="7"/>
        <v>31.200000000000003</v>
      </c>
      <c r="Z30" s="514">
        <f t="shared" si="7"/>
        <v>3.5999999999999996</v>
      </c>
      <c r="AA30" s="705">
        <f t="shared" si="8"/>
        <v>34.800000000000004</v>
      </c>
      <c r="AB30" s="580">
        <f t="shared" si="10"/>
        <v>34.800000000000004</v>
      </c>
      <c r="AD30" s="585"/>
    </row>
    <row r="31" spans="1:32" x14ac:dyDescent="0.3">
      <c r="A31" s="34" t="s">
        <v>324</v>
      </c>
      <c r="B31" s="34">
        <v>35</v>
      </c>
      <c r="C31" s="836"/>
      <c r="D31" s="837"/>
      <c r="E31" s="837"/>
      <c r="F31" s="838"/>
      <c r="G31" s="871">
        <v>246</v>
      </c>
      <c r="H31" s="871">
        <v>54</v>
      </c>
      <c r="I31" s="839">
        <f t="shared" si="9"/>
        <v>300</v>
      </c>
      <c r="J31" s="515">
        <f t="shared" si="11"/>
        <v>300</v>
      </c>
      <c r="K31" s="532" t="str">
        <f>'2020 comm sample'!M31</f>
        <v>na</v>
      </c>
      <c r="L31" s="532" t="str">
        <f>'2020 comm sample'!N31</f>
        <v>na</v>
      </c>
      <c r="M31" s="532" t="str">
        <f>'2020 comm sample'!O31</f>
        <v>na</v>
      </c>
      <c r="N31" s="532">
        <f>'2020 comm sample'!P31</f>
        <v>0.74545454545454548</v>
      </c>
      <c r="O31" s="533">
        <f>'2020 comm sample'!Q31</f>
        <v>0.77777777777777779</v>
      </c>
      <c r="P31" s="559" t="str">
        <f>IF(C31&gt;0,'2020 comm sample'!C31/'2020 Comm catch'!C31,"na")</f>
        <v>na</v>
      </c>
      <c r="Q31" s="559" t="str">
        <f>IF(D31&gt;0,'2020 comm sample'!D31/'2020 Comm catch'!D31,"na")</f>
        <v>na</v>
      </c>
      <c r="R31" s="559" t="str">
        <f>IF(E31&gt;0,'2020 comm sample'!E31/'2020 Comm catch'!E31,"na")</f>
        <v>na</v>
      </c>
      <c r="S31" s="559">
        <f>IF(G31&gt;0,'2020 comm sample'!F31/'2020 Comm catch'!G31,"na")</f>
        <v>0.67073170731707321</v>
      </c>
      <c r="T31" s="559">
        <f>IF(H31&gt;0,'2020 comm sample'!G31/'2020 Comm catch'!H31,"na")</f>
        <v>0.16666666666666666</v>
      </c>
      <c r="U31" s="560">
        <f t="shared" si="5"/>
        <v>0</v>
      </c>
      <c r="V31" s="514">
        <f t="shared" si="5"/>
        <v>0</v>
      </c>
      <c r="W31" s="514">
        <f t="shared" si="5"/>
        <v>0</v>
      </c>
      <c r="X31" s="705">
        <f t="shared" si="6"/>
        <v>0</v>
      </c>
      <c r="Y31" s="514">
        <f t="shared" si="7"/>
        <v>183.38181818181818</v>
      </c>
      <c r="Z31" s="514">
        <f t="shared" si="7"/>
        <v>42</v>
      </c>
      <c r="AA31" s="705">
        <f t="shared" si="8"/>
        <v>225.38181818181818</v>
      </c>
      <c r="AB31" s="580">
        <f t="shared" si="10"/>
        <v>225.38181818181818</v>
      </c>
      <c r="AD31" s="805">
        <f>I31*'2020 comm sample'!S31</f>
        <v>224.13793103448276</v>
      </c>
    </row>
    <row r="32" spans="1:32" x14ac:dyDescent="0.3">
      <c r="A32" s="34"/>
      <c r="B32" s="34">
        <v>36</v>
      </c>
      <c r="C32" s="836"/>
      <c r="D32" s="837"/>
      <c r="E32" s="837"/>
      <c r="F32" s="838"/>
      <c r="G32" s="889"/>
      <c r="H32" s="889"/>
      <c r="I32" s="839">
        <f t="shared" si="9"/>
        <v>0</v>
      </c>
      <c r="J32" s="515">
        <f t="shared" si="11"/>
        <v>0</v>
      </c>
      <c r="K32" s="532" t="str">
        <f>'2020 comm sample'!M32</f>
        <v>na</v>
      </c>
      <c r="L32" s="532" t="str">
        <f>'2020 comm sample'!N32</f>
        <v>na</v>
      </c>
      <c r="M32" s="532" t="str">
        <f>'2020 comm sample'!O32</f>
        <v>na</v>
      </c>
      <c r="N32" s="532" t="str">
        <f>'2020 comm sample'!P32</f>
        <v>na</v>
      </c>
      <c r="O32" s="533" t="str">
        <f>'2020 comm sample'!Q32</f>
        <v>na</v>
      </c>
      <c r="P32" s="559" t="str">
        <f>IF(C32&gt;0,'2020 comm sample'!C32/'2020 Comm catch'!C32,"na")</f>
        <v>na</v>
      </c>
      <c r="Q32" s="559" t="str">
        <f>IF(D32&gt;0,'2020 comm sample'!D32/'2020 Comm catch'!D32,"na")</f>
        <v>na</v>
      </c>
      <c r="R32" s="559" t="str">
        <f>IF(E32&gt;0,'2020 comm sample'!E32/'2020 Comm catch'!E32,"na")</f>
        <v>na</v>
      </c>
      <c r="S32" s="559" t="str">
        <f>IF(G32&gt;0,'2020 comm sample'!F32/'2020 Comm catch'!G32,"na")</f>
        <v>na</v>
      </c>
      <c r="T32" s="559" t="str">
        <f>IF(H32&gt;0,'2020 comm sample'!G32/'2020 Comm catch'!H32,"na")</f>
        <v>na</v>
      </c>
      <c r="U32" s="560">
        <f t="shared" si="5"/>
        <v>0</v>
      </c>
      <c r="V32" s="514">
        <f t="shared" si="5"/>
        <v>0</v>
      </c>
      <c r="W32" s="514">
        <f t="shared" si="5"/>
        <v>0</v>
      </c>
      <c r="X32" s="705">
        <f t="shared" si="6"/>
        <v>0</v>
      </c>
      <c r="Y32" s="514">
        <f t="shared" si="7"/>
        <v>0</v>
      </c>
      <c r="Z32" s="514">
        <f t="shared" si="7"/>
        <v>0</v>
      </c>
      <c r="AA32" s="705">
        <f t="shared" si="8"/>
        <v>0</v>
      </c>
      <c r="AB32" s="580">
        <f t="shared" si="10"/>
        <v>0</v>
      </c>
      <c r="AD32" s="585"/>
    </row>
    <row r="33" spans="1:32" x14ac:dyDescent="0.3">
      <c r="A33"/>
      <c r="B33" s="34">
        <v>37</v>
      </c>
      <c r="C33" s="836"/>
      <c r="D33" s="837"/>
      <c r="E33" s="837"/>
      <c r="F33" s="838"/>
      <c r="G33" s="807"/>
      <c r="H33" s="807"/>
      <c r="I33" s="838">
        <f t="shared" si="9"/>
        <v>0</v>
      </c>
      <c r="J33" s="515">
        <f t="shared" si="11"/>
        <v>0</v>
      </c>
      <c r="K33" s="532" t="str">
        <f>'2020 comm sample'!M33</f>
        <v>na</v>
      </c>
      <c r="L33" s="532" t="str">
        <f>'2020 comm sample'!N33</f>
        <v>na</v>
      </c>
      <c r="M33" s="532" t="str">
        <f>'2020 comm sample'!O33</f>
        <v>na</v>
      </c>
      <c r="N33" s="532" t="str">
        <f>'2020 comm sample'!P33</f>
        <v>na</v>
      </c>
      <c r="O33" s="533" t="str">
        <f>'2020 comm sample'!Q33</f>
        <v>na</v>
      </c>
      <c r="P33" s="558" t="str">
        <f>IF(C33&gt;0,'2020 comm sample'!C33/'2020 Comm catch'!C33,"na")</f>
        <v>na</v>
      </c>
      <c r="Q33" s="559" t="str">
        <f>IF(D33&gt;0,'2020 comm sample'!D33/'2020 Comm catch'!D33,"na")</f>
        <v>na</v>
      </c>
      <c r="R33" s="559" t="str">
        <f>IF(E33&gt;0,'2020 comm sample'!E33/'2020 Comm catch'!E33,"na")</f>
        <v>na</v>
      </c>
      <c r="S33" s="559" t="str">
        <f>IF(G33&gt;0,'2020 comm sample'!F33/'2020 Comm catch'!G33,"na")</f>
        <v>na</v>
      </c>
      <c r="T33" s="559" t="str">
        <f>IF(H33&gt;0,'2020 comm sample'!G33/'2020 Comm catch'!H33,"na")</f>
        <v>na</v>
      </c>
      <c r="U33" s="560">
        <f t="shared" si="5"/>
        <v>0</v>
      </c>
      <c r="V33" s="514">
        <f t="shared" si="5"/>
        <v>0</v>
      </c>
      <c r="W33" s="514">
        <f t="shared" si="5"/>
        <v>0</v>
      </c>
      <c r="X33" s="705">
        <f t="shared" si="6"/>
        <v>0</v>
      </c>
      <c r="Y33" s="514">
        <f t="shared" si="7"/>
        <v>0</v>
      </c>
      <c r="Z33" s="514">
        <f t="shared" si="7"/>
        <v>0</v>
      </c>
      <c r="AA33" s="705">
        <f t="shared" si="8"/>
        <v>0</v>
      </c>
      <c r="AB33" s="580">
        <f t="shared" si="10"/>
        <v>0</v>
      </c>
    </row>
    <row r="34" spans="1:32" x14ac:dyDescent="0.3">
      <c r="A34" s="34" t="s">
        <v>322</v>
      </c>
      <c r="B34" s="34">
        <v>38</v>
      </c>
      <c r="C34" s="836"/>
      <c r="D34" s="837"/>
      <c r="E34" s="837"/>
      <c r="F34" s="838"/>
      <c r="G34" s="865">
        <v>1104</v>
      </c>
      <c r="H34" s="865">
        <v>203</v>
      </c>
      <c r="I34" s="838">
        <f t="shared" si="9"/>
        <v>1307</v>
      </c>
      <c r="J34" s="515">
        <f t="shared" si="11"/>
        <v>1307</v>
      </c>
      <c r="K34" s="532" t="str">
        <f>'2020 comm sample'!M34</f>
        <v>na</v>
      </c>
      <c r="L34" s="532" t="str">
        <f>'2020 comm sample'!N34</f>
        <v>na</v>
      </c>
      <c r="M34" s="532" t="str">
        <f>'2020 comm sample'!O34</f>
        <v>na</v>
      </c>
      <c r="N34" s="532">
        <f>'2020 comm sample'!P34</f>
        <v>0.44150943396226416</v>
      </c>
      <c r="O34" s="533">
        <f>'2020 comm sample'!Q34</f>
        <v>0.48571428571428571</v>
      </c>
      <c r="P34" s="558" t="str">
        <f>IF(C34&gt;0,'2020 comm sample'!C34/'2020 Comm catch'!C34,"na")</f>
        <v>na</v>
      </c>
      <c r="Q34" s="559" t="str">
        <f>IF(D34&gt;0,'2020 comm sample'!D34/'2020 Comm catch'!D34,"na")</f>
        <v>na</v>
      </c>
      <c r="R34" s="559" t="str">
        <f>IF(E34&gt;0,'2020 comm sample'!E34/'2020 Comm catch'!E34,"na")</f>
        <v>na</v>
      </c>
      <c r="S34" s="559">
        <f>IF(G34&gt;0,'2020 comm sample'!F34/'2020 Comm catch'!G34,"na")</f>
        <v>0.24003623188405798</v>
      </c>
      <c r="T34" s="559">
        <f>IF(H34&gt;0,'2020 comm sample'!G34/'2020 Comm catch'!H34,"na")</f>
        <v>0.68965517241379315</v>
      </c>
      <c r="U34" s="560">
        <f t="shared" si="5"/>
        <v>0</v>
      </c>
      <c r="V34" s="514">
        <f t="shared" si="5"/>
        <v>0</v>
      </c>
      <c r="W34" s="514">
        <f t="shared" si="5"/>
        <v>0</v>
      </c>
      <c r="X34" s="705">
        <f t="shared" si="6"/>
        <v>0</v>
      </c>
      <c r="Y34" s="514">
        <f t="shared" si="7"/>
        <v>487.42641509433963</v>
      </c>
      <c r="Z34" s="514">
        <f t="shared" si="7"/>
        <v>98.6</v>
      </c>
      <c r="AA34" s="705">
        <f t="shared" si="8"/>
        <v>586.02641509433965</v>
      </c>
      <c r="AB34" s="580">
        <f t="shared" si="10"/>
        <v>586.02641509433965</v>
      </c>
      <c r="AD34" s="585"/>
    </row>
    <row r="35" spans="1:32" x14ac:dyDescent="0.3">
      <c r="A35" s="34" t="s">
        <v>322</v>
      </c>
      <c r="B35" s="34">
        <v>39</v>
      </c>
      <c r="C35" s="836"/>
      <c r="D35" s="837"/>
      <c r="E35" s="837"/>
      <c r="F35" s="838">
        <f t="shared" ref="F35:F40" si="12">SUM(C35:E35)</f>
        <v>0</v>
      </c>
      <c r="G35" s="887">
        <f>326+233</f>
        <v>559</v>
      </c>
      <c r="H35" s="887">
        <f>160+86</f>
        <v>246</v>
      </c>
      <c r="I35" s="839">
        <f t="shared" si="9"/>
        <v>805</v>
      </c>
      <c r="J35" s="737">
        <f t="shared" si="11"/>
        <v>805</v>
      </c>
      <c r="K35" s="532" t="str">
        <f>'2020 comm sample'!M35</f>
        <v>na</v>
      </c>
      <c r="L35" s="532" t="str">
        <f>'2020 comm sample'!N35</f>
        <v>na</v>
      </c>
      <c r="M35" s="532" t="str">
        <f>'2020 comm sample'!O35</f>
        <v>na</v>
      </c>
      <c r="N35" s="532">
        <f>'2020 comm sample'!P35</f>
        <v>0.28368794326241137</v>
      </c>
      <c r="O35" s="533">
        <f>'2020 comm sample'!Q35</f>
        <v>0.17486338797814208</v>
      </c>
      <c r="P35" s="558" t="str">
        <f>IF(C35&gt;0,'2020 comm sample'!C35/'2020 Comm catch'!C35,"na")</f>
        <v>na</v>
      </c>
      <c r="Q35" s="559" t="str">
        <f>IF(D35&gt;0,'2020 comm sample'!D35/'2020 Comm catch'!D35,"na")</f>
        <v>na</v>
      </c>
      <c r="R35" s="559" t="str">
        <f>IF(E35&gt;0,'2020 comm sample'!E35/'2020 Comm catch'!E35,"na")</f>
        <v>na</v>
      </c>
      <c r="S35" s="559">
        <f>IF(G35&gt;0,'2020 comm sample'!F35/'2020 Comm catch'!G35,"na")</f>
        <v>0.25223613595706618</v>
      </c>
      <c r="T35" s="559">
        <f>IF(H35&gt;0,'2020 comm sample'!G35/'2020 Comm catch'!H35,"na")</f>
        <v>0.74390243902439024</v>
      </c>
      <c r="U35" s="583">
        <f>IF(K35&lt;&gt;"na",C35*L35,0)</f>
        <v>0</v>
      </c>
      <c r="V35" s="584">
        <f t="shared" si="5"/>
        <v>0</v>
      </c>
      <c r="W35" s="514">
        <f t="shared" si="5"/>
        <v>0</v>
      </c>
      <c r="X35" s="706">
        <f t="shared" si="6"/>
        <v>0</v>
      </c>
      <c r="Y35" s="584">
        <f t="shared" si="7"/>
        <v>158.58156028368796</v>
      </c>
      <c r="Z35" s="584">
        <f t="shared" si="7"/>
        <v>43.016393442622949</v>
      </c>
      <c r="AA35" s="705">
        <f t="shared" si="8"/>
        <v>201.59795372631092</v>
      </c>
      <c r="AB35" s="580">
        <f t="shared" si="10"/>
        <v>201.59795372631092</v>
      </c>
      <c r="AC35" s="585"/>
      <c r="AD35" s="585"/>
      <c r="AE35" s="585"/>
      <c r="AF35" s="585"/>
    </row>
    <row r="36" spans="1:32" x14ac:dyDescent="0.3">
      <c r="A36" s="34" t="s">
        <v>326</v>
      </c>
      <c r="B36" s="34">
        <v>40</v>
      </c>
      <c r="C36" s="873">
        <f>72+169</f>
        <v>241</v>
      </c>
      <c r="D36" s="865">
        <f>466+330</f>
        <v>796</v>
      </c>
      <c r="E36" s="865">
        <f>763+304</f>
        <v>1067</v>
      </c>
      <c r="F36" s="838">
        <f>SUM(C36:E36)</f>
        <v>2104</v>
      </c>
      <c r="G36" s="887">
        <v>104</v>
      </c>
      <c r="H36" s="887">
        <v>65</v>
      </c>
      <c r="I36" s="839">
        <f>SUM(G36:H36)</f>
        <v>169</v>
      </c>
      <c r="J36" s="515">
        <f>F36+I36</f>
        <v>2273</v>
      </c>
      <c r="K36" s="532" t="str">
        <f>'2020 comm sample'!M36</f>
        <v>na</v>
      </c>
      <c r="L36" s="532">
        <f>'2020 comm sample'!N36</f>
        <v>1.1363636363636364E-2</v>
      </c>
      <c r="M36" s="532">
        <f>'2020 comm sample'!O36</f>
        <v>0</v>
      </c>
      <c r="N36" s="532">
        <f>'2020 comm sample'!P36</f>
        <v>0.10256410256410256</v>
      </c>
      <c r="O36" s="533">
        <f>'2020 comm sample'!Q36</f>
        <v>0.2413793103448276</v>
      </c>
      <c r="P36" s="558">
        <f>IF(C36&gt;0,'2020 comm sample'!C36/'2020 Comm catch'!C36,"na")</f>
        <v>0</v>
      </c>
      <c r="Q36" s="559">
        <f>IF(D36&gt;0,'2020 comm sample'!D36/'2020 Comm catch'!D36,"na")</f>
        <v>0.44221105527638194</v>
      </c>
      <c r="R36" s="559">
        <f>IF(E36&gt;0,'2020 comm sample'!E36/'2020 Comm catch'!E36,"na")</f>
        <v>0.10871602624179943</v>
      </c>
      <c r="S36" s="559">
        <f>IF(G36&gt;0,'2020 comm sample'!F36/'2020 Comm catch'!G36,"na")</f>
        <v>0.75</v>
      </c>
      <c r="T36" s="559">
        <f>IF(H36&gt;0,'2020 comm sample'!G36/'2020 Comm catch'!H36,"na")</f>
        <v>0.44615384615384618</v>
      </c>
      <c r="U36" s="583">
        <f>IF(K36&lt;&gt;"na",C36*L36,0)</f>
        <v>0</v>
      </c>
      <c r="V36" s="514">
        <f>IF(L36&lt;&gt;"na",D36*L36,0)</f>
        <v>9.045454545454545</v>
      </c>
      <c r="W36" s="514">
        <f t="shared" si="5"/>
        <v>0</v>
      </c>
      <c r="X36" s="705">
        <f t="shared" si="6"/>
        <v>9.045454545454545</v>
      </c>
      <c r="Y36" s="584">
        <f t="shared" si="7"/>
        <v>10.666666666666666</v>
      </c>
      <c r="Z36" s="584">
        <f t="shared" si="7"/>
        <v>15.689655172413794</v>
      </c>
      <c r="AA36" s="705">
        <f t="shared" si="8"/>
        <v>26.356321839080458</v>
      </c>
      <c r="AB36" s="580">
        <f>X36+AA36</f>
        <v>35.401776384535005</v>
      </c>
      <c r="AC36" s="805">
        <f>F36*'2020 comm sample'!R36</f>
        <v>17.982905982905983</v>
      </c>
      <c r="AD36" s="585"/>
      <c r="AE36" s="585"/>
      <c r="AF36" s="585"/>
    </row>
    <row r="37" spans="1:32" x14ac:dyDescent="0.3">
      <c r="A37" s="34" t="s">
        <v>326</v>
      </c>
      <c r="B37" s="34">
        <v>41</v>
      </c>
      <c r="C37" s="873">
        <f>37+0+1</f>
        <v>38</v>
      </c>
      <c r="D37" s="865">
        <f>310+164+145</f>
        <v>619</v>
      </c>
      <c r="E37" s="865">
        <f>493+147+98</f>
        <v>738</v>
      </c>
      <c r="F37" s="838">
        <f t="shared" si="12"/>
        <v>1395</v>
      </c>
      <c r="G37" s="888">
        <v>12</v>
      </c>
      <c r="H37" s="888">
        <v>67</v>
      </c>
      <c r="I37" s="839">
        <f t="shared" si="9"/>
        <v>79</v>
      </c>
      <c r="J37" s="515">
        <f t="shared" si="11"/>
        <v>1474</v>
      </c>
      <c r="K37" s="532">
        <f>'2020 comm sample'!M37</f>
        <v>0</v>
      </c>
      <c r="L37" s="532">
        <f>'2020 comm sample'!N37</f>
        <v>4.9504950495049506E-3</v>
      </c>
      <c r="M37" s="532">
        <f>'2020 comm sample'!O37</f>
        <v>0</v>
      </c>
      <c r="N37" s="532" t="str">
        <f>'2020 comm sample'!P37</f>
        <v>na</v>
      </c>
      <c r="O37" s="533">
        <f>'2020 comm sample'!Q37</f>
        <v>4.3478260869565216E-2</v>
      </c>
      <c r="P37" s="558">
        <f>IF(C37&gt;0,'2020 comm sample'!C37/'2020 Comm catch'!C37,"na")</f>
        <v>0.39473684210526316</v>
      </c>
      <c r="Q37" s="559">
        <f>IF(D37&gt;0,'2020 comm sample'!D37/'2020 Comm catch'!D37,"na")</f>
        <v>0.32633279483037159</v>
      </c>
      <c r="R37" s="559">
        <f>IF(E37&gt;0,'2020 comm sample'!E37/'2020 Comm catch'!E37,"na")</f>
        <v>0.20054200542005421</v>
      </c>
      <c r="S37" s="559">
        <f>IF(G37&gt;0,'2020 comm sample'!F37/'2020 Comm catch'!G37,"na")</f>
        <v>0</v>
      </c>
      <c r="T37" s="559">
        <f>IF(H37&gt;0,'2020 comm sample'!G37/'2020 Comm catch'!H37,"na")</f>
        <v>0.34328358208955223</v>
      </c>
      <c r="U37" s="560">
        <f t="shared" si="5"/>
        <v>0</v>
      </c>
      <c r="V37" s="514">
        <f t="shared" si="5"/>
        <v>3.0643564356435644</v>
      </c>
      <c r="W37" s="514">
        <f t="shared" si="5"/>
        <v>0</v>
      </c>
      <c r="X37" s="705">
        <f t="shared" si="6"/>
        <v>3.0643564356435644</v>
      </c>
      <c r="Y37" s="514">
        <f t="shared" si="7"/>
        <v>0</v>
      </c>
      <c r="Z37" s="514">
        <f>IF(O37&lt;&gt;"na",H37*O37,0)</f>
        <v>2.9130434782608696</v>
      </c>
      <c r="AA37" s="705">
        <f t="shared" si="8"/>
        <v>2.9130434782608696</v>
      </c>
      <c r="AB37" s="580">
        <f t="shared" si="10"/>
        <v>5.977399913904434</v>
      </c>
      <c r="AC37" s="585"/>
      <c r="AD37" s="805">
        <f>I37*'2020 comm sample'!S37</f>
        <v>3.4347826086956519</v>
      </c>
      <c r="AE37" s="657"/>
    </row>
    <row r="38" spans="1:32" x14ac:dyDescent="0.3">
      <c r="A38" s="34" t="s">
        <v>326</v>
      </c>
      <c r="B38" s="34">
        <v>42</v>
      </c>
      <c r="C38" s="873">
        <f>0+15+9</f>
        <v>24</v>
      </c>
      <c r="D38" s="865">
        <f>302+186+76</f>
        <v>564</v>
      </c>
      <c r="E38" s="865">
        <f>433+87+40</f>
        <v>560</v>
      </c>
      <c r="F38" s="838">
        <f t="shared" si="12"/>
        <v>1148</v>
      </c>
      <c r="G38" s="865">
        <f>27+6</f>
        <v>33</v>
      </c>
      <c r="H38" s="865">
        <f>40+27</f>
        <v>67</v>
      </c>
      <c r="I38" s="839">
        <f t="shared" si="9"/>
        <v>100</v>
      </c>
      <c r="J38" s="515">
        <f t="shared" si="11"/>
        <v>1248</v>
      </c>
      <c r="K38" s="532">
        <f>'2020 comm sample'!M38</f>
        <v>0</v>
      </c>
      <c r="L38" s="532">
        <f>'2020 comm sample'!N38</f>
        <v>0</v>
      </c>
      <c r="M38" s="532">
        <f>'2020 comm sample'!O38</f>
        <v>0</v>
      </c>
      <c r="N38" s="532" t="str">
        <f>'2020 comm sample'!P38</f>
        <v>na</v>
      </c>
      <c r="O38" s="533">
        <f>'2020 comm sample'!Q38</f>
        <v>0.1</v>
      </c>
      <c r="P38" s="558">
        <f>IF(C38&gt;0,'2020 comm sample'!C38/'2020 Comm catch'!C38,"na")</f>
        <v>0</v>
      </c>
      <c r="Q38" s="559">
        <f>IF(D38&gt;0,'2020 comm sample'!D38/'2020 Comm catch'!D38,"na")</f>
        <v>0.96276595744680848</v>
      </c>
      <c r="R38" s="559">
        <f>IF(E38&gt;0,'2020 comm sample'!E38/'2020 Comm catch'!E38,"na")</f>
        <v>0.22321428571428573</v>
      </c>
      <c r="S38" s="559">
        <f>IF(G38&gt;0,'2020 comm sample'!F38/'2020 Comm catch'!G38,"na")</f>
        <v>0</v>
      </c>
      <c r="T38" s="559">
        <f>IF(H38&gt;0,'2020 comm sample'!G38/'2020 Comm catch'!H38,"na")</f>
        <v>0.59701492537313428</v>
      </c>
      <c r="U38" s="560">
        <f>IF(K38&lt;&gt;"na",C38*K38,0)</f>
        <v>0</v>
      </c>
      <c r="V38" s="514">
        <f t="shared" si="5"/>
        <v>0</v>
      </c>
      <c r="W38" s="514">
        <f t="shared" si="5"/>
        <v>0</v>
      </c>
      <c r="X38" s="705">
        <f t="shared" si="6"/>
        <v>0</v>
      </c>
      <c r="Y38" s="514">
        <f t="shared" si="7"/>
        <v>0</v>
      </c>
      <c r="Z38" s="514">
        <f t="shared" si="7"/>
        <v>6.7</v>
      </c>
      <c r="AA38" s="705">
        <f t="shared" si="8"/>
        <v>6.7</v>
      </c>
      <c r="AB38" s="580">
        <f t="shared" si="10"/>
        <v>6.7</v>
      </c>
      <c r="AC38" s="805">
        <f>F38*'2020 comm sample'!R38</f>
        <v>0</v>
      </c>
      <c r="AD38" s="805">
        <f>I38*'2020 comm sample'!S38</f>
        <v>10</v>
      </c>
    </row>
    <row r="39" spans="1:32" x14ac:dyDescent="0.3">
      <c r="A39" s="34" t="s">
        <v>326</v>
      </c>
      <c r="B39" s="34">
        <v>43</v>
      </c>
      <c r="C39" s="873">
        <f>0+0+0</f>
        <v>0</v>
      </c>
      <c r="D39" s="879">
        <f>160+38+28</f>
        <v>226</v>
      </c>
      <c r="E39" s="879">
        <f>27+34+0</f>
        <v>61</v>
      </c>
      <c r="F39" s="838">
        <f t="shared" si="12"/>
        <v>287</v>
      </c>
      <c r="G39" s="865">
        <f>0+0</f>
        <v>0</v>
      </c>
      <c r="H39" s="865">
        <f>1+4</f>
        <v>5</v>
      </c>
      <c r="I39" s="839">
        <f t="shared" si="9"/>
        <v>5</v>
      </c>
      <c r="J39" s="515">
        <f t="shared" si="11"/>
        <v>292</v>
      </c>
      <c r="K39" s="532" t="str">
        <f>'2020 comm sample'!M39</f>
        <v>na</v>
      </c>
      <c r="L39" s="532">
        <f>'2020 comm sample'!N39</f>
        <v>0</v>
      </c>
      <c r="M39" s="532">
        <f>'2020 comm sample'!O39</f>
        <v>0</v>
      </c>
      <c r="N39" s="532" t="str">
        <f>'2020 comm sample'!P39</f>
        <v>na</v>
      </c>
      <c r="O39" s="532">
        <f>'2020 comm sample'!Q39</f>
        <v>0</v>
      </c>
      <c r="P39" s="558" t="str">
        <f>IF(C39&gt;0,'2020 comm sample'!C39/'2020 Comm catch'!C39,"na")</f>
        <v>na</v>
      </c>
      <c r="Q39" s="559">
        <f>IF(D39&gt;0,'2020 comm sample'!D39/'2020 Comm catch'!D39,"na")</f>
        <v>0.76548672566371678</v>
      </c>
      <c r="R39" s="559">
        <f>IF(E39&gt;0,'2020 comm sample'!E39/'2020 Comm catch'!E39,"na")</f>
        <v>0.37704918032786883</v>
      </c>
      <c r="S39" s="559" t="str">
        <f>IF(G39&gt;0,'2020 comm sample'!F39/'2020 Comm catch'!G39,"na")</f>
        <v>na</v>
      </c>
      <c r="T39" s="559">
        <f>IF(H39&gt;0,'2020 comm sample'!G39/'2020 Comm catch'!H39,"na")</f>
        <v>0.8</v>
      </c>
      <c r="U39" s="560">
        <f t="shared" si="5"/>
        <v>0</v>
      </c>
      <c r="V39" s="514">
        <f>IF(L39&lt;&gt;"na",D39*L39,0)</f>
        <v>0</v>
      </c>
      <c r="W39" s="514">
        <f t="shared" si="5"/>
        <v>0</v>
      </c>
      <c r="X39" s="705">
        <f t="shared" si="6"/>
        <v>0</v>
      </c>
      <c r="Y39" s="514">
        <f t="shared" si="7"/>
        <v>0</v>
      </c>
      <c r="Z39" s="514">
        <f t="shared" si="7"/>
        <v>0</v>
      </c>
      <c r="AA39" s="705">
        <f t="shared" si="8"/>
        <v>0</v>
      </c>
      <c r="AB39" s="580">
        <f t="shared" si="10"/>
        <v>0</v>
      </c>
      <c r="AC39" s="793"/>
      <c r="AD39" s="585"/>
    </row>
    <row r="40" spans="1:32" x14ac:dyDescent="0.3">
      <c r="A40" s="34" t="s">
        <v>326</v>
      </c>
      <c r="B40" s="34">
        <v>44</v>
      </c>
      <c r="C40" s="873">
        <f>0+0+0</f>
        <v>0</v>
      </c>
      <c r="D40" s="879">
        <f>25+2+0</f>
        <v>27</v>
      </c>
      <c r="E40" s="879">
        <f>13+0+0</f>
        <v>13</v>
      </c>
      <c r="F40" s="838">
        <f t="shared" si="12"/>
        <v>40</v>
      </c>
      <c r="G40" s="807"/>
      <c r="H40" s="807"/>
      <c r="I40" s="839">
        <f t="shared" si="9"/>
        <v>0</v>
      </c>
      <c r="J40" s="515">
        <f t="shared" si="11"/>
        <v>40</v>
      </c>
      <c r="K40" s="532" t="str">
        <f>'2020 comm sample'!M40</f>
        <v>na</v>
      </c>
      <c r="L40" s="532">
        <f>'2020 comm sample'!N40</f>
        <v>0</v>
      </c>
      <c r="M40" s="532" t="str">
        <f>'2020 comm sample'!O40</f>
        <v>na</v>
      </c>
      <c r="N40" s="532" t="str">
        <f>'2020 comm sample'!P40</f>
        <v>na</v>
      </c>
      <c r="O40" s="533" t="str">
        <f>'2020 comm sample'!Q40</f>
        <v>na</v>
      </c>
      <c r="P40" s="558" t="str">
        <f>IF(C40&gt;0,'2020 comm sample'!C40/'2020 Comm catch'!C40,"na")</f>
        <v>na</v>
      </c>
      <c r="Q40" s="559">
        <f>IF(D40&gt;0,'2020 comm sample'!D40/'2020 Comm catch'!D40,"na")</f>
        <v>0.40740740740740738</v>
      </c>
      <c r="R40" s="559">
        <f>IF(E40&gt;0,'2020 comm sample'!E40/'2020 Comm catch'!E40,"na")</f>
        <v>0</v>
      </c>
      <c r="S40" s="559" t="str">
        <f>IF(G40&gt;0,'2020 comm sample'!F40/'2020 Comm catch'!G40,"na")</f>
        <v>na</v>
      </c>
      <c r="T40" s="559" t="str">
        <f>IF(H40&gt;0,'2020 comm sample'!G40/'2020 Comm catch'!H40,"na")</f>
        <v>na</v>
      </c>
      <c r="U40" s="560">
        <f t="shared" si="5"/>
        <v>0</v>
      </c>
      <c r="V40" s="514">
        <f t="shared" si="5"/>
        <v>0</v>
      </c>
      <c r="W40" s="514">
        <f t="shared" si="5"/>
        <v>0</v>
      </c>
      <c r="X40" s="705">
        <f t="shared" si="6"/>
        <v>0</v>
      </c>
      <c r="Y40" s="514">
        <f t="shared" si="7"/>
        <v>0</v>
      </c>
      <c r="Z40" s="514">
        <f t="shared" si="7"/>
        <v>0</v>
      </c>
      <c r="AA40" s="705">
        <f t="shared" si="8"/>
        <v>0</v>
      </c>
      <c r="AB40" s="580">
        <f t="shared" si="10"/>
        <v>0</v>
      </c>
      <c r="AC40" s="805">
        <f>F40*'2020 comm sample'!R40</f>
        <v>0</v>
      </c>
      <c r="AD40" s="585"/>
    </row>
    <row r="41" spans="1:32" x14ac:dyDescent="0.3">
      <c r="B41" s="34">
        <v>45</v>
      </c>
      <c r="C41" s="843"/>
      <c r="D41" s="844"/>
      <c r="E41" s="844"/>
      <c r="F41" s="844"/>
      <c r="G41" s="845"/>
      <c r="H41" s="845"/>
      <c r="I41" s="844"/>
      <c r="J41" s="566">
        <f t="shared" si="11"/>
        <v>0</v>
      </c>
      <c r="K41" s="534" t="str">
        <f>'2020 comm sample'!M41</f>
        <v>na</v>
      </c>
      <c r="L41" s="534" t="str">
        <f>'2020 comm sample'!N41</f>
        <v>na</v>
      </c>
      <c r="M41" s="534" t="str">
        <f>'2020 comm sample'!O41</f>
        <v>na</v>
      </c>
      <c r="N41" s="534" t="str">
        <f>'2020 comm sample'!P41</f>
        <v>na</v>
      </c>
      <c r="O41" s="535" t="str">
        <f>'2020 comm sample'!Q41</f>
        <v>na</v>
      </c>
      <c r="P41" s="569" t="str">
        <f>IF(C41&gt;0,'2020 comm sample'!C41/'2020 Comm catch'!C41,"na")</f>
        <v>na</v>
      </c>
      <c r="Q41" s="570" t="str">
        <f>IF(D41&gt;0,'2020 comm sample'!D41/'2020 Comm catch'!D41,"na")</f>
        <v>na</v>
      </c>
      <c r="R41" s="570" t="str">
        <f>IF(E41&gt;0,'2020 comm sample'!E41/'2020 Comm catch'!E41,"na")</f>
        <v>na</v>
      </c>
      <c r="S41" s="570" t="str">
        <f>IF(G41&gt;0,'2020 comm sample'!F41/'2020 Comm catch'!G41,"na")</f>
        <v>na</v>
      </c>
      <c r="T41" s="559" t="str">
        <f>IF(H41&gt;0,'2020 comm sample'!G41/'2020 Comm catch'!H41,"na")</f>
        <v>na</v>
      </c>
      <c r="U41" s="588">
        <f t="shared" si="5"/>
        <v>0</v>
      </c>
      <c r="V41" s="589">
        <f t="shared" si="5"/>
        <v>0</v>
      </c>
      <c r="W41" s="589">
        <f t="shared" si="5"/>
        <v>0</v>
      </c>
      <c r="X41" s="707"/>
      <c r="Y41" s="589">
        <f t="shared" si="7"/>
        <v>0</v>
      </c>
      <c r="Z41" s="589">
        <f t="shared" si="7"/>
        <v>0</v>
      </c>
      <c r="AA41" s="707"/>
      <c r="AB41" s="590">
        <f t="shared" si="10"/>
        <v>0</v>
      </c>
    </row>
    <row r="42" spans="1:32" x14ac:dyDescent="0.3">
      <c r="B42" s="591" t="s">
        <v>184</v>
      </c>
      <c r="C42" s="846">
        <f>SUM(C28:C41)</f>
        <v>303</v>
      </c>
      <c r="D42" s="847">
        <f>SUM(D28:D41)</f>
        <v>2232</v>
      </c>
      <c r="E42" s="847">
        <f>SUM(E28:E41)</f>
        <v>2439</v>
      </c>
      <c r="F42" s="847"/>
      <c r="G42" s="847">
        <f>SUM(G28:G41)</f>
        <v>2098</v>
      </c>
      <c r="H42" s="847">
        <f>SUM(H28:H41)</f>
        <v>715</v>
      </c>
      <c r="I42" s="847"/>
      <c r="J42" s="594">
        <f>SUM(C42:H42)</f>
        <v>7787</v>
      </c>
      <c r="K42" s="595">
        <f>'2020 comm sample'!M42</f>
        <v>0</v>
      </c>
      <c r="L42" s="595">
        <f>'2020 comm sample'!N42</f>
        <v>3.9032006245120999E-3</v>
      </c>
      <c r="M42" s="595">
        <f>'2020 comm sample'!O42</f>
        <v>0</v>
      </c>
      <c r="N42" s="595">
        <f>'2020 comm sample'!P42</f>
        <v>0.4602941176470588</v>
      </c>
      <c r="O42" s="595">
        <f>'2020 comm sample'!Q42</f>
        <v>0.28505747126436781</v>
      </c>
      <c r="P42" s="596">
        <f>IF(C42&gt;0,'2020 comm sample'!C42/'2020 Comm catch'!C42,"na")</f>
        <v>4.9504950495049507E-2</v>
      </c>
      <c r="Q42" s="596">
        <f>IF(D42&gt;0,'2020 comm sample'!D42/'2020 Comm catch'!D42,"na")</f>
        <v>0.57392473118279574</v>
      </c>
      <c r="R42" s="596">
        <f>IF(E42&gt;0,'2020 comm sample'!E42/'2020 Comm catch'!E42,"na")</f>
        <v>0.16892168921689216</v>
      </c>
      <c r="S42" s="570">
        <f>IF(G42&gt;0,'2020 comm sample'!F42/'2020 Comm catch'!G42,"na")</f>
        <v>0.32411820781696854</v>
      </c>
      <c r="T42" s="872">
        <f>IF(H42&gt;0,'2020 comm sample'!G42/'2020 Comm catch'!H42,"na")</f>
        <v>0.60839160839160844</v>
      </c>
      <c r="U42" s="588">
        <f t="shared" ref="U42:AA42" si="13">SUM(U28:U41)</f>
        <v>0</v>
      </c>
      <c r="V42" s="589">
        <f t="shared" si="13"/>
        <v>12.109810981098109</v>
      </c>
      <c r="W42" s="589">
        <f t="shared" si="13"/>
        <v>0</v>
      </c>
      <c r="X42" s="589">
        <f t="shared" si="13"/>
        <v>12.109810981098109</v>
      </c>
      <c r="Y42" s="589">
        <f t="shared" si="13"/>
        <v>872.25646022651244</v>
      </c>
      <c r="Z42" s="589">
        <f t="shared" si="13"/>
        <v>214.51909209329762</v>
      </c>
      <c r="AA42" s="589">
        <f t="shared" si="13"/>
        <v>1086.77555231981</v>
      </c>
      <c r="AB42" s="590">
        <f t="shared" si="10"/>
        <v>1098.885363300908</v>
      </c>
    </row>
    <row r="43" spans="1:32" x14ac:dyDescent="0.3">
      <c r="B43" s="591"/>
      <c r="C43" s="597"/>
      <c r="D43" s="597"/>
      <c r="E43" s="597"/>
      <c r="F43" s="597"/>
      <c r="G43" s="597"/>
      <c r="J43" s="597"/>
      <c r="K43" s="597"/>
      <c r="L43" s="597"/>
      <c r="M43" s="597"/>
      <c r="N43" s="597"/>
      <c r="O43" s="598"/>
      <c r="P43" s="597"/>
      <c r="Q43" s="597"/>
      <c r="R43" s="597"/>
      <c r="S43" s="597"/>
      <c r="T43" s="599"/>
      <c r="U43" s="597"/>
      <c r="V43" s="597"/>
      <c r="W43" s="597"/>
      <c r="X43" s="597"/>
      <c r="Y43" s="597"/>
      <c r="Z43" s="33"/>
      <c r="AA43" s="33"/>
      <c r="AB43" s="597"/>
      <c r="AC43" s="647"/>
    </row>
  </sheetData>
  <mergeCells count="7">
    <mergeCell ref="C3:F3"/>
    <mergeCell ref="G3:J3"/>
    <mergeCell ref="K3:N3"/>
    <mergeCell ref="O3:R3"/>
    <mergeCell ref="C26:J26"/>
    <mergeCell ref="K26:O26"/>
    <mergeCell ref="P26:T26"/>
  </mergeCells>
  <conditionalFormatting sqref="K5:N5 K7:N21">
    <cfRule type="cellIs" dxfId="151" priority="17" operator="equal">
      <formula>"na"</formula>
    </cfRule>
    <cfRule type="cellIs" dxfId="150" priority="18" operator="greaterThan">
      <formula>1</formula>
    </cfRule>
    <cfRule type="cellIs" dxfId="149" priority="19" operator="lessThan">
      <formula>0.2</formula>
    </cfRule>
    <cfRule type="cellIs" dxfId="148" priority="24" stopIfTrue="1" operator="equal">
      <formula>0</formula>
    </cfRule>
  </conditionalFormatting>
  <conditionalFormatting sqref="P28:R41 T28:T41">
    <cfRule type="cellIs" dxfId="147" priority="20" stopIfTrue="1" operator="equal">
      <formula>"na"</formula>
    </cfRule>
    <cfRule type="cellIs" dxfId="146" priority="21" operator="greaterThan">
      <formula>1</formula>
    </cfRule>
    <cfRule type="cellIs" dxfId="145" priority="22" operator="lessThan">
      <formula>0.2</formula>
    </cfRule>
    <cfRule type="cellIs" dxfId="144" priority="23" stopIfTrue="1" operator="equal">
      <formula>0</formula>
    </cfRule>
  </conditionalFormatting>
  <conditionalFormatting sqref="K6:N6">
    <cfRule type="cellIs" dxfId="143" priority="13" operator="equal">
      <formula>"na"</formula>
    </cfRule>
    <cfRule type="cellIs" dxfId="142" priority="14" operator="greaterThan">
      <formula>1</formula>
    </cfRule>
    <cfRule type="cellIs" dxfId="141" priority="15" operator="lessThan">
      <formula>0.2</formula>
    </cfRule>
    <cfRule type="cellIs" dxfId="140" priority="16" stopIfTrue="1" operator="equal">
      <formula>0</formula>
    </cfRule>
  </conditionalFormatting>
  <conditionalFormatting sqref="T42">
    <cfRule type="cellIs" dxfId="139" priority="1" stopIfTrue="1" operator="equal">
      <formula>"na"</formula>
    </cfRule>
    <cfRule type="cellIs" dxfId="138" priority="2" operator="greaterThan">
      <formula>1</formula>
    </cfRule>
    <cfRule type="cellIs" dxfId="137" priority="3" operator="lessThan">
      <formula>0.2</formula>
    </cfRule>
    <cfRule type="cellIs" dxfId="136" priority="4" stopIfTrue="1" operator="equal">
      <formula>0</formula>
    </cfRule>
  </conditionalFormatting>
  <conditionalFormatting sqref="S28:S41">
    <cfRule type="cellIs" dxfId="135" priority="9" stopIfTrue="1" operator="equal">
      <formula>"na"</formula>
    </cfRule>
    <cfRule type="cellIs" dxfId="134" priority="10" operator="greaterThan">
      <formula>1</formula>
    </cfRule>
    <cfRule type="cellIs" dxfId="133" priority="11" operator="lessThan">
      <formula>0.2</formula>
    </cfRule>
    <cfRule type="cellIs" dxfId="132" priority="12" stopIfTrue="1" operator="equal">
      <formula>0</formula>
    </cfRule>
  </conditionalFormatting>
  <conditionalFormatting sqref="S42">
    <cfRule type="cellIs" dxfId="131" priority="5" stopIfTrue="1" operator="equal">
      <formula>"na"</formula>
    </cfRule>
    <cfRule type="cellIs" dxfId="130" priority="6" operator="greaterThan">
      <formula>1</formula>
    </cfRule>
    <cfRule type="cellIs" dxfId="129" priority="7" operator="lessThan">
      <formula>0.2</formula>
    </cfRule>
    <cfRule type="cellIs" dxfId="128" priority="8" stopIfTrue="1" operator="equal">
      <formula>0</formula>
    </cfRule>
  </conditionalFormatting>
  <pageMargins left="0.75" right="0.75" top="1" bottom="1" header="0.5" footer="0.5"/>
  <pageSetup scale="37" orientation="landscape"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S41"/>
  <sheetViews>
    <sheetView zoomScale="110" zoomScaleNormal="110" workbookViewId="0">
      <pane xSplit="2" topLeftCell="C1" activePane="topRight" state="frozen"/>
      <selection activeCell="I30" sqref="I30"/>
      <selection pane="topRight" activeCell="I30" sqref="I30"/>
    </sheetView>
  </sheetViews>
  <sheetFormatPr defaultRowHeight="12.5" x14ac:dyDescent="0.25"/>
  <cols>
    <col min="1" max="1" width="20.7265625" bestFit="1" customWidth="1"/>
    <col min="2" max="2" width="5.81640625" bestFit="1" customWidth="1"/>
    <col min="3" max="3" width="11.1796875" bestFit="1" customWidth="1"/>
    <col min="4" max="4" width="9.453125" bestFit="1" customWidth="1"/>
    <col min="5" max="5" width="7.453125" bestFit="1" customWidth="1"/>
    <col min="6" max="6" width="7.1796875" bestFit="1" customWidth="1"/>
    <col min="7" max="7" width="11.1796875" bestFit="1" customWidth="1"/>
    <col min="8" max="8" width="9.453125" bestFit="1" customWidth="1"/>
    <col min="9" max="9" width="7.453125" bestFit="1" customWidth="1"/>
    <col min="10" max="10" width="7.1796875" bestFit="1" customWidth="1"/>
    <col min="11" max="11" width="11.1796875" bestFit="1" customWidth="1"/>
    <col min="12" max="12" width="9.453125" bestFit="1" customWidth="1"/>
    <col min="13" max="14" width="8.26953125" customWidth="1"/>
    <col min="15" max="15" width="7" bestFit="1" customWidth="1"/>
    <col min="16" max="17" width="8.26953125" bestFit="1" customWidth="1"/>
  </cols>
  <sheetData>
    <row r="2" spans="1:14" ht="13" x14ac:dyDescent="0.3">
      <c r="C2" s="34" t="s">
        <v>330</v>
      </c>
    </row>
    <row r="3" spans="1:14" x14ac:dyDescent="0.25">
      <c r="C3" s="900" t="s">
        <v>265</v>
      </c>
      <c r="D3" s="901"/>
      <c r="E3" s="901"/>
      <c r="F3" s="902"/>
      <c r="G3" s="900" t="s">
        <v>266</v>
      </c>
      <c r="H3" s="901"/>
      <c r="I3" s="901"/>
      <c r="J3" s="902"/>
      <c r="K3" s="900" t="s">
        <v>267</v>
      </c>
      <c r="L3" s="901"/>
      <c r="M3" s="901"/>
      <c r="N3" s="902"/>
    </row>
    <row r="4" spans="1:14" x14ac:dyDescent="0.25">
      <c r="B4" t="s">
        <v>134</v>
      </c>
      <c r="C4" s="286" t="s">
        <v>31</v>
      </c>
      <c r="D4" s="810" t="s">
        <v>62</v>
      </c>
      <c r="E4" s="810" t="s">
        <v>260</v>
      </c>
      <c r="F4" s="811" t="s">
        <v>203</v>
      </c>
      <c r="G4" s="286" t="s">
        <v>31</v>
      </c>
      <c r="H4" s="810" t="s">
        <v>62</v>
      </c>
      <c r="I4" s="810" t="s">
        <v>260</v>
      </c>
      <c r="J4" s="811" t="s">
        <v>203</v>
      </c>
      <c r="K4" s="274" t="s">
        <v>31</v>
      </c>
      <c r="L4" s="42" t="s">
        <v>62</v>
      </c>
      <c r="M4" s="42" t="s">
        <v>260</v>
      </c>
      <c r="N4" s="134" t="s">
        <v>203</v>
      </c>
    </row>
    <row r="5" spans="1:14" x14ac:dyDescent="0.25">
      <c r="B5">
        <v>31</v>
      </c>
      <c r="C5" s="813"/>
      <c r="D5" s="813"/>
      <c r="E5" s="813"/>
      <c r="F5" s="814"/>
      <c r="G5" s="813"/>
      <c r="H5" s="813"/>
      <c r="I5" s="813"/>
      <c r="J5" s="813"/>
      <c r="K5" s="521" t="str">
        <f t="shared" ref="K5:N19" si="0">IF(C5&gt;0,G5/C5,"na")</f>
        <v>na</v>
      </c>
      <c r="L5" s="522" t="str">
        <f t="shared" si="0"/>
        <v>na</v>
      </c>
      <c r="M5" s="522" t="str">
        <f t="shared" si="0"/>
        <v>na</v>
      </c>
      <c r="N5" s="523" t="str">
        <f t="shared" si="0"/>
        <v>na</v>
      </c>
    </row>
    <row r="6" spans="1:14" x14ac:dyDescent="0.25">
      <c r="B6">
        <v>32</v>
      </c>
      <c r="C6" s="812">
        <v>0</v>
      </c>
      <c r="D6" s="813"/>
      <c r="E6" s="813"/>
      <c r="F6" s="815"/>
      <c r="G6" s="816">
        <v>0</v>
      </c>
      <c r="H6" s="817"/>
      <c r="I6" s="817"/>
      <c r="J6" s="817"/>
      <c r="K6" s="524" t="str">
        <f t="shared" si="0"/>
        <v>na</v>
      </c>
      <c r="L6" s="525" t="str">
        <f t="shared" si="0"/>
        <v>na</v>
      </c>
      <c r="M6" s="525" t="str">
        <f t="shared" si="0"/>
        <v>na</v>
      </c>
      <c r="N6" s="526" t="str">
        <f t="shared" si="0"/>
        <v>na</v>
      </c>
    </row>
    <row r="7" spans="1:14" x14ac:dyDescent="0.25">
      <c r="B7">
        <v>33</v>
      </c>
      <c r="C7" s="812">
        <v>0</v>
      </c>
      <c r="D7" s="813"/>
      <c r="E7" s="813"/>
      <c r="F7" s="815"/>
      <c r="G7" s="812">
        <v>0</v>
      </c>
      <c r="H7" s="813"/>
      <c r="I7" s="813"/>
      <c r="J7" s="813"/>
      <c r="K7" s="524" t="str">
        <f t="shared" si="0"/>
        <v>na</v>
      </c>
      <c r="L7" s="525" t="str">
        <f t="shared" si="0"/>
        <v>na</v>
      </c>
      <c r="M7" s="525" t="str">
        <f t="shared" si="0"/>
        <v>na</v>
      </c>
      <c r="N7" s="526" t="str">
        <f t="shared" si="0"/>
        <v>na</v>
      </c>
    </row>
    <row r="8" spans="1:14" x14ac:dyDescent="0.25">
      <c r="B8">
        <v>34</v>
      </c>
      <c r="C8" s="812">
        <v>11</v>
      </c>
      <c r="D8" s="813"/>
      <c r="E8" s="813"/>
      <c r="F8" s="815"/>
      <c r="G8" s="812">
        <v>0</v>
      </c>
      <c r="H8" s="813"/>
      <c r="I8" s="813"/>
      <c r="J8" s="813"/>
      <c r="K8" s="524">
        <f t="shared" si="0"/>
        <v>0</v>
      </c>
      <c r="L8" s="525" t="str">
        <f t="shared" si="0"/>
        <v>na</v>
      </c>
      <c r="M8" s="525" t="str">
        <f t="shared" si="0"/>
        <v>na</v>
      </c>
      <c r="N8" s="526" t="str">
        <f t="shared" si="0"/>
        <v>na</v>
      </c>
    </row>
    <row r="9" spans="1:14" x14ac:dyDescent="0.25">
      <c r="B9">
        <v>35</v>
      </c>
      <c r="C9" s="812">
        <v>73</v>
      </c>
      <c r="D9" s="812">
        <v>277</v>
      </c>
      <c r="E9" s="812">
        <v>4</v>
      </c>
      <c r="F9" s="818">
        <v>1</v>
      </c>
      <c r="G9" s="812">
        <v>6</v>
      </c>
      <c r="H9" s="812">
        <v>76</v>
      </c>
      <c r="I9" s="812">
        <v>0</v>
      </c>
      <c r="J9" s="812">
        <v>0</v>
      </c>
      <c r="K9" s="524">
        <f t="shared" si="0"/>
        <v>8.2191780821917804E-2</v>
      </c>
      <c r="L9" s="525">
        <f t="shared" si="0"/>
        <v>0.27436823104693142</v>
      </c>
      <c r="M9" s="525">
        <f t="shared" si="0"/>
        <v>0</v>
      </c>
      <c r="N9" s="526">
        <f t="shared" si="0"/>
        <v>0</v>
      </c>
    </row>
    <row r="10" spans="1:14" x14ac:dyDescent="0.25">
      <c r="B10">
        <v>36</v>
      </c>
      <c r="C10" s="812">
        <v>362</v>
      </c>
      <c r="D10" s="812">
        <v>331</v>
      </c>
      <c r="E10" s="812">
        <v>269</v>
      </c>
      <c r="F10" s="818">
        <v>10</v>
      </c>
      <c r="G10" s="812">
        <v>17</v>
      </c>
      <c r="H10" s="812">
        <v>19</v>
      </c>
      <c r="I10" s="812">
        <v>12</v>
      </c>
      <c r="J10" s="812">
        <v>2</v>
      </c>
      <c r="K10" s="524">
        <f t="shared" si="0"/>
        <v>4.6961325966850827E-2</v>
      </c>
      <c r="L10" s="525">
        <f t="shared" si="0"/>
        <v>5.7401812688821753E-2</v>
      </c>
      <c r="M10" s="525">
        <f t="shared" si="0"/>
        <v>4.4609665427509292E-2</v>
      </c>
      <c r="N10" s="526">
        <f t="shared" si="0"/>
        <v>0.2</v>
      </c>
    </row>
    <row r="11" spans="1:14" x14ac:dyDescent="0.25">
      <c r="B11">
        <v>37</v>
      </c>
      <c r="C11" s="812">
        <v>1145</v>
      </c>
      <c r="D11" s="812">
        <v>2075</v>
      </c>
      <c r="E11" s="812">
        <v>809</v>
      </c>
      <c r="F11" s="818">
        <v>25</v>
      </c>
      <c r="G11" s="812">
        <v>66</v>
      </c>
      <c r="H11" s="812">
        <v>278</v>
      </c>
      <c r="I11" s="812">
        <v>44</v>
      </c>
      <c r="J11" s="812">
        <v>7</v>
      </c>
      <c r="K11" s="524">
        <f t="shared" si="0"/>
        <v>5.7641921397379912E-2</v>
      </c>
      <c r="L11" s="525">
        <f t="shared" si="0"/>
        <v>0.13397590361445783</v>
      </c>
      <c r="M11" s="525">
        <f t="shared" si="0"/>
        <v>5.4388133498145856E-2</v>
      </c>
      <c r="N11" s="526">
        <f t="shared" si="0"/>
        <v>0.28000000000000003</v>
      </c>
    </row>
    <row r="12" spans="1:14" x14ac:dyDescent="0.25">
      <c r="B12">
        <v>38</v>
      </c>
      <c r="C12" s="812">
        <v>284</v>
      </c>
      <c r="D12" s="812">
        <v>536</v>
      </c>
      <c r="E12" s="812">
        <v>948</v>
      </c>
      <c r="F12" s="818">
        <v>40</v>
      </c>
      <c r="G12" s="812">
        <v>10</v>
      </c>
      <c r="H12" s="812">
        <v>35</v>
      </c>
      <c r="I12" s="812">
        <v>32</v>
      </c>
      <c r="J12" s="812">
        <v>5</v>
      </c>
      <c r="K12" s="524">
        <f t="shared" si="0"/>
        <v>3.5211267605633804E-2</v>
      </c>
      <c r="L12" s="525">
        <f t="shared" si="0"/>
        <v>6.5298507462686561E-2</v>
      </c>
      <c r="M12" s="525">
        <f t="shared" si="0"/>
        <v>3.3755274261603373E-2</v>
      </c>
      <c r="N12" s="526">
        <f t="shared" si="0"/>
        <v>0.125</v>
      </c>
    </row>
    <row r="13" spans="1:14" x14ac:dyDescent="0.25">
      <c r="B13">
        <v>39</v>
      </c>
      <c r="C13" s="812">
        <v>50</v>
      </c>
      <c r="D13" s="812">
        <v>263</v>
      </c>
      <c r="E13" s="812">
        <v>238</v>
      </c>
      <c r="F13" s="818">
        <v>32</v>
      </c>
      <c r="G13" s="812">
        <v>1</v>
      </c>
      <c r="H13" s="812">
        <v>8</v>
      </c>
      <c r="I13" s="812">
        <v>9</v>
      </c>
      <c r="J13" s="812">
        <v>3</v>
      </c>
      <c r="K13" s="524">
        <f t="shared" si="0"/>
        <v>0.02</v>
      </c>
      <c r="L13" s="525">
        <f t="shared" si="0"/>
        <v>3.0418250950570342E-2</v>
      </c>
      <c r="M13" s="525">
        <f t="shared" si="0"/>
        <v>3.7815126050420166E-2</v>
      </c>
      <c r="N13" s="526">
        <f t="shared" si="0"/>
        <v>9.375E-2</v>
      </c>
    </row>
    <row r="14" spans="1:14" x14ac:dyDescent="0.25">
      <c r="B14">
        <v>40</v>
      </c>
      <c r="C14" s="812">
        <v>51</v>
      </c>
      <c r="D14" s="812">
        <v>242</v>
      </c>
      <c r="E14" s="812">
        <v>225</v>
      </c>
      <c r="F14" s="818">
        <v>36</v>
      </c>
      <c r="G14" s="812">
        <v>2</v>
      </c>
      <c r="H14" s="812">
        <v>6</v>
      </c>
      <c r="I14" s="812">
        <v>7</v>
      </c>
      <c r="J14" s="812">
        <v>2</v>
      </c>
      <c r="K14" s="524">
        <f t="shared" si="0"/>
        <v>3.9215686274509803E-2</v>
      </c>
      <c r="L14" s="525">
        <f t="shared" si="0"/>
        <v>2.4793388429752067E-2</v>
      </c>
      <c r="M14" s="525">
        <f t="shared" si="0"/>
        <v>3.111111111111111E-2</v>
      </c>
      <c r="N14" s="526">
        <f t="shared" si="0"/>
        <v>5.5555555555555552E-2</v>
      </c>
    </row>
    <row r="15" spans="1:14" x14ac:dyDescent="0.25">
      <c r="A15" s="11"/>
      <c r="B15">
        <v>41</v>
      </c>
      <c r="C15" s="812">
        <v>74</v>
      </c>
      <c r="D15" s="812">
        <v>145</v>
      </c>
      <c r="E15" s="812">
        <v>291</v>
      </c>
      <c r="F15" s="818">
        <v>46</v>
      </c>
      <c r="G15" s="812">
        <v>3</v>
      </c>
      <c r="H15" s="812">
        <v>5</v>
      </c>
      <c r="I15" s="812">
        <v>22</v>
      </c>
      <c r="J15" s="812">
        <v>6</v>
      </c>
      <c r="K15" s="524">
        <f t="shared" si="0"/>
        <v>4.0540540540540543E-2</v>
      </c>
      <c r="L15" s="525">
        <f t="shared" si="0"/>
        <v>3.4482758620689655E-2</v>
      </c>
      <c r="M15" s="525">
        <f t="shared" si="0"/>
        <v>7.560137457044673E-2</v>
      </c>
      <c r="N15" s="526">
        <f t="shared" si="0"/>
        <v>0.13043478260869565</v>
      </c>
    </row>
    <row r="16" spans="1:14" x14ac:dyDescent="0.25">
      <c r="B16">
        <v>42</v>
      </c>
      <c r="C16" s="812">
        <v>0</v>
      </c>
      <c r="D16" s="812">
        <v>59</v>
      </c>
      <c r="E16" s="812">
        <v>289</v>
      </c>
      <c r="F16" s="818">
        <v>26</v>
      </c>
      <c r="G16" s="812">
        <v>0</v>
      </c>
      <c r="H16" s="812">
        <v>1</v>
      </c>
      <c r="I16" s="812">
        <v>12</v>
      </c>
      <c r="J16" s="812">
        <v>1</v>
      </c>
      <c r="K16" s="524" t="str">
        <f t="shared" si="0"/>
        <v>na</v>
      </c>
      <c r="L16" s="525">
        <f t="shared" si="0"/>
        <v>1.6949152542372881E-2</v>
      </c>
      <c r="M16" s="525">
        <f t="shared" si="0"/>
        <v>4.1522491349480967E-2</v>
      </c>
      <c r="N16" s="526">
        <f t="shared" si="0"/>
        <v>3.8461538461538464E-2</v>
      </c>
    </row>
    <row r="17" spans="1:19" x14ac:dyDescent="0.25">
      <c r="B17">
        <v>43</v>
      </c>
      <c r="C17" s="812">
        <v>0</v>
      </c>
      <c r="D17" s="812">
        <v>9</v>
      </c>
      <c r="E17" s="812">
        <v>213</v>
      </c>
      <c r="F17" s="818">
        <v>115</v>
      </c>
      <c r="G17" s="812">
        <v>0</v>
      </c>
      <c r="H17" s="812">
        <v>0</v>
      </c>
      <c r="I17" s="812">
        <v>24</v>
      </c>
      <c r="J17" s="812">
        <v>1</v>
      </c>
      <c r="K17" s="524" t="str">
        <f t="shared" si="0"/>
        <v>na</v>
      </c>
      <c r="L17" s="525">
        <f t="shared" si="0"/>
        <v>0</v>
      </c>
      <c r="M17" s="525">
        <f t="shared" si="0"/>
        <v>0.11267605633802817</v>
      </c>
      <c r="N17" s="526">
        <f t="shared" si="0"/>
        <v>8.6956521739130436E-3</v>
      </c>
    </row>
    <row r="18" spans="1:19" x14ac:dyDescent="0.25">
      <c r="B18">
        <v>44</v>
      </c>
      <c r="C18" s="821">
        <v>11</v>
      </c>
      <c r="D18" s="817"/>
      <c r="E18" s="817"/>
      <c r="F18" s="818">
        <v>83</v>
      </c>
      <c r="G18" s="816">
        <v>3</v>
      </c>
      <c r="H18" s="817"/>
      <c r="I18" s="817"/>
      <c r="J18" s="816">
        <v>0</v>
      </c>
      <c r="K18" s="524">
        <f>IF(C18&gt;0,G18/C18,"na")</f>
        <v>0.27272727272727271</v>
      </c>
      <c r="L18" s="525" t="str">
        <f>IF(D18&gt;0,H18/D18,"na")</f>
        <v>na</v>
      </c>
      <c r="M18" s="525" t="str">
        <f>IF(E18&gt;0,I18/E18,"na")</f>
        <v>na</v>
      </c>
      <c r="N18" s="526">
        <f>IF(F18&gt;0,J18/F18,"na")</f>
        <v>0</v>
      </c>
    </row>
    <row r="19" spans="1:19" x14ac:dyDescent="0.25">
      <c r="B19">
        <v>45</v>
      </c>
      <c r="C19" s="822"/>
      <c r="D19" s="823"/>
      <c r="E19" s="823"/>
      <c r="F19" s="876"/>
      <c r="G19" s="817"/>
      <c r="H19" s="817"/>
      <c r="I19" s="817"/>
      <c r="J19" s="816"/>
      <c r="K19" s="412" t="str">
        <f t="shared" si="0"/>
        <v>na</v>
      </c>
      <c r="L19" s="229" t="str">
        <f t="shared" si="0"/>
        <v>na</v>
      </c>
      <c r="M19" s="229" t="str">
        <f t="shared" si="0"/>
        <v>na</v>
      </c>
      <c r="N19" s="413" t="str">
        <f t="shared" si="0"/>
        <v>na</v>
      </c>
    </row>
    <row r="20" spans="1:19" x14ac:dyDescent="0.25">
      <c r="B20" t="s">
        <v>184</v>
      </c>
      <c r="C20" s="286">
        <f t="shared" ref="C20:J20" si="1">SUM(C6:C19)</f>
        <v>2061</v>
      </c>
      <c r="D20" s="810">
        <f t="shared" si="1"/>
        <v>3937</v>
      </c>
      <c r="E20" s="810">
        <f t="shared" si="1"/>
        <v>3286</v>
      </c>
      <c r="F20" s="810">
        <f t="shared" si="1"/>
        <v>414</v>
      </c>
      <c r="G20" s="827">
        <f t="shared" si="1"/>
        <v>108</v>
      </c>
      <c r="H20" s="828">
        <f t="shared" si="1"/>
        <v>428</v>
      </c>
      <c r="I20" s="828">
        <f t="shared" si="1"/>
        <v>162</v>
      </c>
      <c r="J20" s="831">
        <f t="shared" si="1"/>
        <v>27</v>
      </c>
      <c r="K20" s="527">
        <f>IF(C20&gt;0,G20/C20,"na")</f>
        <v>5.2401746724890827E-2</v>
      </c>
      <c r="L20" s="528">
        <f>IF(D20&gt;0,H20/D20,"na")</f>
        <v>0.10871221742443485</v>
      </c>
      <c r="M20" s="528">
        <f>IF(E20&gt;0,I20/E20,"na")</f>
        <v>4.9300060864272674E-2</v>
      </c>
      <c r="N20" s="529">
        <f>IF(F20&gt;0,J20/F20,"na")</f>
        <v>6.5217391304347824E-2</v>
      </c>
    </row>
    <row r="21" spans="1:19" x14ac:dyDescent="0.25">
      <c r="C21" s="153"/>
      <c r="D21" s="153"/>
      <c r="E21" s="153"/>
      <c r="F21" s="153">
        <f>SUM(C20:F20)</f>
        <v>9698</v>
      </c>
      <c r="G21" s="153"/>
      <c r="H21" s="153"/>
      <c r="I21" s="153"/>
      <c r="J21" s="153">
        <f>SUM(G20:J20)</f>
        <v>725</v>
      </c>
      <c r="N21" s="530">
        <f>J21/F21</f>
        <v>7.4757681996287892E-2</v>
      </c>
    </row>
    <row r="23" spans="1:19" ht="13" x14ac:dyDescent="0.3">
      <c r="C23" s="2" t="s">
        <v>123</v>
      </c>
    </row>
    <row r="24" spans="1:19" x14ac:dyDescent="0.25">
      <c r="C24" s="900" t="s">
        <v>268</v>
      </c>
      <c r="D24" s="901"/>
      <c r="E24" s="901"/>
      <c r="F24" s="901"/>
      <c r="G24" s="902"/>
      <c r="H24" s="900" t="s">
        <v>269</v>
      </c>
      <c r="I24" s="901"/>
      <c r="J24" s="901"/>
      <c r="K24" s="901"/>
      <c r="L24" s="902"/>
      <c r="M24" s="900" t="s">
        <v>56</v>
      </c>
      <c r="N24" s="901"/>
      <c r="O24" s="901"/>
      <c r="P24" s="901"/>
      <c r="Q24" s="902"/>
      <c r="R24" s="417"/>
    </row>
    <row r="25" spans="1:19" x14ac:dyDescent="0.25">
      <c r="B25" t="s">
        <v>134</v>
      </c>
      <c r="C25" s="286">
        <v>1</v>
      </c>
      <c r="D25" s="810">
        <v>2</v>
      </c>
      <c r="E25" s="810">
        <v>3</v>
      </c>
      <c r="F25" s="810">
        <v>4</v>
      </c>
      <c r="G25" s="811">
        <v>5</v>
      </c>
      <c r="H25" s="286">
        <v>1</v>
      </c>
      <c r="I25" s="810">
        <v>2</v>
      </c>
      <c r="J25" s="810">
        <v>3</v>
      </c>
      <c r="K25" s="810">
        <v>4</v>
      </c>
      <c r="L25" s="811">
        <v>5</v>
      </c>
      <c r="M25" s="274">
        <v>1</v>
      </c>
      <c r="N25" s="42">
        <v>2</v>
      </c>
      <c r="O25" s="42">
        <v>3</v>
      </c>
      <c r="P25" s="42">
        <v>4</v>
      </c>
      <c r="Q25" s="134">
        <v>5</v>
      </c>
      <c r="R25" s="44" t="s">
        <v>282</v>
      </c>
      <c r="S25" t="s">
        <v>283</v>
      </c>
    </row>
    <row r="26" spans="1:19" ht="13" x14ac:dyDescent="0.3">
      <c r="A26" s="34">
        <f>'2019 Comm catch'!A26</f>
        <v>0</v>
      </c>
      <c r="B26">
        <v>32</v>
      </c>
      <c r="C26" s="825"/>
      <c r="D26" s="825"/>
      <c r="E26" s="825"/>
      <c r="F26" s="825"/>
      <c r="G26" s="814"/>
      <c r="H26" s="813"/>
      <c r="I26" s="813"/>
      <c r="J26" s="813"/>
      <c r="K26" s="813"/>
      <c r="L26" s="814"/>
      <c r="M26" s="3" t="str">
        <f t="shared" ref="M26:Q38" si="2">IF(C26&gt;0,H26/C26,"na")</f>
        <v>na</v>
      </c>
      <c r="N26" s="3" t="str">
        <f t="shared" si="2"/>
        <v>na</v>
      </c>
      <c r="O26" s="3" t="str">
        <f t="shared" si="2"/>
        <v>na</v>
      </c>
      <c r="P26" s="3" t="str">
        <f t="shared" si="2"/>
        <v>na</v>
      </c>
      <c r="Q26" s="407" t="str">
        <f t="shared" si="2"/>
        <v>na</v>
      </c>
      <c r="R26" s="525"/>
    </row>
    <row r="27" spans="1:19" ht="13" x14ac:dyDescent="0.3">
      <c r="A27" s="34" t="str">
        <f>'2019 Comm catch'!A27</f>
        <v>9-inch</v>
      </c>
      <c r="B27">
        <v>33</v>
      </c>
      <c r="C27" s="817"/>
      <c r="D27" s="817"/>
      <c r="E27" s="817"/>
      <c r="F27" s="853">
        <v>5</v>
      </c>
      <c r="G27" s="880">
        <v>1</v>
      </c>
      <c r="H27" s="813"/>
      <c r="I27" s="813"/>
      <c r="J27" s="813"/>
      <c r="K27" s="881">
        <v>2</v>
      </c>
      <c r="L27" s="880">
        <v>1</v>
      </c>
      <c r="M27" s="3" t="str">
        <f t="shared" si="2"/>
        <v>na</v>
      </c>
      <c r="N27" s="3" t="str">
        <f t="shared" si="2"/>
        <v>na</v>
      </c>
      <c r="O27" s="3" t="str">
        <f t="shared" si="2"/>
        <v>na</v>
      </c>
      <c r="P27" s="3">
        <f t="shared" si="2"/>
        <v>0.4</v>
      </c>
      <c r="Q27" s="409">
        <f t="shared" si="2"/>
        <v>1</v>
      </c>
      <c r="R27" s="525"/>
      <c r="S27" s="656">
        <f t="shared" ref="S27:S29" si="3">SUM(K27:L27)/SUM(F27:G27)</f>
        <v>0.5</v>
      </c>
    </row>
    <row r="28" spans="1:19" ht="13" x14ac:dyDescent="0.3">
      <c r="A28" s="34" t="str">
        <f>'2019 Comm catch'!A28</f>
        <v>9-inch</v>
      </c>
      <c r="B28">
        <v>34</v>
      </c>
      <c r="C28" s="817"/>
      <c r="D28" s="817"/>
      <c r="E28" s="817"/>
      <c r="F28" s="853">
        <v>14</v>
      </c>
      <c r="G28" s="880">
        <v>5</v>
      </c>
      <c r="H28" s="813"/>
      <c r="I28" s="813"/>
      <c r="J28" s="813"/>
      <c r="K28" s="881">
        <v>13</v>
      </c>
      <c r="L28" s="880">
        <v>4</v>
      </c>
      <c r="M28" s="3" t="str">
        <f t="shared" si="2"/>
        <v>na</v>
      </c>
      <c r="N28" s="3" t="str">
        <f t="shared" si="2"/>
        <v>na</v>
      </c>
      <c r="O28" s="3" t="str">
        <f t="shared" si="2"/>
        <v>na</v>
      </c>
      <c r="P28" s="3">
        <f t="shared" si="2"/>
        <v>0.9285714285714286</v>
      </c>
      <c r="Q28" s="409">
        <f t="shared" si="2"/>
        <v>0.8</v>
      </c>
      <c r="R28" s="525"/>
      <c r="S28" s="656">
        <f t="shared" si="3"/>
        <v>0.89473684210526316</v>
      </c>
    </row>
    <row r="29" spans="1:19" ht="13" x14ac:dyDescent="0.3">
      <c r="A29" s="34" t="str">
        <f>'2019 Comm catch'!A29</f>
        <v>9-inch</v>
      </c>
      <c r="B29">
        <v>35</v>
      </c>
      <c r="C29" s="817"/>
      <c r="D29" s="817"/>
      <c r="E29" s="817"/>
      <c r="F29" s="853">
        <v>26</v>
      </c>
      <c r="G29" s="880">
        <v>43</v>
      </c>
      <c r="H29" s="813"/>
      <c r="I29" s="813"/>
      <c r="J29" s="813"/>
      <c r="K29" s="881">
        <v>20</v>
      </c>
      <c r="L29" s="880">
        <v>24</v>
      </c>
      <c r="M29" s="3" t="str">
        <f t="shared" si="2"/>
        <v>na</v>
      </c>
      <c r="N29" s="3" t="str">
        <f t="shared" si="2"/>
        <v>na</v>
      </c>
      <c r="O29" s="3" t="str">
        <f t="shared" si="2"/>
        <v>na</v>
      </c>
      <c r="P29" s="3">
        <f t="shared" si="2"/>
        <v>0.76923076923076927</v>
      </c>
      <c r="Q29" s="409">
        <f t="shared" si="2"/>
        <v>0.55813953488372092</v>
      </c>
      <c r="R29" s="525"/>
      <c r="S29" s="656">
        <f t="shared" si="3"/>
        <v>0.6376811594202898</v>
      </c>
    </row>
    <row r="30" spans="1:19" ht="13" x14ac:dyDescent="0.3">
      <c r="A30" s="34">
        <f>'2019 Comm catch'!A30</f>
        <v>0</v>
      </c>
      <c r="B30">
        <v>36</v>
      </c>
      <c r="C30" s="817"/>
      <c r="D30" s="817"/>
      <c r="E30" s="817"/>
      <c r="F30" s="817"/>
      <c r="G30" s="815"/>
      <c r="H30" s="813"/>
      <c r="I30" s="813"/>
      <c r="J30" s="813"/>
      <c r="K30" s="813"/>
      <c r="L30" s="815"/>
      <c r="M30" s="3" t="str">
        <f t="shared" si="2"/>
        <v>na</v>
      </c>
      <c r="N30" s="3" t="str">
        <f t="shared" si="2"/>
        <v>na</v>
      </c>
      <c r="O30" s="3" t="str">
        <f t="shared" si="2"/>
        <v>na</v>
      </c>
      <c r="P30" s="3" t="str">
        <f t="shared" si="2"/>
        <v>na</v>
      </c>
      <c r="Q30" s="409" t="str">
        <f t="shared" si="2"/>
        <v>na</v>
      </c>
      <c r="R30" s="525"/>
      <c r="S30" s="656"/>
    </row>
    <row r="31" spans="1:19" ht="13" x14ac:dyDescent="0.3">
      <c r="A31" s="34">
        <f>'2019 Comm catch'!A31</f>
        <v>0</v>
      </c>
      <c r="B31">
        <v>37</v>
      </c>
      <c r="C31" s="817"/>
      <c r="D31" s="817"/>
      <c r="E31" s="817"/>
      <c r="F31" s="817"/>
      <c r="G31" s="815"/>
      <c r="H31" s="813"/>
      <c r="I31" s="813"/>
      <c r="J31" s="813"/>
      <c r="K31" s="813"/>
      <c r="L31" s="815"/>
      <c r="M31" s="3" t="str">
        <f t="shared" si="2"/>
        <v>na</v>
      </c>
      <c r="N31" s="3" t="str">
        <f t="shared" si="2"/>
        <v>na</v>
      </c>
      <c r="O31" s="3" t="str">
        <f t="shared" si="2"/>
        <v>na</v>
      </c>
      <c r="P31" s="3" t="str">
        <f t="shared" si="2"/>
        <v>na</v>
      </c>
      <c r="Q31" s="409" t="str">
        <f t="shared" si="2"/>
        <v>na</v>
      </c>
      <c r="R31" s="525"/>
    </row>
    <row r="32" spans="1:19" ht="13" x14ac:dyDescent="0.3">
      <c r="A32" s="34">
        <f>'2019 Comm catch'!A32</f>
        <v>0</v>
      </c>
      <c r="B32">
        <v>38</v>
      </c>
      <c r="C32" s="817"/>
      <c r="D32" s="817"/>
      <c r="E32" s="817"/>
      <c r="F32" s="817"/>
      <c r="G32" s="815"/>
      <c r="H32" s="813"/>
      <c r="I32" s="813"/>
      <c r="J32" s="813"/>
      <c r="K32" s="813"/>
      <c r="L32" s="815"/>
      <c r="M32" s="3" t="str">
        <f t="shared" si="2"/>
        <v>na</v>
      </c>
      <c r="N32" s="3" t="str">
        <f t="shared" si="2"/>
        <v>na</v>
      </c>
      <c r="O32" s="3" t="str">
        <f t="shared" si="2"/>
        <v>na</v>
      </c>
      <c r="P32" s="3" t="str">
        <f t="shared" si="2"/>
        <v>na</v>
      </c>
      <c r="Q32" s="409" t="str">
        <f t="shared" si="2"/>
        <v>na</v>
      </c>
      <c r="R32" s="525"/>
      <c r="S32" s="656"/>
    </row>
    <row r="33" spans="1:19" ht="13" x14ac:dyDescent="0.3">
      <c r="A33" s="34">
        <f>'2019 Comm catch'!A33</f>
        <v>0</v>
      </c>
      <c r="B33">
        <v>39</v>
      </c>
      <c r="C33" s="817"/>
      <c r="D33" s="817"/>
      <c r="E33" s="817"/>
      <c r="F33" s="817"/>
      <c r="G33" s="817"/>
      <c r="H33" s="826"/>
      <c r="I33" s="813"/>
      <c r="J33" s="813"/>
      <c r="K33" s="813"/>
      <c r="L33" s="815"/>
      <c r="M33" s="3" t="str">
        <f t="shared" si="2"/>
        <v>na</v>
      </c>
      <c r="N33" s="3" t="str">
        <f t="shared" si="2"/>
        <v>na</v>
      </c>
      <c r="O33" s="3" t="str">
        <f t="shared" si="2"/>
        <v>na</v>
      </c>
      <c r="P33" s="3" t="str">
        <f t="shared" si="2"/>
        <v>na</v>
      </c>
      <c r="Q33" s="409" t="str">
        <f t="shared" si="2"/>
        <v>na</v>
      </c>
      <c r="R33" s="525"/>
      <c r="S33" s="656"/>
    </row>
    <row r="34" spans="1:19" ht="13" x14ac:dyDescent="0.3">
      <c r="A34" s="34" t="str">
        <f>'2019 Comm catch'!A34</f>
        <v>1-3=tangle</v>
      </c>
      <c r="B34" s="32">
        <v>40</v>
      </c>
      <c r="C34" s="853">
        <v>33</v>
      </c>
      <c r="D34" s="853">
        <v>85</v>
      </c>
      <c r="E34" s="853">
        <v>230</v>
      </c>
      <c r="F34" s="817"/>
      <c r="G34" s="815"/>
      <c r="H34" s="881">
        <v>0</v>
      </c>
      <c r="I34" s="881">
        <v>0</v>
      </c>
      <c r="J34" s="881">
        <v>0</v>
      </c>
      <c r="K34" s="813"/>
      <c r="L34" s="815"/>
      <c r="M34" s="3">
        <f>IF(C34&gt;0,H34/C34,"na")</f>
        <v>0</v>
      </c>
      <c r="N34" s="3">
        <f>IF(D34&gt;0,I34/D34,"na")</f>
        <v>0</v>
      </c>
      <c r="O34" s="3">
        <f>IF(E34&gt;0,J34/E34,"na")</f>
        <v>0</v>
      </c>
      <c r="P34" s="3" t="str">
        <f>IF(F34&gt;0,K34/F34,"na")</f>
        <v>na</v>
      </c>
      <c r="Q34" s="409" t="str">
        <f>IF(G34&gt;0,L34/G34,"na")</f>
        <v>na</v>
      </c>
      <c r="R34" s="525"/>
      <c r="S34" s="656"/>
    </row>
    <row r="35" spans="1:19" ht="13" x14ac:dyDescent="0.3">
      <c r="A35" s="34" t="str">
        <f>'2019 Comm catch'!A35</f>
        <v>1-3=tangle, 4-5=8-inch</v>
      </c>
      <c r="B35" s="32">
        <v>41</v>
      </c>
      <c r="C35" s="853">
        <v>0</v>
      </c>
      <c r="D35" s="853">
        <v>234</v>
      </c>
      <c r="E35" s="853">
        <v>103</v>
      </c>
      <c r="F35" s="853">
        <v>6</v>
      </c>
      <c r="G35" s="880">
        <v>5</v>
      </c>
      <c r="H35" s="881">
        <v>0</v>
      </c>
      <c r="I35" s="881">
        <v>1</v>
      </c>
      <c r="J35" s="881">
        <v>0</v>
      </c>
      <c r="K35" s="881">
        <v>0</v>
      </c>
      <c r="L35" s="880">
        <v>0</v>
      </c>
      <c r="M35" s="3" t="str">
        <f t="shared" si="2"/>
        <v>na</v>
      </c>
      <c r="N35" s="3">
        <f t="shared" si="2"/>
        <v>4.2735042735042739E-3</v>
      </c>
      <c r="O35" s="3">
        <f t="shared" si="2"/>
        <v>0</v>
      </c>
      <c r="P35" s="3">
        <f t="shared" si="2"/>
        <v>0</v>
      </c>
      <c r="Q35" s="409">
        <f t="shared" si="2"/>
        <v>0</v>
      </c>
      <c r="R35" s="525"/>
      <c r="S35" s="656"/>
    </row>
    <row r="36" spans="1:19" ht="13" x14ac:dyDescent="0.3">
      <c r="A36" s="34" t="str">
        <f>'2019 Comm catch'!A36</f>
        <v>1-3=tangle</v>
      </c>
      <c r="B36" s="32">
        <v>42</v>
      </c>
      <c r="C36" s="853">
        <v>0</v>
      </c>
      <c r="D36" s="853">
        <v>237</v>
      </c>
      <c r="E36" s="853">
        <v>77</v>
      </c>
      <c r="F36" s="878"/>
      <c r="G36" s="878"/>
      <c r="H36" s="882">
        <v>0</v>
      </c>
      <c r="I36" s="881">
        <v>0</v>
      </c>
      <c r="J36" s="881">
        <v>0</v>
      </c>
      <c r="K36" s="819"/>
      <c r="L36" s="820"/>
      <c r="M36" s="3">
        <f>N36</f>
        <v>0</v>
      </c>
      <c r="N36" s="3">
        <f t="shared" si="2"/>
        <v>0</v>
      </c>
      <c r="O36" s="3">
        <f t="shared" si="2"/>
        <v>0</v>
      </c>
      <c r="P36" s="3" t="str">
        <f t="shared" si="2"/>
        <v>na</v>
      </c>
      <c r="Q36" s="409" t="str">
        <f t="shared" si="2"/>
        <v>na</v>
      </c>
      <c r="R36" s="525"/>
      <c r="S36" s="656"/>
    </row>
    <row r="37" spans="1:19" ht="13" x14ac:dyDescent="0.3">
      <c r="A37" s="34" t="str">
        <f>'2019 Comm catch'!A37</f>
        <v>1-3=tangle</v>
      </c>
      <c r="B37">
        <v>43</v>
      </c>
      <c r="C37" s="853">
        <v>0</v>
      </c>
      <c r="D37" s="853">
        <v>177</v>
      </c>
      <c r="E37" s="853">
        <v>12</v>
      </c>
      <c r="F37" s="817"/>
      <c r="G37" s="815"/>
      <c r="H37" s="881">
        <v>0</v>
      </c>
      <c r="I37" s="881">
        <v>0</v>
      </c>
      <c r="J37" s="881">
        <v>0</v>
      </c>
      <c r="K37" s="813"/>
      <c r="L37" s="815"/>
      <c r="M37" s="3" t="str">
        <f>IF(C37&gt;0,H37/C37,"na")</f>
        <v>na</v>
      </c>
      <c r="N37" s="3">
        <f t="shared" si="2"/>
        <v>0</v>
      </c>
      <c r="O37" s="3">
        <f t="shared" si="2"/>
        <v>0</v>
      </c>
      <c r="P37" s="3" t="str">
        <f t="shared" si="2"/>
        <v>na</v>
      </c>
      <c r="Q37" s="409" t="str">
        <f t="shared" si="2"/>
        <v>na</v>
      </c>
      <c r="R37" s="525"/>
      <c r="S37" s="656"/>
    </row>
    <row r="38" spans="1:19" ht="13" x14ac:dyDescent="0.3">
      <c r="A38" s="34">
        <f>'2019 Comm catch'!A38</f>
        <v>0</v>
      </c>
      <c r="B38">
        <v>44</v>
      </c>
      <c r="C38" s="817"/>
      <c r="D38" s="817"/>
      <c r="E38" s="817"/>
      <c r="F38" s="817"/>
      <c r="G38" s="815"/>
      <c r="H38" s="813"/>
      <c r="I38" s="813"/>
      <c r="J38" s="813"/>
      <c r="K38" s="813"/>
      <c r="L38" s="815"/>
      <c r="M38" s="3" t="str">
        <f>IF(C38&gt;0,H38/C38,"na")</f>
        <v>na</v>
      </c>
      <c r="N38" s="3" t="str">
        <f>IF(D38&gt;0,I38/D38,"na")</f>
        <v>na</v>
      </c>
      <c r="O38" s="3" t="str">
        <f t="shared" si="2"/>
        <v>na</v>
      </c>
      <c r="P38" s="3" t="str">
        <f t="shared" si="2"/>
        <v>na</v>
      </c>
      <c r="Q38" s="409" t="str">
        <f t="shared" si="2"/>
        <v>na</v>
      </c>
      <c r="R38" s="525"/>
      <c r="S38" s="656"/>
    </row>
    <row r="39" spans="1:19" x14ac:dyDescent="0.25">
      <c r="A39">
        <f>'2019 Comm catch'!A39</f>
        <v>0</v>
      </c>
      <c r="B39">
        <v>45</v>
      </c>
      <c r="C39" s="823"/>
      <c r="D39" s="823"/>
      <c r="E39" s="823"/>
      <c r="F39" s="823"/>
      <c r="G39" s="824"/>
      <c r="H39" s="813"/>
      <c r="I39" s="813"/>
      <c r="J39" s="813"/>
      <c r="K39" s="813"/>
      <c r="L39" s="815"/>
      <c r="M39" s="3" t="str">
        <f>IF(C39&gt;0,H39/C39,"na")</f>
        <v>na</v>
      </c>
      <c r="N39" s="3" t="str">
        <f t="shared" ref="N39:P40" si="4">IF(D39&gt;0,I39/D39,"na")</f>
        <v>na</v>
      </c>
      <c r="O39" s="3" t="str">
        <f t="shared" si="4"/>
        <v>na</v>
      </c>
      <c r="P39" s="3" t="str">
        <f t="shared" si="4"/>
        <v>na</v>
      </c>
      <c r="Q39" s="409" t="str">
        <f>IF(G39&gt;0,L39/G39,"na")</f>
        <v>na</v>
      </c>
      <c r="R39" s="402"/>
    </row>
    <row r="40" spans="1:19" x14ac:dyDescent="0.25">
      <c r="B40" t="s">
        <v>184</v>
      </c>
      <c r="C40" s="827">
        <f>SUM(C26:C39)</f>
        <v>33</v>
      </c>
      <c r="D40" s="828">
        <f t="shared" ref="D40:L40" si="5">SUM(D26:D39)</f>
        <v>733</v>
      </c>
      <c r="E40" s="828">
        <f t="shared" si="5"/>
        <v>422</v>
      </c>
      <c r="F40" s="828">
        <f t="shared" si="5"/>
        <v>51</v>
      </c>
      <c r="G40" s="829">
        <f t="shared" si="5"/>
        <v>54</v>
      </c>
      <c r="H40" s="827">
        <f t="shared" si="5"/>
        <v>0</v>
      </c>
      <c r="I40" s="828">
        <f t="shared" si="5"/>
        <v>1</v>
      </c>
      <c r="J40" s="828">
        <f t="shared" si="5"/>
        <v>0</v>
      </c>
      <c r="K40" s="828">
        <f t="shared" si="5"/>
        <v>35</v>
      </c>
      <c r="L40" s="830">
        <f t="shared" si="5"/>
        <v>29</v>
      </c>
      <c r="M40" s="223">
        <f>IF(C40&gt;0,H40/C40,"na")</f>
        <v>0</v>
      </c>
      <c r="N40" s="528">
        <f t="shared" si="4"/>
        <v>1.364256480218281E-3</v>
      </c>
      <c r="O40" s="528">
        <f t="shared" si="4"/>
        <v>0</v>
      </c>
      <c r="P40" s="528">
        <f t="shared" si="4"/>
        <v>0.68627450980392157</v>
      </c>
      <c r="Q40" s="529">
        <f>IF(G40&gt;0,L40/G40,"na")</f>
        <v>0.53703703703703709</v>
      </c>
      <c r="R40" s="525"/>
    </row>
    <row r="41" spans="1:19" x14ac:dyDescent="0.25">
      <c r="C41" s="44"/>
      <c r="D41" s="44"/>
      <c r="E41" s="44"/>
      <c r="F41" s="44"/>
      <c r="G41" s="44"/>
      <c r="H41" s="44"/>
      <c r="I41" s="44"/>
      <c r="J41" s="44"/>
      <c r="K41" s="44"/>
      <c r="L41" s="44"/>
      <c r="M41" s="44"/>
      <c r="N41" s="44"/>
      <c r="O41" s="44"/>
      <c r="P41" s="44"/>
      <c r="Q41" s="531"/>
      <c r="R41" s="531"/>
    </row>
  </sheetData>
  <mergeCells count="6">
    <mergeCell ref="C3:F3"/>
    <mergeCell ref="G3:J3"/>
    <mergeCell ref="K3:N3"/>
    <mergeCell ref="C24:G24"/>
    <mergeCell ref="H24:L24"/>
    <mergeCell ref="M24:Q24"/>
  </mergeCells>
  <pageMargins left="0.75" right="0.75" top="1" bottom="1" header="0.5" footer="0.5"/>
  <pageSetup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64</vt:i4>
      </vt:variant>
      <vt:variant>
        <vt:lpstr>Named Ranges</vt:lpstr>
      </vt:variant>
      <vt:variant>
        <vt:i4>7</vt:i4>
      </vt:variant>
    </vt:vector>
  </HeadingPairs>
  <TitlesOfParts>
    <vt:vector size="71" baseType="lpstr">
      <vt:lpstr>Mean Unmarked Rates</vt:lpstr>
      <vt:lpstr>sampling pivot</vt:lpstr>
      <vt:lpstr>2022 comm sample</vt:lpstr>
      <vt:lpstr>2022 Comm catch</vt:lpstr>
      <vt:lpstr>2021 comm sample</vt:lpstr>
      <vt:lpstr>2021 Comm catch</vt:lpstr>
      <vt:lpstr>2020 comm sample</vt:lpstr>
      <vt:lpstr>2020 Comm catch</vt:lpstr>
      <vt:lpstr>2019 comm sample</vt:lpstr>
      <vt:lpstr>2019 Comm catch</vt:lpstr>
      <vt:lpstr>2018 comm sample</vt:lpstr>
      <vt:lpstr>2018 Comm catch</vt:lpstr>
      <vt:lpstr>2017 comm sample</vt:lpstr>
      <vt:lpstr>2017 Comm catch</vt:lpstr>
      <vt:lpstr>2016 comm sample</vt:lpstr>
      <vt:lpstr>2016 Comm catch</vt:lpstr>
      <vt:lpstr>2015 comm sample</vt:lpstr>
      <vt:lpstr>2015 Comm catch</vt:lpstr>
      <vt:lpstr>2014 comm sample</vt:lpstr>
      <vt:lpstr>2014 Comm catch</vt:lpstr>
      <vt:lpstr>2013 Comm catch</vt:lpstr>
      <vt:lpstr>2013 comm sample</vt:lpstr>
      <vt:lpstr>2012 Comm catch</vt:lpstr>
      <vt:lpstr>2012 comm sample</vt:lpstr>
      <vt:lpstr>2011 Comm catch</vt:lpstr>
      <vt:lpstr>2011 comm sample</vt:lpstr>
      <vt:lpstr>2011 Summary</vt:lpstr>
      <vt:lpstr>2010 Comm catch</vt:lpstr>
      <vt:lpstr>2010 comm sample</vt:lpstr>
      <vt:lpstr>2010 Summary</vt:lpstr>
      <vt:lpstr>Catch Summary by week and zone</vt:lpstr>
      <vt:lpstr>Sports</vt:lpstr>
      <vt:lpstr>Escapement</vt:lpstr>
      <vt:lpstr>Catch summary</vt:lpstr>
      <vt:lpstr>2000 catch</vt:lpstr>
      <vt:lpstr>2000 sampling</vt:lpstr>
      <vt:lpstr>2001 catch</vt:lpstr>
      <vt:lpstr>2001 sampling</vt:lpstr>
      <vt:lpstr>2002 catch</vt:lpstr>
      <vt:lpstr>2002 sampling</vt:lpstr>
      <vt:lpstr>2003 catch</vt:lpstr>
      <vt:lpstr>2003 sampling</vt:lpstr>
      <vt:lpstr>2004 Catch</vt:lpstr>
      <vt:lpstr>2004 sampling</vt:lpstr>
      <vt:lpstr>2005 catch</vt:lpstr>
      <vt:lpstr>2005 sampling</vt:lpstr>
      <vt:lpstr>2006 Catch</vt:lpstr>
      <vt:lpstr>2006 Sampling</vt:lpstr>
      <vt:lpstr>2007 B10 and MS Rec</vt:lpstr>
      <vt:lpstr>2007 Comm Catch</vt:lpstr>
      <vt:lpstr>2007 Comm Sampling</vt:lpstr>
      <vt:lpstr>2007 summary</vt:lpstr>
      <vt:lpstr>2008 Sport</vt:lpstr>
      <vt:lpstr>2008 new catch form</vt:lpstr>
      <vt:lpstr>2008 new sample form</vt:lpstr>
      <vt:lpstr>2008 Summary</vt:lpstr>
      <vt:lpstr>samples as a % catch</vt:lpstr>
      <vt:lpstr>SAF samples % catch</vt:lpstr>
      <vt:lpstr>2008 Comm Catch</vt:lpstr>
      <vt:lpstr>2008 Comm Sample</vt:lpstr>
      <vt:lpstr>2009 Summary</vt:lpstr>
      <vt:lpstr>2009 comm sample</vt:lpstr>
      <vt:lpstr>2009 Comm catch</vt:lpstr>
      <vt:lpstr>2009 Sport</vt:lpstr>
      <vt:lpstr>'2000 catch'!Print_Area</vt:lpstr>
      <vt:lpstr>'2001 catch'!Print_Area</vt:lpstr>
      <vt:lpstr>'2002 catch'!Print_Area</vt:lpstr>
      <vt:lpstr>'2003 catch'!Print_Area</vt:lpstr>
      <vt:lpstr>'2004 Catch'!Print_Area</vt:lpstr>
      <vt:lpstr>'2005 catch'!Print_Area</vt:lpstr>
      <vt:lpstr>Sports!Print_Area</vt:lpstr>
    </vt:vector>
  </TitlesOfParts>
  <Company>ODFW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Clackamas Office</dc:creator>
  <cp:lastModifiedBy>Sippel, Timothy (Portland, Oregon)</cp:lastModifiedBy>
  <cp:lastPrinted>2022-10-04T17:57:20Z</cp:lastPrinted>
  <dcterms:created xsi:type="dcterms:W3CDTF">2005-02-08T23:02:59Z</dcterms:created>
  <dcterms:modified xsi:type="dcterms:W3CDTF">2023-02-24T23:00:59Z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