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EROKEE\Research\Thushan 2017 Summer\"/>
    </mc:Choice>
  </mc:AlternateContent>
  <bookViews>
    <workbookView xWindow="0" yWindow="0" windowWidth="24000" windowHeight="9510"/>
  </bookViews>
  <sheets>
    <sheet name="curve1" sheetId="4" r:id="rId1"/>
    <sheet name="analytics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4" l="1"/>
  <c r="D39" i="4"/>
  <c r="E19" i="4"/>
  <c r="E20" i="4"/>
  <c r="E21" i="4"/>
  <c r="E22" i="4"/>
  <c r="E23" i="4"/>
  <c r="E24" i="4"/>
  <c r="E25" i="4"/>
  <c r="E26" i="4"/>
  <c r="E27" i="4"/>
  <c r="E28" i="4"/>
  <c r="E29" i="4"/>
  <c r="E30" i="4"/>
  <c r="D6" i="4"/>
  <c r="E11" i="4"/>
  <c r="D11" i="4"/>
  <c r="R11" i="4" l="1"/>
  <c r="F11" i="4"/>
  <c r="G11" i="4"/>
  <c r="I11" i="4"/>
  <c r="K35" i="4"/>
  <c r="J5" i="4"/>
  <c r="U19" i="4"/>
  <c r="D13" i="4"/>
  <c r="D12" i="4"/>
  <c r="A58" i="5" l="1"/>
  <c r="A46" i="5"/>
  <c r="A44" i="5"/>
  <c r="A49" i="5"/>
  <c r="A48" i="5"/>
  <c r="A47" i="5"/>
  <c r="A45" i="5"/>
  <c r="A53" i="5" l="1"/>
  <c r="A52" i="5"/>
  <c r="A51" i="5"/>
  <c r="A50" i="5"/>
  <c r="A54" i="5"/>
  <c r="A56" i="5" s="1"/>
  <c r="E7" i="4" l="1"/>
  <c r="E6" i="4"/>
  <c r="K11" i="4" l="1"/>
  <c r="L11" i="4" s="1"/>
  <c r="M11" i="4" s="1"/>
  <c r="N11" i="4" l="1"/>
  <c r="O11" i="4"/>
  <c r="P11" i="4" l="1"/>
  <c r="U11" i="4" l="1"/>
  <c r="V11" i="4" s="1"/>
  <c r="Q11" i="4"/>
  <c r="K30" i="4" l="1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M13" i="4" s="1"/>
  <c r="K12" i="4"/>
  <c r="L12" i="4" s="1"/>
  <c r="M12" i="4" s="1"/>
  <c r="N12" i="4" s="1"/>
  <c r="D30" i="4"/>
  <c r="F30" i="4" s="1"/>
  <c r="D29" i="4"/>
  <c r="F29" i="4" s="1"/>
  <c r="D28" i="4"/>
  <c r="R28" i="4" s="1"/>
  <c r="S28" i="4" s="1"/>
  <c r="T28" i="4" s="1"/>
  <c r="D27" i="4"/>
  <c r="F27" i="4" s="1"/>
  <c r="D26" i="4"/>
  <c r="F26" i="4" s="1"/>
  <c r="D25" i="4"/>
  <c r="R25" i="4" s="1"/>
  <c r="S25" i="4" s="1"/>
  <c r="T25" i="4" s="1"/>
  <c r="D24" i="4"/>
  <c r="F24" i="4" s="1"/>
  <c r="D23" i="4"/>
  <c r="F23" i="4" s="1"/>
  <c r="D22" i="4"/>
  <c r="F22" i="4" s="1"/>
  <c r="D21" i="4"/>
  <c r="F21" i="4" s="1"/>
  <c r="D20" i="4"/>
  <c r="R20" i="4" s="1"/>
  <c r="S20" i="4" s="1"/>
  <c r="T20" i="4" s="1"/>
  <c r="D19" i="4"/>
  <c r="F19" i="4" s="1"/>
  <c r="D18" i="4"/>
  <c r="E18" i="4" s="1"/>
  <c r="F18" i="4" s="1"/>
  <c r="D17" i="4"/>
  <c r="R17" i="4" s="1"/>
  <c r="S17" i="4" s="1"/>
  <c r="T17" i="4" s="1"/>
  <c r="D16" i="4"/>
  <c r="R16" i="4" s="1"/>
  <c r="S16" i="4" s="1"/>
  <c r="T16" i="4" s="1"/>
  <c r="D15" i="4"/>
  <c r="E15" i="4" s="1"/>
  <c r="F15" i="4" s="1"/>
  <c r="D14" i="4"/>
  <c r="E14" i="4" s="1"/>
  <c r="F14" i="4" s="1"/>
  <c r="E13" i="4"/>
  <c r="F13" i="4" s="1"/>
  <c r="R12" i="4"/>
  <c r="S12" i="4" s="1"/>
  <c r="T12" i="4" s="1"/>
  <c r="D32" i="4" l="1"/>
  <c r="D34" i="4" s="1"/>
  <c r="D35" i="4" s="1"/>
  <c r="N13" i="4"/>
  <c r="O13" i="4"/>
  <c r="S11" i="4"/>
  <c r="T11" i="4" s="1"/>
  <c r="E16" i="4"/>
  <c r="F16" i="4" s="1"/>
  <c r="H16" i="4" s="1"/>
  <c r="O12" i="4"/>
  <c r="P12" i="4" s="1"/>
  <c r="R24" i="4"/>
  <c r="S24" i="4" s="1"/>
  <c r="T24" i="4" s="1"/>
  <c r="R13" i="4"/>
  <c r="S13" i="4" s="1"/>
  <c r="T13" i="4" s="1"/>
  <c r="R21" i="4"/>
  <c r="S21" i="4" s="1"/>
  <c r="T21" i="4" s="1"/>
  <c r="R29" i="4"/>
  <c r="S29" i="4" s="1"/>
  <c r="T29" i="4" s="1"/>
  <c r="R15" i="4"/>
  <c r="S15" i="4" s="1"/>
  <c r="T15" i="4" s="1"/>
  <c r="R19" i="4"/>
  <c r="S19" i="4" s="1"/>
  <c r="T19" i="4" s="1"/>
  <c r="R23" i="4"/>
  <c r="S23" i="4" s="1"/>
  <c r="T23" i="4" s="1"/>
  <c r="R27" i="4"/>
  <c r="S27" i="4" s="1"/>
  <c r="T27" i="4" s="1"/>
  <c r="R14" i="4"/>
  <c r="S14" i="4" s="1"/>
  <c r="T14" i="4" s="1"/>
  <c r="R18" i="4"/>
  <c r="S18" i="4" s="1"/>
  <c r="T18" i="4" s="1"/>
  <c r="R22" i="4"/>
  <c r="S22" i="4" s="1"/>
  <c r="T22" i="4" s="1"/>
  <c r="R26" i="4"/>
  <c r="S26" i="4" s="1"/>
  <c r="T26" i="4" s="1"/>
  <c r="R30" i="4"/>
  <c r="S30" i="4" s="1"/>
  <c r="T30" i="4" s="1"/>
  <c r="E17" i="4"/>
  <c r="F17" i="4" s="1"/>
  <c r="H17" i="4" s="1"/>
  <c r="F25" i="4"/>
  <c r="H25" i="4" s="1"/>
  <c r="E12" i="4"/>
  <c r="F12" i="4" s="1"/>
  <c r="H12" i="4" s="1"/>
  <c r="F20" i="4"/>
  <c r="H20" i="4" s="1"/>
  <c r="F28" i="4"/>
  <c r="G28" i="4" s="1"/>
  <c r="H15" i="4"/>
  <c r="G15" i="4"/>
  <c r="H19" i="4"/>
  <c r="G19" i="4"/>
  <c r="H23" i="4"/>
  <c r="G23" i="4"/>
  <c r="H27" i="4"/>
  <c r="G27" i="4"/>
  <c r="H24" i="4"/>
  <c r="G24" i="4"/>
  <c r="H13" i="4"/>
  <c r="G13" i="4"/>
  <c r="H21" i="4"/>
  <c r="G21" i="4"/>
  <c r="H29" i="4"/>
  <c r="G29" i="4"/>
  <c r="H14" i="4"/>
  <c r="G14" i="4"/>
  <c r="H18" i="4"/>
  <c r="G18" i="4"/>
  <c r="H22" i="4"/>
  <c r="G22" i="4"/>
  <c r="H26" i="4"/>
  <c r="G26" i="4"/>
  <c r="G30" i="4"/>
  <c r="H30" i="4"/>
  <c r="G20" i="4" l="1"/>
  <c r="I20" i="4" s="1"/>
  <c r="J20" i="4" s="1"/>
  <c r="G16" i="4"/>
  <c r="G25" i="4"/>
  <c r="I25" i="4" s="1"/>
  <c r="J25" i="4" s="1"/>
  <c r="U12" i="4"/>
  <c r="V12" i="4" s="1"/>
  <c r="Q12" i="4"/>
  <c r="H11" i="4"/>
  <c r="P13" i="4"/>
  <c r="H28" i="4"/>
  <c r="I28" i="4" s="1"/>
  <c r="J28" i="4" s="1"/>
  <c r="G17" i="4"/>
  <c r="I17" i="4" s="1"/>
  <c r="J17" i="4" s="1"/>
  <c r="G12" i="4"/>
  <c r="I12" i="4" s="1"/>
  <c r="J12" i="4" s="1"/>
  <c r="F32" i="4"/>
  <c r="I30" i="4"/>
  <c r="J30" i="4" s="1"/>
  <c r="I26" i="4"/>
  <c r="J26" i="4" s="1"/>
  <c r="I18" i="4"/>
  <c r="J18" i="4" s="1"/>
  <c r="I29" i="4"/>
  <c r="J29" i="4" s="1"/>
  <c r="I21" i="4"/>
  <c r="J21" i="4" s="1"/>
  <c r="I23" i="4"/>
  <c r="J23" i="4" s="1"/>
  <c r="I15" i="4"/>
  <c r="J15" i="4" s="1"/>
  <c r="I22" i="4"/>
  <c r="J22" i="4" s="1"/>
  <c r="I14" i="4"/>
  <c r="J14" i="4" s="1"/>
  <c r="I13" i="4"/>
  <c r="J13" i="4" s="1"/>
  <c r="I24" i="4"/>
  <c r="J24" i="4" s="1"/>
  <c r="I16" i="4"/>
  <c r="J16" i="4" s="1"/>
  <c r="I27" i="4"/>
  <c r="J27" i="4" s="1"/>
  <c r="I19" i="4"/>
  <c r="J19" i="4" s="1"/>
  <c r="H32" i="4" l="1"/>
  <c r="J11" i="4"/>
  <c r="J32" i="4" s="1"/>
  <c r="Q13" i="4"/>
  <c r="U13" i="4"/>
  <c r="V13" i="4" s="1"/>
  <c r="G32" i="4"/>
  <c r="I32" i="4" l="1"/>
  <c r="J19" i="5" l="1"/>
  <c r="I19" i="5"/>
  <c r="I18" i="5"/>
  <c r="J18" i="5" s="1"/>
  <c r="I16" i="5"/>
  <c r="J16" i="5" s="1"/>
  <c r="I15" i="5"/>
  <c r="J15" i="5" s="1"/>
  <c r="I11" i="5"/>
  <c r="J11" i="5" s="1"/>
  <c r="I10" i="5"/>
  <c r="J10" i="5" s="1"/>
  <c r="I8" i="5"/>
  <c r="J8" i="5" s="1"/>
  <c r="I7" i="5"/>
  <c r="J7" i="5" s="1"/>
  <c r="K11" i="5" l="1"/>
  <c r="L11" i="5" s="1"/>
  <c r="M11" i="5" s="1"/>
  <c r="K10" i="5"/>
  <c r="L10" i="5" s="1"/>
  <c r="K18" i="5"/>
  <c r="L18" i="5" s="1"/>
  <c r="K19" i="5"/>
  <c r="L19" i="5" s="1"/>
  <c r="D7" i="4"/>
  <c r="D3" i="4"/>
  <c r="S32" i="4" l="1"/>
  <c r="T32" i="4"/>
  <c r="R32" i="4" l="1"/>
  <c r="M16" i="4" l="1"/>
  <c r="M19" i="4"/>
  <c r="M23" i="4"/>
  <c r="M25" i="4"/>
  <c r="M26" i="4"/>
  <c r="M24" i="4"/>
  <c r="M17" i="4"/>
  <c r="M29" i="4"/>
  <c r="M18" i="4"/>
  <c r="M14" i="4"/>
  <c r="M22" i="4"/>
  <c r="M27" i="4"/>
  <c r="M15" i="4"/>
  <c r="M28" i="4"/>
  <c r="M20" i="4"/>
  <c r="M21" i="4"/>
  <c r="M30" i="4"/>
  <c r="K32" i="4"/>
  <c r="K34" i="4" s="1"/>
  <c r="N34" i="4" l="1"/>
  <c r="N17" i="4"/>
  <c r="O17" i="4"/>
  <c r="O30" i="4"/>
  <c r="N30" i="4"/>
  <c r="N14" i="4"/>
  <c r="O14" i="4"/>
  <c r="N20" i="4"/>
  <c r="O20" i="4"/>
  <c r="O22" i="4"/>
  <c r="N22" i="4"/>
  <c r="N29" i="4"/>
  <c r="O29" i="4"/>
  <c r="N25" i="4"/>
  <c r="O25" i="4"/>
  <c r="N19" i="4"/>
  <c r="O19" i="4"/>
  <c r="N28" i="4"/>
  <c r="O28" i="4"/>
  <c r="O23" i="4"/>
  <c r="N23" i="4"/>
  <c r="N15" i="4"/>
  <c r="O15" i="4"/>
  <c r="N24" i="4"/>
  <c r="O24" i="4"/>
  <c r="N21" i="4"/>
  <c r="O21" i="4"/>
  <c r="N27" i="4"/>
  <c r="O27" i="4"/>
  <c r="O18" i="4"/>
  <c r="N18" i="4"/>
  <c r="O26" i="4"/>
  <c r="N26" i="4"/>
  <c r="N16" i="4"/>
  <c r="O16" i="4"/>
  <c r="M32" i="4"/>
  <c r="L32" i="4"/>
  <c r="P21" i="4" l="1"/>
  <c r="P23" i="4"/>
  <c r="Q23" i="4" s="1"/>
  <c r="P16" i="4"/>
  <c r="U16" i="4" s="1"/>
  <c r="V16" i="4" s="1"/>
  <c r="P26" i="4"/>
  <c r="U26" i="4" s="1"/>
  <c r="V26" i="4" s="1"/>
  <c r="P24" i="4"/>
  <c r="U24" i="4" s="1"/>
  <c r="V24" i="4" s="1"/>
  <c r="P19" i="4"/>
  <c r="V19" i="4" s="1"/>
  <c r="P20" i="4"/>
  <c r="U20" i="4" s="1"/>
  <c r="V20" i="4" s="1"/>
  <c r="Q21" i="4"/>
  <c r="U21" i="4"/>
  <c r="V21" i="4" s="1"/>
  <c r="O32" i="4"/>
  <c r="N32" i="4"/>
  <c r="P14" i="4"/>
  <c r="P18" i="4"/>
  <c r="P30" i="4"/>
  <c r="P22" i="4"/>
  <c r="P28" i="4"/>
  <c r="P25" i="4"/>
  <c r="P17" i="4"/>
  <c r="P29" i="4"/>
  <c r="P15" i="4"/>
  <c r="P27" i="4"/>
  <c r="U23" i="4" l="1"/>
  <c r="V23" i="4" s="1"/>
  <c r="Q20" i="4"/>
  <c r="Q19" i="4"/>
  <c r="Q16" i="4"/>
  <c r="Q24" i="4"/>
  <c r="Q26" i="4"/>
  <c r="Q17" i="4"/>
  <c r="U17" i="4"/>
  <c r="V17" i="4" s="1"/>
  <c r="U27" i="4"/>
  <c r="V27" i="4" s="1"/>
  <c r="Q27" i="4"/>
  <c r="U15" i="4"/>
  <c r="V15" i="4" s="1"/>
  <c r="Q15" i="4"/>
  <c r="Q29" i="4"/>
  <c r="U29" i="4"/>
  <c r="V29" i="4" s="1"/>
  <c r="Q22" i="4"/>
  <c r="U22" i="4"/>
  <c r="V22" i="4" s="1"/>
  <c r="Q25" i="4"/>
  <c r="U25" i="4"/>
  <c r="V25" i="4" s="1"/>
  <c r="Q18" i="4"/>
  <c r="U18" i="4"/>
  <c r="V18" i="4" s="1"/>
  <c r="Q30" i="4"/>
  <c r="U30" i="4"/>
  <c r="V30" i="4" s="1"/>
  <c r="U28" i="4"/>
  <c r="V28" i="4" s="1"/>
  <c r="Q28" i="4"/>
  <c r="U14" i="4"/>
  <c r="Q14" i="4"/>
  <c r="P32" i="4"/>
  <c r="Q32" i="4" l="1"/>
  <c r="J36" i="4" s="1"/>
  <c r="V14" i="4"/>
  <c r="V32" i="4" s="1"/>
  <c r="U32" i="4"/>
  <c r="J37" i="4" l="1"/>
  <c r="L37" i="4"/>
  <c r="L38" i="4" s="1"/>
</calcChain>
</file>

<file path=xl/comments1.xml><?xml version="1.0" encoding="utf-8"?>
<comments xmlns="http://schemas.openxmlformats.org/spreadsheetml/2006/main">
  <authors>
    <author>Vladimir Jelisavcic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Vladimir Jelisavcic:</t>
        </r>
        <r>
          <rPr>
            <sz val="9"/>
            <color indexed="81"/>
            <rFont val="Tahoma"/>
            <charset val="1"/>
          </rPr>
          <t xml:space="preserve">
$50.00 flat, less $2.50 basis
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Vladimir Jelisavcic:</t>
        </r>
        <r>
          <rPr>
            <sz val="9"/>
            <color indexed="81"/>
            <rFont val="Tahoma"/>
            <charset val="1"/>
          </rPr>
          <t xml:space="preserve">
$3.00 flat, less $0.50 basis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Vladimir Jelisavcic:</t>
        </r>
        <r>
          <rPr>
            <sz val="9"/>
            <color indexed="81"/>
            <rFont val="Tahoma"/>
            <charset val="1"/>
          </rPr>
          <t xml:space="preserve">
Oil IP 30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Vladimir Jelisavcic:</t>
        </r>
        <r>
          <rPr>
            <sz val="9"/>
            <color indexed="81"/>
            <rFont val="Tahoma"/>
            <charset val="1"/>
          </rPr>
          <t xml:space="preserve">
Gas IP 30</t>
        </r>
      </text>
    </comment>
  </commentList>
</comments>
</file>

<file path=xl/sharedStrings.xml><?xml version="1.0" encoding="utf-8"?>
<sst xmlns="http://schemas.openxmlformats.org/spreadsheetml/2006/main" count="163" uniqueCount="115">
  <si>
    <t>Royalty</t>
  </si>
  <si>
    <t>NRI</t>
  </si>
  <si>
    <t>#3</t>
  </si>
  <si>
    <t>Oil px</t>
  </si>
  <si>
    <t>LOE</t>
  </si>
  <si>
    <t>Discount</t>
  </si>
  <si>
    <t>&gt;&gt; 3/16</t>
  </si>
  <si>
    <t>Gas px</t>
  </si>
  <si>
    <t>Well Cost</t>
  </si>
  <si>
    <t>Lease Cost</t>
  </si>
  <si>
    <t>BOE</t>
  </si>
  <si>
    <t>Mineral Cost</t>
  </si>
  <si>
    <t>Oil</t>
  </si>
  <si>
    <t>Gas</t>
  </si>
  <si>
    <t>OIL</t>
  </si>
  <si>
    <t>Period</t>
  </si>
  <si>
    <t>Decline</t>
  </si>
  <si>
    <t>bbl-gross/d</t>
  </si>
  <si>
    <t>bbl-net/d</t>
  </si>
  <si>
    <t>bbl-net/q</t>
  </si>
  <si>
    <t>revenue</t>
  </si>
  <si>
    <t>loe</t>
  </si>
  <si>
    <t>cash flow</t>
  </si>
  <si>
    <t>PV</t>
  </si>
  <si>
    <t>gross</t>
  </si>
  <si>
    <t>Q1 - avg</t>
  </si>
  <si>
    <t>Q2 - avg</t>
  </si>
  <si>
    <t>Q3 - avg</t>
  </si>
  <si>
    <t>Q4 - avg</t>
  </si>
  <si>
    <t>Q5 - avg</t>
  </si>
  <si>
    <t>Q6 - avg</t>
  </si>
  <si>
    <t>Q7 - avg</t>
  </si>
  <si>
    <t>Q8 - avg</t>
  </si>
  <si>
    <t>Q9 - avg</t>
  </si>
  <si>
    <t>Q10 - avg</t>
  </si>
  <si>
    <t>Q11 - avg</t>
  </si>
  <si>
    <t>Q12 - avg</t>
  </si>
  <si>
    <t>Q13 - avg</t>
  </si>
  <si>
    <t>Q14 - avg</t>
  </si>
  <si>
    <t>Q15 - avg</t>
  </si>
  <si>
    <t>Q16 - avg</t>
  </si>
  <si>
    <t>Q17 - avg</t>
  </si>
  <si>
    <t>Q18 - avg</t>
  </si>
  <si>
    <t>Q19 - avg</t>
  </si>
  <si>
    <t>Q20 - avg</t>
  </si>
  <si>
    <t>EUR</t>
  </si>
  <si>
    <t>Mutiple</t>
  </si>
  <si>
    <t>(EUR / [IP x 365])</t>
  </si>
  <si>
    <t>NPV-Well-land</t>
  </si>
  <si>
    <t>value of 1 point</t>
  </si>
  <si>
    <t>per acre</t>
  </si>
  <si>
    <t>Assumptions</t>
  </si>
  <si>
    <t>1. $50 oil, $2.35 gas</t>
  </si>
  <si>
    <t>2. 77.5% NRI for Wis, 95% realization for royalties</t>
  </si>
  <si>
    <t>5. well cost: $7.9mm</t>
  </si>
  <si>
    <t>3. well: base case, 575 IP, 350 EUR</t>
  </si>
  <si>
    <t xml:space="preserve">        a. PV10 revenue per well: $2.6mm</t>
  </si>
  <si>
    <t xml:space="preserve">        b. PV10 royalties per well: $2.4mm</t>
  </si>
  <si>
    <t>4. well: upside case, 860 IP, 540 EUR</t>
  </si>
  <si>
    <t xml:space="preserve">        a. PV10 revenue per well: $7.9mm</t>
  </si>
  <si>
    <t xml:space="preserve">        b. PV10 royalties per well: $3.4mm</t>
  </si>
  <si>
    <t>******  NEED SCENARIO FOR 45 CRUDE</t>
  </si>
  <si>
    <t>PV 10</t>
  </si>
  <si>
    <t>Market</t>
  </si>
  <si>
    <t>Well: Base Case</t>
  </si>
  <si>
    <t>per point</t>
  </si>
  <si>
    <t>Working Interests</t>
  </si>
  <si>
    <t>PV10 / well</t>
  </si>
  <si>
    <t>wells / Sect.</t>
  </si>
  <si>
    <t>PV10/Sec</t>
  </si>
  <si>
    <t>points</t>
  </si>
  <si>
    <t xml:space="preserve">    3 wells / Section</t>
  </si>
  <si>
    <t xml:space="preserve">    5 wells / Section</t>
  </si>
  <si>
    <t>Royalties @ 18.75</t>
  </si>
  <si>
    <t>Well: Upside Case</t>
  </si>
  <si>
    <t>royalty PV</t>
  </si>
  <si>
    <t>Gas mcfe</t>
  </si>
  <si>
    <t>net / q</t>
  </si>
  <si>
    <t>net / d</t>
  </si>
  <si>
    <t>per acre (640 acre section)   &gt;&gt;&gt; 3 WELLS</t>
  </si>
  <si>
    <t>gross/d</t>
  </si>
  <si>
    <t>ROYALTY CALC</t>
  </si>
  <si>
    <t>royalty 3/16</t>
  </si>
  <si>
    <t xml:space="preserve"> # wells</t>
  </si>
  <si>
    <t>VALUE OF ROYALTY POINTS</t>
  </si>
  <si>
    <t>Mineral break-even # wells</t>
  </si>
  <si>
    <t xml:space="preserve">b /e </t>
  </si>
  <si>
    <t>Lease break-even # wells</t>
  </si>
  <si>
    <t>** note: assumed lateral 4,500 feet</t>
  </si>
  <si>
    <t>IP 30</t>
  </si>
  <si>
    <t>STACK - Type Curve 1</t>
  </si>
  <si>
    <t>lease cost / PV cash flows - well cost</t>
  </si>
  <si>
    <t>mineral cost / PV cash flows</t>
  </si>
  <si>
    <t>Return w/trickle-out</t>
  </si>
  <si>
    <t>Trickle-Out assumptions:</t>
  </si>
  <si>
    <t>#1</t>
  </si>
  <si>
    <t>#2</t>
  </si>
  <si>
    <t>#4</t>
  </si>
  <si>
    <t>#5</t>
  </si>
  <si>
    <t>#6</t>
  </si>
  <si>
    <t>#8</t>
  </si>
  <si>
    <t>#9</t>
  </si>
  <si>
    <t>total undiscounted payout</t>
  </si>
  <si>
    <t>PV distribution #1</t>
  </si>
  <si>
    <t>PV distribution #2</t>
  </si>
  <si>
    <t>PV distribution #3</t>
  </si>
  <si>
    <t>PV distribution #4</t>
  </si>
  <si>
    <t>PV distribution #5</t>
  </si>
  <si>
    <t>PV distribution #6</t>
  </si>
  <si>
    <t>PV distribution #7</t>
  </si>
  <si>
    <t>PV distribution #8</t>
  </si>
  <si>
    <t>PV distribution #9</t>
  </si>
  <si>
    <t>PV tricke-out distribution stream</t>
  </si>
  <si>
    <t>acres</t>
  </si>
  <si>
    <t>cost per 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</si>
</sst>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FFFF00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44" fontId="4" fillId="0" borderId="0" xfId="2" applyFont="1"/>
    <xf numFmtId="165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10" fontId="0" fillId="2" borderId="0" xfId="0" applyNumberFormat="1" applyFill="1"/>
    <xf numFmtId="166" fontId="4" fillId="0" borderId="0" xfId="3" applyNumberFormat="1" applyFont="1"/>
    <xf numFmtId="10" fontId="2" fillId="0" borderId="0" xfId="0" applyNumberFormat="1" applyFont="1"/>
    <xf numFmtId="10" fontId="0" fillId="0" borderId="0" xfId="0" applyNumberFormat="1"/>
    <xf numFmtId="164" fontId="4" fillId="0" borderId="0" xfId="2" applyNumberFormat="1" applyFont="1"/>
    <xf numFmtId="165" fontId="2" fillId="2" borderId="0" xfId="1" applyNumberFormat="1" applyFont="1" applyFill="1"/>
    <xf numFmtId="166" fontId="0" fillId="0" borderId="0" xfId="3" applyNumberFormat="1" applyFont="1"/>
    <xf numFmtId="165" fontId="2" fillId="3" borderId="0" xfId="1" applyNumberFormat="1" applyFont="1" applyFill="1"/>
    <xf numFmtId="43" fontId="0" fillId="0" borderId="0" xfId="0" applyNumberFormat="1"/>
    <xf numFmtId="43" fontId="2" fillId="2" borderId="0" xfId="1" applyNumberFormat="1" applyFont="1" applyFill="1"/>
    <xf numFmtId="0" fontId="8" fillId="0" borderId="0" xfId="0" applyFont="1"/>
    <xf numFmtId="0" fontId="9" fillId="0" borderId="0" xfId="0" applyFont="1"/>
    <xf numFmtId="43" fontId="0" fillId="2" borderId="0" xfId="1" applyNumberFormat="1" applyFont="1" applyFill="1"/>
    <xf numFmtId="4" fontId="0" fillId="0" borderId="0" xfId="0" applyNumberFormat="1"/>
    <xf numFmtId="10" fontId="4" fillId="0" borderId="0" xfId="0" applyNumberFormat="1" applyFont="1"/>
    <xf numFmtId="9" fontId="0" fillId="0" borderId="0" xfId="0" applyNumberFormat="1"/>
    <xf numFmtId="17" fontId="0" fillId="0" borderId="0" xfId="0" applyNumberFormat="1"/>
    <xf numFmtId="15" fontId="0" fillId="0" borderId="0" xfId="0" applyNumberFormat="1"/>
    <xf numFmtId="4" fontId="4" fillId="0" borderId="0" xfId="0" applyNumberFormat="1" applyFont="1"/>
    <xf numFmtId="4" fontId="2" fillId="0" borderId="0" xfId="0" applyNumberFormat="1" applyFont="1"/>
  </cellXfs>
  <cellStyles count="5">
    <cellStyle name="%" xfId="4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1"/>
  <sheetViews>
    <sheetView tabSelected="1" zoomScale="75" zoomScaleNormal="75" workbookViewId="0">
      <selection activeCell="H5" sqref="H5"/>
    </sheetView>
  </sheetViews>
  <sheetFormatPr defaultRowHeight="15" x14ac:dyDescent="0.25"/>
  <cols>
    <col min="2" max="3" width="8.7109375" customWidth="1"/>
    <col min="4" max="4" width="11.5703125" bestFit="1" customWidth="1"/>
    <col min="5" max="5" width="34.28515625" bestFit="1" customWidth="1"/>
    <col min="6" max="6" width="18.5703125" customWidth="1"/>
    <col min="7" max="7" width="12.7109375" bestFit="1" customWidth="1"/>
    <col min="8" max="10" width="11.7109375" customWidth="1"/>
    <col min="11" max="12" width="9.7109375" customWidth="1"/>
    <col min="13" max="13" width="15.140625" bestFit="1" customWidth="1"/>
    <col min="14" max="14" width="11.5703125" bestFit="1" customWidth="1"/>
    <col min="15" max="15" width="9.85546875" bestFit="1" customWidth="1"/>
    <col min="16" max="16" width="11.7109375" customWidth="1"/>
    <col min="18" max="21" width="11.7109375" customWidth="1"/>
  </cols>
  <sheetData>
    <row r="1" spans="1:22" x14ac:dyDescent="0.25">
      <c r="A1" s="5" t="s">
        <v>90</v>
      </c>
      <c r="F1" s="2" t="s">
        <v>3</v>
      </c>
      <c r="G1" s="2" t="s">
        <v>4</v>
      </c>
      <c r="J1" s="2" t="s">
        <v>5</v>
      </c>
    </row>
    <row r="2" spans="1:22" x14ac:dyDescent="0.25">
      <c r="A2" t="s">
        <v>1</v>
      </c>
      <c r="D2" s="10">
        <v>0.77500000000000002</v>
      </c>
      <c r="F2" s="6">
        <v>47.5</v>
      </c>
      <c r="G2" s="6">
        <v>10</v>
      </c>
      <c r="J2" s="11">
        <v>0.27</v>
      </c>
    </row>
    <row r="3" spans="1:22" x14ac:dyDescent="0.25">
      <c r="A3" t="s">
        <v>0</v>
      </c>
      <c r="D3" s="12">
        <f>-(D2-1)</f>
        <v>0.22499999999999998</v>
      </c>
      <c r="E3" t="s">
        <v>6</v>
      </c>
      <c r="F3" s="2" t="s">
        <v>7</v>
      </c>
      <c r="G3" s="2" t="s">
        <v>4</v>
      </c>
    </row>
    <row r="4" spans="1:22" x14ac:dyDescent="0.25">
      <c r="D4" s="8"/>
      <c r="F4" s="6">
        <v>2.5</v>
      </c>
      <c r="G4" s="6">
        <v>1</v>
      </c>
      <c r="J4" s="2" t="s">
        <v>89</v>
      </c>
    </row>
    <row r="5" spans="1:22" x14ac:dyDescent="0.25">
      <c r="A5" s="1" t="s">
        <v>8</v>
      </c>
      <c r="B5" s="1"/>
      <c r="C5" s="1"/>
      <c r="D5" s="8">
        <v>5750000</v>
      </c>
      <c r="F5" t="s">
        <v>88</v>
      </c>
      <c r="J5" s="15">
        <f>+(K9/5.8)+D9</f>
        <v>822.41379310344826</v>
      </c>
      <c r="K5" t="s">
        <v>10</v>
      </c>
    </row>
    <row r="6" spans="1:22" x14ac:dyDescent="0.25">
      <c r="A6" s="1" t="s">
        <v>9</v>
      </c>
      <c r="B6" s="1"/>
      <c r="C6" s="8"/>
      <c r="D6" s="8">
        <f>+E6*640</f>
        <v>1706666.6666666665</v>
      </c>
      <c r="E6" s="14">
        <f>8000/H6</f>
        <v>2666.6666666666665</v>
      </c>
      <c r="F6" s="1" t="s">
        <v>79</v>
      </c>
      <c r="H6">
        <v>3</v>
      </c>
      <c r="I6" t="s">
        <v>83</v>
      </c>
      <c r="J6" s="1"/>
      <c r="K6" s="7"/>
    </row>
    <row r="7" spans="1:22" x14ac:dyDescent="0.25">
      <c r="A7" s="1" t="s">
        <v>11</v>
      </c>
      <c r="B7" s="1"/>
      <c r="C7" s="1"/>
      <c r="D7" s="8">
        <f>+E7*640</f>
        <v>3840000</v>
      </c>
      <c r="E7" s="14">
        <f>18000/H7</f>
        <v>6000</v>
      </c>
      <c r="F7" s="1" t="s">
        <v>79</v>
      </c>
      <c r="H7">
        <v>3</v>
      </c>
      <c r="I7" t="s">
        <v>83</v>
      </c>
      <c r="J7" s="1"/>
      <c r="K7" s="7"/>
      <c r="L7" s="1"/>
    </row>
    <row r="8" spans="1:22" x14ac:dyDescent="0.25">
      <c r="D8" s="13"/>
      <c r="R8" s="21" t="s">
        <v>81</v>
      </c>
    </row>
    <row r="9" spans="1:22" x14ac:dyDescent="0.25">
      <c r="A9" s="1"/>
      <c r="B9" s="1" t="s">
        <v>12</v>
      </c>
      <c r="C9" s="1" t="s">
        <v>13</v>
      </c>
      <c r="D9" s="3">
        <v>650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5">
        <v>1000</v>
      </c>
      <c r="L9" s="1" t="s">
        <v>76</v>
      </c>
      <c r="M9" s="1" t="s">
        <v>76</v>
      </c>
      <c r="N9" s="1" t="s">
        <v>13</v>
      </c>
      <c r="O9" s="1" t="s">
        <v>13</v>
      </c>
      <c r="P9" s="1" t="s">
        <v>13</v>
      </c>
      <c r="Q9" s="1" t="s">
        <v>13</v>
      </c>
      <c r="R9" s="1" t="s">
        <v>14</v>
      </c>
      <c r="S9" s="1" t="s">
        <v>14</v>
      </c>
      <c r="T9" s="1" t="s">
        <v>14</v>
      </c>
      <c r="U9" s="1" t="s">
        <v>13</v>
      </c>
      <c r="V9" s="1" t="s">
        <v>13</v>
      </c>
    </row>
    <row r="10" spans="1:22" x14ac:dyDescent="0.25">
      <c r="A10" s="2" t="s">
        <v>15</v>
      </c>
      <c r="B10" s="2" t="s">
        <v>16</v>
      </c>
      <c r="C10" s="2" t="s">
        <v>16</v>
      </c>
      <c r="D10" s="2" t="s">
        <v>17</v>
      </c>
      <c r="E10" s="2" t="s">
        <v>18</v>
      </c>
      <c r="F10" s="2" t="s">
        <v>19</v>
      </c>
      <c r="G10" s="2" t="s">
        <v>20</v>
      </c>
      <c r="H10" s="2" t="s">
        <v>21</v>
      </c>
      <c r="I10" s="2" t="s">
        <v>22</v>
      </c>
      <c r="J10" s="2" t="s">
        <v>23</v>
      </c>
      <c r="K10" s="2" t="s">
        <v>80</v>
      </c>
      <c r="L10" s="2" t="s">
        <v>78</v>
      </c>
      <c r="M10" s="2" t="s">
        <v>77</v>
      </c>
      <c r="N10" s="2" t="s">
        <v>20</v>
      </c>
      <c r="O10" s="2" t="s">
        <v>21</v>
      </c>
      <c r="P10" s="2" t="s">
        <v>22</v>
      </c>
      <c r="Q10" s="2" t="s">
        <v>23</v>
      </c>
      <c r="R10" s="2" t="s">
        <v>24</v>
      </c>
      <c r="S10" s="2" t="s">
        <v>82</v>
      </c>
      <c r="T10" s="2" t="s">
        <v>75</v>
      </c>
      <c r="U10" s="2" t="s">
        <v>82</v>
      </c>
      <c r="V10" s="2" t="s">
        <v>75</v>
      </c>
    </row>
    <row r="11" spans="1:22" x14ac:dyDescent="0.25">
      <c r="A11" t="s">
        <v>25</v>
      </c>
      <c r="B11" s="16">
        <v>0.75</v>
      </c>
      <c r="C11" s="16">
        <v>0.9</v>
      </c>
      <c r="D11" s="8">
        <f>+$D$9*B11</f>
        <v>487.5</v>
      </c>
      <c r="E11" s="8">
        <f>+D11*$D$2</f>
        <v>377.8125</v>
      </c>
      <c r="F11" s="8">
        <f>+E11*90</f>
        <v>34003.125</v>
      </c>
      <c r="G11" s="8">
        <f>+F11*$F$2</f>
        <v>1615148.4375</v>
      </c>
      <c r="H11" s="8">
        <f>+F11*$G$2</f>
        <v>340031.25</v>
      </c>
      <c r="I11" s="8">
        <f>+G11-H11</f>
        <v>1275117.1875</v>
      </c>
      <c r="J11" s="8">
        <f>+(I11/(1+($J$2*0.25)))</f>
        <v>1194489.1686182672</v>
      </c>
      <c r="K11" s="8">
        <f>+$K$9*C11</f>
        <v>900</v>
      </c>
      <c r="L11" s="8">
        <f>+K11*$D$2</f>
        <v>697.5</v>
      </c>
      <c r="M11" s="8">
        <f>+L11*90</f>
        <v>62775</v>
      </c>
      <c r="N11" s="8">
        <f>+M11*$F$4</f>
        <v>156937.5</v>
      </c>
      <c r="O11" s="8">
        <f>+M11*$G$4</f>
        <v>62775</v>
      </c>
      <c r="P11" s="8">
        <f>+N11-O11</f>
        <v>94162.5</v>
      </c>
      <c r="Q11" s="8">
        <f>+(P11/(1+($J$2*0.25)))</f>
        <v>88208.430913348959</v>
      </c>
      <c r="R11" s="8">
        <f>+D11*$F$2*90</f>
        <v>2084062.5</v>
      </c>
      <c r="S11" s="8">
        <f>+R11*0.1875</f>
        <v>390761.71875</v>
      </c>
      <c r="T11" s="8">
        <f>+(S11/(1+($J$2*0.25)))</f>
        <v>366053.13231850119</v>
      </c>
      <c r="U11" s="8">
        <f>+P11*0.1875</f>
        <v>17655.46875</v>
      </c>
      <c r="V11" s="8">
        <f>+(U11/(1+($J$2*0.25)))</f>
        <v>16539.080796252929</v>
      </c>
    </row>
    <row r="12" spans="1:22" x14ac:dyDescent="0.25">
      <c r="A12" t="s">
        <v>26</v>
      </c>
      <c r="B12" s="16">
        <v>0.6</v>
      </c>
      <c r="C12" s="16">
        <v>0.75</v>
      </c>
      <c r="D12" s="8">
        <f>+$D$9*B12</f>
        <v>390</v>
      </c>
      <c r="E12" s="8">
        <f t="shared" ref="E12:E30" si="0">+D12*$D$2</f>
        <v>302.25</v>
      </c>
      <c r="F12" s="8">
        <f t="shared" ref="F12:F30" si="1">+E12*90</f>
        <v>27202.5</v>
      </c>
      <c r="G12" s="8">
        <f t="shared" ref="G12:G30" si="2">+F12*$F$2</f>
        <v>1292118.75</v>
      </c>
      <c r="H12" s="8">
        <f t="shared" ref="H12:H30" si="3">+F12*$G$2</f>
        <v>272025</v>
      </c>
      <c r="I12" s="8">
        <f t="shared" ref="I12:I30" si="4">+G12-H12</f>
        <v>1020093.75</v>
      </c>
      <c r="J12" s="8">
        <f>+(I12/(1+($J$2*0.5)))</f>
        <v>898761.01321585907</v>
      </c>
      <c r="K12" s="8">
        <f>+$K$9*C12</f>
        <v>750</v>
      </c>
      <c r="L12" s="8">
        <f>+K12*$D$2</f>
        <v>581.25</v>
      </c>
      <c r="M12" s="8">
        <f>+L12*90</f>
        <v>52312.5</v>
      </c>
      <c r="N12" s="8">
        <f>+M12*$F$4</f>
        <v>130781.25</v>
      </c>
      <c r="O12" s="8">
        <f t="shared" ref="O12:O30" si="5">+M12*$G$4</f>
        <v>52312.5</v>
      </c>
      <c r="P12" s="8">
        <f>+N12-O12</f>
        <v>78468.75</v>
      </c>
      <c r="Q12" s="8">
        <f>+(P12/(1+($J$2*0.5)))</f>
        <v>69135.462555066086</v>
      </c>
      <c r="R12" s="8">
        <f t="shared" ref="R12:R30" si="6">+D12*$F$2*90</f>
        <v>1667250</v>
      </c>
      <c r="S12" s="8">
        <f t="shared" ref="S12:S30" si="7">+R12*0.1875</f>
        <v>312609.375</v>
      </c>
      <c r="T12" s="8">
        <f>+(S12/(1+($J$2*0.5)))</f>
        <v>275426.76211453741</v>
      </c>
      <c r="U12" s="8">
        <f t="shared" ref="U12:U30" si="8">+P12*0.1875</f>
        <v>14712.890625</v>
      </c>
      <c r="V12" s="8">
        <f>+(U12/(1+($J$2*0.5)))</f>
        <v>12962.89922907489</v>
      </c>
    </row>
    <row r="13" spans="1:22" x14ac:dyDescent="0.25">
      <c r="A13" t="s">
        <v>27</v>
      </c>
      <c r="B13" s="16">
        <v>0.5</v>
      </c>
      <c r="C13" s="16">
        <v>0.65</v>
      </c>
      <c r="D13" s="8">
        <f>+$D$9*B13</f>
        <v>325</v>
      </c>
      <c r="E13" s="8">
        <f t="shared" si="0"/>
        <v>251.875</v>
      </c>
      <c r="F13" s="8">
        <f t="shared" si="1"/>
        <v>22668.75</v>
      </c>
      <c r="G13" s="8">
        <f t="shared" si="2"/>
        <v>1076765.625</v>
      </c>
      <c r="H13" s="8">
        <f t="shared" si="3"/>
        <v>226687.5</v>
      </c>
      <c r="I13" s="8">
        <f t="shared" si="4"/>
        <v>850078.125</v>
      </c>
      <c r="J13" s="8">
        <f>+(I13/(1+($J$2*0.75)))</f>
        <v>706925.67567567562</v>
      </c>
      <c r="K13" s="8">
        <f t="shared" ref="K13:K30" si="9">+$K$9*C13</f>
        <v>650</v>
      </c>
      <c r="L13" s="8">
        <f t="shared" ref="L13:L30" si="10">+K13*$D$2</f>
        <v>503.75</v>
      </c>
      <c r="M13" s="8">
        <f>+L13*90</f>
        <v>45337.5</v>
      </c>
      <c r="N13" s="8">
        <f>+M13*$F$4</f>
        <v>113343.75</v>
      </c>
      <c r="O13" s="8">
        <f t="shared" si="5"/>
        <v>45337.5</v>
      </c>
      <c r="P13" s="8">
        <f>+N13-O13</f>
        <v>68006.25</v>
      </c>
      <c r="Q13" s="8">
        <f>+(P13/(1+($J$2*0.75)))</f>
        <v>56554.054054054046</v>
      </c>
      <c r="R13" s="8">
        <f t="shared" si="6"/>
        <v>1389375</v>
      </c>
      <c r="S13" s="8">
        <f t="shared" si="7"/>
        <v>260507.8125</v>
      </c>
      <c r="T13" s="8">
        <f>+(S13/(1+($J$2*0.75)))</f>
        <v>216638.51351351349</v>
      </c>
      <c r="U13" s="8">
        <f t="shared" si="8"/>
        <v>12751.171875</v>
      </c>
      <c r="V13" s="8">
        <f>+(U13/(1+($J$2*0.75)))</f>
        <v>10603.885135135133</v>
      </c>
    </row>
    <row r="14" spans="1:22" x14ac:dyDescent="0.25">
      <c r="A14" t="s">
        <v>28</v>
      </c>
      <c r="B14" s="16">
        <v>0.45</v>
      </c>
      <c r="C14" s="16">
        <v>0.6</v>
      </c>
      <c r="D14" s="8">
        <f t="shared" ref="D14:D30" si="11">+$D$9*B14</f>
        <v>292.5</v>
      </c>
      <c r="E14" s="8">
        <f t="shared" si="0"/>
        <v>226.6875</v>
      </c>
      <c r="F14" s="8">
        <f t="shared" si="1"/>
        <v>20401.875</v>
      </c>
      <c r="G14" s="8">
        <f t="shared" si="2"/>
        <v>969089.0625</v>
      </c>
      <c r="H14" s="8">
        <f t="shared" si="3"/>
        <v>204018.75</v>
      </c>
      <c r="I14" s="8">
        <f t="shared" si="4"/>
        <v>765070.3125</v>
      </c>
      <c r="J14" s="8">
        <f>+(I14/(1+($J$2*1)))</f>
        <v>602417.56889763777</v>
      </c>
      <c r="K14" s="8">
        <f t="shared" si="9"/>
        <v>600</v>
      </c>
      <c r="L14" s="8">
        <f t="shared" si="10"/>
        <v>465</v>
      </c>
      <c r="M14" s="8">
        <f t="shared" ref="M14:M30" si="12">+L14*90</f>
        <v>41850</v>
      </c>
      <c r="N14" s="8">
        <f>+M14*$F$4</f>
        <v>104625</v>
      </c>
      <c r="O14" s="8">
        <f t="shared" si="5"/>
        <v>41850</v>
      </c>
      <c r="P14" s="8">
        <f t="shared" ref="P14:P30" si="13">+N14-O14</f>
        <v>62775</v>
      </c>
      <c r="Q14" s="8">
        <f>+(P14/(1+($J$2*1)))</f>
        <v>49429.133858267713</v>
      </c>
      <c r="R14" s="8">
        <f t="shared" si="6"/>
        <v>1250437.5</v>
      </c>
      <c r="S14" s="8">
        <f t="shared" si="7"/>
        <v>234457.03125</v>
      </c>
      <c r="T14" s="8">
        <f>+(S14/(1+($J$2*1)))</f>
        <v>184611.83562992126</v>
      </c>
      <c r="U14" s="8">
        <f t="shared" si="8"/>
        <v>11770.3125</v>
      </c>
      <c r="V14" s="8">
        <f>+(U14/(1+($J$2*1)))</f>
        <v>9267.9625984251961</v>
      </c>
    </row>
    <row r="15" spans="1:22" x14ac:dyDescent="0.25">
      <c r="A15" t="s">
        <v>29</v>
      </c>
      <c r="B15" s="16">
        <v>0.4</v>
      </c>
      <c r="C15" s="16">
        <v>0.5</v>
      </c>
      <c r="D15" s="8">
        <f t="shared" si="11"/>
        <v>260</v>
      </c>
      <c r="E15" s="8">
        <f t="shared" si="0"/>
        <v>201.5</v>
      </c>
      <c r="F15" s="8">
        <f t="shared" si="1"/>
        <v>18135</v>
      </c>
      <c r="G15" s="8">
        <f t="shared" si="2"/>
        <v>861412.5</v>
      </c>
      <c r="H15" s="8">
        <f t="shared" si="3"/>
        <v>181350</v>
      </c>
      <c r="I15" s="8">
        <f t="shared" si="4"/>
        <v>680062.5</v>
      </c>
      <c r="J15" s="8">
        <f>+(I15/(1+($J$2*1.25)))</f>
        <v>508457.94392523367</v>
      </c>
      <c r="K15" s="8">
        <f t="shared" si="9"/>
        <v>500</v>
      </c>
      <c r="L15" s="8">
        <f t="shared" si="10"/>
        <v>387.5</v>
      </c>
      <c r="M15" s="8">
        <f t="shared" si="12"/>
        <v>34875</v>
      </c>
      <c r="N15" s="8">
        <f t="shared" ref="N15:N30" si="14">+M15*$F$4</f>
        <v>87187.5</v>
      </c>
      <c r="O15" s="8">
        <f t="shared" si="5"/>
        <v>34875</v>
      </c>
      <c r="P15" s="8">
        <f t="shared" si="13"/>
        <v>52312.5</v>
      </c>
      <c r="Q15" s="8">
        <f>+(P15/(1+($J$2*1.25)))</f>
        <v>39112.149532710282</v>
      </c>
      <c r="R15" s="8">
        <f t="shared" si="6"/>
        <v>1111500</v>
      </c>
      <c r="S15" s="8">
        <f t="shared" si="7"/>
        <v>208406.25</v>
      </c>
      <c r="T15" s="8">
        <f>+(S15/(1+($J$2*1.25)))</f>
        <v>155817.75700934581</v>
      </c>
      <c r="U15" s="8">
        <f t="shared" si="8"/>
        <v>9808.59375</v>
      </c>
      <c r="V15" s="8">
        <f>+(U15/(1+($J$2*1.25)))</f>
        <v>7333.5280373831783</v>
      </c>
    </row>
    <row r="16" spans="1:22" x14ac:dyDescent="0.25">
      <c r="A16" t="s">
        <v>30</v>
      </c>
      <c r="B16" s="16">
        <v>0.35</v>
      </c>
      <c r="C16" s="16">
        <v>0.43</v>
      </c>
      <c r="D16" s="8">
        <f t="shared" si="11"/>
        <v>227.49999999999997</v>
      </c>
      <c r="E16" s="8">
        <f t="shared" si="0"/>
        <v>176.31249999999997</v>
      </c>
      <c r="F16" s="8">
        <f t="shared" si="1"/>
        <v>15868.124999999998</v>
      </c>
      <c r="G16" s="8">
        <f t="shared" si="2"/>
        <v>753735.93749999988</v>
      </c>
      <c r="H16" s="8">
        <f t="shared" si="3"/>
        <v>158681.24999999997</v>
      </c>
      <c r="I16" s="8">
        <f t="shared" si="4"/>
        <v>595054.68749999988</v>
      </c>
      <c r="J16" s="8">
        <f>+(I16/(1+($J$2*1.5)))</f>
        <v>423526.46797153016</v>
      </c>
      <c r="K16" s="8">
        <f t="shared" si="9"/>
        <v>430</v>
      </c>
      <c r="L16" s="8">
        <f t="shared" si="10"/>
        <v>333.25</v>
      </c>
      <c r="M16" s="8">
        <f t="shared" si="12"/>
        <v>29992.5</v>
      </c>
      <c r="N16" s="8">
        <f t="shared" si="14"/>
        <v>74981.25</v>
      </c>
      <c r="O16" s="8">
        <f t="shared" si="5"/>
        <v>29992.5</v>
      </c>
      <c r="P16" s="8">
        <f t="shared" si="13"/>
        <v>44988.75</v>
      </c>
      <c r="Q16" s="8">
        <f>+(P16/(1+($J$2*1.5)))</f>
        <v>32020.462633451956</v>
      </c>
      <c r="R16" s="8">
        <f t="shared" si="6"/>
        <v>972562.49999999988</v>
      </c>
      <c r="S16" s="8">
        <f t="shared" si="7"/>
        <v>182355.46874999997</v>
      </c>
      <c r="T16" s="8">
        <f>+(S16/(1+($J$2*1.5)))</f>
        <v>129790.36921708182</v>
      </c>
      <c r="U16" s="8">
        <f t="shared" si="8"/>
        <v>8435.390625</v>
      </c>
      <c r="V16" s="8">
        <f>+(U16/(1+($J$2*1.5)))</f>
        <v>6003.8367437722418</v>
      </c>
    </row>
    <row r="17" spans="1:22" x14ac:dyDescent="0.25">
      <c r="A17" t="s">
        <v>31</v>
      </c>
      <c r="B17" s="16">
        <v>0.32500000000000001</v>
      </c>
      <c r="C17" s="16">
        <v>0.57999999999999996</v>
      </c>
      <c r="D17" s="8">
        <f t="shared" si="11"/>
        <v>211.25</v>
      </c>
      <c r="E17" s="8">
        <f t="shared" si="0"/>
        <v>163.71875</v>
      </c>
      <c r="F17" s="8">
        <f t="shared" si="1"/>
        <v>14734.6875</v>
      </c>
      <c r="G17" s="8">
        <f t="shared" si="2"/>
        <v>699897.65625</v>
      </c>
      <c r="H17" s="8">
        <f t="shared" si="3"/>
        <v>147346.875</v>
      </c>
      <c r="I17" s="8">
        <f t="shared" si="4"/>
        <v>552550.78125</v>
      </c>
      <c r="J17" s="8">
        <f>+(I17/(1+($J$2*1.75)))</f>
        <v>375246.71052631573</v>
      </c>
      <c r="K17" s="8">
        <f t="shared" si="9"/>
        <v>580</v>
      </c>
      <c r="L17" s="8">
        <f t="shared" si="10"/>
        <v>449.5</v>
      </c>
      <c r="M17" s="8">
        <f t="shared" si="12"/>
        <v>40455</v>
      </c>
      <c r="N17" s="8">
        <f t="shared" si="14"/>
        <v>101137.5</v>
      </c>
      <c r="O17" s="8">
        <f t="shared" si="5"/>
        <v>40455</v>
      </c>
      <c r="P17" s="8">
        <f t="shared" si="13"/>
        <v>60682.5</v>
      </c>
      <c r="Q17" s="8">
        <f>+(P17/(1+($J$2*1.75)))</f>
        <v>41210.526315789473</v>
      </c>
      <c r="R17" s="8">
        <f t="shared" si="6"/>
        <v>903093.75</v>
      </c>
      <c r="S17" s="8">
        <f t="shared" si="7"/>
        <v>169330.078125</v>
      </c>
      <c r="T17" s="8">
        <f>+(S17/(1+($J$2*1.75)))</f>
        <v>114994.95967741935</v>
      </c>
      <c r="U17" s="8">
        <f t="shared" si="8"/>
        <v>11377.96875</v>
      </c>
      <c r="V17" s="8">
        <f>+(U17/(1+($J$2*1.75)))</f>
        <v>7726.9736842105258</v>
      </c>
    </row>
    <row r="18" spans="1:22" x14ac:dyDescent="0.25">
      <c r="A18" t="s">
        <v>32</v>
      </c>
      <c r="B18" s="16">
        <v>0.3</v>
      </c>
      <c r="C18" s="16">
        <v>0.54</v>
      </c>
      <c r="D18" s="8">
        <f t="shared" si="11"/>
        <v>195</v>
      </c>
      <c r="E18" s="8">
        <f t="shared" si="0"/>
        <v>151.125</v>
      </c>
      <c r="F18" s="8">
        <f t="shared" si="1"/>
        <v>13601.25</v>
      </c>
      <c r="G18" s="8">
        <f t="shared" si="2"/>
        <v>646059.375</v>
      </c>
      <c r="H18" s="8">
        <f t="shared" si="3"/>
        <v>136012.5</v>
      </c>
      <c r="I18" s="8">
        <f t="shared" si="4"/>
        <v>510046.875</v>
      </c>
      <c r="J18" s="8">
        <f>+(I18/(1+($J$2*2)))</f>
        <v>331199.26948051946</v>
      </c>
      <c r="K18" s="8">
        <f t="shared" si="9"/>
        <v>540</v>
      </c>
      <c r="L18" s="8">
        <f t="shared" si="10"/>
        <v>418.5</v>
      </c>
      <c r="M18" s="8">
        <f t="shared" si="12"/>
        <v>37665</v>
      </c>
      <c r="N18" s="8">
        <f t="shared" si="14"/>
        <v>94162.5</v>
      </c>
      <c r="O18" s="8">
        <f t="shared" si="5"/>
        <v>37665</v>
      </c>
      <c r="P18" s="8">
        <f t="shared" si="13"/>
        <v>56497.5</v>
      </c>
      <c r="Q18" s="8">
        <f>+(P18/(1+($J$2*2)))</f>
        <v>36686.688311688311</v>
      </c>
      <c r="R18" s="8">
        <f t="shared" si="6"/>
        <v>833625</v>
      </c>
      <c r="S18" s="8">
        <f t="shared" si="7"/>
        <v>156304.6875</v>
      </c>
      <c r="T18" s="8">
        <f>+(S18/(1+($J$2*2)))</f>
        <v>101496.55032467532</v>
      </c>
      <c r="U18" s="8">
        <f t="shared" si="8"/>
        <v>10593.28125</v>
      </c>
      <c r="V18" s="8">
        <f>+(U18/(1+($J$2*2)))</f>
        <v>6878.7540584415583</v>
      </c>
    </row>
    <row r="19" spans="1:22" x14ac:dyDescent="0.25">
      <c r="A19" t="s">
        <v>33</v>
      </c>
      <c r="B19" s="16">
        <v>0.27500000000000002</v>
      </c>
      <c r="C19" s="16">
        <v>0.5</v>
      </c>
      <c r="D19" s="8">
        <f t="shared" si="11"/>
        <v>178.75000000000003</v>
      </c>
      <c r="E19" s="8">
        <f t="shared" si="0"/>
        <v>138.53125000000003</v>
      </c>
      <c r="F19" s="8">
        <f t="shared" si="1"/>
        <v>12467.812500000002</v>
      </c>
      <c r="G19" s="8">
        <f t="shared" si="2"/>
        <v>592221.09375000012</v>
      </c>
      <c r="H19" s="8">
        <f t="shared" si="3"/>
        <v>124678.12500000001</v>
      </c>
      <c r="I19" s="8">
        <f t="shared" si="4"/>
        <v>467542.96875000012</v>
      </c>
      <c r="J19" s="8">
        <f>+(I19/(1+($J$2*2.25)))</f>
        <v>290850.99144634535</v>
      </c>
      <c r="K19" s="8">
        <f t="shared" si="9"/>
        <v>500</v>
      </c>
      <c r="L19" s="8">
        <f t="shared" si="10"/>
        <v>387.5</v>
      </c>
      <c r="M19" s="8">
        <f t="shared" si="12"/>
        <v>34875</v>
      </c>
      <c r="N19" s="8">
        <f t="shared" si="14"/>
        <v>87187.5</v>
      </c>
      <c r="O19" s="8">
        <f t="shared" si="5"/>
        <v>34875</v>
      </c>
      <c r="P19" s="8">
        <f t="shared" si="13"/>
        <v>52312.5</v>
      </c>
      <c r="Q19" s="8">
        <f>+(P19/(1+($J$2*2.25)))</f>
        <v>32542.768273716953</v>
      </c>
      <c r="R19" s="8">
        <f t="shared" si="6"/>
        <v>764156.25000000012</v>
      </c>
      <c r="S19" s="8">
        <f t="shared" si="7"/>
        <v>143279.29687500003</v>
      </c>
      <c r="T19" s="8">
        <f>+(S19/(1+($J$2*2.25)))</f>
        <v>89131.755443234855</v>
      </c>
      <c r="U19" s="8">
        <f>+P19*0.1875</f>
        <v>9808.59375</v>
      </c>
      <c r="V19" s="8">
        <f>+(U19/(1+($J$2*2.25)))</f>
        <v>6101.7690513219286</v>
      </c>
    </row>
    <row r="20" spans="1:22" x14ac:dyDescent="0.25">
      <c r="A20" t="s">
        <v>34</v>
      </c>
      <c r="B20" s="16">
        <v>0.25</v>
      </c>
      <c r="C20" s="16">
        <v>0.47</v>
      </c>
      <c r="D20" s="8">
        <f t="shared" si="11"/>
        <v>162.5</v>
      </c>
      <c r="E20" s="8">
        <f t="shared" si="0"/>
        <v>125.9375</v>
      </c>
      <c r="F20" s="8">
        <f t="shared" si="1"/>
        <v>11334.375</v>
      </c>
      <c r="G20" s="8">
        <f t="shared" si="2"/>
        <v>538382.8125</v>
      </c>
      <c r="H20" s="8">
        <f t="shared" si="3"/>
        <v>113343.75</v>
      </c>
      <c r="I20" s="8">
        <f t="shared" si="4"/>
        <v>425039.0625</v>
      </c>
      <c r="J20" s="8">
        <f>+(I20/(1+($J$2*2.5)))</f>
        <v>253754.66417910447</v>
      </c>
      <c r="K20" s="8">
        <f t="shared" si="9"/>
        <v>470</v>
      </c>
      <c r="L20" s="8">
        <f t="shared" si="10"/>
        <v>364.25</v>
      </c>
      <c r="M20" s="8">
        <f t="shared" si="12"/>
        <v>32782.5</v>
      </c>
      <c r="N20" s="8">
        <f t="shared" si="14"/>
        <v>81956.25</v>
      </c>
      <c r="O20" s="8">
        <f t="shared" si="5"/>
        <v>32782.5</v>
      </c>
      <c r="P20" s="8">
        <f t="shared" si="13"/>
        <v>49173.75</v>
      </c>
      <c r="Q20" s="8">
        <f>+(P20/(1+($J$2*2.5)))</f>
        <v>29357.462686567163</v>
      </c>
      <c r="R20" s="8">
        <f t="shared" si="6"/>
        <v>694687.5</v>
      </c>
      <c r="S20" s="8">
        <f t="shared" si="7"/>
        <v>130253.90625</v>
      </c>
      <c r="T20" s="8">
        <f>+(S20/(1+($J$2*2.5)))</f>
        <v>77763.526119402988</v>
      </c>
      <c r="U20" s="8">
        <f t="shared" si="8"/>
        <v>9220.078125</v>
      </c>
      <c r="V20" s="8">
        <f>+(U20/(1+($J$2*2.5)))</f>
        <v>5504.5242537313434</v>
      </c>
    </row>
    <row r="21" spans="1:22" x14ac:dyDescent="0.25">
      <c r="A21" t="s">
        <v>35</v>
      </c>
      <c r="B21" s="16">
        <v>0.22500000000000001</v>
      </c>
      <c r="C21" s="16">
        <v>0.44</v>
      </c>
      <c r="D21" s="8">
        <f t="shared" si="11"/>
        <v>146.25</v>
      </c>
      <c r="E21" s="8">
        <f t="shared" si="0"/>
        <v>113.34375</v>
      </c>
      <c r="F21" s="8">
        <f t="shared" si="1"/>
        <v>10200.9375</v>
      </c>
      <c r="G21" s="8">
        <f t="shared" si="2"/>
        <v>484544.53125</v>
      </c>
      <c r="H21" s="8">
        <f t="shared" si="3"/>
        <v>102009.375</v>
      </c>
      <c r="I21" s="8">
        <f t="shared" si="4"/>
        <v>382535.15625</v>
      </c>
      <c r="J21" s="8">
        <f>+(I21/(1+($J$2*2.75)))</f>
        <v>219532.37087517933</v>
      </c>
      <c r="K21" s="8">
        <f t="shared" si="9"/>
        <v>440</v>
      </c>
      <c r="L21" s="8">
        <f t="shared" si="10"/>
        <v>341</v>
      </c>
      <c r="M21" s="8">
        <f t="shared" si="12"/>
        <v>30690</v>
      </c>
      <c r="N21" s="8">
        <f t="shared" si="14"/>
        <v>76725</v>
      </c>
      <c r="O21" s="8">
        <f t="shared" si="5"/>
        <v>30690</v>
      </c>
      <c r="P21" s="8">
        <f t="shared" si="13"/>
        <v>46035</v>
      </c>
      <c r="Q21" s="8">
        <f>+(P21/(1+($J$2*2.75)))</f>
        <v>26418.938307030126</v>
      </c>
      <c r="R21" s="8">
        <f t="shared" si="6"/>
        <v>625218.75</v>
      </c>
      <c r="S21" s="8">
        <f t="shared" si="7"/>
        <v>117228.515625</v>
      </c>
      <c r="T21" s="8">
        <f>+(S21/(1+($J$2*2.75)))</f>
        <v>67276.049139167852</v>
      </c>
      <c r="U21" s="8">
        <f t="shared" si="8"/>
        <v>8631.5625</v>
      </c>
      <c r="V21" s="8">
        <f>+(U21/(1+($J$2*2.75)))</f>
        <v>4953.5509325681487</v>
      </c>
    </row>
    <row r="22" spans="1:22" x14ac:dyDescent="0.25">
      <c r="A22" t="s">
        <v>36</v>
      </c>
      <c r="B22" s="16">
        <v>0.2</v>
      </c>
      <c r="C22" s="16">
        <v>0.42</v>
      </c>
      <c r="D22" s="8">
        <f t="shared" si="11"/>
        <v>130</v>
      </c>
      <c r="E22" s="8">
        <f t="shared" si="0"/>
        <v>100.75</v>
      </c>
      <c r="F22" s="8">
        <f t="shared" si="1"/>
        <v>9067.5</v>
      </c>
      <c r="G22" s="8">
        <f t="shared" si="2"/>
        <v>430706.25</v>
      </c>
      <c r="H22" s="8">
        <f t="shared" si="3"/>
        <v>90675</v>
      </c>
      <c r="I22" s="8">
        <f t="shared" si="4"/>
        <v>340031.25</v>
      </c>
      <c r="J22" s="8">
        <f>+(I22/(1+($J$2*3)))</f>
        <v>187862.56906077347</v>
      </c>
      <c r="K22" s="8">
        <f t="shared" si="9"/>
        <v>420</v>
      </c>
      <c r="L22" s="8">
        <f t="shared" si="10"/>
        <v>325.5</v>
      </c>
      <c r="M22" s="8">
        <f t="shared" si="12"/>
        <v>29295</v>
      </c>
      <c r="N22" s="8">
        <f t="shared" si="14"/>
        <v>73237.5</v>
      </c>
      <c r="O22" s="8">
        <f t="shared" si="5"/>
        <v>29295</v>
      </c>
      <c r="P22" s="8">
        <f t="shared" si="13"/>
        <v>43942.5</v>
      </c>
      <c r="Q22" s="8">
        <f>+(P22/(1+($J$2*3)))</f>
        <v>24277.624309392264</v>
      </c>
      <c r="R22" s="8">
        <f t="shared" si="6"/>
        <v>555750</v>
      </c>
      <c r="S22" s="8">
        <f t="shared" si="7"/>
        <v>104203.125</v>
      </c>
      <c r="T22" s="8">
        <f>+(S22/(1+($J$2*3)))</f>
        <v>57570.78729281768</v>
      </c>
      <c r="U22" s="8">
        <f t="shared" si="8"/>
        <v>8239.21875</v>
      </c>
      <c r="V22" s="8">
        <f>+(U22/(1+($J$2*3)))</f>
        <v>4552.0545580110493</v>
      </c>
    </row>
    <row r="23" spans="1:22" x14ac:dyDescent="0.25">
      <c r="A23" t="s">
        <v>37</v>
      </c>
      <c r="B23" s="16">
        <v>0.17499999999999999</v>
      </c>
      <c r="C23" s="16">
        <v>0.4</v>
      </c>
      <c r="D23" s="8">
        <f t="shared" si="11"/>
        <v>113.74999999999999</v>
      </c>
      <c r="E23" s="8">
        <f t="shared" si="0"/>
        <v>88.156249999999986</v>
      </c>
      <c r="F23" s="8">
        <f t="shared" si="1"/>
        <v>7934.0624999999991</v>
      </c>
      <c r="G23" s="8">
        <f t="shared" si="2"/>
        <v>376867.96874999994</v>
      </c>
      <c r="H23" s="8">
        <f t="shared" si="3"/>
        <v>79340.624999999985</v>
      </c>
      <c r="I23" s="8">
        <f t="shared" si="4"/>
        <v>297527.34374999994</v>
      </c>
      <c r="J23" s="8">
        <f>+(I23/(1+($J$2*3.25)))</f>
        <v>158469.95672436748</v>
      </c>
      <c r="K23" s="8">
        <f t="shared" si="9"/>
        <v>400</v>
      </c>
      <c r="L23" s="8">
        <f t="shared" si="10"/>
        <v>310</v>
      </c>
      <c r="M23" s="8">
        <f t="shared" si="12"/>
        <v>27900</v>
      </c>
      <c r="N23" s="8">
        <f t="shared" si="14"/>
        <v>69750</v>
      </c>
      <c r="O23" s="8">
        <f t="shared" si="5"/>
        <v>27900</v>
      </c>
      <c r="P23" s="8">
        <f t="shared" si="13"/>
        <v>41850</v>
      </c>
      <c r="Q23" s="8">
        <f>+(P23/(1+($J$2*3.25)))</f>
        <v>22290.279627163782</v>
      </c>
      <c r="R23" s="8">
        <f t="shared" si="6"/>
        <v>486281.24999999994</v>
      </c>
      <c r="S23" s="8">
        <f t="shared" si="7"/>
        <v>91177.734374999985</v>
      </c>
      <c r="T23" s="8">
        <f>+(S23/(1+($J$2*3.25)))</f>
        <v>48563.373834886814</v>
      </c>
      <c r="U23" s="8">
        <f t="shared" si="8"/>
        <v>7846.875</v>
      </c>
      <c r="V23" s="8">
        <f>+(U23/(1+($J$2*3.25)))</f>
        <v>4179.4274300932093</v>
      </c>
    </row>
    <row r="24" spans="1:22" x14ac:dyDescent="0.25">
      <c r="A24" t="s">
        <v>38</v>
      </c>
      <c r="B24" s="16">
        <v>0.15</v>
      </c>
      <c r="C24" s="16">
        <v>0.39</v>
      </c>
      <c r="D24" s="8">
        <f t="shared" si="11"/>
        <v>97.5</v>
      </c>
      <c r="E24" s="8">
        <f t="shared" si="0"/>
        <v>75.5625</v>
      </c>
      <c r="F24" s="8">
        <f t="shared" si="1"/>
        <v>6800.625</v>
      </c>
      <c r="G24" s="8">
        <f t="shared" si="2"/>
        <v>323029.6875</v>
      </c>
      <c r="H24" s="8">
        <f t="shared" si="3"/>
        <v>68006.25</v>
      </c>
      <c r="I24" s="8">
        <f t="shared" si="4"/>
        <v>255023.4375</v>
      </c>
      <c r="J24" s="8">
        <f>+(I24/(1+($J$2*3.5)))</f>
        <v>131117.44858611826</v>
      </c>
      <c r="K24" s="8">
        <f t="shared" si="9"/>
        <v>390</v>
      </c>
      <c r="L24" s="8">
        <f t="shared" si="10"/>
        <v>302.25</v>
      </c>
      <c r="M24" s="8">
        <f t="shared" si="12"/>
        <v>27202.5</v>
      </c>
      <c r="N24" s="8">
        <f t="shared" si="14"/>
        <v>68006.25</v>
      </c>
      <c r="O24" s="8">
        <f t="shared" si="5"/>
        <v>27202.5</v>
      </c>
      <c r="P24" s="8">
        <f t="shared" si="13"/>
        <v>40803.75</v>
      </c>
      <c r="Q24" s="8">
        <f>+(P24/(1+($J$2*3.5)))</f>
        <v>20978.791773778921</v>
      </c>
      <c r="R24" s="8">
        <f t="shared" si="6"/>
        <v>416812.5</v>
      </c>
      <c r="S24" s="8">
        <f t="shared" si="7"/>
        <v>78152.34375</v>
      </c>
      <c r="T24" s="8">
        <f>+(S24/(1+($J$2*3.5)))</f>
        <v>40181.153598971723</v>
      </c>
      <c r="U24" s="8">
        <f t="shared" si="8"/>
        <v>7650.703125</v>
      </c>
      <c r="V24" s="8">
        <f>+(U24/(1+($J$2*3.5)))</f>
        <v>3933.5234575835475</v>
      </c>
    </row>
    <row r="25" spans="1:22" x14ac:dyDescent="0.25">
      <c r="A25" t="s">
        <v>39</v>
      </c>
      <c r="B25" s="16">
        <v>0.14000000000000001</v>
      </c>
      <c r="C25" s="16">
        <v>0.38</v>
      </c>
      <c r="D25" s="8">
        <f t="shared" si="11"/>
        <v>91.000000000000014</v>
      </c>
      <c r="E25" s="8">
        <f t="shared" si="0"/>
        <v>70.52500000000002</v>
      </c>
      <c r="F25" s="8">
        <f t="shared" si="1"/>
        <v>6347.2500000000018</v>
      </c>
      <c r="G25" s="8">
        <f t="shared" si="2"/>
        <v>301494.37500000006</v>
      </c>
      <c r="H25" s="8">
        <f t="shared" si="3"/>
        <v>63472.500000000015</v>
      </c>
      <c r="I25" s="8">
        <f t="shared" si="4"/>
        <v>238021.87500000006</v>
      </c>
      <c r="J25" s="8">
        <f>+(I25/(1+($J$2*3.75)))</f>
        <v>118271.7391304348</v>
      </c>
      <c r="K25" s="8">
        <f t="shared" si="9"/>
        <v>380</v>
      </c>
      <c r="L25" s="8">
        <f t="shared" si="10"/>
        <v>294.5</v>
      </c>
      <c r="M25" s="8">
        <f t="shared" si="12"/>
        <v>26505</v>
      </c>
      <c r="N25" s="8">
        <f t="shared" si="14"/>
        <v>66262.5</v>
      </c>
      <c r="O25" s="8">
        <f t="shared" si="5"/>
        <v>26505</v>
      </c>
      <c r="P25" s="8">
        <f t="shared" si="13"/>
        <v>39757.5</v>
      </c>
      <c r="Q25" s="8">
        <f>+(P25/(1+($J$2*3.75)))</f>
        <v>19755.279503105587</v>
      </c>
      <c r="R25" s="8">
        <f t="shared" si="6"/>
        <v>389025.00000000006</v>
      </c>
      <c r="S25" s="8">
        <f t="shared" si="7"/>
        <v>72942.187500000015</v>
      </c>
      <c r="T25" s="8">
        <f>+(S25/(1+($J$2*3.75)))</f>
        <v>36244.565217391311</v>
      </c>
      <c r="U25" s="8">
        <f t="shared" si="8"/>
        <v>7454.53125</v>
      </c>
      <c r="V25" s="8">
        <f>+(U25/(1+($J$2*3.75)))</f>
        <v>3704.1149068322979</v>
      </c>
    </row>
    <row r="26" spans="1:22" x14ac:dyDescent="0.25">
      <c r="A26" t="s">
        <v>40</v>
      </c>
      <c r="B26" s="16">
        <v>0.13</v>
      </c>
      <c r="C26" s="16">
        <v>0.37</v>
      </c>
      <c r="D26" s="8">
        <f t="shared" si="11"/>
        <v>84.5</v>
      </c>
      <c r="E26" s="8">
        <f t="shared" si="0"/>
        <v>65.487499999999997</v>
      </c>
      <c r="F26" s="8">
        <f t="shared" si="1"/>
        <v>5893.875</v>
      </c>
      <c r="G26" s="8">
        <f t="shared" si="2"/>
        <v>279959.0625</v>
      </c>
      <c r="H26" s="8">
        <f t="shared" si="3"/>
        <v>58938.75</v>
      </c>
      <c r="I26" s="8">
        <f t="shared" si="4"/>
        <v>221020.3125</v>
      </c>
      <c r="J26" s="8">
        <f>+(I26/(1+($J$2*4)))</f>
        <v>106259.765625</v>
      </c>
      <c r="K26" s="8">
        <f t="shared" si="9"/>
        <v>370</v>
      </c>
      <c r="L26" s="8">
        <f t="shared" si="10"/>
        <v>286.75</v>
      </c>
      <c r="M26" s="8">
        <f t="shared" si="12"/>
        <v>25807.5</v>
      </c>
      <c r="N26" s="8">
        <f t="shared" si="14"/>
        <v>64518.75</v>
      </c>
      <c r="O26" s="8">
        <f t="shared" si="5"/>
        <v>25807.5</v>
      </c>
      <c r="P26" s="8">
        <f t="shared" si="13"/>
        <v>38711.25</v>
      </c>
      <c r="Q26" s="8">
        <f>+(P26/(1+($J$2*4)))</f>
        <v>18611.177884615383</v>
      </c>
      <c r="R26" s="8">
        <f t="shared" si="6"/>
        <v>361237.5</v>
      </c>
      <c r="S26" s="8">
        <f t="shared" si="7"/>
        <v>67732.03125</v>
      </c>
      <c r="T26" s="8">
        <f>+(S26/(1+($J$2*4)))</f>
        <v>32563.4765625</v>
      </c>
      <c r="U26" s="8">
        <f t="shared" si="8"/>
        <v>7258.359375</v>
      </c>
      <c r="V26" s="8">
        <f>+(U26/(1+($J$2*4)))</f>
        <v>3489.5958533653843</v>
      </c>
    </row>
    <row r="27" spans="1:22" x14ac:dyDescent="0.25">
      <c r="A27" s="1" t="s">
        <v>41</v>
      </c>
      <c r="B27" s="16">
        <v>0.12</v>
      </c>
      <c r="C27" s="16">
        <v>0.36</v>
      </c>
      <c r="D27" s="8">
        <f t="shared" si="11"/>
        <v>78</v>
      </c>
      <c r="E27" s="8">
        <f t="shared" si="0"/>
        <v>60.45</v>
      </c>
      <c r="F27" s="8">
        <f t="shared" si="1"/>
        <v>5440.5</v>
      </c>
      <c r="G27" s="8">
        <f t="shared" si="2"/>
        <v>258423.75</v>
      </c>
      <c r="H27" s="8">
        <f t="shared" si="3"/>
        <v>54405</v>
      </c>
      <c r="I27" s="8">
        <f t="shared" si="4"/>
        <v>204018.75</v>
      </c>
      <c r="J27" s="8">
        <f>+(I27/(1+($J$2*4.25)))</f>
        <v>95002.910360884751</v>
      </c>
      <c r="K27" s="8">
        <f t="shared" si="9"/>
        <v>360</v>
      </c>
      <c r="L27" s="8">
        <f t="shared" si="10"/>
        <v>279</v>
      </c>
      <c r="M27" s="8">
        <f t="shared" si="12"/>
        <v>25110</v>
      </c>
      <c r="N27" s="8">
        <f t="shared" si="14"/>
        <v>62775</v>
      </c>
      <c r="O27" s="8">
        <f t="shared" si="5"/>
        <v>25110</v>
      </c>
      <c r="P27" s="8">
        <f t="shared" si="13"/>
        <v>37665</v>
      </c>
      <c r="Q27" s="8">
        <f>+(P27/(1+($J$2*4.25)))</f>
        <v>17538.998835855647</v>
      </c>
      <c r="R27" s="8">
        <f t="shared" si="6"/>
        <v>333450</v>
      </c>
      <c r="S27" s="8">
        <f t="shared" si="7"/>
        <v>62521.875</v>
      </c>
      <c r="T27" s="8">
        <f>+(S27/(1+($J$2*4.25)))</f>
        <v>29113.795110593714</v>
      </c>
      <c r="U27" s="8">
        <f t="shared" si="8"/>
        <v>7062.1875</v>
      </c>
      <c r="V27" s="8">
        <f>+(U27/(1+($J$2*4.25)))</f>
        <v>3288.5622817229337</v>
      </c>
    </row>
    <row r="28" spans="1:22" x14ac:dyDescent="0.25">
      <c r="A28" s="1" t="s">
        <v>42</v>
      </c>
      <c r="B28" s="16">
        <v>0.11</v>
      </c>
      <c r="C28" s="16">
        <v>0.25</v>
      </c>
      <c r="D28" s="8">
        <f t="shared" si="11"/>
        <v>71.5</v>
      </c>
      <c r="E28" s="8">
        <f t="shared" si="0"/>
        <v>55.412500000000001</v>
      </c>
      <c r="F28" s="8">
        <f t="shared" si="1"/>
        <v>4987.125</v>
      </c>
      <c r="G28" s="8">
        <f t="shared" si="2"/>
        <v>236888.4375</v>
      </c>
      <c r="H28" s="8">
        <f t="shared" si="3"/>
        <v>49871.25</v>
      </c>
      <c r="I28" s="8">
        <f t="shared" si="4"/>
        <v>187017.1875</v>
      </c>
      <c r="J28" s="8">
        <f>+(I28/(1+($J$2*4.5)))</f>
        <v>84432.13882618511</v>
      </c>
      <c r="K28" s="8">
        <f t="shared" si="9"/>
        <v>250</v>
      </c>
      <c r="L28" s="8">
        <f t="shared" si="10"/>
        <v>193.75</v>
      </c>
      <c r="M28" s="8">
        <f t="shared" si="12"/>
        <v>17437.5</v>
      </c>
      <c r="N28" s="8">
        <f t="shared" si="14"/>
        <v>43593.75</v>
      </c>
      <c r="O28" s="8">
        <f t="shared" si="5"/>
        <v>17437.5</v>
      </c>
      <c r="P28" s="8">
        <f t="shared" si="13"/>
        <v>26156.25</v>
      </c>
      <c r="Q28" s="8">
        <f>+(P28/(1+($J$2*4.5)))</f>
        <v>11808.690744920994</v>
      </c>
      <c r="R28" s="8">
        <f t="shared" si="6"/>
        <v>305662.5</v>
      </c>
      <c r="S28" s="8">
        <f t="shared" si="7"/>
        <v>57311.71875</v>
      </c>
      <c r="T28" s="8">
        <f>+(S28/(1+($J$2*4.5)))</f>
        <v>25874.365124153501</v>
      </c>
      <c r="U28" s="8">
        <f t="shared" si="8"/>
        <v>4904.296875</v>
      </c>
      <c r="V28" s="8">
        <f>+(U28/(1+($J$2*4.5)))</f>
        <v>2214.1295146726866</v>
      </c>
    </row>
    <row r="29" spans="1:22" x14ac:dyDescent="0.25">
      <c r="A29" s="1" t="s">
        <v>43</v>
      </c>
      <c r="B29" s="16">
        <v>0.1</v>
      </c>
      <c r="C29" s="16">
        <v>0.24</v>
      </c>
      <c r="D29" s="8">
        <f t="shared" si="11"/>
        <v>65</v>
      </c>
      <c r="E29" s="8">
        <f t="shared" si="0"/>
        <v>50.375</v>
      </c>
      <c r="F29" s="8">
        <f t="shared" si="1"/>
        <v>4533.75</v>
      </c>
      <c r="G29" s="8">
        <f t="shared" si="2"/>
        <v>215353.125</v>
      </c>
      <c r="H29" s="8">
        <f t="shared" si="3"/>
        <v>45337.5</v>
      </c>
      <c r="I29" s="8">
        <f t="shared" si="4"/>
        <v>170015.625</v>
      </c>
      <c r="J29" s="8">
        <f>+(I29/(1+($J$2*4.75)))</f>
        <v>74486.582694414014</v>
      </c>
      <c r="K29" s="8">
        <f t="shared" si="9"/>
        <v>240</v>
      </c>
      <c r="L29" s="8">
        <f t="shared" si="10"/>
        <v>186</v>
      </c>
      <c r="M29" s="8">
        <f t="shared" si="12"/>
        <v>16740</v>
      </c>
      <c r="N29" s="8">
        <f t="shared" si="14"/>
        <v>41850</v>
      </c>
      <c r="O29" s="8">
        <f t="shared" si="5"/>
        <v>16740</v>
      </c>
      <c r="P29" s="8">
        <f t="shared" si="13"/>
        <v>25110</v>
      </c>
      <c r="Q29" s="8">
        <f>+(P29/(1+($J$2*4.75)))</f>
        <v>11001.095290251917</v>
      </c>
      <c r="R29" s="8">
        <f t="shared" si="6"/>
        <v>277875</v>
      </c>
      <c r="S29" s="8">
        <f t="shared" si="7"/>
        <v>52101.5625</v>
      </c>
      <c r="T29" s="8">
        <f>+(S29/(1+($J$2*4.75)))</f>
        <v>22826.533406352683</v>
      </c>
      <c r="U29" s="8">
        <f t="shared" si="8"/>
        <v>4708.125</v>
      </c>
      <c r="V29" s="8">
        <f>+(U29/(1+($J$2*4.75)))</f>
        <v>2062.7053669222341</v>
      </c>
    </row>
    <row r="30" spans="1:22" x14ac:dyDescent="0.25">
      <c r="A30" s="1" t="s">
        <v>44</v>
      </c>
      <c r="B30" s="16">
        <v>0.09</v>
      </c>
      <c r="C30" s="16">
        <v>0.23</v>
      </c>
      <c r="D30" s="8">
        <f t="shared" si="11"/>
        <v>58.5</v>
      </c>
      <c r="E30" s="8">
        <f t="shared" si="0"/>
        <v>45.337499999999999</v>
      </c>
      <c r="F30" s="8">
        <f t="shared" si="1"/>
        <v>4080.375</v>
      </c>
      <c r="G30" s="8">
        <f t="shared" si="2"/>
        <v>193817.8125</v>
      </c>
      <c r="H30" s="8">
        <f t="shared" si="3"/>
        <v>40803.75</v>
      </c>
      <c r="I30" s="8">
        <f t="shared" si="4"/>
        <v>153014.0625</v>
      </c>
      <c r="J30" s="8">
        <f>+(I30/(1+($J$2*5)))</f>
        <v>65112.367021276594</v>
      </c>
      <c r="K30" s="8">
        <f t="shared" si="9"/>
        <v>230</v>
      </c>
      <c r="L30" s="8">
        <f t="shared" si="10"/>
        <v>178.25</v>
      </c>
      <c r="M30" s="8">
        <f t="shared" si="12"/>
        <v>16042.5</v>
      </c>
      <c r="N30" s="8">
        <f t="shared" si="14"/>
        <v>40106.25</v>
      </c>
      <c r="O30" s="8">
        <f t="shared" si="5"/>
        <v>16042.5</v>
      </c>
      <c r="P30" s="8">
        <f t="shared" si="13"/>
        <v>24063.75</v>
      </c>
      <c r="Q30" s="8">
        <f>+(P30/(1+($J$2*5)))</f>
        <v>10239.893617021276</v>
      </c>
      <c r="R30" s="8">
        <f t="shared" si="6"/>
        <v>250087.5</v>
      </c>
      <c r="S30" s="8">
        <f t="shared" si="7"/>
        <v>46891.40625</v>
      </c>
      <c r="T30" s="8">
        <f>+(S30/(1+($J$2*5)))</f>
        <v>19953.78989361702</v>
      </c>
      <c r="U30" s="8">
        <f t="shared" si="8"/>
        <v>4511.953125</v>
      </c>
      <c r="V30" s="8">
        <f>+(U30/(1+($J$2*5)))</f>
        <v>1919.9800531914893</v>
      </c>
    </row>
    <row r="31" spans="1:22" x14ac:dyDescent="0.25">
      <c r="D31" s="8"/>
      <c r="E31" s="8"/>
      <c r="K31" s="8"/>
      <c r="L31" s="8"/>
    </row>
    <row r="32" spans="1:22" x14ac:dyDescent="0.25">
      <c r="D32" s="8">
        <f>SUM(D11:D30)</f>
        <v>3666</v>
      </c>
      <c r="E32" s="8"/>
      <c r="F32" s="8">
        <f t="shared" ref="F32:L32" si="15">SUM(F11:F30)</f>
        <v>255703.5</v>
      </c>
      <c r="G32" s="8">
        <f t="shared" si="15"/>
        <v>12145916.25</v>
      </c>
      <c r="H32" s="8">
        <f t="shared" si="15"/>
        <v>2557035</v>
      </c>
      <c r="I32" s="8">
        <f t="shared" si="15"/>
        <v>9588881.25</v>
      </c>
      <c r="J32" s="17">
        <f>SUM(J11:J30)</f>
        <v>6826177.3228411209</v>
      </c>
      <c r="K32" s="8">
        <f t="shared" si="15"/>
        <v>9400</v>
      </c>
      <c r="L32" s="8">
        <f t="shared" si="15"/>
        <v>7285</v>
      </c>
      <c r="M32" s="8">
        <f t="shared" ref="M32:U32" si="16">SUM(M11:M30)</f>
        <v>655650</v>
      </c>
      <c r="N32" s="8">
        <f>SUM(N11:N30)</f>
        <v>1639125</v>
      </c>
      <c r="O32" s="8">
        <f t="shared" si="16"/>
        <v>655650</v>
      </c>
      <c r="P32" s="8">
        <f t="shared" si="16"/>
        <v>983475</v>
      </c>
      <c r="Q32" s="17">
        <f>SUM(Q11:Q30)</f>
        <v>657177.90902779682</v>
      </c>
      <c r="R32" s="8">
        <f t="shared" si="16"/>
        <v>15672150</v>
      </c>
      <c r="S32" s="8">
        <f t="shared" si="16"/>
        <v>2938528.125</v>
      </c>
      <c r="T32" s="17">
        <f>SUM(T11:T30)</f>
        <v>2091893.0505480859</v>
      </c>
      <c r="U32" s="8">
        <f t="shared" si="16"/>
        <v>184401.5625</v>
      </c>
      <c r="V32" s="17">
        <f>SUM(V11:V30)</f>
        <v>123220.85794271193</v>
      </c>
    </row>
    <row r="33" spans="1:22" x14ac:dyDescent="0.25">
      <c r="D33" s="8"/>
      <c r="E33" s="8"/>
      <c r="F33" s="8"/>
      <c r="G33" s="8"/>
      <c r="H33" s="8"/>
      <c r="I33" s="8"/>
      <c r="J33" s="8"/>
      <c r="R33" s="8"/>
      <c r="S33" s="8"/>
      <c r="T33" s="8"/>
    </row>
    <row r="34" spans="1:22" x14ac:dyDescent="0.25">
      <c r="A34" t="s">
        <v>45</v>
      </c>
      <c r="D34" s="8">
        <f>+D32*90</f>
        <v>329940</v>
      </c>
      <c r="J34" s="18"/>
      <c r="K34" s="8">
        <f>+K32*90</f>
        <v>846000</v>
      </c>
      <c r="N34" s="8">
        <f>(+K34/5.8)+D34</f>
        <v>475802.06896551722</v>
      </c>
      <c r="O34" t="s">
        <v>45</v>
      </c>
      <c r="Q34" s="18"/>
      <c r="S34" s="7"/>
      <c r="T34" s="7"/>
    </row>
    <row r="35" spans="1:22" x14ac:dyDescent="0.25">
      <c r="A35" s="1" t="s">
        <v>46</v>
      </c>
      <c r="B35" s="1"/>
      <c r="C35" s="1"/>
      <c r="D35" s="19">
        <f>+D34/(D9*365)</f>
        <v>1.3906849315068492</v>
      </c>
      <c r="E35" s="1" t="s">
        <v>47</v>
      </c>
      <c r="K35" s="19">
        <f>+K34/(K9*365)</f>
        <v>2.3178082191780822</v>
      </c>
      <c r="L35" s="1" t="s">
        <v>47</v>
      </c>
      <c r="S35" s="7"/>
      <c r="T35" s="7"/>
    </row>
    <row r="36" spans="1:22" x14ac:dyDescent="0.25">
      <c r="I36" t="s">
        <v>23</v>
      </c>
      <c r="J36" s="17">
        <f>+J32+Q32</f>
        <v>7483355.2318689181</v>
      </c>
      <c r="L36" s="21" t="s">
        <v>84</v>
      </c>
      <c r="S36" s="7"/>
      <c r="T36" s="7"/>
      <c r="U36" s="1"/>
    </row>
    <row r="37" spans="1:22" x14ac:dyDescent="0.25">
      <c r="I37" s="1" t="s">
        <v>48</v>
      </c>
      <c r="J37" s="17">
        <f>+J36-D5-D6</f>
        <v>26688.565202251542</v>
      </c>
      <c r="L37" s="7">
        <f>(+T32+V32)/($D$3*100)</f>
        <v>98449.507044035476</v>
      </c>
      <c r="M37" t="s">
        <v>49</v>
      </c>
      <c r="S37" s="7"/>
      <c r="T37" s="7"/>
      <c r="U37" s="1"/>
    </row>
    <row r="38" spans="1:22" x14ac:dyDescent="0.25">
      <c r="D38" s="2" t="s">
        <v>86</v>
      </c>
      <c r="L38" s="7">
        <f>+L37/640</f>
        <v>153.82735475630543</v>
      </c>
      <c r="M38" t="s">
        <v>50</v>
      </c>
      <c r="S38" s="18"/>
      <c r="T38" s="18"/>
    </row>
    <row r="39" spans="1:22" x14ac:dyDescent="0.25">
      <c r="A39" s="1" t="s">
        <v>87</v>
      </c>
      <c r="D39" s="22">
        <f>(+D6*H6)/(J36-D5)</f>
        <v>2.9538088361031303</v>
      </c>
      <c r="E39" t="s">
        <v>91</v>
      </c>
      <c r="L39" s="7"/>
      <c r="S39" s="18"/>
      <c r="T39" s="18"/>
    </row>
    <row r="40" spans="1:22" x14ac:dyDescent="0.25">
      <c r="A40" s="1" t="s">
        <v>85</v>
      </c>
      <c r="D40" s="22">
        <f>+(D7*H7)/(T32+V32)</f>
        <v>5.200635486889615</v>
      </c>
      <c r="E40" t="s">
        <v>92</v>
      </c>
    </row>
    <row r="42" spans="1:22" x14ac:dyDescent="0.25">
      <c r="B42" s="16"/>
      <c r="C42" s="1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25">
      <c r="B43" s="16"/>
      <c r="C43" s="16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25">
      <c r="B44" s="16"/>
      <c r="C44" s="16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25">
      <c r="A45" s="1"/>
      <c r="B45" s="16"/>
      <c r="C45" s="1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57" spans="2:13" x14ac:dyDescent="0.25">
      <c r="F57" s="1"/>
      <c r="I57" s="1"/>
      <c r="M57" s="1"/>
    </row>
    <row r="58" spans="2:13" x14ac:dyDescent="0.25">
      <c r="B58" s="16"/>
      <c r="C58" s="16"/>
      <c r="F58" s="1"/>
      <c r="G58" s="1"/>
      <c r="H58" s="16"/>
      <c r="I58" s="16"/>
      <c r="L58" s="16"/>
      <c r="M58" s="16"/>
    </row>
    <row r="59" spans="2:13" x14ac:dyDescent="0.25">
      <c r="B59" s="16"/>
      <c r="C59" s="16"/>
      <c r="F59" s="1"/>
      <c r="G59" s="1"/>
      <c r="H59" s="16"/>
      <c r="I59" s="16"/>
      <c r="L59" s="16"/>
      <c r="M59" s="16"/>
    </row>
    <row r="60" spans="2:13" x14ac:dyDescent="0.25">
      <c r="B60" s="16"/>
      <c r="C60" s="16"/>
      <c r="F60" s="1"/>
      <c r="G60" s="1"/>
      <c r="H60" s="16"/>
      <c r="I60" s="16"/>
      <c r="L60" s="16"/>
      <c r="M60" s="16"/>
    </row>
    <row r="61" spans="2:13" x14ac:dyDescent="0.25">
      <c r="B61" s="16"/>
      <c r="C61" s="16"/>
      <c r="F61" s="1"/>
      <c r="G61" s="1"/>
      <c r="H61" s="16"/>
      <c r="I61" s="16"/>
      <c r="L61" s="16"/>
      <c r="M61" s="16"/>
    </row>
    <row r="62" spans="2:13" x14ac:dyDescent="0.25">
      <c r="B62" s="16"/>
      <c r="C62" s="16"/>
      <c r="G62" s="1"/>
      <c r="H62" s="16"/>
      <c r="I62" s="16"/>
      <c r="L62" s="16"/>
      <c r="M62" s="16"/>
    </row>
    <row r="63" spans="2:13" x14ac:dyDescent="0.25">
      <c r="B63" s="16"/>
      <c r="C63" s="16"/>
      <c r="G63" s="1"/>
      <c r="H63" s="16"/>
      <c r="I63" s="16"/>
      <c r="L63" s="16"/>
      <c r="M63" s="16"/>
    </row>
    <row r="64" spans="2:13" x14ac:dyDescent="0.25">
      <c r="B64" s="16"/>
      <c r="C64" s="16"/>
      <c r="G64" s="1"/>
      <c r="H64" s="16"/>
      <c r="I64" s="16"/>
      <c r="L64" s="16"/>
      <c r="M64" s="16"/>
    </row>
    <row r="65" spans="1:13" x14ac:dyDescent="0.25">
      <c r="B65" s="16"/>
      <c r="C65" s="16"/>
      <c r="F65" s="1"/>
      <c r="G65" s="1"/>
      <c r="H65" s="16"/>
      <c r="I65" s="16"/>
      <c r="L65" s="16"/>
      <c r="M65" s="16"/>
    </row>
    <row r="66" spans="1:13" x14ac:dyDescent="0.25">
      <c r="B66" s="16"/>
      <c r="C66" s="16"/>
      <c r="G66" s="1"/>
      <c r="H66" s="16"/>
      <c r="I66" s="16"/>
      <c r="L66" s="16"/>
      <c r="M66" s="16"/>
    </row>
    <row r="67" spans="1:13" x14ac:dyDescent="0.25">
      <c r="B67" s="16"/>
      <c r="C67" s="16"/>
      <c r="G67" s="1"/>
      <c r="H67" s="16"/>
      <c r="I67" s="16"/>
      <c r="L67" s="16"/>
      <c r="M67" s="16"/>
    </row>
    <row r="68" spans="1:13" x14ac:dyDescent="0.25">
      <c r="B68" s="16"/>
      <c r="C68" s="16"/>
      <c r="G68" s="1"/>
      <c r="H68" s="16"/>
      <c r="I68" s="16"/>
      <c r="L68" s="16"/>
      <c r="M68" s="16"/>
    </row>
    <row r="69" spans="1:13" x14ac:dyDescent="0.25">
      <c r="B69" s="16"/>
      <c r="C69" s="16"/>
      <c r="F69" s="1"/>
      <c r="G69" s="1"/>
      <c r="H69" s="16"/>
      <c r="I69" s="16"/>
      <c r="L69" s="16"/>
      <c r="M69" s="16"/>
    </row>
    <row r="70" spans="1:13" x14ac:dyDescent="0.25">
      <c r="B70" s="16"/>
      <c r="C70" s="16"/>
      <c r="G70" s="1"/>
      <c r="H70" s="16"/>
      <c r="I70" s="16"/>
      <c r="L70" s="16"/>
      <c r="M70" s="16"/>
    </row>
    <row r="71" spans="1:13" x14ac:dyDescent="0.25">
      <c r="B71" s="16"/>
      <c r="C71" s="16"/>
      <c r="G71" s="1"/>
      <c r="H71" s="16"/>
      <c r="I71" s="16"/>
      <c r="L71" s="16"/>
      <c r="M71" s="16"/>
    </row>
    <row r="72" spans="1:13" x14ac:dyDescent="0.25">
      <c r="B72" s="16"/>
      <c r="C72" s="16"/>
      <c r="G72" s="1"/>
      <c r="H72" s="16"/>
      <c r="I72" s="16"/>
      <c r="L72" s="16"/>
      <c r="M72" s="16"/>
    </row>
    <row r="73" spans="1:13" x14ac:dyDescent="0.25">
      <c r="B73" s="16"/>
      <c r="C73" s="16"/>
      <c r="F73" s="1"/>
      <c r="G73" s="1"/>
      <c r="H73" s="16"/>
      <c r="I73" s="16"/>
      <c r="L73" s="16"/>
      <c r="M73" s="16"/>
    </row>
    <row r="74" spans="1:13" x14ac:dyDescent="0.25">
      <c r="A74" s="1"/>
      <c r="B74" s="16"/>
      <c r="C74" s="16"/>
      <c r="G74" s="1"/>
      <c r="H74" s="16"/>
      <c r="I74" s="16"/>
      <c r="M74" s="16"/>
    </row>
    <row r="75" spans="1:13" x14ac:dyDescent="0.25">
      <c r="A75" s="1"/>
      <c r="B75" s="16"/>
      <c r="C75" s="16"/>
      <c r="H75" s="16"/>
      <c r="I75" s="16"/>
      <c r="M75" s="16"/>
    </row>
    <row r="76" spans="1:13" x14ac:dyDescent="0.25">
      <c r="A76" s="1"/>
      <c r="B76" s="16"/>
      <c r="C76" s="16"/>
    </row>
    <row r="77" spans="1:13" x14ac:dyDescent="0.25">
      <c r="A77" s="1"/>
      <c r="B77" s="16"/>
      <c r="C77" s="16"/>
    </row>
    <row r="87" spans="1:2" x14ac:dyDescent="0.25">
      <c r="A87" s="5"/>
    </row>
    <row r="89" spans="1:2" x14ac:dyDescent="0.25">
      <c r="A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B93" s="1"/>
    </row>
    <row r="94" spans="1:2" x14ac:dyDescent="0.25">
      <c r="A94" s="1"/>
    </row>
    <row r="96" spans="1:2" x14ac:dyDescent="0.25">
      <c r="A96" s="1"/>
    </row>
    <row r="98" spans="1:12" x14ac:dyDescent="0.25">
      <c r="A98" s="1"/>
    </row>
    <row r="100" spans="1:12" x14ac:dyDescent="0.25">
      <c r="A100" s="1"/>
    </row>
    <row r="101" spans="1:12" x14ac:dyDescent="0.25">
      <c r="A101" s="1"/>
    </row>
    <row r="103" spans="1:12" x14ac:dyDescent="0.25">
      <c r="D103" s="5"/>
      <c r="I103" s="1"/>
      <c r="J103" s="1"/>
      <c r="K103" s="1"/>
    </row>
    <row r="104" spans="1:12" x14ac:dyDescent="0.25">
      <c r="D104" s="1"/>
      <c r="F104" s="2"/>
      <c r="G104" s="2"/>
      <c r="H104" s="2"/>
      <c r="I104" s="2"/>
      <c r="J104" s="2"/>
      <c r="K104" s="2"/>
      <c r="L104" s="1"/>
    </row>
    <row r="105" spans="1:12" x14ac:dyDescent="0.25">
      <c r="D105" s="1"/>
      <c r="F105" s="8"/>
      <c r="H105" s="8"/>
      <c r="I105" s="8"/>
    </row>
    <row r="106" spans="1:12" x14ac:dyDescent="0.25">
      <c r="D106" s="1"/>
      <c r="F106" s="8"/>
      <c r="H106" s="8"/>
      <c r="I106" s="8"/>
    </row>
    <row r="107" spans="1:12" x14ac:dyDescent="0.25">
      <c r="D107" s="1"/>
    </row>
    <row r="108" spans="1:12" x14ac:dyDescent="0.25">
      <c r="D108" s="1"/>
      <c r="F108" s="8"/>
      <c r="H108" s="8"/>
      <c r="I108" s="8"/>
      <c r="J108" s="8"/>
      <c r="K108" s="7"/>
    </row>
    <row r="109" spans="1:12" x14ac:dyDescent="0.25">
      <c r="D109" s="1"/>
      <c r="F109" s="8"/>
      <c r="H109" s="8"/>
      <c r="I109" s="8"/>
      <c r="J109" s="8"/>
      <c r="K109" s="7"/>
      <c r="L109" s="7"/>
    </row>
    <row r="111" spans="1:12" x14ac:dyDescent="0.25">
      <c r="D111" s="5"/>
      <c r="I111" s="1"/>
      <c r="J111" s="1"/>
    </row>
    <row r="112" spans="1:12" x14ac:dyDescent="0.25">
      <c r="D112" s="1"/>
      <c r="F112" s="2"/>
      <c r="G112" s="2"/>
      <c r="H112" s="2"/>
      <c r="I112" s="2"/>
      <c r="J112" s="2"/>
    </row>
    <row r="113" spans="4:11" x14ac:dyDescent="0.25">
      <c r="D113" s="1"/>
      <c r="F113" s="8"/>
      <c r="H113" s="8"/>
      <c r="I113" s="8"/>
    </row>
    <row r="114" spans="4:11" x14ac:dyDescent="0.25">
      <c r="D114" s="1"/>
      <c r="F114" s="8"/>
      <c r="H114" s="8"/>
      <c r="I114" s="8"/>
    </row>
    <row r="115" spans="4:11" x14ac:dyDescent="0.25">
      <c r="D115" s="1"/>
    </row>
    <row r="116" spans="4:11" x14ac:dyDescent="0.25">
      <c r="D116" s="1"/>
      <c r="F116" s="8"/>
      <c r="H116" s="8"/>
      <c r="I116" s="8"/>
      <c r="J116" s="8"/>
      <c r="K116" s="7"/>
    </row>
    <row r="117" spans="4:11" x14ac:dyDescent="0.25">
      <c r="D117" s="1"/>
      <c r="F117" s="8"/>
      <c r="H117" s="8"/>
      <c r="I117" s="8"/>
      <c r="J117" s="8"/>
      <c r="K117" s="7"/>
    </row>
    <row r="120" spans="4:11" x14ac:dyDescent="0.25">
      <c r="I120" s="18"/>
    </row>
    <row r="121" spans="4:11" x14ac:dyDescent="0.25">
      <c r="I121" s="1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I5" sqref="I5"/>
    </sheetView>
  </sheetViews>
  <sheetFormatPr defaultRowHeight="15" x14ac:dyDescent="0.25"/>
  <cols>
    <col min="7" max="7" width="11.7109375" customWidth="1"/>
    <col min="9" max="9" width="11.7109375" customWidth="1"/>
  </cols>
  <sheetData>
    <row r="1" spans="5:13" x14ac:dyDescent="0.25">
      <c r="E1" s="4" t="s">
        <v>61</v>
      </c>
    </row>
    <row r="4" spans="5:13" x14ac:dyDescent="0.25">
      <c r="E4" s="1"/>
      <c r="G4" s="1"/>
      <c r="K4" s="1" t="s">
        <v>62</v>
      </c>
      <c r="L4" s="1" t="s">
        <v>63</v>
      </c>
    </row>
    <row r="5" spans="5:13" x14ac:dyDescent="0.25">
      <c r="E5" s="5" t="s">
        <v>64</v>
      </c>
      <c r="J5" s="1" t="s">
        <v>62</v>
      </c>
      <c r="K5" s="1" t="s">
        <v>65</v>
      </c>
      <c r="L5" s="1" t="s">
        <v>65</v>
      </c>
      <c r="M5">
        <v>18.75</v>
      </c>
    </row>
    <row r="6" spans="5:13" x14ac:dyDescent="0.25">
      <c r="E6" s="1" t="s">
        <v>66</v>
      </c>
      <c r="G6" s="2" t="s">
        <v>67</v>
      </c>
      <c r="H6" s="2" t="s">
        <v>68</v>
      </c>
      <c r="I6" s="2" t="s">
        <v>69</v>
      </c>
      <c r="J6" s="2" t="s">
        <v>50</v>
      </c>
      <c r="K6" s="2" t="s">
        <v>50</v>
      </c>
      <c r="L6" s="2" t="s">
        <v>50</v>
      </c>
      <c r="M6" s="1" t="s">
        <v>70</v>
      </c>
    </row>
    <row r="7" spans="5:13" x14ac:dyDescent="0.25">
      <c r="E7" s="1" t="s">
        <v>71</v>
      </c>
      <c r="G7" s="8">
        <v>2600000</v>
      </c>
      <c r="H7">
        <v>3</v>
      </c>
      <c r="I7" s="8">
        <f>+G7*H7</f>
        <v>7800000</v>
      </c>
      <c r="J7" s="8">
        <f>+I7/640</f>
        <v>12187.5</v>
      </c>
    </row>
    <row r="8" spans="5:13" x14ac:dyDescent="0.25">
      <c r="E8" s="1" t="s">
        <v>72</v>
      </c>
      <c r="G8" s="8">
        <v>2600000</v>
      </c>
      <c r="H8">
        <v>5</v>
      </c>
      <c r="I8" s="8">
        <f>+G8*H8</f>
        <v>13000000</v>
      </c>
      <c r="J8" s="8">
        <f>+I8/640</f>
        <v>20312.5</v>
      </c>
    </row>
    <row r="9" spans="5:13" x14ac:dyDescent="0.25">
      <c r="E9" s="1" t="s">
        <v>73</v>
      </c>
    </row>
    <row r="10" spans="5:13" x14ac:dyDescent="0.25">
      <c r="E10" s="1" t="s">
        <v>71</v>
      </c>
      <c r="G10" s="8">
        <v>2400000</v>
      </c>
      <c r="H10">
        <v>3</v>
      </c>
      <c r="I10" s="8">
        <f>+G10*H10</f>
        <v>7200000</v>
      </c>
      <c r="J10" s="8">
        <f>+I10/640</f>
        <v>11250</v>
      </c>
      <c r="K10" s="8">
        <f>+J10/18.75</f>
        <v>600</v>
      </c>
      <c r="L10" s="7">
        <f>(10000/J10)*K10</f>
        <v>533.33333333333326</v>
      </c>
    </row>
    <row r="11" spans="5:13" x14ac:dyDescent="0.25">
      <c r="E11" s="1" t="s">
        <v>72</v>
      </c>
      <c r="G11" s="8">
        <v>2400000</v>
      </c>
      <c r="H11">
        <v>5</v>
      </c>
      <c r="I11" s="8">
        <f>+G11*H11</f>
        <v>12000000</v>
      </c>
      <c r="J11" s="8">
        <f>+I11/640</f>
        <v>18750</v>
      </c>
      <c r="K11" s="8">
        <f>+J11/18.75</f>
        <v>1000</v>
      </c>
      <c r="L11" s="7">
        <f>(10000/J11)*K11</f>
        <v>533.33333333333337</v>
      </c>
      <c r="M11" s="7">
        <f>+L11*M5</f>
        <v>10000</v>
      </c>
    </row>
    <row r="13" spans="5:13" x14ac:dyDescent="0.25">
      <c r="E13" s="5" t="s">
        <v>74</v>
      </c>
      <c r="J13" s="1" t="s">
        <v>62</v>
      </c>
      <c r="K13" s="1" t="s">
        <v>65</v>
      </c>
    </row>
    <row r="14" spans="5:13" x14ac:dyDescent="0.25">
      <c r="E14" s="1" t="s">
        <v>66</v>
      </c>
      <c r="G14" s="2" t="s">
        <v>67</v>
      </c>
      <c r="H14" s="2" t="s">
        <v>68</v>
      </c>
      <c r="I14" s="2" t="s">
        <v>69</v>
      </c>
      <c r="J14" s="2" t="s">
        <v>50</v>
      </c>
      <c r="K14" s="2" t="s">
        <v>50</v>
      </c>
    </row>
    <row r="15" spans="5:13" x14ac:dyDescent="0.25">
      <c r="E15" s="1" t="s">
        <v>71</v>
      </c>
      <c r="G15" s="8">
        <v>7900000</v>
      </c>
      <c r="H15">
        <v>3</v>
      </c>
      <c r="I15" s="8">
        <f>+G15*H15</f>
        <v>23700000</v>
      </c>
      <c r="J15" s="8">
        <f>+I15/640</f>
        <v>37031.25</v>
      </c>
    </row>
    <row r="16" spans="5:13" x14ac:dyDescent="0.25">
      <c r="E16" s="1" t="s">
        <v>72</v>
      </c>
      <c r="G16" s="8">
        <v>7900000</v>
      </c>
      <c r="H16">
        <v>5</v>
      </c>
      <c r="I16" s="8">
        <f>+G16*H16</f>
        <v>39500000</v>
      </c>
      <c r="J16" s="8">
        <f>+I16/640</f>
        <v>61718.75</v>
      </c>
    </row>
    <row r="17" spans="5:12" x14ac:dyDescent="0.25">
      <c r="E17" s="1" t="s">
        <v>73</v>
      </c>
    </row>
    <row r="18" spans="5:12" x14ac:dyDescent="0.25">
      <c r="E18" s="1" t="s">
        <v>71</v>
      </c>
      <c r="G18" s="8">
        <v>3400000</v>
      </c>
      <c r="H18">
        <v>3</v>
      </c>
      <c r="I18" s="8">
        <f>+G18*H18</f>
        <v>10200000</v>
      </c>
      <c r="J18" s="8">
        <f>+I18/640</f>
        <v>15937.5</v>
      </c>
      <c r="K18" s="8">
        <f>+J18/18.75</f>
        <v>850</v>
      </c>
      <c r="L18" s="7">
        <f>(10000/J18)*K18</f>
        <v>533.33333333333337</v>
      </c>
    </row>
    <row r="19" spans="5:12" x14ac:dyDescent="0.25">
      <c r="E19" s="1" t="s">
        <v>72</v>
      </c>
      <c r="G19" s="8">
        <v>3400000</v>
      </c>
      <c r="H19">
        <v>5</v>
      </c>
      <c r="I19" s="8">
        <f>+G19*H19</f>
        <v>17000000</v>
      </c>
      <c r="J19" s="8">
        <f>+I19/640</f>
        <v>26562.5</v>
      </c>
      <c r="K19" s="8">
        <f>+J19/18.75</f>
        <v>1416.6666666666667</v>
      </c>
      <c r="L19" s="7">
        <f>(10000/J19)*K19</f>
        <v>533.33333333333337</v>
      </c>
    </row>
    <row r="21" spans="5:12" x14ac:dyDescent="0.25">
      <c r="E21" s="2" t="s">
        <v>51</v>
      </c>
    </row>
    <row r="22" spans="5:12" x14ac:dyDescent="0.25">
      <c r="E22" s="1" t="s">
        <v>52</v>
      </c>
    </row>
    <row r="23" spans="5:12" x14ac:dyDescent="0.25">
      <c r="E23" s="1" t="s">
        <v>53</v>
      </c>
    </row>
    <row r="24" spans="5:12" x14ac:dyDescent="0.25">
      <c r="E24" s="1" t="s">
        <v>54</v>
      </c>
    </row>
    <row r="25" spans="5:12" x14ac:dyDescent="0.25">
      <c r="E25" s="1" t="s">
        <v>55</v>
      </c>
      <c r="K25" s="20"/>
    </row>
    <row r="26" spans="5:12" x14ac:dyDescent="0.25">
      <c r="E26" s="1" t="s">
        <v>56</v>
      </c>
    </row>
    <row r="27" spans="5:12" x14ac:dyDescent="0.25">
      <c r="E27" s="1" t="s">
        <v>57</v>
      </c>
    </row>
    <row r="28" spans="5:12" x14ac:dyDescent="0.25">
      <c r="E28" s="1" t="s">
        <v>58</v>
      </c>
    </row>
    <row r="29" spans="5:12" x14ac:dyDescent="0.25">
      <c r="E29" s="1" t="s">
        <v>59</v>
      </c>
    </row>
    <row r="30" spans="5:12" x14ac:dyDescent="0.25">
      <c r="E30" s="1" t="s">
        <v>60</v>
      </c>
    </row>
    <row r="39" spans="1:15" x14ac:dyDescent="0.25">
      <c r="A39" s="23" t="s">
        <v>93</v>
      </c>
      <c r="B39" s="23"/>
      <c r="C39" s="24">
        <v>0.15</v>
      </c>
      <c r="D39" s="25"/>
      <c r="E39" s="25"/>
      <c r="F39" s="23"/>
      <c r="G39" s="25"/>
      <c r="H39" s="25"/>
      <c r="I39" s="25"/>
    </row>
    <row r="40" spans="1:15" x14ac:dyDescent="0.25">
      <c r="A40" s="23" t="s">
        <v>94</v>
      </c>
      <c r="B40" s="23"/>
      <c r="C40" s="25"/>
      <c r="D40" s="25"/>
      <c r="E40" s="25"/>
      <c r="F40" s="25"/>
      <c r="G40" s="25"/>
      <c r="H40" s="25"/>
      <c r="I40" s="25"/>
    </row>
    <row r="41" spans="1:15" x14ac:dyDescent="0.25">
      <c r="A41" s="23"/>
      <c r="B41" s="23"/>
      <c r="C41" s="25"/>
      <c r="D41" s="25"/>
      <c r="E41" s="26"/>
      <c r="F41" s="26" t="s">
        <v>95</v>
      </c>
      <c r="G41" s="26" t="s">
        <v>96</v>
      </c>
      <c r="H41" s="26" t="s">
        <v>2</v>
      </c>
      <c r="I41" s="26" t="s">
        <v>97</v>
      </c>
      <c r="J41" s="26" t="s">
        <v>98</v>
      </c>
      <c r="K41" s="26" t="s">
        <v>99</v>
      </c>
      <c r="L41" s="26" t="s">
        <v>100</v>
      </c>
      <c r="M41" s="26" t="s">
        <v>101</v>
      </c>
    </row>
    <row r="42" spans="1:15" x14ac:dyDescent="0.25">
      <c r="A42" s="27">
        <v>42917</v>
      </c>
      <c r="B42" s="27"/>
      <c r="C42" s="26"/>
      <c r="D42" s="27"/>
      <c r="E42" s="27"/>
      <c r="F42" s="27">
        <v>43101</v>
      </c>
      <c r="G42" s="27">
        <v>43466</v>
      </c>
      <c r="H42" s="27">
        <v>43831</v>
      </c>
      <c r="I42" s="27">
        <v>44197</v>
      </c>
      <c r="J42" s="27">
        <v>44562</v>
      </c>
      <c r="K42" s="27"/>
      <c r="L42" s="27"/>
      <c r="M42" s="27"/>
    </row>
    <row r="43" spans="1:15" x14ac:dyDescent="0.25">
      <c r="A43" s="23"/>
      <c r="B43" s="23"/>
      <c r="C43" s="23"/>
      <c r="D43" s="23"/>
      <c r="E43" s="23"/>
      <c r="F43" s="9">
        <v>1278</v>
      </c>
      <c r="G43" s="9">
        <v>1278</v>
      </c>
      <c r="H43" s="9">
        <v>1278</v>
      </c>
      <c r="I43" s="9">
        <v>1278</v>
      </c>
      <c r="J43" s="23"/>
      <c r="K43" s="23"/>
      <c r="L43" s="23"/>
      <c r="M43" s="23"/>
      <c r="N43" s="23"/>
      <c r="O43" s="23"/>
    </row>
    <row r="44" spans="1:15" x14ac:dyDescent="0.25">
      <c r="A44" s="28">
        <f>SUM(D43:Q43)</f>
        <v>5112</v>
      </c>
      <c r="B44" s="28"/>
      <c r="C44" s="23" t="s">
        <v>102</v>
      </c>
      <c r="D44" s="23"/>
      <c r="E44" s="23"/>
      <c r="F44" s="23"/>
      <c r="G44" s="23"/>
      <c r="H44" s="23"/>
      <c r="I44" s="9"/>
      <c r="J44" s="23"/>
    </row>
    <row r="45" spans="1:15" x14ac:dyDescent="0.25">
      <c r="A45" s="23">
        <f>+E43/(1+($C$117*((E$120-$A$120)/365)))</f>
        <v>0</v>
      </c>
      <c r="B45" s="23"/>
      <c r="C45" s="25" t="s">
        <v>103</v>
      </c>
      <c r="D45" s="25"/>
      <c r="E45" s="25"/>
      <c r="F45" s="25"/>
      <c r="G45" s="25"/>
      <c r="H45" s="25"/>
      <c r="I45" s="25"/>
    </row>
    <row r="46" spans="1:15" x14ac:dyDescent="0.25">
      <c r="A46" s="23">
        <f>+F43/(1+($C$39*((F$42-$A$42)/365)))</f>
        <v>1188.1558838512481</v>
      </c>
      <c r="B46" s="23"/>
      <c r="C46" s="25" t="s">
        <v>104</v>
      </c>
      <c r="D46" s="25"/>
      <c r="E46" s="25"/>
      <c r="F46" s="25"/>
      <c r="G46" s="25"/>
      <c r="H46" s="25"/>
      <c r="I46" s="25"/>
    </row>
    <row r="47" spans="1:15" x14ac:dyDescent="0.25">
      <c r="A47" s="23">
        <f>+G43/(1+($C$39*((G$42-$A$42)/365)))</f>
        <v>1042.7405834357885</v>
      </c>
      <c r="B47" s="23"/>
      <c r="C47" s="25" t="s">
        <v>105</v>
      </c>
      <c r="D47" s="25"/>
      <c r="E47" s="25"/>
      <c r="F47" s="25"/>
      <c r="G47" s="25"/>
      <c r="H47" s="25"/>
      <c r="I47" s="25"/>
    </row>
    <row r="48" spans="1:15" x14ac:dyDescent="0.25">
      <c r="A48" s="23">
        <f>+H43/(1+($C$39*((H$42-$A$42)/365)))</f>
        <v>929.03804023102964</v>
      </c>
      <c r="B48" s="23"/>
      <c r="C48" s="25" t="s">
        <v>106</v>
      </c>
      <c r="D48" s="25"/>
      <c r="E48" s="25"/>
      <c r="F48" s="25"/>
      <c r="G48" s="25"/>
      <c r="H48" s="25"/>
      <c r="I48" s="25"/>
    </row>
    <row r="49" spans="1:9" x14ac:dyDescent="0.25">
      <c r="A49" s="23">
        <f>+I43/(1+($C$39*((I$42-$A$42)/365)))</f>
        <v>837.46858168761219</v>
      </c>
      <c r="B49" s="23"/>
      <c r="C49" s="25" t="s">
        <v>107</v>
      </c>
      <c r="D49" s="25"/>
      <c r="E49" s="25"/>
      <c r="F49" s="25"/>
      <c r="G49" s="25"/>
      <c r="H49" s="25"/>
      <c r="I49" s="25"/>
    </row>
    <row r="50" spans="1:9" x14ac:dyDescent="0.25">
      <c r="A50" s="23">
        <f>+J43/(1+($C$117*((J$120-$A$120)/365)))</f>
        <v>0</v>
      </c>
      <c r="B50" s="23"/>
      <c r="C50" s="25" t="s">
        <v>108</v>
      </c>
      <c r="D50" s="25"/>
      <c r="E50" s="25"/>
      <c r="F50" s="25"/>
      <c r="G50" s="25"/>
      <c r="H50" s="25"/>
      <c r="I50" s="25"/>
    </row>
    <row r="51" spans="1:9" x14ac:dyDescent="0.25">
      <c r="A51" s="23">
        <f>+K43/(1+($C$117*((K$120-$A$120)/365)))</f>
        <v>0</v>
      </c>
      <c r="B51" s="23"/>
      <c r="C51" s="25" t="s">
        <v>109</v>
      </c>
      <c r="D51" s="25"/>
      <c r="E51" s="25"/>
      <c r="F51" s="25"/>
      <c r="G51" s="25"/>
      <c r="H51" s="25"/>
      <c r="I51" s="25"/>
    </row>
    <row r="52" spans="1:9" x14ac:dyDescent="0.25">
      <c r="A52" s="23">
        <f>+L43/(1+($C$117*((L$120-$A$120)/365)))</f>
        <v>0</v>
      </c>
      <c r="B52" s="23"/>
      <c r="C52" s="25" t="s">
        <v>110</v>
      </c>
      <c r="D52" s="25"/>
      <c r="E52" s="25"/>
      <c r="F52" s="25"/>
      <c r="G52" s="25"/>
      <c r="H52" s="25"/>
      <c r="I52" s="25"/>
    </row>
    <row r="53" spans="1:9" x14ac:dyDescent="0.25">
      <c r="A53" s="23">
        <f>+M43/(1+($C$117*((M$120-$A$120)/365)))</f>
        <v>0</v>
      </c>
      <c r="B53" s="23"/>
      <c r="C53" s="25" t="s">
        <v>111</v>
      </c>
      <c r="D53" s="25"/>
      <c r="E53" s="25"/>
      <c r="F53" s="25"/>
      <c r="G53" s="25"/>
      <c r="H53" s="25"/>
      <c r="I53" s="25"/>
    </row>
    <row r="54" spans="1:9" x14ac:dyDescent="0.25">
      <c r="A54" s="28">
        <f>SUM(A45:A53)</f>
        <v>3997.4030892056785</v>
      </c>
      <c r="B54" s="28"/>
      <c r="C54" s="23" t="s">
        <v>112</v>
      </c>
      <c r="D54" s="23"/>
      <c r="E54" s="23"/>
      <c r="F54" s="23"/>
      <c r="G54" s="23"/>
      <c r="H54" s="23"/>
      <c r="I54" s="23"/>
    </row>
    <row r="55" spans="1:9" x14ac:dyDescent="0.25">
      <c r="A55" s="28">
        <v>640</v>
      </c>
      <c r="B55" s="28" t="s">
        <v>113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8">
        <f>+A54/A55</f>
        <v>6.2459423268838723</v>
      </c>
      <c r="B56" s="29"/>
      <c r="C56" s="23"/>
      <c r="D56" s="23"/>
      <c r="E56" s="23"/>
      <c r="F56" s="23"/>
      <c r="G56" s="23"/>
      <c r="H56" s="23"/>
      <c r="I56" s="23"/>
    </row>
    <row r="57" spans="1:9" x14ac:dyDescent="0.25">
      <c r="A57" s="28">
        <v>6</v>
      </c>
      <c r="B57" t="s">
        <v>114</v>
      </c>
    </row>
    <row r="58" spans="1:9" x14ac:dyDescent="0.25">
      <c r="A58" s="28">
        <f>+A56/A57</f>
        <v>1.0409903878139788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curve1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Jelisavcic</dc:creator>
  <cp:lastModifiedBy>Research1</cp:lastModifiedBy>
  <cp:lastPrinted>2017-06-13T17:40:02Z</cp:lastPrinted>
  <dcterms:created xsi:type="dcterms:W3CDTF">2017-05-13T22:54:38Z</dcterms:created>
  <dcterms:modified xsi:type="dcterms:W3CDTF">2017-06-16T17:42:45Z</dcterms:modified>
</cp:coreProperties>
</file>