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SR" sheetId="1" r:id="rId4"/>
    <sheet state="visible" name="Road Quality" sheetId="2" r:id="rId5"/>
    <sheet state="visible" name="School Quality" sheetId="3" r:id="rId6"/>
    <sheet state="visible" name="Homeless" sheetId="4" r:id="rId7"/>
    <sheet state="visible" name="WalletHub Rankings" sheetId="5" r:id="rId8"/>
    <sheet state="visible" name="Chart Data" sheetId="6" r:id="rId9"/>
    <sheet state="visible" name="Cost Of Living Index" sheetId="7" r:id="rId10"/>
    <sheet state="visible" name="State Population" sheetId="8" r:id="rId11"/>
    <sheet state="visible" name="2020 Census City Splits" sheetId="9" r:id="rId12"/>
    <sheet state="visible" name="Population" sheetId="10" r:id="rId13"/>
    <sheet state="visible" name="Citys share of County " sheetId="11" r:id="rId14"/>
    <sheet state="visible" name="2017 FiSC data comparison" sheetId="12" r:id="rId15"/>
    <sheet state="visible" name="Per Capita Personal Income BEA" sheetId="13" r:id="rId16"/>
  </sheets>
  <definedNames>
    <definedName name="PerCapitaOwnSourceRevenue">'Chart Data'!$K$3:$Q$54</definedName>
    <definedName name="PerCapitaRevenue">'Chart Data'!$K$3:$Q$54</definedName>
    <definedName name="PerCapitaIncome">'Per Capita Personal Income BEA'!$A$7:$E$399</definedName>
    <definedName name="CostOfLivingIndex">'Cost Of Living Index'!$C$5:$D$520</definedName>
    <definedName hidden="1" localSheetId="0" name="_xlnm._FilterDatabase">OSR!$A$1:$K$327</definedName>
    <definedName hidden="1" localSheetId="7" name="_xlnm._FilterDatabase">'State Population'!$A$1:$A$1000</definedName>
    <definedName hidden="1" localSheetId="9" name="_xlnm._FilterDatabase">Population!$A$1:$X$997</definedName>
  </definedNames>
  <calcPr/>
  <extLst>
    <ext uri="GoogleSheetsCustomDataVersion1">
      <go:sheetsCustomData xmlns:go="http://customooxmlschemas.google.com/" r:id="rId17" roundtripDataSignature="AMtx7mimWpZ4lYjy6uQj2tXVe7kV/qcOVg=="/>
    </ext>
  </extLst>
</workbook>
</file>

<file path=xl/sharedStrings.xml><?xml version="1.0" encoding="utf-8"?>
<sst xmlns="http://schemas.openxmlformats.org/spreadsheetml/2006/main" count="7394" uniqueCount="3448">
  <si>
    <t>S.No</t>
  </si>
  <si>
    <t>State</t>
  </si>
  <si>
    <t xml:space="preserve">State </t>
  </si>
  <si>
    <t>City</t>
  </si>
  <si>
    <t>Overlying Governments</t>
  </si>
  <si>
    <t>Category</t>
  </si>
  <si>
    <t>Charges for Services</t>
  </si>
  <si>
    <t>General Revenue</t>
  </si>
  <si>
    <t>General Revenue (Excluding Additional Items)</t>
  </si>
  <si>
    <t>Value (Additional Item)</t>
  </si>
  <si>
    <t>Additional Item</t>
  </si>
  <si>
    <t>Electric Utility Revenue</t>
  </si>
  <si>
    <t>Hospital Revenue</t>
  </si>
  <si>
    <t>Total Revenue</t>
  </si>
  <si>
    <t>Allocation Percentage</t>
  </si>
  <si>
    <t>Total General Revenue (with exclusions) 2020</t>
  </si>
  <si>
    <t>Total Own Source Revenue (ex Hosp and Elec Utils)</t>
  </si>
  <si>
    <t>Total Own Source Revenue 2020</t>
  </si>
  <si>
    <t>Total Own Source Revenue 2017</t>
  </si>
  <si>
    <t>Source</t>
  </si>
  <si>
    <t>NY</t>
  </si>
  <si>
    <t>State of New York</t>
  </si>
  <si>
    <t>NY State of New York 2020.pdf</t>
  </si>
  <si>
    <t>New York City</t>
  </si>
  <si>
    <t/>
  </si>
  <si>
    <t>Unrestricted Federal and State Aid Included within General Revenue of Value 2,58,951,000 Subtracted from General Revenue</t>
  </si>
  <si>
    <t>NY New York 2020.pdf</t>
  </si>
  <si>
    <t>NJ</t>
  </si>
  <si>
    <t>Passaic Valley Sewerage District</t>
  </si>
  <si>
    <t>Special District</t>
  </si>
  <si>
    <t>Federal/state grants and loans subtracted</t>
  </si>
  <si>
    <t>NJ Passaic Valley Sewerage Commission 2020.pdf</t>
  </si>
  <si>
    <t>New York and New Jersey Port Authority</t>
  </si>
  <si>
    <t>Grants, in connection with operating activities</t>
  </si>
  <si>
    <t>NJ The Port Authority of New York and New Jersey 2020.pdf</t>
  </si>
  <si>
    <t>Total</t>
  </si>
  <si>
    <t>CA</t>
  </si>
  <si>
    <t>State of California</t>
  </si>
  <si>
    <t>CA State of California 2020.pdf</t>
  </si>
  <si>
    <t>Los Angeles City</t>
  </si>
  <si>
    <t>Grants and Contributions Not Restricted to Specific Programs</t>
  </si>
  <si>
    <t>CA Los Angeles 2020.pdf</t>
  </si>
  <si>
    <t>Los Angeles County</t>
  </si>
  <si>
    <t>County</t>
  </si>
  <si>
    <t>Grants and contributions not restricted to special subtracted
programs subtracted</t>
  </si>
  <si>
    <t>CA Los Angeles County 2020.pdf</t>
  </si>
  <si>
    <t>Los Angeles Unified School District</t>
  </si>
  <si>
    <t>School District</t>
  </si>
  <si>
    <t>Grants, entitlements, and contributions not restricted to specific programs and State aid not restricted to specific purpose subtracted</t>
  </si>
  <si>
    <t>CA Los Angeles Unified School District 2020.pdf</t>
  </si>
  <si>
    <t>Los Angeles County Metropolitan Transportation Authority</t>
  </si>
  <si>
    <t>CA Los Angeles County Metropolitan Transportation Authority 2020.pdf</t>
  </si>
  <si>
    <t>Los Angeles City Housing Authority</t>
  </si>
  <si>
    <t>Grant revenue from U.S. Department of Housing
and Urban Development and Grant revenue ‐ other government sources</t>
  </si>
  <si>
    <t>CA Housing Authority of the City of Los Angeles 2020.pdf</t>
  </si>
  <si>
    <t>Sanitation Districts of Los Angeles County</t>
  </si>
  <si>
    <t>CA Sanitation Districts of Los Angeles County 2020.pdf</t>
  </si>
  <si>
    <t>Metropolitan Water District of Southern California</t>
  </si>
  <si>
    <t>CA The Metropolitan Water District of Southern California 2020.pdf</t>
  </si>
  <si>
    <t>Los Angeles Care Health Plan Joint Powers Authority</t>
  </si>
  <si>
    <t>NA</t>
  </si>
  <si>
    <t>Southern California Regional Rail Authority</t>
  </si>
  <si>
    <t>Subsidies and grants - trains and maintenance of way and Subsidies and grants - public liability and property damage</t>
  </si>
  <si>
    <t>CA Southern California Regional Rail Authority 2020.pdf</t>
  </si>
  <si>
    <t>Alameda Corridor Transportation Authority</t>
  </si>
  <si>
    <t>Grant Revenue</t>
  </si>
  <si>
    <t>CA Alameda Corridor Transportation Authority 2020.pdf</t>
  </si>
  <si>
    <t>Southeast Resource Recovery Facility Authority</t>
  </si>
  <si>
    <t>Southern California Public Power Authority</t>
  </si>
  <si>
    <t>CA Southern California Public Power Authority 2020.pdf</t>
  </si>
  <si>
    <t>South Coast Air Quality Management District</t>
  </si>
  <si>
    <t>Grants and subventions - not restricted to specific stationary source programs subtracted</t>
  </si>
  <si>
    <t>CA South Coast Air Quality Management District 2020.pdf</t>
  </si>
  <si>
    <t>Los Angeles, CA</t>
  </si>
  <si>
    <t>IL</t>
  </si>
  <si>
    <t>State of Illinois</t>
  </si>
  <si>
    <t>IL State of Illinois 2020.pdf</t>
  </si>
  <si>
    <t>Chicago City</t>
  </si>
  <si>
    <t>Grants and contributions not restricted to special
programs subtracted</t>
  </si>
  <si>
    <t>IL Chicago 2020.pdf</t>
  </si>
  <si>
    <t>Cook County</t>
  </si>
  <si>
    <t>IL Cook County 2020.pdf</t>
  </si>
  <si>
    <t>City of Chicago Sch Dist 299</t>
  </si>
  <si>
    <t>Non-program state aid</t>
  </si>
  <si>
    <t>IL Chicago Board of Education 2020.pdf</t>
  </si>
  <si>
    <t>Chicago Park District</t>
  </si>
  <si>
    <t>IL Chicago Park District 2020.pdf</t>
  </si>
  <si>
    <t>Metro Water Reclamation of Greater Chicago</t>
  </si>
  <si>
    <t>Capital grants and contributions: Federal and state grants</t>
  </si>
  <si>
    <t>IL Metropolitan Water Reclamation District of Greater Chicago 2020.pdf</t>
  </si>
  <si>
    <t>Chicago Transit Authority</t>
  </si>
  <si>
    <t>Operating grant revenue and Contributions from local government agencies</t>
  </si>
  <si>
    <t>IL Chicago Transit Authority 2020.pdf</t>
  </si>
  <si>
    <t>Chicago Housing Authority</t>
  </si>
  <si>
    <t>Intergovernmental revenue - HUD and Other</t>
  </si>
  <si>
    <t>IL Chicago Housing Authority 2020.pdf</t>
  </si>
  <si>
    <t>Metropolitan Pier and Exposition Authority (Chicago)</t>
  </si>
  <si>
    <t>State grants</t>
  </si>
  <si>
    <t>IL Metropolitan Pier and Exposition Authority 2020.pdf</t>
  </si>
  <si>
    <t>Metra Commuter Rail Board</t>
  </si>
  <si>
    <t>IL Metra - Commuter Rail Division and Commuter Railroad Corporation 2020.pdf</t>
  </si>
  <si>
    <t>Chicago Public Building Commission</t>
  </si>
  <si>
    <t>Regional Transportation Authority</t>
  </si>
  <si>
    <t>General state revenue , Additional State Assistance (ASA) / Additional Fincancial Assistance (AFA)</t>
  </si>
  <si>
    <t>IL Regional Transportation Authority 2020.pdf</t>
  </si>
  <si>
    <t>Chicago, IL</t>
  </si>
  <si>
    <t>TX</t>
  </si>
  <si>
    <t>State of Texas</t>
  </si>
  <si>
    <t>Capital Contributions, Contributions to Permanent and Term Endowments, Special Items</t>
  </si>
  <si>
    <t>TX State of Texas 2020.pdf</t>
  </si>
  <si>
    <t>Houston City</t>
  </si>
  <si>
    <t>TX Houston 2020.pdf</t>
  </si>
  <si>
    <t>Harris County</t>
  </si>
  <si>
    <t>TX Harris County 2020.pdf</t>
  </si>
  <si>
    <t>Fort Bend County</t>
  </si>
  <si>
    <t>TX Fort Bend County 2020.pdf</t>
  </si>
  <si>
    <t>Montgomery County</t>
  </si>
  <si>
    <t>TX Montgomery County 2020.pdf</t>
  </si>
  <si>
    <t>Fort Bend Independent School District</t>
  </si>
  <si>
    <t>State-aid formula grants</t>
  </si>
  <si>
    <t>TX Fort Bend Independent School District 2020.pdf</t>
  </si>
  <si>
    <t>Clear Creek Independent School District</t>
  </si>
  <si>
    <t>State-aid formula grants not restricted</t>
  </si>
  <si>
    <t>TX Clear Creek Independent School District 2020.pdf</t>
  </si>
  <si>
    <t>Aldine Independent School District</t>
  </si>
  <si>
    <t>TX Aldine Independent School District 2020.pdf</t>
  </si>
  <si>
    <t>Alief Independent School District</t>
  </si>
  <si>
    <t>State aid - not restricted to specific programs</t>
  </si>
  <si>
    <t>TX Alief Independent School District 2020.pdf</t>
  </si>
  <si>
    <t>Cypress-Fairbanks Independent School District</t>
  </si>
  <si>
    <t>TX Cypress-Fairbanks Independent School District 2020.pdf</t>
  </si>
  <si>
    <t>North Forest Ind Sch Dist</t>
  </si>
  <si>
    <t>Galena Park Independent School District</t>
  </si>
  <si>
    <t>TX Galena Park Independent School District 2020.pdf</t>
  </si>
  <si>
    <t>Houston Independent School District</t>
  </si>
  <si>
    <t>TX Houston Independent School District 2020.pdf</t>
  </si>
  <si>
    <t>Humble Independent School District</t>
  </si>
  <si>
    <t>State-aid formula grants - unrestricted</t>
  </si>
  <si>
    <t>TX Humble Independent School District 2020.pdf</t>
  </si>
  <si>
    <t>Katy Independent School District</t>
  </si>
  <si>
    <t>State Aid - Formula Grants Unrestricted</t>
  </si>
  <si>
    <t>TX Katy Independent School District 2020.pdf</t>
  </si>
  <si>
    <t>Klein Independent School District</t>
  </si>
  <si>
    <t>TX Klein Independent School District 2020.pdf</t>
  </si>
  <si>
    <t>Pasadena Independent School District</t>
  </si>
  <si>
    <t>TX Pasadena Independent School District 2020.pdf</t>
  </si>
  <si>
    <t>Spring Branch Independent School District</t>
  </si>
  <si>
    <t>TX Spring Branch Independent School District 2020.pdf</t>
  </si>
  <si>
    <t>Spring Independent School District</t>
  </si>
  <si>
    <t>Grants and contributions not restricted to specific programs &amp; State aid- formula grants</t>
  </si>
  <si>
    <t>TX Spring Independent School District 2020.pdf</t>
  </si>
  <si>
    <t>Port Freeport</t>
  </si>
  <si>
    <t>Port of Houston Authority of Harris County</t>
  </si>
  <si>
    <t>TX Port of Houston Authority of Harris County 2020.pdf</t>
  </si>
  <si>
    <t>Houston City Housing Authority</t>
  </si>
  <si>
    <t>Tomball Hospital Authority</t>
  </si>
  <si>
    <t>Harris County Metropolitan Transit Authority</t>
  </si>
  <si>
    <t>Grant Proceeds</t>
  </si>
  <si>
    <t>TX Metropolitan Transit Authority of Harris County 2020.pdf</t>
  </si>
  <si>
    <t>Gulf Coast Waste Disposal Authority</t>
  </si>
  <si>
    <t>Houston, TX</t>
  </si>
  <si>
    <t>AZ</t>
  </si>
  <si>
    <t>State of Arizona</t>
  </si>
  <si>
    <t>Unrestricted grants and contributions, Contributions to permanent endowments</t>
  </si>
  <si>
    <t>AZ State of Arizona 2020.pdf</t>
  </si>
  <si>
    <t>Phoenix City</t>
  </si>
  <si>
    <t>AZ Phoenix 2020.pdf</t>
  </si>
  <si>
    <t>Maricopa County</t>
  </si>
  <si>
    <t>Grants and contributions not restricted to specific programs</t>
  </si>
  <si>
    <t>AZ Maricopa County 2020.pdf</t>
  </si>
  <si>
    <t>Alhambra Elementary School District No. 68</t>
  </si>
  <si>
    <t>Unrestricted County Aid, State Aid &amp; Federal Aid</t>
  </si>
  <si>
    <t>AZ Alhambra Elementary School District No. 68 2020.pdf</t>
  </si>
  <si>
    <t>Balsz Elementary School District No. 31</t>
  </si>
  <si>
    <t>AZ Balsz Elementary School District No. 31 2020.pdf</t>
  </si>
  <si>
    <t>Cartwright Elementary School District No. 83</t>
  </si>
  <si>
    <t>AZ Cartwright Elementary School District No. 83 2020.pdf</t>
  </si>
  <si>
    <t>Cave Creek Unified School District No. 93</t>
  </si>
  <si>
    <t>Unrestricted State Aid &amp; Federal Aid</t>
  </si>
  <si>
    <t>AZ Cave Creek Unified School District No. 93 2020.pdf</t>
  </si>
  <si>
    <t>Creighton Elementary School District No. 14</t>
  </si>
  <si>
    <t>AZ Creighton Elementary School District No. 14 2020.pdf</t>
  </si>
  <si>
    <t>Fowler Elementary School District No. 45</t>
  </si>
  <si>
    <t>Unrestricted County Aid &amp; State Aids</t>
  </si>
  <si>
    <t>AZ Fowler Elementary School District No. 45 2020.pdf</t>
  </si>
  <si>
    <t>Glendale Union High School District No. 205</t>
  </si>
  <si>
    <t>AZ Glendale Union High School District No. 205 2020.pdf</t>
  </si>
  <si>
    <t>Isaac Elementary School District No.5</t>
  </si>
  <si>
    <t>AZ Isaac Elementary School District No.5 2020.pdf</t>
  </si>
  <si>
    <t>Kyrene Elementary School District No. 28</t>
  </si>
  <si>
    <t>AZ Kyrene Elementary School District No. 28 2020.pdf</t>
  </si>
  <si>
    <t>Laveen Elementary School District No. 59</t>
  </si>
  <si>
    <t>AZ Laveen Elementary School District No. 59 2020.pdf</t>
  </si>
  <si>
    <t>Littleton Elementary School District No. 65</t>
  </si>
  <si>
    <t>AZ Littleton Elementary School District No. 65 2020.pdf</t>
  </si>
  <si>
    <t>Madison Elementary School District No. 38</t>
  </si>
  <si>
    <t>AZ Madison Elementary School District No. 38 2020.pdf</t>
  </si>
  <si>
    <t>Murphy Elementary School District No. 21</t>
  </si>
  <si>
    <t>AZ Murphy Elementary School District No. 21 2020.pdf</t>
  </si>
  <si>
    <t>Osborn Elementary School District No.8</t>
  </si>
  <si>
    <t>Grants and contributions not restricted to specific programs and special item</t>
  </si>
  <si>
    <t>AZ Osborn Elementary School District No.8 2020.pdf</t>
  </si>
  <si>
    <t>Pendergast Elementary School District No. 92</t>
  </si>
  <si>
    <t>AZ Pendergast Elementary School District No. 92 2020.pdf</t>
  </si>
  <si>
    <t>Phoenix Elementary School District No.1</t>
  </si>
  <si>
    <t>Unrestricted County Aid &amp; State Aid Aid</t>
  </si>
  <si>
    <t>AZ Phoenix Elementary School District No.1 2020.pdf</t>
  </si>
  <si>
    <t>Phoenix Union High School District No. 210</t>
  </si>
  <si>
    <t>Grants and Contributions Not Restricted to Specific Programs
State and County Equalization and Additional State Aid</t>
  </si>
  <si>
    <t>AZ Phoenix Union High School District No. 210 2020.pdf</t>
  </si>
  <si>
    <t>Riverside Elementary School District No.2</t>
  </si>
  <si>
    <t>Unrestricted state aid</t>
  </si>
  <si>
    <t>AZ Riverside Elementary School District No.2 2020.pdf</t>
  </si>
  <si>
    <t>Roosevelt Elementary School District No. 66</t>
  </si>
  <si>
    <t>AZ Roosevelt Elementary School District No. 66 2020.pdf</t>
  </si>
  <si>
    <t>Scottsdale Unified School District No. 48</t>
  </si>
  <si>
    <t>AZ Scottsdale Unified School District No. 48 2020.pdf</t>
  </si>
  <si>
    <t>Paradise Valley Unified School District No. 69</t>
  </si>
  <si>
    <t>AZ Paradise Valley Unified School District No. 69 2020.pdf</t>
  </si>
  <si>
    <t>Tempe Elementary School District No.3</t>
  </si>
  <si>
    <t>AZ Tempe Elementary School District No.3 2020.pdf</t>
  </si>
  <si>
    <t>Tempe Union High School District No. 213</t>
  </si>
  <si>
    <t>AZ Tempe Union High School District No. 213 2020.pdf</t>
  </si>
  <si>
    <t>Tolleson Elementary School District No. 17</t>
  </si>
  <si>
    <t>AZ Tolleson Elementary School District No. 17 2020.pdf</t>
  </si>
  <si>
    <t>Tolleson Union High School District No. 214</t>
  </si>
  <si>
    <t>AZ Tolleson Union High School District No. 214 2020.pdf</t>
  </si>
  <si>
    <t>Union Elementary District</t>
  </si>
  <si>
    <t>AZ Union Elementary School District No. 62 2020.pdf</t>
  </si>
  <si>
    <t>Washington Elementary School District No.6</t>
  </si>
  <si>
    <t>AZ Washington Elementary School District No.6 2020.pdf</t>
  </si>
  <si>
    <t>Wilson Elementary School District No.7</t>
  </si>
  <si>
    <t>AZ Wilson Elementary School District No.7 2020.pdf</t>
  </si>
  <si>
    <t>Deer Valley Unified School District No. 97</t>
  </si>
  <si>
    <t>AZ Deer Valley Unified School District No. 97 2020.pdf</t>
  </si>
  <si>
    <t>Salt River Project Agricultural Improvement &amp; Power District</t>
  </si>
  <si>
    <t>Maricopa County Special Health Care District</t>
  </si>
  <si>
    <t xml:space="preserve">Noncapital grants </t>
  </si>
  <si>
    <t>AZ Maricopa County Special Health Care District 2020.pdf</t>
  </si>
  <si>
    <t>Regional Public Transportation Authority</t>
  </si>
  <si>
    <t>AZ Valley Metro Regional Public Transportation Authority 2020.pdf</t>
  </si>
  <si>
    <t>Central Arizona Water Conservation District</t>
  </si>
  <si>
    <t>Phoenix, AZ</t>
  </si>
  <si>
    <t>PA</t>
  </si>
  <si>
    <t>State of Pennsylvania</t>
  </si>
  <si>
    <t>PA Commonwealth of Pennsylvania 2020.pdf</t>
  </si>
  <si>
    <t>Philadelphia City</t>
  </si>
  <si>
    <t>Grants &amp; Contributions Not Restricted to Specific Programs</t>
  </si>
  <si>
    <t>PA Philadelphia 2020.pdf</t>
  </si>
  <si>
    <t>Philadelphia County</t>
  </si>
  <si>
    <t>School District of Philadelphia</t>
  </si>
  <si>
    <t>Grants &amp; Contributions Not Restricted to Specific Programs, State &amp; Federal subsidies not related to specific programs</t>
  </si>
  <si>
    <t>PA School District of Philadelphia 2020.pdf</t>
  </si>
  <si>
    <t>Delaware River Port Authority</t>
  </si>
  <si>
    <t>Other grant revenues</t>
  </si>
  <si>
    <t>NJ Delaware River Port Authority 2020.pdf</t>
  </si>
  <si>
    <t>Delaware River Joint Toll Bridge Commission of PA and NJ</t>
  </si>
  <si>
    <t>Philadelphia Housing Authority</t>
  </si>
  <si>
    <t>PA Philadelphia Housing Authority 2020.pdf</t>
  </si>
  <si>
    <t>Philadelphia Parking Authority</t>
  </si>
  <si>
    <t>No pdf available</t>
  </si>
  <si>
    <t>Southeastern Pennsylvania Transportation Authority</t>
  </si>
  <si>
    <t>Capital and operating grants</t>
  </si>
  <si>
    <t>PA Southeastern Pennsylvania Transportation Authority 2020.pdf</t>
  </si>
  <si>
    <t>Philadelphia Industrial Development Authority</t>
  </si>
  <si>
    <t>Operating grants &amp; Net transfer from primary government excluded</t>
  </si>
  <si>
    <t>PA Philadelphia Authority for Industrial Development 2020.pdf</t>
  </si>
  <si>
    <t>Philadelphia Hospitals and Higher Education Facilities Authority</t>
  </si>
  <si>
    <t>Philadelphia, PA</t>
  </si>
  <si>
    <t>San Antonio City</t>
  </si>
  <si>
    <t>Transfers, net</t>
  </si>
  <si>
    <t>TX San Antonio 2020.pdf</t>
  </si>
  <si>
    <t>Bexar County</t>
  </si>
  <si>
    <t>TX Bexar County 2020.pdf</t>
  </si>
  <si>
    <t>Medina County</t>
  </si>
  <si>
    <t>TX Medina County 2020.pdf</t>
  </si>
  <si>
    <t>Alamo Heights Independent School District</t>
  </si>
  <si>
    <t>Unrestricted Grants and Contributions</t>
  </si>
  <si>
    <t>TX Alamo Heights Independent School District 2020.pdf</t>
  </si>
  <si>
    <t>Judson Independent School District</t>
  </si>
  <si>
    <t>TX Judson Independent School District 2020.pdf</t>
  </si>
  <si>
    <t>East Central Independent School District</t>
  </si>
  <si>
    <t>State Aid - Formula Grants and Grants and Contributions not Restricted</t>
  </si>
  <si>
    <t>TX East Central Independent School District 2020.pdf</t>
  </si>
  <si>
    <t>Edgewood Independent School District</t>
  </si>
  <si>
    <t>Grants and contributions not restricted to specific programs &amp; Extraordinaty item</t>
  </si>
  <si>
    <t>TX Edgewood Independent School District 2020.pdf</t>
  </si>
  <si>
    <t>Fort Sam Houston Independent School District</t>
  </si>
  <si>
    <t>TX Fort Sam Houston Independent School District 2020.pdf</t>
  </si>
  <si>
    <t>Harlandale Independent School District</t>
  </si>
  <si>
    <t>TX Harlandale Independent School District 2020.pdf</t>
  </si>
  <si>
    <t>North East Independent School District</t>
  </si>
  <si>
    <t>TX North East Independent School District 2020.pdf</t>
  </si>
  <si>
    <t>Northside Independent School District</t>
  </si>
  <si>
    <t>State aid - unrestricted formula grants &amp; Extra Ordinary Item</t>
  </si>
  <si>
    <t>TX Northside Independent School District 2020.pdf</t>
  </si>
  <si>
    <t>San Antonio Independent School District</t>
  </si>
  <si>
    <t>Grants and Contributions not Restricted</t>
  </si>
  <si>
    <t>TX San Antonio Independent School District 2020.pdf</t>
  </si>
  <si>
    <t>South San Antonio Independent School District</t>
  </si>
  <si>
    <t>TX South San Antonio Independent School District 2020.pdf</t>
  </si>
  <si>
    <t>Southside Independent School District</t>
  </si>
  <si>
    <t>TX Southside Independent School District 2020.pdf</t>
  </si>
  <si>
    <t>Southwest Independent School District</t>
  </si>
  <si>
    <t>TX Southwest Independent School District 2020.pdf</t>
  </si>
  <si>
    <t>Housing Authority of the City of San Antonio</t>
  </si>
  <si>
    <t>HUD operating subsidy and grant revenue &amp; other government grants</t>
  </si>
  <si>
    <t>TX Housing Authority of the City of San Antonio 2020.pdf</t>
  </si>
  <si>
    <t>San Antonio River Authority</t>
  </si>
  <si>
    <t>TX San Antonio River Authority 2020.pdf</t>
  </si>
  <si>
    <t>VIA Metropolitan Transit</t>
  </si>
  <si>
    <t>Grant revenue VIA &amp; Grant revenue- pass through, City of San Antonio intergovernmental agreement</t>
  </si>
  <si>
    <t>TX VIA Metropolitan Transit 2020.pdf</t>
  </si>
  <si>
    <t>San Antonio, TX</t>
  </si>
  <si>
    <t>San Diego City</t>
  </si>
  <si>
    <t>Grants and Contributions not Restricted to Specific Programs</t>
  </si>
  <si>
    <t>CA San Diego 2020.pdf</t>
  </si>
  <si>
    <t>San Diego County</t>
  </si>
  <si>
    <t>CA San Diego County 2020.pdf</t>
  </si>
  <si>
    <t>Chula Vista Elementary School District</t>
  </si>
  <si>
    <t>Federal and State Aid Not Restricted for Specific Purposes and Interagency Revenues</t>
  </si>
  <si>
    <t>CA Chula Vista Elementary School District 2020.pdf</t>
  </si>
  <si>
    <t>Vista Del Mar Union Elementary School District</t>
  </si>
  <si>
    <t>Federal and state aid not restricted to specific purposes</t>
  </si>
  <si>
    <t>CA Vista Del Mar Union Elementary School District 2020.pdf</t>
  </si>
  <si>
    <t>Escondido Union High School District</t>
  </si>
  <si>
    <t>Federal and State Aid, Not Restricted for specific purposes</t>
  </si>
  <si>
    <t>CA Escondido Union High School District 2020.pdf</t>
  </si>
  <si>
    <t>Grossmont Union High School District</t>
  </si>
  <si>
    <t>Federal and state aid not restricted for specific purposes and Interagency Revenues</t>
  </si>
  <si>
    <t>CA Grossmont Union High School District 2020.pdf</t>
  </si>
  <si>
    <t>Lemon Grove School District</t>
  </si>
  <si>
    <t>Federal and state aid not restricted for specific purposes</t>
  </si>
  <si>
    <t>CA Lemon Grove School District 2020.pdf</t>
  </si>
  <si>
    <t>Poway Unified School District</t>
  </si>
  <si>
    <t>CA Poway Unified School District 2020.pdf</t>
  </si>
  <si>
    <t>San Diego Unified School District</t>
  </si>
  <si>
    <t>CA San Diego Unified School District 2020.pdf</t>
  </si>
  <si>
    <t>San Dieguito Union High School District</t>
  </si>
  <si>
    <t>CA San Dieguito Union High School District 2020.pdf</t>
  </si>
  <si>
    <t>San Pasqual Union Elementary School District</t>
  </si>
  <si>
    <t>CA San Pasqual Union Elementary School District 2020.pdf</t>
  </si>
  <si>
    <t>Santee School District</t>
  </si>
  <si>
    <t>Federal and State aid not restricted to specific purposes and Special and extraordinary</t>
  </si>
  <si>
    <t>CA Santee School District 2020.pdf</t>
  </si>
  <si>
    <t>San Ysidro School District</t>
  </si>
  <si>
    <t>Federal and State Aid Not Restricted for Specific Purposes</t>
  </si>
  <si>
    <t>CA San Ysidro School District 2020.pdf</t>
  </si>
  <si>
    <t>Solana Beach School District</t>
  </si>
  <si>
    <t>CA Solana Beach School District 2020.pdf</t>
  </si>
  <si>
    <t>South Bay Union School District (San Diego County)</t>
  </si>
  <si>
    <t>Federal and state aid not restricted to specific purposes and Interagency revenues</t>
  </si>
  <si>
    <t>CA South Bay Union School District 2020.pdf</t>
  </si>
  <si>
    <t>Sweetwater Union High School District</t>
  </si>
  <si>
    <t>CA Sweetwater Union High School District 2020.pdf</t>
  </si>
  <si>
    <t>The Metropolitan Water District of Southern California</t>
  </si>
  <si>
    <t>Subsidies and grants - trains and maintenance of way &amp; public liability and property damage</t>
  </si>
  <si>
    <t>San Diego CO Water Authority</t>
  </si>
  <si>
    <t>Intergovernmental is excluded</t>
  </si>
  <si>
    <t>CA San Diego County Water Authority 2020.pdf</t>
  </si>
  <si>
    <t>San Diego County Regional Airport Authority</t>
  </si>
  <si>
    <t>CARES Act Grant &amp; Quieter Home Program grant revenue, and Build America Bonds subsidy is included in general revenue</t>
  </si>
  <si>
    <t>CA San Diego County Regional Airport Authority 2020.pdf</t>
  </si>
  <si>
    <t>San Diego Metropolitan Transportation Development Board</t>
  </si>
  <si>
    <t>Federal and state revenue</t>
  </si>
  <si>
    <t>CA San Diego Metropolitan Transit System 2020.pdf</t>
  </si>
  <si>
    <t>San Diego Association of Governments (SANDAG)</t>
  </si>
  <si>
    <t>CA San Diego Association of Governments 2020.pdf</t>
  </si>
  <si>
    <t>San Diego Unified Port District</t>
  </si>
  <si>
    <t>CA San Diego Unified Port District 2020.pdf</t>
  </si>
  <si>
    <t>San Diego, CA</t>
  </si>
  <si>
    <t>Dallas City</t>
  </si>
  <si>
    <t>Tax increment financing intergovernmental revenue</t>
  </si>
  <si>
    <t>TX Dallas 2020.pdf</t>
  </si>
  <si>
    <t>Dallas County</t>
  </si>
  <si>
    <t>TX Dallas County 2020.pdf</t>
  </si>
  <si>
    <t>Collin County</t>
  </si>
  <si>
    <t>TX Collin County 2020.pdf</t>
  </si>
  <si>
    <t>Denton County</t>
  </si>
  <si>
    <t>TX Denton County 2020.pdf</t>
  </si>
  <si>
    <t>Plano Independent School District</t>
  </si>
  <si>
    <t>Grants and contributions not restricted</t>
  </si>
  <si>
    <t>TX Plano Independent School District 2020.pdf</t>
  </si>
  <si>
    <t>Carrollton-Farmers Branch Independent School District</t>
  </si>
  <si>
    <t>TX Carrollton-Farmers Branch Independent School District 2020.pdf</t>
  </si>
  <si>
    <t>Cedar Hill Independent School District</t>
  </si>
  <si>
    <t>TX Cedar Hill Independent School District 2020.pdf</t>
  </si>
  <si>
    <t>Coppell Independent School District</t>
  </si>
  <si>
    <t>TX Coppell Independent School District 2020.pdf</t>
  </si>
  <si>
    <t>Dallas Independent School District</t>
  </si>
  <si>
    <t>State Aid not Restricted to Specific Purpose,Grants, Contributions and Other Revenue not Restricted,Extraordinary Item - Resource and Extraordinary Item - (Use)</t>
  </si>
  <si>
    <t>TX Dallas Independent School District 2020.pdf</t>
  </si>
  <si>
    <t>Duncanville Independent School District</t>
  </si>
  <si>
    <t>TX Duncanville Independent School District 2020.pdf</t>
  </si>
  <si>
    <t>Garland Independent School District</t>
  </si>
  <si>
    <t>TX Garland Independent School District 2020.pdf</t>
  </si>
  <si>
    <t>Grand Prairie Independent School District</t>
  </si>
  <si>
    <t>TX Grand Prairie Independent School District 2020.pdf</t>
  </si>
  <si>
    <t>Irving Independent School District</t>
  </si>
  <si>
    <t>TX Irving Independent School District 2020.pdf</t>
  </si>
  <si>
    <t>Richardson Independent School District</t>
  </si>
  <si>
    <t>TX Richardson Independent School District 2020.pdf</t>
  </si>
  <si>
    <t>Rockwall Independent School District</t>
  </si>
  <si>
    <t>TX Rockwall Independent School District 2020.pdf</t>
  </si>
  <si>
    <t>North Texas Tollway Authority</t>
  </si>
  <si>
    <t>TX North Texas Tollway Authority 2020.pdf</t>
  </si>
  <si>
    <t>GA</t>
  </si>
  <si>
    <t>Dallas City Housing Authority</t>
  </si>
  <si>
    <t>GA Housing Authority of the City of Dallas 2020.pdf</t>
  </si>
  <si>
    <t>Dallas Area Rapid Transit</t>
  </si>
  <si>
    <t>Federal Grants</t>
  </si>
  <si>
    <t>TX Dallas Area Rapid Transit 2020.pdf</t>
  </si>
  <si>
    <t>Metrocrest Hospital Authority</t>
  </si>
  <si>
    <t>Dallas, TX</t>
  </si>
  <si>
    <t>San Jose city</t>
  </si>
  <si>
    <t>CA San Jose 2020.pdf</t>
  </si>
  <si>
    <t>Santa Clara County</t>
  </si>
  <si>
    <t>Unrestricted intergovernmental - motor vehicle in lieu of taxes and Grants/contributions not restricted to specific programs</t>
  </si>
  <si>
    <t>CA Santa Clara County 2020.pdf</t>
  </si>
  <si>
    <t>Alum Rock Union Elementary School District</t>
  </si>
  <si>
    <t>CA Alum Rock Union Elementary School District 2020.pdf</t>
  </si>
  <si>
    <t>Berryessa Union School District</t>
  </si>
  <si>
    <t>CA Berryessa Union School District 2020.pdf</t>
  </si>
  <si>
    <t>Cambrian School District</t>
  </si>
  <si>
    <t>Federal and State aid not restricted to specific purposes &amp; Interagency revenues</t>
  </si>
  <si>
    <t>CA Cambrian School District 2020.pdf</t>
  </si>
  <si>
    <t>Campbell Union School District</t>
  </si>
  <si>
    <t>CA Campbell Union School District 2020.pdf</t>
  </si>
  <si>
    <t>Campbell Union High School District</t>
  </si>
  <si>
    <t>CA Campbell Union High School District 2020.pdf</t>
  </si>
  <si>
    <t>Cupertino Union School District</t>
  </si>
  <si>
    <t>CA Cupertino Union School District 2020.pdf</t>
  </si>
  <si>
    <t>Eastside Union School District</t>
  </si>
  <si>
    <t>Federal and State aid not restricted to specific purposes</t>
  </si>
  <si>
    <t>CA Eastside Union School District 2020.pdf</t>
  </si>
  <si>
    <t>Evergreen School District</t>
  </si>
  <si>
    <t>CA Evergreen School District 2020.pdf</t>
  </si>
  <si>
    <t>Franklin-Mckinley School District</t>
  </si>
  <si>
    <t>Federal and State aid not restricted to specific purposes &amp; Interagency revenues, Special and extraordinary</t>
  </si>
  <si>
    <t>CA Franklin-Mckinley School District 2020.pdf</t>
  </si>
  <si>
    <t>Fremont Union High School District</t>
  </si>
  <si>
    <t>CA Fremont Union High School District 2020.pdf</t>
  </si>
  <si>
    <t>Moreland School District</t>
  </si>
  <si>
    <t>CA Moreland School District 2020.pdf</t>
  </si>
  <si>
    <t>Mount Pleasant Elementary School District</t>
  </si>
  <si>
    <t>CA Mount Pleasant Elementary School District 2020.pdf</t>
  </si>
  <si>
    <t>Oak Grove School District</t>
  </si>
  <si>
    <t>CA Oak Grove School District 2020.pdf</t>
  </si>
  <si>
    <t>Orchard Elementary School District</t>
  </si>
  <si>
    <t>Federal and State aid not restricted to specific purposes &amp; Special item - loss on disposal of capital assets</t>
  </si>
  <si>
    <t>CA Orchard Elementary School District 2020.pdf</t>
  </si>
  <si>
    <t>San Jose Unified School District</t>
  </si>
  <si>
    <t>CA San Jose Unified School District 2020.pdf</t>
  </si>
  <si>
    <t>Santa Clara Unified School District</t>
  </si>
  <si>
    <t>CA Santa Clara Unified School District 2020.pdf</t>
  </si>
  <si>
    <t>Union School District</t>
  </si>
  <si>
    <t>Federal and State aid not restricted to specific purposes, Special item - gain (loss) on disposal of capital assets</t>
  </si>
  <si>
    <t>CA Union School District 2020.pdf</t>
  </si>
  <si>
    <t>Morgan Hill Unified School District</t>
  </si>
  <si>
    <t>CA Morgan Hill Unified School District 2020.pdf</t>
  </si>
  <si>
    <t>Metropolitan Transportation Commission</t>
  </si>
  <si>
    <t>Capital Contributions from BATA to BAIFA</t>
  </si>
  <si>
    <t>CA Metropolitan Transportation Commission 2020.pdf</t>
  </si>
  <si>
    <t>Bay Area Air Quality Management District</t>
  </si>
  <si>
    <t>CA Bay Area Air Quality Management District 2020.pdf</t>
  </si>
  <si>
    <t>Peninsula Corridor Joint Powers Board</t>
  </si>
  <si>
    <t>Federal, state and local operating assistance</t>
  </si>
  <si>
    <t>CA Peninsula Corridor Joint Powers Board 2020.pdf</t>
  </si>
  <si>
    <t>Santa Clara Valley Water District</t>
  </si>
  <si>
    <t>CA Santa Clara Valley Water District 2020.pdf</t>
  </si>
  <si>
    <t>Santa Clara Valley Transportation Authority</t>
  </si>
  <si>
    <t>CA Santa Clara Valley Transportation Authority 2020.pdf</t>
  </si>
  <si>
    <t>Santa Clara County Housing Authority</t>
  </si>
  <si>
    <t>CA Santa Clara County Housing Authority 2020.pdf</t>
  </si>
  <si>
    <t>San Jose, CA</t>
  </si>
  <si>
    <t>Austin city</t>
  </si>
  <si>
    <t>TX Austin 2020.pdf</t>
  </si>
  <si>
    <t>Travis County</t>
  </si>
  <si>
    <t xml:space="preserve">Grants and contributions not restricted to specific programs </t>
  </si>
  <si>
    <t>TX Travis County 2020.pdf</t>
  </si>
  <si>
    <t>Williamson County</t>
  </si>
  <si>
    <t>TX Williamson County 2020.pdf</t>
  </si>
  <si>
    <t>Hays County</t>
  </si>
  <si>
    <t>TX Hays County 2020.pdf</t>
  </si>
  <si>
    <t>Austin Independent School District</t>
  </si>
  <si>
    <t>Grants and contributions not restricted to specific programs and state aid formula grants</t>
  </si>
  <si>
    <t>TX Austin Independent School District 2020.pdf</t>
  </si>
  <si>
    <t>Del Valle Independent School District</t>
  </si>
  <si>
    <t xml:space="preserve">State aid formula grants </t>
  </si>
  <si>
    <t>TX Del Valle Independent School District 2020.pdf</t>
  </si>
  <si>
    <t>Eanes Independent School District</t>
  </si>
  <si>
    <t>TX Eanes Independent School District 2020.pdf</t>
  </si>
  <si>
    <t>Manor Independent School District</t>
  </si>
  <si>
    <t>TX Manor Independent School District 2020.pdf</t>
  </si>
  <si>
    <t>Pflugerville Independent School District</t>
  </si>
  <si>
    <t>TX Pflugerville Independent School District 2020.pdf</t>
  </si>
  <si>
    <t>Leander Independent School District</t>
  </si>
  <si>
    <t xml:space="preserve">State aid formula grants and grants and contributions not restricted </t>
  </si>
  <si>
    <t>TX Leander Independent School District 2020.pdf</t>
  </si>
  <si>
    <t>Round Rock Independent School District</t>
  </si>
  <si>
    <t>TX Round Rock Independent School District 2020.pdf</t>
  </si>
  <si>
    <t>Austin City Housing Authority</t>
  </si>
  <si>
    <t xml:space="preserve">Other government operating grants </t>
  </si>
  <si>
    <t>TX Housing Authority of the City of Austin 2020.pdf</t>
  </si>
  <si>
    <t>Central Texas Regional Mobility Authority</t>
  </si>
  <si>
    <t>TX Central Texas Regional Mobility Authority 2020.pdf</t>
  </si>
  <si>
    <t>Capital Metro Transit Authority</t>
  </si>
  <si>
    <t>Other federal grants</t>
  </si>
  <si>
    <t>TX Capital Metropolitan Transportation Authority 2020.pdf</t>
  </si>
  <si>
    <t>Austin, TX</t>
  </si>
  <si>
    <t>Fort Worth city</t>
  </si>
  <si>
    <t>TX Fort Worth 2020.pdf</t>
  </si>
  <si>
    <t>Tarrant County</t>
  </si>
  <si>
    <t>TX Tarrant County 2020.pdf</t>
  </si>
  <si>
    <t>Parker County</t>
  </si>
  <si>
    <t>TX Parker County 2020.pdf</t>
  </si>
  <si>
    <t>Wise County</t>
  </si>
  <si>
    <t>TX Wise County 2020.pdf</t>
  </si>
  <si>
    <t>Northwest Independent School District</t>
  </si>
  <si>
    <t xml:space="preserve">State Aid - Formula Grants </t>
  </si>
  <si>
    <t>TX Northwest Independent School District 2020.pdf</t>
  </si>
  <si>
    <t>Birdville Independent School District</t>
  </si>
  <si>
    <t xml:space="preserve"> State aid - formula grants</t>
  </si>
  <si>
    <t>TX Birdville Independent School District 2020.pdf</t>
  </si>
  <si>
    <t>Castleberry Independent School District</t>
  </si>
  <si>
    <t xml:space="preserve">State Aid - Formula Grants and Grants and Contributions not Restricted 
</t>
  </si>
  <si>
    <t>TX Castleberry Independent School District 2020.pdf</t>
  </si>
  <si>
    <t>Crowley Independent School District</t>
  </si>
  <si>
    <t xml:space="preserve"> Grants and contributions not restricted for specific programs</t>
  </si>
  <si>
    <t>TX Crowley Independent School District 2020.pdf</t>
  </si>
  <si>
    <t>Everman Independent School District</t>
  </si>
  <si>
    <t>TX Everman Independent School District 2020.pdf</t>
  </si>
  <si>
    <t>Fort Worth Independent School District</t>
  </si>
  <si>
    <t>TX Fort Worth Independent School District 2020.pdf</t>
  </si>
  <si>
    <t>Hurst-Euless-Bedford Independent School District</t>
  </si>
  <si>
    <t xml:space="preserve"> State grants,unrestricted </t>
  </si>
  <si>
    <t>TX Hurst-Euless-Bedford Independent School District 2020.pdf</t>
  </si>
  <si>
    <t>Keller Independent School District</t>
  </si>
  <si>
    <t>TX Keller Independent School District 2020.pdf</t>
  </si>
  <si>
    <t>Lake Worth Independent School District</t>
  </si>
  <si>
    <t xml:space="preserve">State Aid - Formula Grants and Grants and Contributions not Restricted and Special Item - Mineral Right
</t>
  </si>
  <si>
    <t>TX Lake Worth Independent School District 2020.pdf</t>
  </si>
  <si>
    <t>Eagle Mountain-Saginaw Independent School District</t>
  </si>
  <si>
    <t>State Aid - Formula Grants</t>
  </si>
  <si>
    <t>TX Eagle Mountain- Saginaw Independent School District 2020.pdf</t>
  </si>
  <si>
    <t>White Settlement Independent School District</t>
  </si>
  <si>
    <t>TX White Settlement Independent School District 2020.pdf</t>
  </si>
  <si>
    <t>Fort Worth City Housing Authority</t>
  </si>
  <si>
    <t>Tarrant Regional Water District</t>
  </si>
  <si>
    <t>TX Tarrant Regional Water District 2020.pdf</t>
  </si>
  <si>
    <t>Fort Worth Transportation Authority</t>
  </si>
  <si>
    <t xml:space="preserve">Operating assistance grants and Contributions from partners
</t>
  </si>
  <si>
    <t>TX Fort Worth Transportation Authority 2020.pdf</t>
  </si>
  <si>
    <t>Fort Worth, TX</t>
  </si>
  <si>
    <t>FL</t>
  </si>
  <si>
    <t>State of Florida</t>
  </si>
  <si>
    <t>FL State of Florida 2020.pdf</t>
  </si>
  <si>
    <t>Jacksonville city</t>
  </si>
  <si>
    <t>Intergovernmental - unrestricted and JEA Contribution</t>
  </si>
  <si>
    <t>FL Jacksonville 2020.pdf</t>
  </si>
  <si>
    <t>Duval County Public Schools</t>
  </si>
  <si>
    <t>FL Duval County Public Schools 2020.pdf</t>
  </si>
  <si>
    <t>Jacksonville Housing Authority</t>
  </si>
  <si>
    <t>Grant revenue</t>
  </si>
  <si>
    <t>FL Jacksonville Housing Authority 2020.pdf</t>
  </si>
  <si>
    <t>Jacksonville, FL</t>
  </si>
  <si>
    <t>OH</t>
  </si>
  <si>
    <t>State of Ohio</t>
  </si>
  <si>
    <t>OH State of Ohio 2020.pdf</t>
  </si>
  <si>
    <t>Columbus city</t>
  </si>
  <si>
    <t>OH Columbus 2020.pdf</t>
  </si>
  <si>
    <t>Franklin County</t>
  </si>
  <si>
    <t>OH Franklin County 2020.pdf</t>
  </si>
  <si>
    <t>Fairfield County</t>
  </si>
  <si>
    <t>Unrestricted Contributions and Grants and entitlements not restricted to specific programs</t>
  </si>
  <si>
    <t>OH Fairfield County 2020.pdf</t>
  </si>
  <si>
    <t>Delaware County</t>
  </si>
  <si>
    <t>Grants and Entitlements not Restricted to Other Programs</t>
  </si>
  <si>
    <t>OH Delaware County 2020.pdf</t>
  </si>
  <si>
    <t>Olentangy Local School District</t>
  </si>
  <si>
    <t>Grants and Entitlements not Restricted to Specific Programs</t>
  </si>
  <si>
    <t>OH Olentangy Local School District 2020.pdf</t>
  </si>
  <si>
    <t>Pickerington Local School District</t>
  </si>
  <si>
    <t>Grants and entitlements not restricted
to specific programs</t>
  </si>
  <si>
    <t>OH Pickerington Local School District 2020.pdf</t>
  </si>
  <si>
    <t>Canal Winchester Local School District</t>
  </si>
  <si>
    <t>Grants and entitlements not restricted to specific programs</t>
  </si>
  <si>
    <t>OH Canal Winchester Local School District 2020.pdf</t>
  </si>
  <si>
    <t>Columbus City School District</t>
  </si>
  <si>
    <t>Grants and Entitlements not Restricted to
Specific Programs</t>
  </si>
  <si>
    <t>OH Columbus City School District 2020.pdf</t>
  </si>
  <si>
    <t>Hamilton Local School District</t>
  </si>
  <si>
    <t>Grants and Entitlements not Restricted</t>
  </si>
  <si>
    <t>OH Hamilton Local School District 2020.pdf</t>
  </si>
  <si>
    <t>Groveport Madison Local School District</t>
  </si>
  <si>
    <t>Unrestricted Grants and Entitlements</t>
  </si>
  <si>
    <t>OH Groveport Madison Local School District 2020.pdf</t>
  </si>
  <si>
    <t>New Albany Plain Local School District</t>
  </si>
  <si>
    <t>OH New Albany Plain Local School District 2020.pdf</t>
  </si>
  <si>
    <t>Reynoldsburg City School District</t>
  </si>
  <si>
    <t>OH Reynoldsburg City School District 2020.pdf</t>
  </si>
  <si>
    <t>Hilliard City School District</t>
  </si>
  <si>
    <t>OH Hilliard City School District 2020.pdf</t>
  </si>
  <si>
    <t>South-Western City School District</t>
  </si>
  <si>
    <t>Unrestricted Contributions and Grants and Entitlements not Restricted
to Specific Programs</t>
  </si>
  <si>
    <t>OH South-Western City School District 2020.pdf</t>
  </si>
  <si>
    <t>Dublin City School District</t>
  </si>
  <si>
    <t>Unrestricted Contributions and Grants and Entitlements not Restricted</t>
  </si>
  <si>
    <t>OH Dublin City School District 2020.pdf</t>
  </si>
  <si>
    <t>Westerville City School District</t>
  </si>
  <si>
    <t>OH Westerville City School District 2020.pdf</t>
  </si>
  <si>
    <t>Worthington City School District</t>
  </si>
  <si>
    <t>Grants &amp; Entitlements not Restricted to Specific Programs</t>
  </si>
  <si>
    <t>OH Worthington City School District 2020.pdf</t>
  </si>
  <si>
    <t>New Horizons Community Service Board</t>
  </si>
  <si>
    <t>Medical Center Hospital Authority</t>
  </si>
  <si>
    <t>Columbus Metropolitan Housing Authority</t>
  </si>
  <si>
    <t>HUD operating grants</t>
  </si>
  <si>
    <t>OH Columbus Metropolitan Housing Authority 2020.pdf</t>
  </si>
  <si>
    <t>Central Ohio Solid Waste Authority</t>
  </si>
  <si>
    <t>Columbus Metropolitan Library</t>
  </si>
  <si>
    <t>Columbus Regional Airport Authority</t>
  </si>
  <si>
    <t>OH Columbus Regional Airport Authority 2020.pdf</t>
  </si>
  <si>
    <t>Central Ohio Transit Authority</t>
  </si>
  <si>
    <t>Federal operating grants, State operating grants, reimbursements and
special fare assistance and Local operating grants</t>
  </si>
  <si>
    <t>OH Central Ohio Transit Authority 2020.pdf</t>
  </si>
  <si>
    <t>Columbus, OH</t>
  </si>
  <si>
    <t>NC</t>
  </si>
  <si>
    <t>State of North Carolina</t>
  </si>
  <si>
    <t>Contributions to permanent funds</t>
  </si>
  <si>
    <t>NC State of North Carolina 2020.pdf</t>
  </si>
  <si>
    <t>Charlotte city</t>
  </si>
  <si>
    <t xml:space="preserve">Grants and contributions not restricted to specific purposes </t>
  </si>
  <si>
    <t>NC Charlotte 2020.pdf</t>
  </si>
  <si>
    <t>Mecklenburg County</t>
  </si>
  <si>
    <t>NC Mecklenburg County 2020.pdf</t>
  </si>
  <si>
    <t>Charlotte City Housing Authority</t>
  </si>
  <si>
    <t>Charlotte Mecklenburg Hospital Authority</t>
  </si>
  <si>
    <t>Stimulus grants</t>
  </si>
  <si>
    <t>NC The Charlotte-Mecklenburg Housing Authority 2020.pdf</t>
  </si>
  <si>
    <t>Charlotte. NC</t>
  </si>
  <si>
    <t>IN</t>
  </si>
  <si>
    <t>State of Indiana</t>
  </si>
  <si>
    <t>Indianapolis city (balance)</t>
  </si>
  <si>
    <t>IN Indianapolis 2020.pdf</t>
  </si>
  <si>
    <t>Marion County</t>
  </si>
  <si>
    <t>IN Marion County 2020.pdf</t>
  </si>
  <si>
    <t>Metro Sch Dist of Decatur Twp</t>
  </si>
  <si>
    <t>Franklin Township Community School Corporation</t>
  </si>
  <si>
    <t>IN Franklin Township Community School Corporation 2020.pdf</t>
  </si>
  <si>
    <t>Not a CAFR</t>
  </si>
  <si>
    <t>Indianapolis Public Schools</t>
  </si>
  <si>
    <t>State basic aid</t>
  </si>
  <si>
    <t>IN Indianapolis Public Schools 2020.pdf</t>
  </si>
  <si>
    <t>Lawrence Township Metropolitan S</t>
  </si>
  <si>
    <t>Metro Sch Dist Wash Twp</t>
  </si>
  <si>
    <t>Metro Sch Dist Perry Twp</t>
  </si>
  <si>
    <t>Metropolitan School District of Pike Township</t>
  </si>
  <si>
    <t>Not a CAFR Document</t>
  </si>
  <si>
    <t>Metropolitan School District of Warren County</t>
  </si>
  <si>
    <t>IN Metropolitan School District of Warren County 2020.pdf</t>
  </si>
  <si>
    <t>Metropolitan School District of Wayne Township</t>
  </si>
  <si>
    <t>State aid and contributions</t>
  </si>
  <si>
    <t>IN Metropolitan School District of Wayne Township 2020.pdf</t>
  </si>
  <si>
    <t>Indianapolis-Marion County Public Library</t>
  </si>
  <si>
    <t>IN Indianapolis-Marion County Public Library 2020.pdf</t>
  </si>
  <si>
    <t>Indianapolis, IN</t>
  </si>
  <si>
    <t>San Francisco city</t>
  </si>
  <si>
    <t>San Francisco</t>
  </si>
  <si>
    <t>City and County</t>
  </si>
  <si>
    <t>CA San Francisco 2020.pdf</t>
  </si>
  <si>
    <t>San Francisco Unified School District</t>
  </si>
  <si>
    <t>Federal and state aid not restricted to specific purposes, Interagency revenue</t>
  </si>
  <si>
    <t>CA San Francisco Unified School District 2020.pdf</t>
  </si>
  <si>
    <t>San Francisco Bay Area Rapid Transit District</t>
  </si>
  <si>
    <t>CA San Francisco Bay Area Rapid Transit District 2020.pdf</t>
  </si>
  <si>
    <t>Golden Gate Bridge Highway and Transportation District</t>
  </si>
  <si>
    <t>Operating grants excluded</t>
  </si>
  <si>
    <t>CA Golden Gate Bridge Highway and Transportation District 2020.pdf</t>
  </si>
  <si>
    <t>San Francisco Housing Authority</t>
  </si>
  <si>
    <t>Operating grants from the City and County of San Francisco</t>
  </si>
  <si>
    <t>CA Housing Authority of the City and County of San Francisco 2020.pdf</t>
  </si>
  <si>
    <t>Transbay Joint Powers Authority</t>
  </si>
  <si>
    <t>San Francisco, CA</t>
  </si>
  <si>
    <t>WA</t>
  </si>
  <si>
    <t>State of Washington</t>
  </si>
  <si>
    <t>WA State of Washington 2020.pdf</t>
  </si>
  <si>
    <t>Seattle city</t>
  </si>
  <si>
    <t>Special item- Environmental Remediation</t>
  </si>
  <si>
    <t>WA Seattle 2020.pdf</t>
  </si>
  <si>
    <t>King County</t>
  </si>
  <si>
    <t>WA King County 2020.pdf</t>
  </si>
  <si>
    <t>Seattle School District No.1</t>
  </si>
  <si>
    <t xml:space="preserve">State and federal grants </t>
  </si>
  <si>
    <t>WA Seattle School District No.1 2020.pdf</t>
  </si>
  <si>
    <t>Housing Authority of the City of Seattle</t>
  </si>
  <si>
    <t xml:space="preserve">Operating subsidies and grants </t>
  </si>
  <si>
    <t>WA Housing Authority of the City of Seattle 2020.pdf</t>
  </si>
  <si>
    <t>Washington State Convention Center Public Facilities District</t>
  </si>
  <si>
    <t>Port of Seattle</t>
  </si>
  <si>
    <t>Operating grants and contract revenues and non capital grants and donations</t>
  </si>
  <si>
    <t>WA Port of Seattle 2020.pdf</t>
  </si>
  <si>
    <t>Central Puget Sound Regional Transit Authority</t>
  </si>
  <si>
    <t>WA Central Puget Sound Regional Transit Authority 2020.pdf</t>
  </si>
  <si>
    <t>Port of Tacoma</t>
  </si>
  <si>
    <t>The Northwest Seaport Alliance</t>
  </si>
  <si>
    <t>Port of Everett</t>
  </si>
  <si>
    <t>Environmental grant revenues</t>
  </si>
  <si>
    <t>WA Port of Everett 2020.pdf</t>
  </si>
  <si>
    <t>Seattle, WA</t>
  </si>
  <si>
    <t>CO</t>
  </si>
  <si>
    <t>State of Colorado</t>
  </si>
  <si>
    <t>Permanent Fund Additions</t>
  </si>
  <si>
    <t>CO State of Colorado 2020.pdf</t>
  </si>
  <si>
    <t>Denver city</t>
  </si>
  <si>
    <t>CO Denver 2020.pdf</t>
  </si>
  <si>
    <t>Denver County</t>
  </si>
  <si>
    <t>School District No. 1 in the City and County of Denver and State of Colorado</t>
  </si>
  <si>
    <t>School District No.1 in the city and County of Denver and State of Colorado 2020.pdf</t>
  </si>
  <si>
    <t>E-470 Public Highway Authority</t>
  </si>
  <si>
    <t>Denver City and County Housing Authority</t>
  </si>
  <si>
    <t xml:space="preserve">Intergovernmental under operating,Intergovernmental non operating revenue and Extraordinary items, net gain/loss </t>
  </si>
  <si>
    <t>CO Housing Authority of the City and County of Denver 2020.pdf</t>
  </si>
  <si>
    <t>Denver Health and Hospital Authority</t>
  </si>
  <si>
    <t xml:space="preserve">Non operating grant revenue (CARES Act/FEMA) and Federal,state and other grants </t>
  </si>
  <si>
    <t>CO Denver Health and Hospital Authority 2020.pdf</t>
  </si>
  <si>
    <t>Metropolitan Wastewater Reclamation District</t>
  </si>
  <si>
    <t>Regional Transportation District</t>
  </si>
  <si>
    <t>Grant operating assistance</t>
  </si>
  <si>
    <t>CO Regional Transportation District 2020.pdf</t>
  </si>
  <si>
    <t>Northwest Parkway Public Highway Authority</t>
  </si>
  <si>
    <t>Denver, CO</t>
  </si>
  <si>
    <t>DC</t>
  </si>
  <si>
    <t>Washington city</t>
  </si>
  <si>
    <t>District of Columbia County</t>
  </si>
  <si>
    <t>Subsidy from primary government included</t>
  </si>
  <si>
    <t>DC Government of the District of Columbia 2020.pdf</t>
  </si>
  <si>
    <t>Washington Metropolitan Area Transit Authority</t>
  </si>
  <si>
    <t xml:space="preserve">Federal and jurisdictional subsidies </t>
  </si>
  <si>
    <t>DC Washington Metropolitan Area Transit Authority 2020.pdf</t>
  </si>
  <si>
    <t>VA</t>
  </si>
  <si>
    <t>Northern Virginia Transportation Commission</t>
  </si>
  <si>
    <t>Intergovernmental revenue - commuter rail,Intergovernmental revenue - motor vehicle fuel sales tax and Intergovernmental revenue - toll revenue</t>
  </si>
  <si>
    <t>VA Northern Virginia Transportation Commission 2020.pdf</t>
  </si>
  <si>
    <t>Metropolitan Washington Airports Authority</t>
  </si>
  <si>
    <t xml:space="preserve">Federal, state and local grants and Net contributions from (to) other governments </t>
  </si>
  <si>
    <t>VA Metropolitan Washington Airports Authority 2020.pdf</t>
  </si>
  <si>
    <t>Washington, DC</t>
  </si>
  <si>
    <t>MA</t>
  </si>
  <si>
    <t>State of Massachusetts</t>
  </si>
  <si>
    <t>Contribution from municipalities</t>
  </si>
  <si>
    <t>MA Commonwealth of Massachusetts 2020.pdf</t>
  </si>
  <si>
    <t>Boston city</t>
  </si>
  <si>
    <t>MA Boston 2020.pdf</t>
  </si>
  <si>
    <t>Suffolk County</t>
  </si>
  <si>
    <t>Boston Housing Authority</t>
  </si>
  <si>
    <t>HUD Operating Grants &amp; other government grants</t>
  </si>
  <si>
    <t>MA Boston Housing Authority 2020.pdf</t>
  </si>
  <si>
    <t>Boston, MA</t>
  </si>
  <si>
    <t>El Paso city</t>
  </si>
  <si>
    <t>TX El Paso 2020.pdf</t>
  </si>
  <si>
    <t>El Paso County</t>
  </si>
  <si>
    <t>Transfers</t>
  </si>
  <si>
    <t>TX El Paso County 2020.pdf</t>
  </si>
  <si>
    <t>Socorro Independent School District</t>
  </si>
  <si>
    <t>TX Socorro Independent School District 2020.pdf</t>
  </si>
  <si>
    <t>Canutillo Independent School District</t>
  </si>
  <si>
    <t>State Aid - Formula Grants, Special Item- Loss on Disposal of Assets</t>
  </si>
  <si>
    <t>TX Canutillo Independent School District 2020.pdf</t>
  </si>
  <si>
    <t>Ysleta Independent School District</t>
  </si>
  <si>
    <t>State-aid formula grants &amp; Grants and contributions not restricted</t>
  </si>
  <si>
    <t>TX Ysleta Independent School District 2020.pdf</t>
  </si>
  <si>
    <t>El Paso Independent School District</t>
  </si>
  <si>
    <t>State Aid - Formula Grants, Special Item- Loss on sale of Assets</t>
  </si>
  <si>
    <t>TX El Paso Independent School District 2020.pdf</t>
  </si>
  <si>
    <t>El Paso City Housing Authority</t>
  </si>
  <si>
    <t>El Paso Center For Mental Health/Intellectual Disabilities</t>
  </si>
  <si>
    <t>El Paso, TX</t>
  </si>
  <si>
    <t>TN</t>
  </si>
  <si>
    <t>State of Tennessee</t>
  </si>
  <si>
    <t>TN State of Tennessee 2020.pdf</t>
  </si>
  <si>
    <t>Nashville-Davidson metropolitan government (balance)</t>
  </si>
  <si>
    <t>Davidson County</t>
  </si>
  <si>
    <t>Revenues from the use of money or property ; Revenues from other governmental agencies not restricted for specific programs/functions ; Compensation for loss, sale or damage to property</t>
  </si>
  <si>
    <t>TN Metropolitan Nashville and Davidson Annual Financial County 2020.pdf</t>
  </si>
  <si>
    <t>Metropolitan Development and Housing Agency</t>
  </si>
  <si>
    <t>TN Metropolitan Development and Housing Agency 2020.pdf</t>
  </si>
  <si>
    <t>Metropolitan Nashville Airport Authority</t>
  </si>
  <si>
    <t>Federal and state grants</t>
  </si>
  <si>
    <t>TN Metropolitan Nashville Airport Authority 2020.pdf</t>
  </si>
  <si>
    <t>Nashville, TN</t>
  </si>
  <si>
    <t>MI</t>
  </si>
  <si>
    <t>State of Michigan</t>
  </si>
  <si>
    <t>Contributions to permanent fund principal</t>
  </si>
  <si>
    <t>MI State of Michigan 2020.pdf</t>
  </si>
  <si>
    <t>Detroit city</t>
  </si>
  <si>
    <t>Unrestricted state-shared revenue</t>
  </si>
  <si>
    <t>MI Detroit 2020.pdf</t>
  </si>
  <si>
    <t>Wayne County</t>
  </si>
  <si>
    <t>State sources</t>
  </si>
  <si>
    <t>MI Wayne County 2020.pdf</t>
  </si>
  <si>
    <t>Detroit Public Schools Community District</t>
  </si>
  <si>
    <t>State aid not restricted to specific purposes</t>
  </si>
  <si>
    <t>MI Detroit Public Schools Community District 2020.pdf</t>
  </si>
  <si>
    <t>Wayne County Airport Authority</t>
  </si>
  <si>
    <t>Federal and State Sources</t>
  </si>
  <si>
    <t>MI Wayne County Airport Authority 2020.pdf</t>
  </si>
  <si>
    <t>Greater Detroit Resource Recovery Authority</t>
  </si>
  <si>
    <t>Detroit. MI</t>
  </si>
  <si>
    <t>NV</t>
  </si>
  <si>
    <t>State of Nevada</t>
  </si>
  <si>
    <t>NV State of Nevada 2020.pdf</t>
  </si>
  <si>
    <t>Las Vegas city</t>
  </si>
  <si>
    <t>Intergovernmental revenue - Consolidated Tax</t>
  </si>
  <si>
    <t>NV Las Vegas 2020.pdf</t>
  </si>
  <si>
    <t>Clark County</t>
  </si>
  <si>
    <t>Unrestricted intergovernmental revenues:Consolidated Tax</t>
  </si>
  <si>
    <t>NV Clark County 2020.pdf</t>
  </si>
  <si>
    <t>Clark County School District</t>
  </si>
  <si>
    <t>Contributions to term endowment, State aid not restricted to specific purposes, Federal aid not restricted to specific purposes</t>
  </si>
  <si>
    <t>NV Clark County School District 2020.pdf</t>
  </si>
  <si>
    <t>Southern Nevada Regional Housing Authority</t>
  </si>
  <si>
    <t>Governmental grants &amp; subsidy</t>
  </si>
  <si>
    <t>NV Southern Nevada Regional Housing Authority 2020.pdf</t>
  </si>
  <si>
    <t>Southern Nevada Water Authority</t>
  </si>
  <si>
    <t>NV Southern Nevada Water Authority 2020.pdf</t>
  </si>
  <si>
    <t>Las Vegas-Clark County Library District</t>
  </si>
  <si>
    <t>Intergovernmental revenues, consolidated taxes, unrestricted</t>
  </si>
  <si>
    <t>NV Las Vegas-Clark County Library District 2020.pdf</t>
  </si>
  <si>
    <t>Las Vegas, NV</t>
  </si>
  <si>
    <t>OK</t>
  </si>
  <si>
    <t>State of Oklahoma</t>
  </si>
  <si>
    <t>OK State of Oklahoma 2020.pdf</t>
  </si>
  <si>
    <t xml:space="preserve">Oklahoma City </t>
  </si>
  <si>
    <t>OK Oklahoma City 2020.pdf</t>
  </si>
  <si>
    <t>Oklahoma County</t>
  </si>
  <si>
    <t>Cleveland County</t>
  </si>
  <si>
    <t>OK Cleveland County 2020.pdf</t>
  </si>
  <si>
    <t>Unreadable File</t>
  </si>
  <si>
    <t>Canadian County</t>
  </si>
  <si>
    <t>Transfers In</t>
  </si>
  <si>
    <t>OK Canadian County 2020.pdf</t>
  </si>
  <si>
    <t>Pottawatomie County</t>
  </si>
  <si>
    <t>Mustang Independent School District No.I-69</t>
  </si>
  <si>
    <t xml:space="preserve">State sources and Federal sources </t>
  </si>
  <si>
    <t>OK Mustang Independent School District 2020.pdf</t>
  </si>
  <si>
    <t>Piedmont School District I-22</t>
  </si>
  <si>
    <t>OK Piedmont School District 2020.pdf</t>
  </si>
  <si>
    <t>Yukon Public Schools I-27</t>
  </si>
  <si>
    <t xml:space="preserve">State Sources and Federal sources </t>
  </si>
  <si>
    <t>OK Yukon Public Schools 1-27 2020.pdf</t>
  </si>
  <si>
    <t>Little Axe Public School District I-70</t>
  </si>
  <si>
    <t>OK Little Axe Public School District I-70 2020.pdf</t>
  </si>
  <si>
    <t>Moore School District I-2</t>
  </si>
  <si>
    <t>Moore School District I-002 2020.pdf</t>
  </si>
  <si>
    <t>Robin Hill School District C-16</t>
  </si>
  <si>
    <t>OK Robin Hill School District C-16 2020.pdf</t>
  </si>
  <si>
    <t>Choctaw_Nicoma Park School District No. 4</t>
  </si>
  <si>
    <t>OK Choctaw-Nicoma Park School District No.4 2020.pdf</t>
  </si>
  <si>
    <t>Crooked Oak School District No. I-053</t>
  </si>
  <si>
    <t>OK Crooked Oak Public Schools I-53 2020.pdf</t>
  </si>
  <si>
    <t>Deer Creek Public Schools I-6</t>
  </si>
  <si>
    <t>OK Deer Creek Public Schools I-6 2020.pdf</t>
  </si>
  <si>
    <t>Edmond Independent School District No. 12</t>
  </si>
  <si>
    <t>State Aid - Formula grant</t>
  </si>
  <si>
    <t>OK Edmond Independent School District No. 12 2020.pdf</t>
  </si>
  <si>
    <t>Harrah Public School District ISD 7</t>
  </si>
  <si>
    <t>OK Harrah Public Schools I-7 2020.pdf</t>
  </si>
  <si>
    <t>Jones School District I-9</t>
  </si>
  <si>
    <t xml:space="preserve">Transfers In,State Sources and Federal sources </t>
  </si>
  <si>
    <t>OK Jones School District I-9 2020.pdf</t>
  </si>
  <si>
    <t>Midwest City- Del City School District No. I-52</t>
  </si>
  <si>
    <t>State aid not restricted for specific purposes</t>
  </si>
  <si>
    <t>OK Midwest City-Del City School District I-52 2020.pdf</t>
  </si>
  <si>
    <t>Millwood Public Schools I-37</t>
  </si>
  <si>
    <t>OK Millwood Public Schools I-37 2020.pdf</t>
  </si>
  <si>
    <t>Oakdale Public Schools I-29</t>
  </si>
  <si>
    <t>OK Oakdale Public Schools I-29 2020.pdf</t>
  </si>
  <si>
    <t>Oklahoma City School District I-89</t>
  </si>
  <si>
    <t xml:space="preserve">State aid not restricted to specific purposes - charter schools, State aid not restricted to specific purposes and Support from other local governments, not restricted to specific purpose
</t>
  </si>
  <si>
    <t>OK Oklahoma City School District I-89 2020.pdf</t>
  </si>
  <si>
    <t>Putnam City Independent School District No.1</t>
  </si>
  <si>
    <t>State aid - formula grants</t>
  </si>
  <si>
    <t>OK Putnam City  Independent School District No.1 2020.pdf</t>
  </si>
  <si>
    <t>Western Heights School District I-41</t>
  </si>
  <si>
    <t xml:space="preserve">Operating transfers,State Sources and Federal sources </t>
  </si>
  <si>
    <t>OK Western Heights School District I-41 2020 .pdf</t>
  </si>
  <si>
    <t>Oklahoma City Housing Authority</t>
  </si>
  <si>
    <t>Oklahoma City, OK</t>
  </si>
  <si>
    <t>OR</t>
  </si>
  <si>
    <t>State of Oregon</t>
  </si>
  <si>
    <t>Contributions to Permanent Funds</t>
  </si>
  <si>
    <t>OR State of Oregon 2020.pdf</t>
  </si>
  <si>
    <t>Portland city</t>
  </si>
  <si>
    <t>OR Portland 2020.pdf</t>
  </si>
  <si>
    <t>Multnomah County</t>
  </si>
  <si>
    <t>State government shared unrestricted revenues, Grants and contributions not restricted to specific program</t>
  </si>
  <si>
    <t>OR Multnomah County 2020.pdf</t>
  </si>
  <si>
    <t>Washington County</t>
  </si>
  <si>
    <t>OR Washington County 2020.pdf</t>
  </si>
  <si>
    <t>Clackamas County</t>
  </si>
  <si>
    <t>OR Clackamas County 2020.pdf</t>
  </si>
  <si>
    <t>David Douglas School District</t>
  </si>
  <si>
    <t>State school fund support</t>
  </si>
  <si>
    <t>OR David Douglas School District 2020.pdf</t>
  </si>
  <si>
    <t>Centennial School District No. 28jt</t>
  </si>
  <si>
    <t>Grants and Contributions Not Restricted to Specific Programs-State Revenue Sharing, Other State and Local Sources</t>
  </si>
  <si>
    <t>OR Centennial School District No. 28jt 2020.pdf</t>
  </si>
  <si>
    <t>Reynolds School District</t>
  </si>
  <si>
    <t>State support, Federal Revenue</t>
  </si>
  <si>
    <t>OR Reynolds School District 2020.pdf</t>
  </si>
  <si>
    <t>Parkrose Sch Dist 3</t>
  </si>
  <si>
    <t>Portland Sch Dist 1J</t>
  </si>
  <si>
    <t>Portland Housing Authority</t>
  </si>
  <si>
    <t>Home Forward</t>
  </si>
  <si>
    <t>HUD Grants, State, Local, and Other Grants</t>
  </si>
  <si>
    <t>OR Home Forward 2020.pdf</t>
  </si>
  <si>
    <t>Port Of Portland</t>
  </si>
  <si>
    <t>OR Port of Portland 2020.pdf</t>
  </si>
  <si>
    <t>Tri County Metropolitan Transportation District Of Oregon</t>
  </si>
  <si>
    <t>Grant revenue &amp; Grant revenue - CARES Act</t>
  </si>
  <si>
    <t>OR Tri-County Metropolitan Transportation District of Oregon 2020.pdf</t>
  </si>
  <si>
    <t>Metro</t>
  </si>
  <si>
    <t>OR Metro 2020.pdf</t>
  </si>
  <si>
    <t>Port Of Vancouver</t>
  </si>
  <si>
    <t>Portland, OR</t>
  </si>
  <si>
    <t>Memphis city</t>
  </si>
  <si>
    <t>TN Memphis 2020.pdf</t>
  </si>
  <si>
    <t>Shelby County</t>
  </si>
  <si>
    <t>TN Shelby County 2020.pdf</t>
  </si>
  <si>
    <t>Memphis Housing Authority</t>
  </si>
  <si>
    <t xml:space="preserve">HUD Operating grants </t>
  </si>
  <si>
    <t>TN Memphis Housing Authority 2020.pdf</t>
  </si>
  <si>
    <t>Memphis-Shelby County Airport Authority</t>
  </si>
  <si>
    <t xml:space="preserve">Operating grants </t>
  </si>
  <si>
    <t>TN Memphis-Shelby County Airport Authority 2020.pdf</t>
  </si>
  <si>
    <t>Memphis, TN</t>
  </si>
  <si>
    <t>KY</t>
  </si>
  <si>
    <t>State of Kentucky</t>
  </si>
  <si>
    <t>Unrestricted grants and contributions</t>
  </si>
  <si>
    <t>KY Commonwealth of Kentucky 2020.pdf</t>
  </si>
  <si>
    <t>Louisville-Jefferson County</t>
  </si>
  <si>
    <t xml:space="preserve">Other intergovernmental revenues </t>
  </si>
  <si>
    <t>KY Louisville-Jefferson County 2020.pdf</t>
  </si>
  <si>
    <t>Jefferson County</t>
  </si>
  <si>
    <t>Jefferson Co Sch Dist</t>
  </si>
  <si>
    <t>Other state revenues and grants and SEEK Program (state sources)</t>
  </si>
  <si>
    <t>KY Jefferson County Board of Education 2020.pdf</t>
  </si>
  <si>
    <t>Louisville-Jefferson County Metropolitan Sewer District</t>
  </si>
  <si>
    <t>KY Louisville and Jefferson County Metropolitan Sewer District 2020.pdf</t>
  </si>
  <si>
    <t>Louisville, KY</t>
  </si>
  <si>
    <t>WI</t>
  </si>
  <si>
    <t>State of Wisconsin</t>
  </si>
  <si>
    <t>Contributions to Term and Permanent Endowments, Contributions to Permanent Fund Principal</t>
  </si>
  <si>
    <t>WI State of Wisconsin 2020.pdf</t>
  </si>
  <si>
    <t>Milwaukee city</t>
  </si>
  <si>
    <t>State aid for General Fund</t>
  </si>
  <si>
    <t>WI Milwaukee 2020.pdf</t>
  </si>
  <si>
    <t>Milwaukee County</t>
  </si>
  <si>
    <t>Intergovernmental Revenues Not Related to Specific Program</t>
  </si>
  <si>
    <t>WI Milwaukee County 2020.pdf</t>
  </si>
  <si>
    <t>Milwaukee City Sch Dist</t>
  </si>
  <si>
    <t>Federal and state aid not restricted to a specific purpose- General and other</t>
  </si>
  <si>
    <t>WI Milwaukee Public Schools 2020.pdf</t>
  </si>
  <si>
    <t>Milwaukee Metropolitan Sewerage District</t>
  </si>
  <si>
    <t>WI Milwaukee Metropolitan Sewerage District 2020.pdf</t>
  </si>
  <si>
    <t>Milwaukee, WI</t>
  </si>
  <si>
    <t>MD</t>
  </si>
  <si>
    <t>State of Maryland</t>
  </si>
  <si>
    <t>MD State of Maryland 2020.pdf</t>
  </si>
  <si>
    <t>Baltimore city</t>
  </si>
  <si>
    <t xml:space="preserve">State shared revenue </t>
  </si>
  <si>
    <t>MD Baltimore 2020.pdf</t>
  </si>
  <si>
    <t>Baltimore City County</t>
  </si>
  <si>
    <t>Grants and contributions not restricted to specific programs (State of Maryland)</t>
  </si>
  <si>
    <t>MD Baltimore County 2020.pdf</t>
  </si>
  <si>
    <t>Northeast Maryland Waste Disposal Authority</t>
  </si>
  <si>
    <t>Housing Authority of Baltimore City</t>
  </si>
  <si>
    <t xml:space="preserve">Operating and other governmental grants </t>
  </si>
  <si>
    <t>MD Housing Authority of Baltimore City 2020.pdf</t>
  </si>
  <si>
    <t>Baltimore, MD</t>
  </si>
  <si>
    <t>NM</t>
  </si>
  <si>
    <t>State of New Mexico</t>
  </si>
  <si>
    <t>Special item- Indian Water Rights Settlement</t>
  </si>
  <si>
    <t>NM State of New Mexico 2020.pdf</t>
  </si>
  <si>
    <t>Albuquerque city</t>
  </si>
  <si>
    <t>NM Albuquerque 2020.pdf</t>
  </si>
  <si>
    <t>Bernalillo County</t>
  </si>
  <si>
    <t>NM Bernalillo County 2020.pdf</t>
  </si>
  <si>
    <t>Albuquerque Municipal School District No. 12</t>
  </si>
  <si>
    <t>NM Albuquerque Municipal School District No. 12 2020.pdf</t>
  </si>
  <si>
    <t>Albuquerue, NM</t>
  </si>
  <si>
    <t>Tucson city</t>
  </si>
  <si>
    <t>Unrestricted Grants and Contribution</t>
  </si>
  <si>
    <t>AZ Tucson 2020.pdf</t>
  </si>
  <si>
    <t>Pima County</t>
  </si>
  <si>
    <t>AZ Pima County 2020.pdf</t>
  </si>
  <si>
    <t>Sahuarita Unified School District No. 30</t>
  </si>
  <si>
    <t>Unrestricted county aid &amp; state aid</t>
  </si>
  <si>
    <t>AZ Sahuarita Unified School District No. 30 2020.pdf</t>
  </si>
  <si>
    <t>Tucson, AZ</t>
  </si>
  <si>
    <t>Fresno city</t>
  </si>
  <si>
    <t>CA Fresno 2020.pdf</t>
  </si>
  <si>
    <t>Fresno County</t>
  </si>
  <si>
    <t>CA Fresno County 2020.pdf</t>
  </si>
  <si>
    <t>Clovis Unified School District</t>
  </si>
  <si>
    <t>CA Clovis Unified School District 2020.pdf</t>
  </si>
  <si>
    <t>Fresno Unified School District</t>
  </si>
  <si>
    <t>CA Fresno Unified School District 2020.pdf</t>
  </si>
  <si>
    <t>West Fresno Elem Sch Dist</t>
  </si>
  <si>
    <t>Sanger Unified School District</t>
  </si>
  <si>
    <t>Federal and State aid not restricted to specific purposes &amp; Special and extraordinary</t>
  </si>
  <si>
    <t>CA Sanger Unified School District 2020.pdf</t>
  </si>
  <si>
    <t>Washington Union High Sch Dist</t>
  </si>
  <si>
    <t>West Park Elementary School District</t>
  </si>
  <si>
    <t>State Revenue</t>
  </si>
  <si>
    <t>CA West Park Elementary School District 2020.pdf</t>
  </si>
  <si>
    <t>Central Unified School District</t>
  </si>
  <si>
    <t>CA Central Unified School District 2020.pdf</t>
  </si>
  <si>
    <t>Housing Authority of the City of Fresno</t>
  </si>
  <si>
    <t>HUD Grants &amp; Other Government grants</t>
  </si>
  <si>
    <t>CA Housing Authority of Fresno County 2020.pdf, CA Housing Authority of the City of Fresno 2020.pdf</t>
  </si>
  <si>
    <t>Added values from housing authority of city and county</t>
  </si>
  <si>
    <t>Fresno-Kings-Madera Reg Health Auth</t>
  </si>
  <si>
    <t>Fresno, CA</t>
  </si>
  <si>
    <t>Mesa city</t>
  </si>
  <si>
    <t xml:space="preserve">Unrestricted Intergovernmental Revenues and Contributions Not Restricted to Specific Programs
</t>
  </si>
  <si>
    <t>AZ Mesa 2020.pdf</t>
  </si>
  <si>
    <t>Gilbert Unified School District No. 41</t>
  </si>
  <si>
    <t xml:space="preserve">Unrestricted county aid,Unrestricted state aid and Unrestricted federal aid </t>
  </si>
  <si>
    <t>AZ Gilbert Unified School District 41 2020.pdf</t>
  </si>
  <si>
    <t>Mesa Unified School District No.4</t>
  </si>
  <si>
    <t>AZ Mesa Unified School District 2020.pdf</t>
  </si>
  <si>
    <t>Queen Creek Unified School District No. 95</t>
  </si>
  <si>
    <t>AZ Queen Creek Unified School District No.95 2020.pdf</t>
  </si>
  <si>
    <t>Noncapital grants not included,Noncapital subsidies from State included</t>
  </si>
  <si>
    <t>AZ Maricopa County Special Healthcare District 2020.pdf</t>
  </si>
  <si>
    <t>Mesa, AZ</t>
  </si>
  <si>
    <t>Sacramento city</t>
  </si>
  <si>
    <t>Unrestricted sales taxes shared state revenue</t>
  </si>
  <si>
    <t>CA Sacramento 2020.pdf</t>
  </si>
  <si>
    <t>Sacramento County</t>
  </si>
  <si>
    <t>CA Sacramento County 2020.pdf</t>
  </si>
  <si>
    <t>Sacramento Employment and Training Agency (SETA) document</t>
  </si>
  <si>
    <t>Elk Grove Unified School District</t>
  </si>
  <si>
    <t>Federal and state aid not restricted to specific purposes, Interagency transfers</t>
  </si>
  <si>
    <t>CA Elk Grove Unified School District 2020.pdf</t>
  </si>
  <si>
    <t>Twin Rivers Unified School District</t>
  </si>
  <si>
    <t>Federal and state aid not restricted to specific purposes, Transfers from other agencies, Special/extraordinary items</t>
  </si>
  <si>
    <t>CA Twin Rivers Unified School District 2020.pdf</t>
  </si>
  <si>
    <t>Natomas Unified School District</t>
  </si>
  <si>
    <t>Federal and state aid not restricted to specific purposes, Interagency revenues</t>
  </si>
  <si>
    <t>CA Natomas Unified School District 2020.pdf</t>
  </si>
  <si>
    <t>Robla School District</t>
  </si>
  <si>
    <t>CA Robla School District 2020.pdf</t>
  </si>
  <si>
    <t>Sacramento City Unified School District</t>
  </si>
  <si>
    <t>CA Sacramento City Unified School District 2020.pdf</t>
  </si>
  <si>
    <t>San Juan Unified School District</t>
  </si>
  <si>
    <t>Federal and state aid not restricted to specific purposes, Interagency transfers, Special and extraordinary items</t>
  </si>
  <si>
    <t>CA San Juan Unified School District 2020.pdf</t>
  </si>
  <si>
    <t>Sacramento Municipal Utility District</t>
  </si>
  <si>
    <t>CA Sacramento Municipal Utility District 2020.pdf</t>
  </si>
  <si>
    <t>Sacramento Area Sewer District</t>
  </si>
  <si>
    <t>Sacramento Cogeneration Authority</t>
  </si>
  <si>
    <t>Sacramento Power Authority</t>
  </si>
  <si>
    <t>Sacramento Housing And Redevelopment Agency</t>
  </si>
  <si>
    <t>Sacramento Transportation Authority</t>
  </si>
  <si>
    <t>Sacramento Regional County Sanitation District</t>
  </si>
  <si>
    <t>CA Sacramento Regional County Sanitation District 2020.pdf</t>
  </si>
  <si>
    <t>Sacramento Area Council of Governments</t>
  </si>
  <si>
    <t>State shared revenue - sales and use tax</t>
  </si>
  <si>
    <t>CA Sacramento Area Council of Governments 2020.pdf</t>
  </si>
  <si>
    <t>Transmission Agency of Northern California</t>
  </si>
  <si>
    <t>Sacramento Regional Transit District</t>
  </si>
  <si>
    <t>Operating Assistance:State and Local, Federal</t>
  </si>
  <si>
    <t>CA Sacramento Regional Transit District 2020.pdf</t>
  </si>
  <si>
    <t>Sacramento, CA</t>
  </si>
  <si>
    <t>State of Georgia</t>
  </si>
  <si>
    <t>Contributions to Permanent Endowments</t>
  </si>
  <si>
    <t>GA State of Georgia 2020.pdf</t>
  </si>
  <si>
    <t>Atlanta city</t>
  </si>
  <si>
    <t xml:space="preserve">Federal and state aid not restricted and non capital grants </t>
  </si>
  <si>
    <t>GA Atlanta 2020.pdf</t>
  </si>
  <si>
    <t>Fulton County</t>
  </si>
  <si>
    <t xml:space="preserve">Intergovernmental not restricted </t>
  </si>
  <si>
    <t>GA Fulton County 2020.pdf</t>
  </si>
  <si>
    <t>DeKalb County</t>
  </si>
  <si>
    <t>Grants and contributions not restricted to specific purposes and transfers</t>
  </si>
  <si>
    <t>GA Dekalb County 2020.pdf</t>
  </si>
  <si>
    <t>School District Atlanta Public Schools</t>
  </si>
  <si>
    <t>Grants and contributions not restricted to specific purposes</t>
  </si>
  <si>
    <t>GA School District Atlanta Public Schools 2020.pdf</t>
  </si>
  <si>
    <t>Atlanta City Housing Authority</t>
  </si>
  <si>
    <t xml:space="preserve">Development and other grants used for operating expenses and Contributions from NHC </t>
  </si>
  <si>
    <t>GA The Housing Authority of the City of Atlanta 2020.pdf</t>
  </si>
  <si>
    <t>Metropolitan Atlanta Rapid Transit Authority</t>
  </si>
  <si>
    <t>GA Metropolitan Atlanta Rapid Transit Authority 2020.pdf</t>
  </si>
  <si>
    <t>Atlanta, GA</t>
  </si>
  <si>
    <t>MO</t>
  </si>
  <si>
    <t>State of Missouri</t>
  </si>
  <si>
    <t>MO State of Missouri 2020.pdf</t>
  </si>
  <si>
    <t xml:space="preserve">Kansas City </t>
  </si>
  <si>
    <t>MO Kansas 2020.pdf</t>
  </si>
  <si>
    <t>Jackson County</t>
  </si>
  <si>
    <t>MO Jackson County 2020.pdf</t>
  </si>
  <si>
    <t>Clay County</t>
  </si>
  <si>
    <t>MO Clay County 2020.pdf</t>
  </si>
  <si>
    <t>Platte County</t>
  </si>
  <si>
    <t>MO Platte County 2020.pdf</t>
  </si>
  <si>
    <t>Cass County</t>
  </si>
  <si>
    <t>MO Cass County 2020.pdf</t>
  </si>
  <si>
    <t>Liberty Public School District No. 53</t>
  </si>
  <si>
    <t>MO Liberty Public School District No.53 2020.pdf</t>
  </si>
  <si>
    <t>North Kansas City School District No. 74</t>
  </si>
  <si>
    <t xml:space="preserve">State Aid - Basic formula &amp; Classroom Trust </t>
  </si>
  <si>
    <t>MO North Kansas City School District No.74 2020.pdf</t>
  </si>
  <si>
    <t>Center School District 58</t>
  </si>
  <si>
    <t xml:space="preserve">Special item - proceeds from bonds </t>
  </si>
  <si>
    <t>MO Center School District No.58 2020.pdf</t>
  </si>
  <si>
    <t>Grandview Sch Dist C4</t>
  </si>
  <si>
    <t>Hickman Mills C-1 School District</t>
  </si>
  <si>
    <t>MO Hickman Mills C-1 School District 2020.pdf</t>
  </si>
  <si>
    <t>Kansas City Public Schools</t>
  </si>
  <si>
    <t xml:space="preserve">State aid—basic formula </t>
  </si>
  <si>
    <t>MO Kansas City Public Schools 2020.pdf</t>
  </si>
  <si>
    <t>Lee's Summit R-VII School District</t>
  </si>
  <si>
    <t xml:space="preserve">County receipts and State receipts </t>
  </si>
  <si>
    <t>MO Lee's Summit R-7 School District 2020.pdf</t>
  </si>
  <si>
    <t>Raytown C-2 School District</t>
  </si>
  <si>
    <t>County receipts and State receipts</t>
  </si>
  <si>
    <t>MO Raytown C-2 School District 2020.pdf</t>
  </si>
  <si>
    <t>Park Hill School District</t>
  </si>
  <si>
    <t xml:space="preserve">Federal, State,County Aid not restricted to specific purposes </t>
  </si>
  <si>
    <t>MO Park Hill School District 2020.pdf</t>
  </si>
  <si>
    <t>Platte County R-III School District</t>
  </si>
  <si>
    <t>MO Platte County R-3 School District 2020.pdf</t>
  </si>
  <si>
    <t>Kansas City Housing Authority</t>
  </si>
  <si>
    <t>MO Housing Authority of Kansas City 2020.pdf</t>
  </si>
  <si>
    <t>New Liberty Hospital District</t>
  </si>
  <si>
    <t>Housing Authority of Kansas City, Missouri</t>
  </si>
  <si>
    <t>Same as above</t>
  </si>
  <si>
    <t>Kansas City, MO</t>
  </si>
  <si>
    <t>Colorado Springs city</t>
  </si>
  <si>
    <t>Contributions to Endowments</t>
  </si>
  <si>
    <t>CO Colorado Springs 2020.pdf</t>
  </si>
  <si>
    <t>CO El Paso County 2020.pdf</t>
  </si>
  <si>
    <t>Cheyenne Mountain School District 12</t>
  </si>
  <si>
    <t>CO Cheyenne Mountain School District 12 2020.pdf</t>
  </si>
  <si>
    <t>Colorado Springs School District 11</t>
  </si>
  <si>
    <t>CO Colorado Springs School District 11 2020.pdf</t>
  </si>
  <si>
    <t>Falcon Sch Dist 49</t>
  </si>
  <si>
    <t>El Paso County School District Two-Harrison</t>
  </si>
  <si>
    <t>Grants and Contributions not restricted to particular program, Unrestricted Intergovernmental Revenues</t>
  </si>
  <si>
    <t>CO El Paso County School District Two-Harrison 2020.pdf</t>
  </si>
  <si>
    <t>Academy School District Twenty</t>
  </si>
  <si>
    <t>CO Academy School District Twenty 2020.pdf</t>
  </si>
  <si>
    <t>Widefield Sch Dist 3</t>
  </si>
  <si>
    <t>Colorado Springs City Housing Authority</t>
  </si>
  <si>
    <t>CO Housing Authority of the City of Colorado Springs 2020.pdf</t>
  </si>
  <si>
    <t>CAFR Not opening</t>
  </si>
  <si>
    <t>Colorado Springs, CO</t>
  </si>
  <si>
    <t>NE</t>
  </si>
  <si>
    <t>State of Nebraska</t>
  </si>
  <si>
    <t>Contributions: Permanent Fund Principal, Transfers</t>
  </si>
  <si>
    <t>NE State of Nebraska 2020.pdf</t>
  </si>
  <si>
    <t>Omaha city</t>
  </si>
  <si>
    <t>NE Omaha 2020.pdf</t>
  </si>
  <si>
    <t>Douglas County</t>
  </si>
  <si>
    <t>NE Douglas County 2020.pdf</t>
  </si>
  <si>
    <t>Douglas County School District No. 10 Elkhorn Public Schools</t>
  </si>
  <si>
    <t>State aid and Other State Receipts</t>
  </si>
  <si>
    <t>NE Douglas County School District No. 10 Elkhorn Public Schools 2020.pdf</t>
  </si>
  <si>
    <t>School District 17-Millard Public Schools</t>
  </si>
  <si>
    <t>County Receipts, State receipts</t>
  </si>
  <si>
    <t>NE School District 17-Millard Public Schools 2020.pdf</t>
  </si>
  <si>
    <t>Omaha City Sch Dist 1</t>
  </si>
  <si>
    <t>NE Omaha Public Schools 2020.pdf</t>
  </si>
  <si>
    <t>Ralston Sch Dist 54</t>
  </si>
  <si>
    <t>County sources, State aid and State receipts</t>
  </si>
  <si>
    <t>NE Douglas County School District 54 Ralston Public Schools 2020.pdf</t>
  </si>
  <si>
    <t>Westside Community School District No. 66</t>
  </si>
  <si>
    <t>State aid</t>
  </si>
  <si>
    <t>NE Westside Community School District No. 66 2020.pdf</t>
  </si>
  <si>
    <t>Omaha Housing Agency</t>
  </si>
  <si>
    <t>Omaha Metropolitan Utilities District</t>
  </si>
  <si>
    <t>NE Metropolitan Utilities District 2020.pdf</t>
  </si>
  <si>
    <t>Omaha Public Power District</t>
  </si>
  <si>
    <t>Contributions in aid of construction</t>
  </si>
  <si>
    <t>NE Omaha Public Power District 2020.pdf</t>
  </si>
  <si>
    <t>Douglas County Hospital Authority 2</t>
  </si>
  <si>
    <t>Omaha. NE</t>
  </si>
  <si>
    <t>Raleigh city</t>
  </si>
  <si>
    <t>NC Raleigh 2020.pdf</t>
  </si>
  <si>
    <t>Wake County</t>
  </si>
  <si>
    <t>Grants and Contributions not restricted to specific programs</t>
  </si>
  <si>
    <t>NC Wake County 2020.pdf</t>
  </si>
  <si>
    <t>Durham County</t>
  </si>
  <si>
    <t>NC Durham County 2020.pdf</t>
  </si>
  <si>
    <t>Raleigh City Housing Authority</t>
  </si>
  <si>
    <t>NC Housing Authority of the City of Raleigh 2020.pdf</t>
  </si>
  <si>
    <t>Raleigh Durham Airport Authority</t>
  </si>
  <si>
    <t>NC Raleigh-Durham Airport Authority 2020.pdf</t>
  </si>
  <si>
    <t>Raleigh, NC</t>
  </si>
  <si>
    <t>Miami city</t>
  </si>
  <si>
    <t>State Revenue Sharing - Unrestricted</t>
  </si>
  <si>
    <t>FL Miami 2020.pdf</t>
  </si>
  <si>
    <t>Miami-Dade County</t>
  </si>
  <si>
    <t>Intergovernmental revenues, unrestricted , Special item--Proceeds from swaps termination</t>
  </si>
  <si>
    <t>FL Miami-Dade County 2020.pdf</t>
  </si>
  <si>
    <t>Dade Co Sch Dist</t>
  </si>
  <si>
    <t>FL The School Board of Miami-Dade County 2020.pdf</t>
  </si>
  <si>
    <t>South Florida Regional Transportation Authority</t>
  </si>
  <si>
    <t>Other local funding, Broward County, Miami-Dade County, Palm Beach County</t>
  </si>
  <si>
    <t>FL South Florida Regional Transportation Authority 2020.pdf</t>
  </si>
  <si>
    <t>South Florida Water Management District</t>
  </si>
  <si>
    <t>FL South Florida Water Management District 2020.pdf</t>
  </si>
  <si>
    <t>Miami, FL</t>
  </si>
  <si>
    <t>Long Beach city</t>
  </si>
  <si>
    <t>CA Long Beach 2020.pdf</t>
  </si>
  <si>
    <t xml:space="preserve">Grants and contributions not restrcited to special programs </t>
  </si>
  <si>
    <t>Long Beach Unified School District</t>
  </si>
  <si>
    <t>Unrestricted federal and state aid and special item (loss on sale)</t>
  </si>
  <si>
    <t>CA Long Beach Unified School District 2020.pdf</t>
  </si>
  <si>
    <t>Paramount Unified School District</t>
  </si>
  <si>
    <t xml:space="preserve">Unrestricted federal and state aid and interagency revenues </t>
  </si>
  <si>
    <t>CA Paramount Unified School District 2020.pdf</t>
  </si>
  <si>
    <t>Sanitation Districts Of Los Angeles County</t>
  </si>
  <si>
    <t>Subsidies and grants - trains and maintenance of way,  public liability and property damage</t>
  </si>
  <si>
    <t>Grant revenues</t>
  </si>
  <si>
    <t>Grants and subventions - not restricted to specific stationary source programs</t>
  </si>
  <si>
    <t>Long Beach, CA</t>
  </si>
  <si>
    <t>State of Virginia</t>
  </si>
  <si>
    <t>VA Commonwealth of Virginia 2020.pdf</t>
  </si>
  <si>
    <t>Virginia Beach city</t>
  </si>
  <si>
    <t>Grants and contributions</t>
  </si>
  <si>
    <t>VA Virginia Beach 2020.pdf</t>
  </si>
  <si>
    <t>Virginia Beach City (County Equiv)</t>
  </si>
  <si>
    <t>Chesapeake Hospital Authority</t>
  </si>
  <si>
    <t>VA Chesapeake Hospital Authority 2020.pdf</t>
  </si>
  <si>
    <t>Southeastern Public Service Authority</t>
  </si>
  <si>
    <t>Transportation District Commission Of Hampton Roads</t>
  </si>
  <si>
    <t>Hampton Roads Jail Authority</t>
  </si>
  <si>
    <t>Hampton Roads Sanitation District</t>
  </si>
  <si>
    <t>Virginia Beach, VA</t>
  </si>
  <si>
    <t>MN</t>
  </si>
  <si>
    <t>State of Minnesota</t>
  </si>
  <si>
    <t>MN State of Minnesota 2020.pdf</t>
  </si>
  <si>
    <t>Minneapolis city</t>
  </si>
  <si>
    <t>Local government aid and unrestrcited grants and contributions</t>
  </si>
  <si>
    <t>MN Minneapolis 2020.pdf</t>
  </si>
  <si>
    <t>Hennepin County</t>
  </si>
  <si>
    <t>Grants &amp; Contribution not restricted to Specific program</t>
  </si>
  <si>
    <t>MN Hennepin County 2020.pdf</t>
  </si>
  <si>
    <t>Minneapolis Special School District No.1</t>
  </si>
  <si>
    <t>MN Minneapolis Special School District No.1 2020.pdf</t>
  </si>
  <si>
    <t>Minneapolis Public Housing Authority</t>
  </si>
  <si>
    <t>MN Minneapolis Public Housing Authority 2020.pdf</t>
  </si>
  <si>
    <t xml:space="preserve">File not readable </t>
  </si>
  <si>
    <t>Minneapolis-St Paul Metropolitan Airports Commission</t>
  </si>
  <si>
    <t>Operating Grants (CARES Act)</t>
  </si>
  <si>
    <t>MN Minneapolis St. Paul Metropolitan Airports Commission 2020.pdf</t>
  </si>
  <si>
    <t>Counties Transit Improvement Board</t>
  </si>
  <si>
    <t>Minneapolis, MN</t>
  </si>
  <si>
    <t>Oakland city</t>
  </si>
  <si>
    <t>CA Oakland 2020.pdf</t>
  </si>
  <si>
    <t>Alameda County</t>
  </si>
  <si>
    <t>CA Alameda County 2020.pdf</t>
  </si>
  <si>
    <t>Oakland Unified School District</t>
  </si>
  <si>
    <t xml:space="preserve">Federal and State aid not restricted to specific purposes,Interagency revenues and Special and extraordinary </t>
  </si>
  <si>
    <t>CA Oakland Unified School District 2020.pdf</t>
  </si>
  <si>
    <t>East Bay Municipal Utility District</t>
  </si>
  <si>
    <t>CA East Bay Municipal Utility District 2020.pdf</t>
  </si>
  <si>
    <t>Housing Authority of the City of Oakland</t>
  </si>
  <si>
    <t xml:space="preserve">Other operating grants </t>
  </si>
  <si>
    <t>CA Housing Authority of the City of Oakland 2020.pdf</t>
  </si>
  <si>
    <t>Washington Township Health Care District</t>
  </si>
  <si>
    <t xml:space="preserve">Federal grant revenue </t>
  </si>
  <si>
    <t>CA Washington Township Healthcare District 2020.pdf</t>
  </si>
  <si>
    <t>Alameda County Transportation Commission</t>
  </si>
  <si>
    <t xml:space="preserve">Member agency contributions </t>
  </si>
  <si>
    <t>CA Alameda County Transportation Commission 2020.pdf</t>
  </si>
  <si>
    <t xml:space="preserve">Special Item -Capital Contributions from BATA to BAIFA </t>
  </si>
  <si>
    <t>Oakland-Alameda County Coliseum Authority</t>
  </si>
  <si>
    <t>Alameda-Contra Costa Transit District</t>
  </si>
  <si>
    <t>State and Federal Grants</t>
  </si>
  <si>
    <t>CA Alameda Contra Costa Transit District 2020.pdf</t>
  </si>
  <si>
    <t>East Bay Regional Park District</t>
  </si>
  <si>
    <t>CA East Bay Regional Park District 2020.pdf</t>
  </si>
  <si>
    <t>Operating Grants</t>
  </si>
  <si>
    <t>Oakland, CA</t>
  </si>
  <si>
    <t>Tampa city</t>
  </si>
  <si>
    <t>FL Tampa 2020.pdf</t>
  </si>
  <si>
    <t>Hillsborough County</t>
  </si>
  <si>
    <t>Intergovernmental state shared revenues, unrestricted</t>
  </si>
  <si>
    <t>FL Hillsborough County 2020.pdf</t>
  </si>
  <si>
    <t>Hillsborough Co Sch Dist</t>
  </si>
  <si>
    <t>FL The School District of Hillsborough County 2020.pdf</t>
  </si>
  <si>
    <t>Southwest Florida Water Management District</t>
  </si>
  <si>
    <t>FL Southwest Florida Water Management District 2020.pdf</t>
  </si>
  <si>
    <t>Tampa City Housing Authority</t>
  </si>
  <si>
    <t>Other government operating grants</t>
  </si>
  <si>
    <t>FL Housing Authority of the City of Tampa 2020.pdf</t>
  </si>
  <si>
    <t>Hillsborough County Aviation Authority</t>
  </si>
  <si>
    <t>FL Hillsborough County Aviation Authority 2020.pdf</t>
  </si>
  <si>
    <t>Hillsborough County Children's Board</t>
  </si>
  <si>
    <t>Tampa Bay Water A Regional Water Supply Authority</t>
  </si>
  <si>
    <t>FL Tampa Bay Water A Regional Water Supply Authority 2020.pdf</t>
  </si>
  <si>
    <t>Tampa, FL</t>
  </si>
  <si>
    <t>Tulsa city</t>
  </si>
  <si>
    <t>Intergovernmental revenue, unrestricted</t>
  </si>
  <si>
    <t>OK Tulsa 2020.pdf</t>
  </si>
  <si>
    <t>Tulsa County</t>
  </si>
  <si>
    <t>OK Tulsa County 2020.pdf</t>
  </si>
  <si>
    <t>Osage County</t>
  </si>
  <si>
    <t>Rogers County</t>
  </si>
  <si>
    <t>Wagoner County</t>
  </si>
  <si>
    <t>OK Wagoner County 2020.pdf</t>
  </si>
  <si>
    <t>Catoosa Public Schools I-2</t>
  </si>
  <si>
    <t>State and Federal Sources</t>
  </si>
  <si>
    <t>OK Catoosa Public Schools I-2 2020.pdf</t>
  </si>
  <si>
    <t>Broken Arrow Public School District No.I-003</t>
  </si>
  <si>
    <t>OK Broken Arrow Public School District No.I-003 2020.pdf</t>
  </si>
  <si>
    <t>Jenks Public School District No. I-5</t>
  </si>
  <si>
    <t>County Revenue,State aid - formula grants &amp; special items</t>
  </si>
  <si>
    <t>OK Jenks Public School District No. I-5 2020.pdf</t>
  </si>
  <si>
    <t>Tulsa Sch Dist 1</t>
  </si>
  <si>
    <t>State aid - formula grants, Unrestricted dedicated state revenue</t>
  </si>
  <si>
    <t>OK Tulsa Public Schools 2020.pdf</t>
  </si>
  <si>
    <t>Union Public Schools I-9</t>
  </si>
  <si>
    <t>State aid not restricted to specific program</t>
  </si>
  <si>
    <t>OK Union Public Schools I-9 2020.pdf</t>
  </si>
  <si>
    <t>Tulsa Housing Authority</t>
  </si>
  <si>
    <t>Tulsa, OK</t>
  </si>
  <si>
    <t>Arlington city</t>
  </si>
  <si>
    <t>TX Arlington 2020.pdf</t>
  </si>
  <si>
    <t>Arlington Independent School District</t>
  </si>
  <si>
    <t xml:space="preserve">State-aid formula grants not restricted and Grants and contributions not restricted </t>
  </si>
  <si>
    <t>TX Arlington Independent School District 2020.pdf</t>
  </si>
  <si>
    <t xml:space="preserve">State aid-formula grants </t>
  </si>
  <si>
    <t xml:space="preserve"> State grants, unrestricted </t>
  </si>
  <si>
    <t>Kennedale Independent School District</t>
  </si>
  <si>
    <t>TX Kennedale Independent School District 2020.pdf</t>
  </si>
  <si>
    <t>Mansfield Independent School District</t>
  </si>
  <si>
    <t xml:space="preserve"> State-aid formula grants not restricted </t>
  </si>
  <si>
    <t>TX Mansfield Independent School District 2020.pdf</t>
  </si>
  <si>
    <t>Arlington Housing Authority</t>
  </si>
  <si>
    <t>TX Housing Authority of the City of Arlington 2020.pdf</t>
  </si>
  <si>
    <t>Arlington, TX</t>
  </si>
  <si>
    <t>KS</t>
  </si>
  <si>
    <t>State of Kansas</t>
  </si>
  <si>
    <t>KS State of Kansas 2020.pdf</t>
  </si>
  <si>
    <t>Wichita city</t>
  </si>
  <si>
    <t>KS Wichita 2020.pdf</t>
  </si>
  <si>
    <t>Sedgwick County</t>
  </si>
  <si>
    <t>KS Sedgwick County 2020.pdf</t>
  </si>
  <si>
    <t>Derby Unified School District No. 260</t>
  </si>
  <si>
    <t>KS Derby Unified School District No. 260 2020.pdf</t>
  </si>
  <si>
    <t>Goddard Unified School District No. 265</t>
  </si>
  <si>
    <t xml:space="preserve">Transfers and Federal Tax Credit </t>
  </si>
  <si>
    <t>KS Goddard Unified School District No. 265 2020.pdf</t>
  </si>
  <si>
    <t>Haysville Public Schools Unified School District No. 261</t>
  </si>
  <si>
    <t>KS Haysville Public Schools Unified School District No. 261 2020.pdf</t>
  </si>
  <si>
    <t>Maize Unified School District No. 266</t>
  </si>
  <si>
    <t>KS Maize Unified School District No. 266 2020.pdf</t>
  </si>
  <si>
    <t>Wichita Public Schools Unified School District No 259</t>
  </si>
  <si>
    <t>State and federal aid not restricted to specific purposes, State aid received for debt service (principal)</t>
  </si>
  <si>
    <t>KS Wichita Public Schools Unified School District No 259 2020.pdf</t>
  </si>
  <si>
    <t>Wichita, KS</t>
  </si>
  <si>
    <t>LA</t>
  </si>
  <si>
    <t>State of Louisiana</t>
  </si>
  <si>
    <t>LA State of Louisiana 2020.pdf</t>
  </si>
  <si>
    <t>New Orleans city</t>
  </si>
  <si>
    <t>LA New Orleans 2019.pdf</t>
  </si>
  <si>
    <t>Orleans Parish</t>
  </si>
  <si>
    <t>Orleans Parish School District</t>
  </si>
  <si>
    <t>Contributions and Donations</t>
  </si>
  <si>
    <t>LA Orleans Parish School Board 2019.pdf</t>
  </si>
  <si>
    <t>Regional Transit Authority</t>
  </si>
  <si>
    <t>Government operating grants</t>
  </si>
  <si>
    <t>LA Regional Transit Authority 2020.pdf</t>
  </si>
  <si>
    <t>New Orleans,LA</t>
  </si>
  <si>
    <t xml:space="preserve"> </t>
  </si>
  <si>
    <t>Appendix A - TRIP Urban Roads Report 2018</t>
  </si>
  <si>
    <t>Source:</t>
  </si>
  <si>
    <t>https://tripnet.org/wp-content/uploads/2019/03/Urban_Roads_TRIP_Report_Appendices_October_2018.pdf</t>
  </si>
  <si>
    <t>Pavement Conditions and Extra Vehicle Operating Costs for Urban Areas with Population of 500K or More</t>
  </si>
  <si>
    <t>VOC = Additional Vehicle Operating Costs</t>
  </si>
  <si>
    <t>Urban Area</t>
  </si>
  <si>
    <t>Poor Share</t>
  </si>
  <si>
    <t>Mediocre Share</t>
  </si>
  <si>
    <t>Fair Share</t>
  </si>
  <si>
    <t>Good Share</t>
  </si>
  <si>
    <t>VOC</t>
  </si>
  <si>
    <t>Akron</t>
  </si>
  <si>
    <t>Albany-Schenectady-Troy</t>
  </si>
  <si>
    <t>Albuquerque</t>
  </si>
  <si>
    <t>Allentown</t>
  </si>
  <si>
    <t>PA-NJ</t>
  </si>
  <si>
    <t>Atlanta</t>
  </si>
  <si>
    <t>Austin</t>
  </si>
  <si>
    <t>Bakersfield</t>
  </si>
  <si>
    <t>Baltimore</t>
  </si>
  <si>
    <t>Baton Rouge</t>
  </si>
  <si>
    <t>Birmingham</t>
  </si>
  <si>
    <t>AL</t>
  </si>
  <si>
    <t>Boston</t>
  </si>
  <si>
    <t>MA-NH-RI</t>
  </si>
  <si>
    <t>Bridgeport--Stamford</t>
  </si>
  <si>
    <t>CT-NY</t>
  </si>
  <si>
    <t>Buffalo - Niagara Falls</t>
  </si>
  <si>
    <t>Cape Coral</t>
  </si>
  <si>
    <t>Charleston--North Charleston</t>
  </si>
  <si>
    <t>SC</t>
  </si>
  <si>
    <t>Charlotte</t>
  </si>
  <si>
    <t>NC-SC</t>
  </si>
  <si>
    <t>Chicago</t>
  </si>
  <si>
    <t>IL-IN</t>
  </si>
  <si>
    <t>Cincinnati</t>
  </si>
  <si>
    <t>OH-KY-IN</t>
  </si>
  <si>
    <t>Cleveland</t>
  </si>
  <si>
    <t>Colorado Springs</t>
  </si>
  <si>
    <t>Columbia</t>
  </si>
  <si>
    <t>Columbus</t>
  </si>
  <si>
    <t>Dallas--Fort Worth--Arlington</t>
  </si>
  <si>
    <t>Dayton</t>
  </si>
  <si>
    <t>Denver--Aurora</t>
  </si>
  <si>
    <t>Detroit</t>
  </si>
  <si>
    <t>El Paso</t>
  </si>
  <si>
    <t>TX-NM</t>
  </si>
  <si>
    <t>Fresno</t>
  </si>
  <si>
    <t>Grand Rapids</t>
  </si>
  <si>
    <t>Hartford</t>
  </si>
  <si>
    <t>CT</t>
  </si>
  <si>
    <t>Honolulu</t>
  </si>
  <si>
    <t>HI</t>
  </si>
  <si>
    <t>Houston</t>
  </si>
  <si>
    <t>Indianapolis</t>
  </si>
  <si>
    <t>Jacksonville</t>
  </si>
  <si>
    <t>Kansas City</t>
  </si>
  <si>
    <t>MO-KS</t>
  </si>
  <si>
    <t>Knoxville</t>
  </si>
  <si>
    <t>Las Vegas--Henderson</t>
  </si>
  <si>
    <t>Los Angeles--Long Beach--Anaheim</t>
  </si>
  <si>
    <t>Louisville/Jefferson County</t>
  </si>
  <si>
    <t>KY-IN</t>
  </si>
  <si>
    <t>McAllen</t>
  </si>
  <si>
    <t>Memphis</t>
  </si>
  <si>
    <t>TN-MS-AR</t>
  </si>
  <si>
    <t>Miami</t>
  </si>
  <si>
    <t>Milwaukee</t>
  </si>
  <si>
    <t>Minneapolis-St. Paul</t>
  </si>
  <si>
    <t>MN-WI</t>
  </si>
  <si>
    <t>Mission Viejo-Lake Forest--San Clemente</t>
  </si>
  <si>
    <t>Nashville-Davidson</t>
  </si>
  <si>
    <t>New Haven</t>
  </si>
  <si>
    <t>New Orleans</t>
  </si>
  <si>
    <t>New York--Newark</t>
  </si>
  <si>
    <t>NY-NJ-CT</t>
  </si>
  <si>
    <t>Ogden--Layton</t>
  </si>
  <si>
    <t>UT</t>
  </si>
  <si>
    <t>Oklahoma City</t>
  </si>
  <si>
    <t>Omaha</t>
  </si>
  <si>
    <t>NE-IA</t>
  </si>
  <si>
    <t>Orlando</t>
  </si>
  <si>
    <t>Philadelphia</t>
  </si>
  <si>
    <t>PA-NJ-DE-MD</t>
  </si>
  <si>
    <t>Phoenix--Mesa</t>
  </si>
  <si>
    <t>Pittsburgh</t>
  </si>
  <si>
    <t>Portland</t>
  </si>
  <si>
    <t>OR-WA</t>
  </si>
  <si>
    <t>Providence</t>
  </si>
  <si>
    <t>RI-MA</t>
  </si>
  <si>
    <t>Raleigh</t>
  </si>
  <si>
    <t>Richmond</t>
  </si>
  <si>
    <t>Riverside--San Bernardino</t>
  </si>
  <si>
    <t>Rochester</t>
  </si>
  <si>
    <t>Sacramento</t>
  </si>
  <si>
    <t>St. Louis</t>
  </si>
  <si>
    <t>MO-IL</t>
  </si>
  <si>
    <t>Salt Lake City--West Valley City</t>
  </si>
  <si>
    <t>San Antonio</t>
  </si>
  <si>
    <t>San Diego</t>
  </si>
  <si>
    <t>San Francisco--Oakland</t>
  </si>
  <si>
    <t>San Jose</t>
  </si>
  <si>
    <t>Sarasota--Bradenton</t>
  </si>
  <si>
    <t>Seattle</t>
  </si>
  <si>
    <t>Springfield</t>
  </si>
  <si>
    <t>MA-CT</t>
  </si>
  <si>
    <t>Tampa--St. Petersburg</t>
  </si>
  <si>
    <t>Toledo</t>
  </si>
  <si>
    <t>OH-MI</t>
  </si>
  <si>
    <t>Tucson</t>
  </si>
  <si>
    <t>Tulsa</t>
  </si>
  <si>
    <t>Virginia Beach</t>
  </si>
  <si>
    <t>Washington</t>
  </si>
  <si>
    <t>DC-VA-MD</t>
  </si>
  <si>
    <t>Appendix B - TRIP Urban Roads Report 2018</t>
  </si>
  <si>
    <t>Pavement Conditions and Extra Vehicle Operating Costs for Urban Areas with Population between 200K and 500K</t>
  </si>
  <si>
    <t>Aberdeen--Bel Air South--Bel Air North</t>
  </si>
  <si>
    <t>Anchorage</t>
  </si>
  <si>
    <t>AK</t>
  </si>
  <si>
    <t>Ann Arbor</t>
  </si>
  <si>
    <t>Antioch</t>
  </si>
  <si>
    <t>Appleton</t>
  </si>
  <si>
    <t>Asheville</t>
  </si>
  <si>
    <t>Atlantic City</t>
  </si>
  <si>
    <t>Augusta-Richmond County</t>
  </si>
  <si>
    <t>GA-SC</t>
  </si>
  <si>
    <t>Barnstable Town</t>
  </si>
  <si>
    <t>Boise City</t>
  </si>
  <si>
    <t>ID</t>
  </si>
  <si>
    <t>Bonita Springs</t>
  </si>
  <si>
    <t>Brownsville</t>
  </si>
  <si>
    <t>Canton</t>
  </si>
  <si>
    <t>Chattanooga</t>
  </si>
  <si>
    <t>GA-AL</t>
  </si>
  <si>
    <t>Concord</t>
  </si>
  <si>
    <t>Conroe--The Woodlands</t>
  </si>
  <si>
    <t>Corpus Christi, TX</t>
  </si>
  <si>
    <t>Davenport</t>
  </si>
  <si>
    <t>IA-IL</t>
  </si>
  <si>
    <t>Denton--Lewisville</t>
  </si>
  <si>
    <t>Des Moines</t>
  </si>
  <si>
    <t>IA</t>
  </si>
  <si>
    <t>Durham</t>
  </si>
  <si>
    <t>Eugene</t>
  </si>
  <si>
    <t>Evansville</t>
  </si>
  <si>
    <t>IN-KY</t>
  </si>
  <si>
    <t>Fayetteville</t>
  </si>
  <si>
    <t>Fayetteville--Springdale--Rogers</t>
  </si>
  <si>
    <t>AR-MO</t>
  </si>
  <si>
    <t>Flint</t>
  </si>
  <si>
    <t>Fort Collins</t>
  </si>
  <si>
    <t>Fort Wayne</t>
  </si>
  <si>
    <t>Green Bay</t>
  </si>
  <si>
    <t>Greensboro</t>
  </si>
  <si>
    <t>Greenville</t>
  </si>
  <si>
    <t>Gulfport</t>
  </si>
  <si>
    <t>MS</t>
  </si>
  <si>
    <t>Harrisburg</t>
  </si>
  <si>
    <t>Hickory</t>
  </si>
  <si>
    <t>Huntington</t>
  </si>
  <si>
    <t>WV-KY-OH</t>
  </si>
  <si>
    <t>Huntsville</t>
  </si>
  <si>
    <t>Indio--Cathedral City</t>
  </si>
  <si>
    <t>Jackson</t>
  </si>
  <si>
    <t>Kalamazoo - Battle Creek</t>
  </si>
  <si>
    <t>Kennewick--Pasco</t>
  </si>
  <si>
    <t>Killeen</t>
  </si>
  <si>
    <t>Kissimmee</t>
  </si>
  <si>
    <t>Lafayette</t>
  </si>
  <si>
    <t>Lakeland</t>
  </si>
  <si>
    <t>Lancaster</t>
  </si>
  <si>
    <t>Lancaster-Palmdale</t>
  </si>
  <si>
    <t>Lansing</t>
  </si>
  <si>
    <t>Laredo</t>
  </si>
  <si>
    <t>Lexington-Fayette</t>
  </si>
  <si>
    <t>Lincoln</t>
  </si>
  <si>
    <t>Little Rock</t>
  </si>
  <si>
    <t>AR</t>
  </si>
  <si>
    <t>Lubbock</t>
  </si>
  <si>
    <t>Madison</t>
  </si>
  <si>
    <t>Mobile</t>
  </si>
  <si>
    <t>Modesto</t>
  </si>
  <si>
    <t>Murrieta--Temecula--Menifee</t>
  </si>
  <si>
    <t>Myrtle Beach--Socastee</t>
  </si>
  <si>
    <t>SC-NC</t>
  </si>
  <si>
    <t>Nashua</t>
  </si>
  <si>
    <t>NH-MA</t>
  </si>
  <si>
    <t>Norwich-New London</t>
  </si>
  <si>
    <t>CT-RI</t>
  </si>
  <si>
    <t>Oxnard</t>
  </si>
  <si>
    <t>Palm Bay--Melbourne</t>
  </si>
  <si>
    <t>Palm Coast--Daytona Beach--Port Orange</t>
  </si>
  <si>
    <t>Pensacola</t>
  </si>
  <si>
    <t>FL-AL</t>
  </si>
  <si>
    <t>Peoria</t>
  </si>
  <si>
    <t>Port St. Lucie</t>
  </si>
  <si>
    <t>Portland, ME</t>
  </si>
  <si>
    <t>ME</t>
  </si>
  <si>
    <t>Poughkeepsie--Newburgh - Middleton</t>
  </si>
  <si>
    <t>NY-NJ</t>
  </si>
  <si>
    <t>Provo--Orem</t>
  </si>
  <si>
    <t>Reading</t>
  </si>
  <si>
    <t>Reno</t>
  </si>
  <si>
    <t>NV-CA</t>
  </si>
  <si>
    <t>Roanoke</t>
  </si>
  <si>
    <t>Rockford, IL</t>
  </si>
  <si>
    <t>Round Lake Beach--McHenry--Grayslake</t>
  </si>
  <si>
    <t>IL-WI</t>
  </si>
  <si>
    <t>Salem</t>
  </si>
  <si>
    <t>Santa Clarita</t>
  </si>
  <si>
    <t>Santa Rosa</t>
  </si>
  <si>
    <t>Savannah</t>
  </si>
  <si>
    <t>Scranton-Wilkes Barre</t>
  </si>
  <si>
    <t>Shreveport</t>
  </si>
  <si>
    <t>South Bend</t>
  </si>
  <si>
    <t>IN-MI</t>
  </si>
  <si>
    <t>Spokane</t>
  </si>
  <si>
    <t>Stockton</t>
  </si>
  <si>
    <t>Syracuse</t>
  </si>
  <si>
    <t>Tallahassee</t>
  </si>
  <si>
    <t>Thousand Oaks</t>
  </si>
  <si>
    <t>Trenton</t>
  </si>
  <si>
    <t>Victorville-Hesperia</t>
  </si>
  <si>
    <t>Visalia</t>
  </si>
  <si>
    <t>Wichita</t>
  </si>
  <si>
    <t>Wilmington</t>
  </si>
  <si>
    <t>Winston-Salem</t>
  </si>
  <si>
    <t>Winter Haven</t>
  </si>
  <si>
    <t>Worcester</t>
  </si>
  <si>
    <t>York</t>
  </si>
  <si>
    <t>Youngstown</t>
  </si>
  <si>
    <t>OH-PA</t>
  </si>
  <si>
    <t>Below Average Schools</t>
  </si>
  <si>
    <t>Average Schools</t>
  </si>
  <si>
    <t>Above Average Schools</t>
  </si>
  <si>
    <t>Link</t>
  </si>
  <si>
    <t>Los Angeles</t>
  </si>
  <si>
    <t>https://www.greatschools.org/california/los-angeles/los-angeles-unified-school-district/</t>
  </si>
  <si>
    <t>https://www.greatschools.org/illinois/chicago/city-of-chicago-school-district-299/</t>
  </si>
  <si>
    <t>Phoenix</t>
  </si>
  <si>
    <t>South Bay Union Elementary School District (Humboldt County)</t>
  </si>
  <si>
    <t>Dallas</t>
  </si>
  <si>
    <t>https://www.greatschools.org/texas/dallas/dallas-independent-school-district/</t>
  </si>
  <si>
    <t>CoC Number</t>
  </si>
  <si>
    <t>CoC Name</t>
  </si>
  <si>
    <t>Overall Homeless, 2020</t>
  </si>
  <si>
    <t>Sheltered ES Homeless, 2020</t>
  </si>
  <si>
    <t>Pct Sheltered</t>
  </si>
  <si>
    <t>AK-500</t>
  </si>
  <si>
    <t>Anchorage CoC</t>
  </si>
  <si>
    <t>https://www.huduser.gov/portal/sites/default/files/xls/2007-2021-PIT-Counts-by-CoC.xlsx</t>
  </si>
  <si>
    <t>AK-501</t>
  </si>
  <si>
    <t>Alaska Balance of State CoC</t>
  </si>
  <si>
    <t>(Using 2020 Data Tab)</t>
  </si>
  <si>
    <t>AL-500</t>
  </si>
  <si>
    <t>Birmingham/Jefferson, St. Clair, Shelby Counties CoC</t>
  </si>
  <si>
    <t>(2021 Unsheltered were not counted)</t>
  </si>
  <si>
    <t>AL-501</t>
  </si>
  <si>
    <t>Mobile City &amp; County/Baldwin County CoC</t>
  </si>
  <si>
    <t>AL-502</t>
  </si>
  <si>
    <t>Florence/Northwest Alabama CoC</t>
  </si>
  <si>
    <t>AL-503</t>
  </si>
  <si>
    <t>Huntsville/North Alabama CoC</t>
  </si>
  <si>
    <t>AL-504</t>
  </si>
  <si>
    <t>Montgomery City &amp; County CoC</t>
  </si>
  <si>
    <t>AL-505</t>
  </si>
  <si>
    <t>Gadsden/Northeast Alabama CoC</t>
  </si>
  <si>
    <t>AL-506</t>
  </si>
  <si>
    <t>Tuscaloosa City &amp; County CoC</t>
  </si>
  <si>
    <t>AL-507</t>
  </si>
  <si>
    <t>Alabama Balance of State CoC</t>
  </si>
  <si>
    <t>AR-500</t>
  </si>
  <si>
    <t>Little Rock/Central Arkansas CoC</t>
  </si>
  <si>
    <t>AR-501</t>
  </si>
  <si>
    <t>Fayetteville/Northwest Arkansas CoC</t>
  </si>
  <si>
    <t>AR-503</t>
  </si>
  <si>
    <t>Arkansas Balance of State CoC</t>
  </si>
  <si>
    <t>AR-505</t>
  </si>
  <si>
    <t>Southeast Arkansas CoC</t>
  </si>
  <si>
    <t>AZ-500</t>
  </si>
  <si>
    <t>Arizona Balance of State CoC</t>
  </si>
  <si>
    <t>AZ-501</t>
  </si>
  <si>
    <t>Tucson/Pima County CoC</t>
  </si>
  <si>
    <t>AZ-502</t>
  </si>
  <si>
    <t>Phoenix, Mesa/Maricopa County CoC</t>
  </si>
  <si>
    <t>CA-500</t>
  </si>
  <si>
    <t>San Jose/Santa Clara City &amp; County CoC</t>
  </si>
  <si>
    <t>CA-501</t>
  </si>
  <si>
    <t>San Francisco CoC</t>
  </si>
  <si>
    <t>CA-502</t>
  </si>
  <si>
    <t>Oakland, Berkeley/Alameda County CoC</t>
  </si>
  <si>
    <t>CA-503</t>
  </si>
  <si>
    <t>Sacramento City &amp; County CoC</t>
  </si>
  <si>
    <t>CA-504</t>
  </si>
  <si>
    <t>Santa Rosa, Petaluma/Sonoma County CoC</t>
  </si>
  <si>
    <t>CA-505</t>
  </si>
  <si>
    <t>Richmond/Contra Costa County CoC</t>
  </si>
  <si>
    <t>CA-506</t>
  </si>
  <si>
    <t>Salinas/Monterey, San Benito Counties CoC</t>
  </si>
  <si>
    <t>CA-507</t>
  </si>
  <si>
    <t>Marin County CoC</t>
  </si>
  <si>
    <t>CA-508</t>
  </si>
  <si>
    <t>Watsonville/Santa Cruz City &amp; County CoC</t>
  </si>
  <si>
    <t>CA-509</t>
  </si>
  <si>
    <t>Mendocino County CoC</t>
  </si>
  <si>
    <t>CA-510</t>
  </si>
  <si>
    <t>Turlock, Modesto/Stanislaus County CoC</t>
  </si>
  <si>
    <t>CA-511</t>
  </si>
  <si>
    <t>Stockton/San Joaquin County CoC</t>
  </si>
  <si>
    <t>CA-512</t>
  </si>
  <si>
    <t>Daly/San Mateo County CoC</t>
  </si>
  <si>
    <t>CA-513</t>
  </si>
  <si>
    <t>Visalia/Kings, Tulare Counties CoC</t>
  </si>
  <si>
    <t>CA-514</t>
  </si>
  <si>
    <t>Fresno City &amp; County/Madera County CoC</t>
  </si>
  <si>
    <t>CA-515</t>
  </si>
  <si>
    <t>Roseville, Rocklin/Placer County CoC</t>
  </si>
  <si>
    <t>CA-516</t>
  </si>
  <si>
    <t>Redding/Shasta, Siskiyou, Lassen, Plumas, Del Norte, Modoc, Sierra Counties CoC</t>
  </si>
  <si>
    <t>CA-517</t>
  </si>
  <si>
    <t>Napa City &amp; County CoC</t>
  </si>
  <si>
    <t>CA-518</t>
  </si>
  <si>
    <t>Vallejo/Solano County CoC</t>
  </si>
  <si>
    <t>CA-519</t>
  </si>
  <si>
    <t>Chico, Paradise/Butte County CoC</t>
  </si>
  <si>
    <t>CA-520</t>
  </si>
  <si>
    <t>Merced City &amp; County CoC</t>
  </si>
  <si>
    <t>CA-521</t>
  </si>
  <si>
    <t>Davis, Woodland/Yolo County CoC</t>
  </si>
  <si>
    <t>CA-522</t>
  </si>
  <si>
    <t>Humboldt County CoC</t>
  </si>
  <si>
    <t>CA-523</t>
  </si>
  <si>
    <t>Colusa, Glenn, Trinity Counties CoC</t>
  </si>
  <si>
    <t>CA-524</t>
  </si>
  <si>
    <t>Yuba City &amp; County/Sutter County CoC</t>
  </si>
  <si>
    <t>CA-525</t>
  </si>
  <si>
    <t>El Dorado County CoC</t>
  </si>
  <si>
    <t>CA-526</t>
  </si>
  <si>
    <t>Amador, Calaveras, Mariposa, Tuolumne Counties CoC</t>
  </si>
  <si>
    <t>CA-527</t>
  </si>
  <si>
    <t>Tehama County CoC</t>
  </si>
  <si>
    <t>CA-529</t>
  </si>
  <si>
    <t>Lake County CoC</t>
  </si>
  <si>
    <t>CA-530</t>
  </si>
  <si>
    <t>Alpine, Inyo, Mono Counties CoC</t>
  </si>
  <si>
    <t>CA-531</t>
  </si>
  <si>
    <t>Nevada County CoC</t>
  </si>
  <si>
    <t>CA-600</t>
  </si>
  <si>
    <t>Los Angeles City &amp; County CoC</t>
  </si>
  <si>
    <t>CA-601</t>
  </si>
  <si>
    <t>San Diego City and County CoC</t>
  </si>
  <si>
    <t>CA-602</t>
  </si>
  <si>
    <t>Santa Ana, Anaheim/Orange County CoC</t>
  </si>
  <si>
    <t>CA-603</t>
  </si>
  <si>
    <t>Santa Maria/Santa Barbara County CoC</t>
  </si>
  <si>
    <t>CA-604</t>
  </si>
  <si>
    <t>Bakersfield/Kern County CoC</t>
  </si>
  <si>
    <t>CA-606</t>
  </si>
  <si>
    <t>Long Beach CoC</t>
  </si>
  <si>
    <t>CA-607</t>
  </si>
  <si>
    <t>Pasadena CoC</t>
  </si>
  <si>
    <t>CA-608</t>
  </si>
  <si>
    <t>Riverside City &amp; County CoC</t>
  </si>
  <si>
    <t>CA-609</t>
  </si>
  <si>
    <t>San Bernardino City &amp; County CoC</t>
  </si>
  <si>
    <t>CA-611</t>
  </si>
  <si>
    <t>Oxnard, San Buenaventura/Ventura County CoC</t>
  </si>
  <si>
    <t>CA-612</t>
  </si>
  <si>
    <t>Glendale CoC</t>
  </si>
  <si>
    <t>CA-613</t>
  </si>
  <si>
    <t>Imperial County CoC</t>
  </si>
  <si>
    <t>CA-614</t>
  </si>
  <si>
    <t>San Luis Obispo County CoC</t>
  </si>
  <si>
    <t>CO-500</t>
  </si>
  <si>
    <t>Colorado Balance of State CoC</t>
  </si>
  <si>
    <t>CO-503</t>
  </si>
  <si>
    <t>Metropolitan Denver CoC</t>
  </si>
  <si>
    <t>CO-504</t>
  </si>
  <si>
    <t>Colorado Springs/El Paso County CoC</t>
  </si>
  <si>
    <t>CO-505</t>
  </si>
  <si>
    <t>Fort Collins, Greeley, Loveland/Larimer, Weld Counties CoC</t>
  </si>
  <si>
    <t>CT-503</t>
  </si>
  <si>
    <t>Bridgeport, Stamford, Norwalk, Danbury/Fairfield County CoC</t>
  </si>
  <si>
    <t>CT-505</t>
  </si>
  <si>
    <t>Connecticut Balance of State CoC</t>
  </si>
  <si>
    <t>DC-500</t>
  </si>
  <si>
    <t>District of Columbia CoC</t>
  </si>
  <si>
    <t>DE-500</t>
  </si>
  <si>
    <t>Delaware Statewide CoC</t>
  </si>
  <si>
    <t>FL-500</t>
  </si>
  <si>
    <t>Sarasota, Bradenton/Manatee, Sarasota Counties CoC</t>
  </si>
  <si>
    <t>FL-501</t>
  </si>
  <si>
    <t>Tampa/Hillsborough County CoC</t>
  </si>
  <si>
    <t>FL-502</t>
  </si>
  <si>
    <t>St. Petersburg, Clearwater, Largo/Pinellas County CoC</t>
  </si>
  <si>
    <t>FL-503</t>
  </si>
  <si>
    <t>Lakeland, Winterhaven/Polk County CoC</t>
  </si>
  <si>
    <t>FL-504</t>
  </si>
  <si>
    <t>Deltona, Daytona Beach/Volusia, Flagler Counties CoC</t>
  </si>
  <si>
    <t>FL-505</t>
  </si>
  <si>
    <t>Fort Walton Beach/Okaloosa, Walton Counties CoC</t>
  </si>
  <si>
    <t>FL-506</t>
  </si>
  <si>
    <t>Tallahassee/Leon County CoC</t>
  </si>
  <si>
    <t>FL-507</t>
  </si>
  <si>
    <t>Orlando/Orange, Osceola, Seminole Counties CoC</t>
  </si>
  <si>
    <t>FL-508</t>
  </si>
  <si>
    <t>Gainesville/Alachua, Putnam Counties CoC</t>
  </si>
  <si>
    <t>FL-509</t>
  </si>
  <si>
    <t>Fort Pierce/St. Lucie, Indian River, Martin Counties CoC</t>
  </si>
  <si>
    <t>FL-510</t>
  </si>
  <si>
    <t>Jacksonville-Duval, Clay Counties CoC</t>
  </si>
  <si>
    <t>FL-511</t>
  </si>
  <si>
    <t>Pensacola/Escambia, Santa Rosa Counties CoC</t>
  </si>
  <si>
    <t>FL-512</t>
  </si>
  <si>
    <t>St. Johns County CoC</t>
  </si>
  <si>
    <t>FL-513</t>
  </si>
  <si>
    <t>Palm Bay, Melbourne/Brevard County CoC</t>
  </si>
  <si>
    <t>FL-514</t>
  </si>
  <si>
    <t>Ocala/Marion County CoC</t>
  </si>
  <si>
    <t>FL-515</t>
  </si>
  <si>
    <t>Panama City/Bay, Jackson Counties CoC</t>
  </si>
  <si>
    <t>FL-517</t>
  </si>
  <si>
    <t>Hendry, Hardee, Highlands Counties CoC</t>
  </si>
  <si>
    <t>FL-518</t>
  </si>
  <si>
    <t>Columbia, Hamilton, Lafayette, Suwannee Counties CoC</t>
  </si>
  <si>
    <t>FL-519</t>
  </si>
  <si>
    <t>Pasco County CoC</t>
  </si>
  <si>
    <t>FL-520</t>
  </si>
  <si>
    <t>Citrus, Hernando, Lake, Sumter Counties CoC</t>
  </si>
  <si>
    <t>FL-600</t>
  </si>
  <si>
    <t>Miami-Dade County CoC</t>
  </si>
  <si>
    <t>FL-601</t>
  </si>
  <si>
    <t>Ft Lauderdale/Broward County CoC</t>
  </si>
  <si>
    <t>FL-602</t>
  </si>
  <si>
    <t>Punta Gorda/Charlotte County CoC</t>
  </si>
  <si>
    <t>FL-603</t>
  </si>
  <si>
    <t>Ft Myers, Cape Coral/Lee County CoC</t>
  </si>
  <si>
    <t>FL-604</t>
  </si>
  <si>
    <t>Monroe County CoC</t>
  </si>
  <si>
    <t>FL-605</t>
  </si>
  <si>
    <t>West Palm Beach/Palm Beach County CoC</t>
  </si>
  <si>
    <t>FL-606</t>
  </si>
  <si>
    <t>Naples/Collier County CoC</t>
  </si>
  <si>
    <t>GA-500</t>
  </si>
  <si>
    <t>Atlanta CoC</t>
  </si>
  <si>
    <t>GA-501</t>
  </si>
  <si>
    <t>Georgia Balance of State CoC</t>
  </si>
  <si>
    <t>GA-502</t>
  </si>
  <si>
    <t>Fulton County CoC</t>
  </si>
  <si>
    <t>GA-503</t>
  </si>
  <si>
    <t>Athens-Clarke County CoC</t>
  </si>
  <si>
    <t>GA-504</t>
  </si>
  <si>
    <t>Augusta-Richmond County CoC</t>
  </si>
  <si>
    <t>GA-505</t>
  </si>
  <si>
    <t>Columbus-Muscogee CoC</t>
  </si>
  <si>
    <t>GA-506</t>
  </si>
  <si>
    <t>Marietta/Cobb County CoC</t>
  </si>
  <si>
    <t>GA-507</t>
  </si>
  <si>
    <t>Savannah/Chatham County CoC</t>
  </si>
  <si>
    <t>GA-508</t>
  </si>
  <si>
    <t>DeKalb County CoC</t>
  </si>
  <si>
    <t>GU-500</t>
  </si>
  <si>
    <t>Guam CoC</t>
  </si>
  <si>
    <t>HI-500</t>
  </si>
  <si>
    <t>Hawaii Balance of State CoC</t>
  </si>
  <si>
    <t>HI-501</t>
  </si>
  <si>
    <t>Honolulu City and County CoC</t>
  </si>
  <si>
    <t>IA-500</t>
  </si>
  <si>
    <t>Sioux City/Dakota, Woodbury Counties CoC</t>
  </si>
  <si>
    <t>IA-501</t>
  </si>
  <si>
    <t>Iowa Balance of State CoC</t>
  </si>
  <si>
    <t>IA-502</t>
  </si>
  <si>
    <t>Des Moines/Polk County CoC</t>
  </si>
  <si>
    <t>ID-500</t>
  </si>
  <si>
    <t>Boise/Ada County CoC</t>
  </si>
  <si>
    <t>ID-501</t>
  </si>
  <si>
    <t>Idaho Balance of State CoC</t>
  </si>
  <si>
    <t>IL-500</t>
  </si>
  <si>
    <t>McHenry County CoC</t>
  </si>
  <si>
    <t>IL-501</t>
  </si>
  <si>
    <t>Rockford/DeKalb, Winnebago, Boone Counties CoC</t>
  </si>
  <si>
    <t>IL-502</t>
  </si>
  <si>
    <t>Waukegan, North Chicago/Lake County CoC</t>
  </si>
  <si>
    <t>IL-503</t>
  </si>
  <si>
    <t>Champaign, Urbana, Rantoul/Champaign County CoC</t>
  </si>
  <si>
    <t>IL-504</t>
  </si>
  <si>
    <t>Madison County CoC</t>
  </si>
  <si>
    <t>IL-506</t>
  </si>
  <si>
    <t>Joliet, Bolingbrook/Will County CoC</t>
  </si>
  <si>
    <t>IL-507</t>
  </si>
  <si>
    <t>Peoria, Pekin/Fulton, Tazewell, Peoria, Woodford Counties CoC</t>
  </si>
  <si>
    <t>IL-508</t>
  </si>
  <si>
    <t>East St. Louis, Belleville/St. Clair County CoC</t>
  </si>
  <si>
    <t>IL-510</t>
  </si>
  <si>
    <t>Chicago CoC</t>
  </si>
  <si>
    <t>IL-511</t>
  </si>
  <si>
    <t>Cook County CoC</t>
  </si>
  <si>
    <t>IL-512</t>
  </si>
  <si>
    <t>Bloomington/Central Illinois CoC</t>
  </si>
  <si>
    <t>IL-513</t>
  </si>
  <si>
    <t>Springfield/Sangamon County CoC</t>
  </si>
  <si>
    <t>IL-514</t>
  </si>
  <si>
    <t>DuPage County CoC</t>
  </si>
  <si>
    <t>IL-515</t>
  </si>
  <si>
    <t>South Central Illinois CoC</t>
  </si>
  <si>
    <t>IL-516</t>
  </si>
  <si>
    <t>Decatur/Macon County CoC</t>
  </si>
  <si>
    <t>IL-517</t>
  </si>
  <si>
    <t>Aurora, Elgin/Kane County CoC</t>
  </si>
  <si>
    <t>IL-518</t>
  </si>
  <si>
    <t>Rock Island, Moline/Northwestern Illinois CoC</t>
  </si>
  <si>
    <t>IL-519</t>
  </si>
  <si>
    <t>West Central Illinois CoC</t>
  </si>
  <si>
    <t>IL-520</t>
  </si>
  <si>
    <t>Southern Illinois CoC</t>
  </si>
  <si>
    <t>IN-502</t>
  </si>
  <si>
    <t>Indiana Balance of State CoC</t>
  </si>
  <si>
    <t>IN-503</t>
  </si>
  <si>
    <t>Indianapolis CoC</t>
  </si>
  <si>
    <t>KS-502</t>
  </si>
  <si>
    <t>Wichita/Sedgwick County CoC</t>
  </si>
  <si>
    <t>KS-503</t>
  </si>
  <si>
    <t>Topeka/Shawnee County CoC</t>
  </si>
  <si>
    <t>KS-505</t>
  </si>
  <si>
    <t>Overland Park, Shawnee/Johnson County CoC</t>
  </si>
  <si>
    <t>KS-507</t>
  </si>
  <si>
    <t>Kansas Balance of State CoC</t>
  </si>
  <si>
    <t>KY-500</t>
  </si>
  <si>
    <t>Kentucky Balance of State CoC</t>
  </si>
  <si>
    <t>KY-501</t>
  </si>
  <si>
    <t>Louisville-Jefferson County CoC</t>
  </si>
  <si>
    <t>KY-502</t>
  </si>
  <si>
    <t>Lexington-Fayette County CoC</t>
  </si>
  <si>
    <t>LA-500</t>
  </si>
  <si>
    <t>Lafayette/Acadiana CoC</t>
  </si>
  <si>
    <t>LA-502</t>
  </si>
  <si>
    <t>Shreveport, Bossier/Northwest Louisiana CoC</t>
  </si>
  <si>
    <t>LA-503</t>
  </si>
  <si>
    <t>New Orleans/Jefferson Parish CoC</t>
  </si>
  <si>
    <t>LA-505</t>
  </si>
  <si>
    <t>Monroe/Northeast Louisiana CoC</t>
  </si>
  <si>
    <t>LA-506</t>
  </si>
  <si>
    <t>Slidell/Southeast Louisiana CoC</t>
  </si>
  <si>
    <t>LA-507</t>
  </si>
  <si>
    <t>Alexandria/Central Louisiana CoC</t>
  </si>
  <si>
    <t>LA-509</t>
  </si>
  <si>
    <t>Louisiana Balance of State CoC</t>
  </si>
  <si>
    <t>MA-500</t>
  </si>
  <si>
    <t>Boston CoC</t>
  </si>
  <si>
    <t>MA-502</t>
  </si>
  <si>
    <t>Lynn CoC</t>
  </si>
  <si>
    <t>MA-503</t>
  </si>
  <si>
    <t>Cape Cod Islands CoC</t>
  </si>
  <si>
    <t>MA-504</t>
  </si>
  <si>
    <t>Springfield/Hampden County CoC</t>
  </si>
  <si>
    <t>MA-505</t>
  </si>
  <si>
    <t>New Bedford CoC</t>
  </si>
  <si>
    <t>MA-506</t>
  </si>
  <si>
    <t>Worcester City &amp; County CoC</t>
  </si>
  <si>
    <t>MA-507</t>
  </si>
  <si>
    <t>Pittsfield/Berkshire, Franklin, Hampshire Counties CoC</t>
  </si>
  <si>
    <t>MA-509</t>
  </si>
  <si>
    <t>Cambridge CoC</t>
  </si>
  <si>
    <t>MA-511</t>
  </si>
  <si>
    <t>Quincy, Brockton, Weymouth, Plymouth City and County CoC</t>
  </si>
  <si>
    <t>MA-515</t>
  </si>
  <si>
    <t>Fall River CoC</t>
  </si>
  <si>
    <t>MA-516</t>
  </si>
  <si>
    <t>Massachusetts Balance of State CoC</t>
  </si>
  <si>
    <t>MA-519</t>
  </si>
  <si>
    <t>Attleboro, Taunton/Bristol County CoC</t>
  </si>
  <si>
    <t>MD-501</t>
  </si>
  <si>
    <t>Baltimore CoC</t>
  </si>
  <si>
    <t>MD-502</t>
  </si>
  <si>
    <t>Harford County CoC</t>
  </si>
  <si>
    <t>MD-503</t>
  </si>
  <si>
    <t>Annapolis/Anne Arundel County CoC</t>
  </si>
  <si>
    <t>MD-504</t>
  </si>
  <si>
    <t>Howard County CoC</t>
  </si>
  <si>
    <t>MD-505</t>
  </si>
  <si>
    <t>Baltimore County CoC</t>
  </si>
  <si>
    <t>MD-506</t>
  </si>
  <si>
    <t>Carroll County CoC</t>
  </si>
  <si>
    <t>MD-509</t>
  </si>
  <si>
    <t>Frederick City &amp; County CoC</t>
  </si>
  <si>
    <t>MD-511</t>
  </si>
  <si>
    <t>Mid-Shore Regional CoC</t>
  </si>
  <si>
    <t>MD-513</t>
  </si>
  <si>
    <t>Wicomico, Somerset, Worcester Counties CoC</t>
  </si>
  <si>
    <t>MD-514</t>
  </si>
  <si>
    <t>Maryland Balance of State CoC</t>
  </si>
  <si>
    <t>MD-600</t>
  </si>
  <si>
    <t>Prince George's County CoC</t>
  </si>
  <si>
    <t>MD-601</t>
  </si>
  <si>
    <t>Montgomery County CoC</t>
  </si>
  <si>
    <t>ME-500</t>
  </si>
  <si>
    <t>Maine Statewide CoC</t>
  </si>
  <si>
    <t>MI-500</t>
  </si>
  <si>
    <t>Michigan Balance of State CoC</t>
  </si>
  <si>
    <t>MI-501</t>
  </si>
  <si>
    <t>Detroit CoC</t>
  </si>
  <si>
    <t>MI-502</t>
  </si>
  <si>
    <t>Dearborn, Dearborn Heights, Westland/Wayne County CoC</t>
  </si>
  <si>
    <t>MI-503</t>
  </si>
  <si>
    <t>St. Clair Shores, Warren/Macomb County CoC</t>
  </si>
  <si>
    <t>MI-504</t>
  </si>
  <si>
    <t>Pontiac, Royal Oak/Oakland County CoC</t>
  </si>
  <si>
    <t>MI-505</t>
  </si>
  <si>
    <t>Flint/Genesee County CoC</t>
  </si>
  <si>
    <t>MI-506</t>
  </si>
  <si>
    <t>Grand Rapids, Wyoming/Kent County CoC</t>
  </si>
  <si>
    <t>MI-507</t>
  </si>
  <si>
    <t>Portage, Kalamazoo City &amp; County CoC</t>
  </si>
  <si>
    <t>MI-508</t>
  </si>
  <si>
    <t>Lansing, East Lansing/Ingham County CoC</t>
  </si>
  <si>
    <t>MI-509</t>
  </si>
  <si>
    <t>Washtenaw County CoC</t>
  </si>
  <si>
    <t>MI-510</t>
  </si>
  <si>
    <t>Saginaw City &amp; County CoC</t>
  </si>
  <si>
    <t>MI-511</t>
  </si>
  <si>
    <t>Lenawee County CoC</t>
  </si>
  <si>
    <t>MI-512</t>
  </si>
  <si>
    <t>Grand Traverse, Antrim, Leelanau Counties CoC</t>
  </si>
  <si>
    <t>MI-514</t>
  </si>
  <si>
    <t>Battle Creek/Calhoun County CoC</t>
  </si>
  <si>
    <t>MI-515</t>
  </si>
  <si>
    <t>Monroe City &amp; County CoC</t>
  </si>
  <si>
    <t>MI-516</t>
  </si>
  <si>
    <t>Norton Shores, Muskegon City &amp; County CoC</t>
  </si>
  <si>
    <t>MI-517</t>
  </si>
  <si>
    <t>Jackson City &amp; County CoC</t>
  </si>
  <si>
    <t>MI-518</t>
  </si>
  <si>
    <t>Livingston County CoC</t>
  </si>
  <si>
    <t>MI-519</t>
  </si>
  <si>
    <t>Holland/Ottawa County CoC</t>
  </si>
  <si>
    <t>MI-523</t>
  </si>
  <si>
    <t>Eaton County CoC</t>
  </si>
  <si>
    <t>MN-500</t>
  </si>
  <si>
    <t>Minneapolis/Hennepin County CoC</t>
  </si>
  <si>
    <t>MN-501</t>
  </si>
  <si>
    <t>Saint Paul/Ramsey County CoC</t>
  </si>
  <si>
    <t>MN-502</t>
  </si>
  <si>
    <t>Rochester/Southeast Minnesota CoC</t>
  </si>
  <si>
    <t>MN-503</t>
  </si>
  <si>
    <t>Dakota, Anoka, Washington, Scott, Carver Counties</t>
  </si>
  <si>
    <t>MN-504</t>
  </si>
  <si>
    <t>Northeast Minnesota CoC</t>
  </si>
  <si>
    <t>MN-505</t>
  </si>
  <si>
    <t>St. Cloud/Central Minnesota CoC</t>
  </si>
  <si>
    <t>MN-506</t>
  </si>
  <si>
    <t>Northwest Minnesota CoC</t>
  </si>
  <si>
    <t>MN-508</t>
  </si>
  <si>
    <t>Moorhead/West Central Minnesota CoC</t>
  </si>
  <si>
    <t>MN-509</t>
  </si>
  <si>
    <t>Duluth/St.Louis County CoC</t>
  </si>
  <si>
    <t>MN-511</t>
  </si>
  <si>
    <t>Southwest Minnesota CoC</t>
  </si>
  <si>
    <t>MO-500</t>
  </si>
  <si>
    <t>St. Louis County CoC</t>
  </si>
  <si>
    <t>MO-501</t>
  </si>
  <si>
    <t>St.Louis City CoC</t>
  </si>
  <si>
    <t>MO-503</t>
  </si>
  <si>
    <t>St. Charles City &amp; County, Lincoln, Warren Counties CoC</t>
  </si>
  <si>
    <t>MO-600</t>
  </si>
  <si>
    <t>Springfield/Greene, Christian, Webster Counties CoC</t>
  </si>
  <si>
    <t>MO-602</t>
  </si>
  <si>
    <t>Joplin/Jasper, Newton Counties CoC</t>
  </si>
  <si>
    <t>MO-603</t>
  </si>
  <si>
    <t>St. Joseph/Andrew, Buchanan, DeKalb Counties CoC</t>
  </si>
  <si>
    <t>MO-604a</t>
  </si>
  <si>
    <t>Kansas City, Independence, Lee’s Summit/Jackson, Wyandotte Counties, MO &amp; KS</t>
  </si>
  <si>
    <t>MO-606</t>
  </si>
  <si>
    <t>Missouri Balance of State CoC</t>
  </si>
  <si>
    <t>MP-500</t>
  </si>
  <si>
    <t>Northern Mariana Islands CoC</t>
  </si>
  <si>
    <t>MS-500</t>
  </si>
  <si>
    <t>Jackson/Rankin, Madison Counties CoC</t>
  </si>
  <si>
    <t>MS-501</t>
  </si>
  <si>
    <t>Mississippi Balance of State CoC</t>
  </si>
  <si>
    <t>MS-503</t>
  </si>
  <si>
    <t>Gulf Port/Gulf Coast Regional CoC</t>
  </si>
  <si>
    <t>MT-500</t>
  </si>
  <si>
    <t>Montana Statewide CoC</t>
  </si>
  <si>
    <t>NC-500</t>
  </si>
  <si>
    <t>Winston-Salem/Forsyth County CoC</t>
  </si>
  <si>
    <t>NC-501</t>
  </si>
  <si>
    <t>Asheville/Buncombe County CoC</t>
  </si>
  <si>
    <t>NC-502</t>
  </si>
  <si>
    <t>Durham City &amp; County CoC</t>
  </si>
  <si>
    <t>NC-503</t>
  </si>
  <si>
    <t>North Carolina Balance of State CoC</t>
  </si>
  <si>
    <t>NC-504</t>
  </si>
  <si>
    <t>Greensboro, High Point CoC</t>
  </si>
  <si>
    <t>NC-505</t>
  </si>
  <si>
    <t>Charlotte/Mecklenberg CoC</t>
  </si>
  <si>
    <t>NC-506</t>
  </si>
  <si>
    <t>Wilmington/Brunswick, New Hanover, Pender Counties CoC</t>
  </si>
  <si>
    <t>NC-507</t>
  </si>
  <si>
    <t>Raleigh/Wake County CoC</t>
  </si>
  <si>
    <t>NC-509</t>
  </si>
  <si>
    <t>Gastonia/Cleveland, Gaston, Lincoln Counties CoC</t>
  </si>
  <si>
    <t>NC-511</t>
  </si>
  <si>
    <t>Fayetteville/Cumberland County CoC</t>
  </si>
  <si>
    <t>NC-513</t>
  </si>
  <si>
    <t>Chapel Hill/Orange County CoC</t>
  </si>
  <si>
    <t>NC-516</t>
  </si>
  <si>
    <t>Northwest North Carolina CoC</t>
  </si>
  <si>
    <t>ND-500</t>
  </si>
  <si>
    <t>North Dakota Statewide CoC</t>
  </si>
  <si>
    <t>NE-500</t>
  </si>
  <si>
    <t>Nebraska Balance of State CoC</t>
  </si>
  <si>
    <t>NE-501</t>
  </si>
  <si>
    <t>Omaha, Council Bluffs CoC</t>
  </si>
  <si>
    <t>NE-502</t>
  </si>
  <si>
    <t>Lincoln CoC</t>
  </si>
  <si>
    <t>NH-500</t>
  </si>
  <si>
    <t>New Hampshire Balance of State CoC</t>
  </si>
  <si>
    <t>NH-501</t>
  </si>
  <si>
    <t>Manchester CoC</t>
  </si>
  <si>
    <t>NH-502</t>
  </si>
  <si>
    <t>Nashua/Hillsborough County CoC</t>
  </si>
  <si>
    <t>NJ-500</t>
  </si>
  <si>
    <t>Atlantic City &amp; County CoC</t>
  </si>
  <si>
    <t>NJ-501</t>
  </si>
  <si>
    <t>Bergen County CoC</t>
  </si>
  <si>
    <t>NJ-502</t>
  </si>
  <si>
    <t>Burlington County CoC</t>
  </si>
  <si>
    <t>NJ-503</t>
  </si>
  <si>
    <t>Camden City &amp; County/Gloucester, Cape May, Cumberland Counties CoC</t>
  </si>
  <si>
    <t>NJ-504</t>
  </si>
  <si>
    <t>Newark/Essex County CoC</t>
  </si>
  <si>
    <t>NJ-506</t>
  </si>
  <si>
    <t>Jersey City, Bayonne/Hudson County CoC</t>
  </si>
  <si>
    <t>NJ-507</t>
  </si>
  <si>
    <t>New Brunswick/Middlesex County CoC</t>
  </si>
  <si>
    <t>NJ-508</t>
  </si>
  <si>
    <t>Monmouth County CoC</t>
  </si>
  <si>
    <t>NJ-509</t>
  </si>
  <si>
    <t>Morris County CoC</t>
  </si>
  <si>
    <t>NJ-510</t>
  </si>
  <si>
    <t>Lakewood Township/Ocean County CoC</t>
  </si>
  <si>
    <t>NJ-511</t>
  </si>
  <si>
    <t>Paterson/Passaic County CoC</t>
  </si>
  <si>
    <t>NJ-512</t>
  </si>
  <si>
    <t>Salem County CoC</t>
  </si>
  <si>
    <t>NJ-513</t>
  </si>
  <si>
    <t>Somerset County CoC</t>
  </si>
  <si>
    <t>NJ-514</t>
  </si>
  <si>
    <t>Trenton/Mercer County CoC</t>
  </si>
  <si>
    <t>NJ-515</t>
  </si>
  <si>
    <t>Elizabeth/Union County CoC</t>
  </si>
  <si>
    <t>NJ-516</t>
  </si>
  <si>
    <t>Warren, Sussex, Hunterdon Counties CoC</t>
  </si>
  <si>
    <t>NM-500</t>
  </si>
  <si>
    <t>Albuquerque CoC</t>
  </si>
  <si>
    <t>NM-501</t>
  </si>
  <si>
    <t>New Mexico Balance of State CoC</t>
  </si>
  <si>
    <t>NV-500</t>
  </si>
  <si>
    <t>Las Vegas/Clark County CoC</t>
  </si>
  <si>
    <t>NV-501</t>
  </si>
  <si>
    <t>Reno, Sparks/Washoe County CoC</t>
  </si>
  <si>
    <t>NV-502</t>
  </si>
  <si>
    <t>Nevada Balance of State CoC</t>
  </si>
  <si>
    <t>NY-500</t>
  </si>
  <si>
    <t>Rochester, Irondequoit, Greece/Monroe County CoC</t>
  </si>
  <si>
    <t>NY-501</t>
  </si>
  <si>
    <t>Elmira/Steuben, Allegany, Livingston, Chemung, Schuyler Counties CoC</t>
  </si>
  <si>
    <t>NY-503</t>
  </si>
  <si>
    <t>Albany City &amp; County CoC</t>
  </si>
  <si>
    <t>NY-505</t>
  </si>
  <si>
    <t>Syracuse, Auburn/Onondaga, Oswego, Cayuga Counties CoC</t>
  </si>
  <si>
    <t>NY-507</t>
  </si>
  <si>
    <t>Schenectady City &amp; County CoC</t>
  </si>
  <si>
    <t>NY-508</t>
  </si>
  <si>
    <t>Buffalo, Niagara Falls/Erie, Niagara, Orleans, Genesee, Wyoming Counties CoC</t>
  </si>
  <si>
    <t>NY-510</t>
  </si>
  <si>
    <t>Ithaca/Tompkins County CoC</t>
  </si>
  <si>
    <t>NY-511</t>
  </si>
  <si>
    <t>Binghamton, Union Town/Broome, Otsego, Chenango, Delaware, Cortland, Tioga Count</t>
  </si>
  <si>
    <t>NY-512</t>
  </si>
  <si>
    <t>Troy/Rensselaer County CoC</t>
  </si>
  <si>
    <t>NY-513</t>
  </si>
  <si>
    <t>Wayne, Ontario, Seneca, Yates Counties CoC</t>
  </si>
  <si>
    <t>NY-514</t>
  </si>
  <si>
    <t>Jamestown, Dunkirk/Chautauqua County CoC</t>
  </si>
  <si>
    <t>NY-518</t>
  </si>
  <si>
    <t>Utica, Rome/Oneida, Madison Counties CoC</t>
  </si>
  <si>
    <t>NY-519</t>
  </si>
  <si>
    <t>Columbia, Greene Counties CoC</t>
  </si>
  <si>
    <t>NY-520</t>
  </si>
  <si>
    <t>Franklin, Essex Counties CoC</t>
  </si>
  <si>
    <t>NY-522</t>
  </si>
  <si>
    <t>Jefferson, Lewis, St. Lawrence Counties CoC</t>
  </si>
  <si>
    <t>NY-523</t>
  </si>
  <si>
    <t>Glens Falls, Saratoga Springs/Saratoga, Washington, Warren, Hamilton Counties Co</t>
  </si>
  <si>
    <t>NY-525</t>
  </si>
  <si>
    <t>New York Balance of State Continuum of Care</t>
  </si>
  <si>
    <t>NY-600</t>
  </si>
  <si>
    <t>New York City CoC</t>
  </si>
  <si>
    <t>NY-601</t>
  </si>
  <si>
    <t>Poughkeepsie/Dutchess County CoC</t>
  </si>
  <si>
    <t>NY-602</t>
  </si>
  <si>
    <t>Newburgh, Middletown/Orange County CoC</t>
  </si>
  <si>
    <t>NY-603</t>
  </si>
  <si>
    <t>Nassau, Suffolk Counties CoC</t>
  </si>
  <si>
    <t>NY-604</t>
  </si>
  <si>
    <t>Yonkers, Mount Vernon/Westchester County CoC</t>
  </si>
  <si>
    <t>NY-606</t>
  </si>
  <si>
    <t>Rockland County CoC</t>
  </si>
  <si>
    <t>NY-608</t>
  </si>
  <si>
    <t>Kingston/Ulster County CoC</t>
  </si>
  <si>
    <t>OH-500</t>
  </si>
  <si>
    <t>Cincinnati/Hamilton County CoC</t>
  </si>
  <si>
    <t>OH-501</t>
  </si>
  <si>
    <t>Toledo/Lucas County CoC</t>
  </si>
  <si>
    <t>OH-502</t>
  </si>
  <si>
    <t>Cleveland/Cuyahoga County CoC</t>
  </si>
  <si>
    <t>OH-503</t>
  </si>
  <si>
    <t>Columbus/Franklin County CoC</t>
  </si>
  <si>
    <t>OH-504</t>
  </si>
  <si>
    <t>Youngstown/Mahoning County CoC</t>
  </si>
  <si>
    <t>OH-505</t>
  </si>
  <si>
    <t>Dayton, Kettering/Montgomery County CoC</t>
  </si>
  <si>
    <t>OH-506</t>
  </si>
  <si>
    <t>Akron, Barberton/Summit County CoC</t>
  </si>
  <si>
    <t>OH-507</t>
  </si>
  <si>
    <t>Ohio Balance of State CoC</t>
  </si>
  <si>
    <t>OH-508</t>
  </si>
  <si>
    <t>Canton, Massillon, Alliance/Stark County CoC</t>
  </si>
  <si>
    <t>OK-500</t>
  </si>
  <si>
    <t>North Central Oklahoma CoC</t>
  </si>
  <si>
    <t>OK-501</t>
  </si>
  <si>
    <t>Tulsa City &amp; County CoC</t>
  </si>
  <si>
    <t>OK-502</t>
  </si>
  <si>
    <t>Oklahoma City CoC</t>
  </si>
  <si>
    <t>OK-503</t>
  </si>
  <si>
    <t>Oklahoma Balance of State CoC</t>
  </si>
  <si>
    <t>OK-504</t>
  </si>
  <si>
    <t>Norman/Cleveland County CoC</t>
  </si>
  <si>
    <t>OK-505</t>
  </si>
  <si>
    <t>Northeast Oklahoma CoC</t>
  </si>
  <si>
    <t>OK-506</t>
  </si>
  <si>
    <t>Southwest Oklahoma Regional CoC</t>
  </si>
  <si>
    <t>OK-507</t>
  </si>
  <si>
    <t>Southeastern Oklahoma Regional CoC</t>
  </si>
  <si>
    <t>OR-500</t>
  </si>
  <si>
    <t>Eugene, Springfield/Lane County CoC</t>
  </si>
  <si>
    <t>OR-501</t>
  </si>
  <si>
    <t>Portland, Gresham/Multnomah County CoC</t>
  </si>
  <si>
    <t>OR-502</t>
  </si>
  <si>
    <t>Medford, Ashland/Jackson County CoC</t>
  </si>
  <si>
    <t>OR-503</t>
  </si>
  <si>
    <t>Central Oregon CoC</t>
  </si>
  <si>
    <t>OR-504</t>
  </si>
  <si>
    <t>Salem/Marion, Polk Counties CoC</t>
  </si>
  <si>
    <t>OR-505</t>
  </si>
  <si>
    <t>Oregon Balance of State CoC</t>
  </si>
  <si>
    <t>OR-506</t>
  </si>
  <si>
    <t>Hillsboro, Beaverton/Washington County CoC</t>
  </si>
  <si>
    <t>OR-507</t>
  </si>
  <si>
    <t>Clackamas County CoC</t>
  </si>
  <si>
    <t>PA-500</t>
  </si>
  <si>
    <t>Philadelphia CoC</t>
  </si>
  <si>
    <t>PA-501</t>
  </si>
  <si>
    <t>Harrisburg/Dauphin County CoC</t>
  </si>
  <si>
    <t>PA-502</t>
  </si>
  <si>
    <t>Upper Darby, Chester, Haverford/Delaware County CoC</t>
  </si>
  <si>
    <t>PA-503</t>
  </si>
  <si>
    <t>Wilkes-Barre, Hazleton/Luzerne County CoC</t>
  </si>
  <si>
    <t>PA-504</t>
  </si>
  <si>
    <t>Lower Merion, Norristown, Abington/Montgomery County CoC</t>
  </si>
  <si>
    <t>PA-505</t>
  </si>
  <si>
    <t>Chester County CoC</t>
  </si>
  <si>
    <t>PA-506</t>
  </si>
  <si>
    <t>Reading/Berks County CoC</t>
  </si>
  <si>
    <t>PA-508</t>
  </si>
  <si>
    <t>Scranton/Lackawanna County CoC</t>
  </si>
  <si>
    <t>PA-509</t>
  </si>
  <si>
    <t>Eastern Pennsylvania CoC</t>
  </si>
  <si>
    <t>PA-510</t>
  </si>
  <si>
    <t>Lancaster City &amp; County CoC</t>
  </si>
  <si>
    <t>PA-511</t>
  </si>
  <si>
    <t>Bristol, Bensalem/Bucks County CoC</t>
  </si>
  <si>
    <t>PA-512</t>
  </si>
  <si>
    <t>York City &amp; County CoC</t>
  </si>
  <si>
    <t>PA-600</t>
  </si>
  <si>
    <t>Pittsburgh, McKeesport, Penn Hills/Allegheny County CoC</t>
  </si>
  <si>
    <t>PA-601</t>
  </si>
  <si>
    <t>Western Pennsylvania CoC</t>
  </si>
  <si>
    <t>PA-603</t>
  </si>
  <si>
    <t>Beaver County CoC</t>
  </si>
  <si>
    <t>PA-605</t>
  </si>
  <si>
    <t>Erie City &amp; County CoC</t>
  </si>
  <si>
    <t>PR-502</t>
  </si>
  <si>
    <t>Puerto Rico Balance of Commonwealth CoC</t>
  </si>
  <si>
    <t>PR-503</t>
  </si>
  <si>
    <t>South-Southeast Puerto Rico CoC</t>
  </si>
  <si>
    <t>RI-500</t>
  </si>
  <si>
    <t>Rhode Island Statewide CoC</t>
  </si>
  <si>
    <t>SC-500</t>
  </si>
  <si>
    <t>Charleston/Low Country CoC</t>
  </si>
  <si>
    <t>SC-501</t>
  </si>
  <si>
    <t>Greenville, Anderson, Spartanburg/Upstate CoC</t>
  </si>
  <si>
    <t>SC-502</t>
  </si>
  <si>
    <t>Columbia/Midlands CoC</t>
  </si>
  <si>
    <t>SC-503</t>
  </si>
  <si>
    <t>Myrtle Beach, Sumter City &amp; County CoC</t>
  </si>
  <si>
    <t>SD-500</t>
  </si>
  <si>
    <t>South Dakota Statewide CoC</t>
  </si>
  <si>
    <t>TN-500</t>
  </si>
  <si>
    <t>Chattanooga/Southeast Tennessee CoC</t>
  </si>
  <si>
    <t>TN-501</t>
  </si>
  <si>
    <t>Memphis/Shelby County CoC</t>
  </si>
  <si>
    <t>TN-502</t>
  </si>
  <si>
    <t>Knoxville/Knox County CoC</t>
  </si>
  <si>
    <t>TN-503</t>
  </si>
  <si>
    <t>Central Tennessee CoC</t>
  </si>
  <si>
    <t>TN-504</t>
  </si>
  <si>
    <t>Nashville-Davidson County CoC</t>
  </si>
  <si>
    <t>TN-506</t>
  </si>
  <si>
    <t>Upper Cumberland CoC</t>
  </si>
  <si>
    <t>TN-507</t>
  </si>
  <si>
    <t>Jackson/West Tennessee CoC</t>
  </si>
  <si>
    <t>TN-509</t>
  </si>
  <si>
    <t>Appalachian Regional CoC</t>
  </si>
  <si>
    <t>TN-510</t>
  </si>
  <si>
    <t>Murfreesboro/Rutherford County CoC</t>
  </si>
  <si>
    <t>TN-512</t>
  </si>
  <si>
    <t>Morristown/Blount, Sevier, Campbell, Cocke Counties CoC</t>
  </si>
  <si>
    <t>TX-500</t>
  </si>
  <si>
    <t>San Antonio/Bexar County CoC</t>
  </si>
  <si>
    <t>TX-503</t>
  </si>
  <si>
    <t>Austin/Travis County CoC</t>
  </si>
  <si>
    <t>TX-600</t>
  </si>
  <si>
    <t>Dallas City &amp; County, Irving CoC</t>
  </si>
  <si>
    <t>TX-601</t>
  </si>
  <si>
    <t>Fort Worth, Arlington/Tarrant County CoC</t>
  </si>
  <si>
    <t>TX-603</t>
  </si>
  <si>
    <t>El Paso City &amp; County CoC</t>
  </si>
  <si>
    <t>TX-604</t>
  </si>
  <si>
    <t>Waco/McLennan County CoC</t>
  </si>
  <si>
    <t>TX-607</t>
  </si>
  <si>
    <t>Texas Balance of State CoC</t>
  </si>
  <si>
    <t>TX-611</t>
  </si>
  <si>
    <t>Amarillo CoC</t>
  </si>
  <si>
    <t>TX-624</t>
  </si>
  <si>
    <t>Wichita Falls/Wise, Palo Pinto, Wichita, Archer Counties CoC</t>
  </si>
  <si>
    <t>TX-700</t>
  </si>
  <si>
    <t>Houston, Pasadena, Conroe/Harris, Ft. Bend, Montgomery, Counties CoC</t>
  </si>
  <si>
    <t>TX-701</t>
  </si>
  <si>
    <t>Bryan, College Station/Brazos Valley CoC</t>
  </si>
  <si>
    <t>UT-500</t>
  </si>
  <si>
    <t>Salt Lake City &amp; County CoC</t>
  </si>
  <si>
    <t>UT-503</t>
  </si>
  <si>
    <t>Utah Balance of State CoC</t>
  </si>
  <si>
    <t>UT-504</t>
  </si>
  <si>
    <t>Provo/Mountainland CoC</t>
  </si>
  <si>
    <t>VA-500</t>
  </si>
  <si>
    <t>Richmond/Henrico, Chesterfield, Hanover Counties CoC</t>
  </si>
  <si>
    <t>VA-501</t>
  </si>
  <si>
    <t>Norfolk, Chesapeake, Suffolk/Isle of Wight, Southampton Counties CoC</t>
  </si>
  <si>
    <t>VA-502</t>
  </si>
  <si>
    <t>Roanoke City &amp; County, Salem CoC</t>
  </si>
  <si>
    <t>VA-503</t>
  </si>
  <si>
    <t>Virginia Beach CoC</t>
  </si>
  <si>
    <t>VA-504</t>
  </si>
  <si>
    <t>Charlottesville CoC</t>
  </si>
  <si>
    <t>VA-505</t>
  </si>
  <si>
    <t>Newport News, Hampton/Virginia Peninsula CoC</t>
  </si>
  <si>
    <t>VA-507</t>
  </si>
  <si>
    <t>Portsmouth CoC</t>
  </si>
  <si>
    <t>VA-508</t>
  </si>
  <si>
    <t>Lynchburg CoC</t>
  </si>
  <si>
    <t>VA-513</t>
  </si>
  <si>
    <t>Harrisburg, Winchester/Western Virginia CoC</t>
  </si>
  <si>
    <t>VA-514</t>
  </si>
  <si>
    <t>Fredericksburg/Spotsylvania, Stafford Counties CoC</t>
  </si>
  <si>
    <t>VA-521</t>
  </si>
  <si>
    <t>Virginia Balance of State CoC</t>
  </si>
  <si>
    <t>VA-600</t>
  </si>
  <si>
    <t>Arlington County CoC</t>
  </si>
  <si>
    <t>VA-601</t>
  </si>
  <si>
    <t>Fairfax County CoC</t>
  </si>
  <si>
    <t>VA-602</t>
  </si>
  <si>
    <t>Loudoun County CoC</t>
  </si>
  <si>
    <t>VA-603</t>
  </si>
  <si>
    <t>Alexandria CoC</t>
  </si>
  <si>
    <t>VA-604</t>
  </si>
  <si>
    <t>Prince William County CoC</t>
  </si>
  <si>
    <t>VI-500</t>
  </si>
  <si>
    <t>Virgin Islands CoC</t>
  </si>
  <si>
    <t>VT-500</t>
  </si>
  <si>
    <t>Vermont Balance of State CoC</t>
  </si>
  <si>
    <t>VT-501</t>
  </si>
  <si>
    <t>Burlington/Chittenden County CoC</t>
  </si>
  <si>
    <t>WA-500</t>
  </si>
  <si>
    <t>Seattle/King County CoC</t>
  </si>
  <si>
    <t>WA-501</t>
  </si>
  <si>
    <t>Washington Balance of State CoC</t>
  </si>
  <si>
    <t>WA-502</t>
  </si>
  <si>
    <t>Spokane City &amp; County CoC</t>
  </si>
  <si>
    <t>WA-503</t>
  </si>
  <si>
    <t>Tacoma, Lakewood/Pierce County CoC</t>
  </si>
  <si>
    <t>WA-504</t>
  </si>
  <si>
    <t>Everett/Snohomish County CoC</t>
  </si>
  <si>
    <t>WA-508</t>
  </si>
  <si>
    <t>Vancouver/Clark County CoC</t>
  </si>
  <si>
    <t>WI-500</t>
  </si>
  <si>
    <t>Wisconsin Balance of State CoC</t>
  </si>
  <si>
    <t>WI-501</t>
  </si>
  <si>
    <t>Milwaukee City &amp; County CoC</t>
  </si>
  <si>
    <t>WI-502</t>
  </si>
  <si>
    <t>Racine City &amp; County CoC</t>
  </si>
  <si>
    <t>WI-503</t>
  </si>
  <si>
    <t>Madison/Dane County CoC</t>
  </si>
  <si>
    <t>WV-500</t>
  </si>
  <si>
    <t>Wheeling, Weirton Area CoC</t>
  </si>
  <si>
    <t>WV-501</t>
  </si>
  <si>
    <t>Huntington/Cabell, Wayne Counties CoC</t>
  </si>
  <si>
    <t>WV-503</t>
  </si>
  <si>
    <t>Charleston/Kanawha, Putnam, Boone, Clay Counties CoC</t>
  </si>
  <si>
    <t>WV-508</t>
  </si>
  <si>
    <t>West Virginia Balance of State CoC</t>
  </si>
  <si>
    <t>WY-500</t>
  </si>
  <si>
    <t>Wyoming Statewide CoC</t>
  </si>
  <si>
    <t>Overall Rank*</t>
  </si>
  <si>
    <t>Quality of City Services</t>
  </si>
  <si>
    <t>Total Budget per Capita</t>
  </si>
  <si>
    <t>Nampa, ID</t>
  </si>
  <si>
    <t>Boise, ID</t>
  </si>
  <si>
    <t>2022’s Best- &amp; Worst-Run Cities in America (wallethub.com)</t>
  </si>
  <si>
    <t>Fort Wayne, IN</t>
  </si>
  <si>
    <t>Nashua, NH</t>
  </si>
  <si>
    <t>Lexington-Fayette, KY</t>
  </si>
  <si>
    <t>Lincoln, NE</t>
  </si>
  <si>
    <t>Las Cruces, NM</t>
  </si>
  <si>
    <t>Missoula, MT</t>
  </si>
  <si>
    <t>Durham, NC</t>
  </si>
  <si>
    <t>Rapid City, SD</t>
  </si>
  <si>
    <t>Billings, MT</t>
  </si>
  <si>
    <t>Provo, UT</t>
  </si>
  <si>
    <t>Chesapeake, VA</t>
  </si>
  <si>
    <t>Sioux Falls, SD</t>
  </si>
  <si>
    <t>Salem, OR</t>
  </si>
  <si>
    <t>Manchester, NH</t>
  </si>
  <si>
    <t>Huntington Beach, CA</t>
  </si>
  <si>
    <t>Charleston, SC</t>
  </si>
  <si>
    <t>Albuquerque, NM</t>
  </si>
  <si>
    <t>Madison, WI</t>
  </si>
  <si>
    <t>Columbus, GA</t>
  </si>
  <si>
    <t>Greensboro, NC</t>
  </si>
  <si>
    <t>Cedar Rapids, IA</t>
  </si>
  <si>
    <t>Huntington, WV</t>
  </si>
  <si>
    <t>Bismarck, ND</t>
  </si>
  <si>
    <t>Aurora, IL</t>
  </si>
  <si>
    <t>Warren, MI</t>
  </si>
  <si>
    <t>Lewiston, ME</t>
  </si>
  <si>
    <t>Warwick, RI</t>
  </si>
  <si>
    <t>Grand Rapids, MI</t>
  </si>
  <si>
    <t>St. Petersburg, FL</t>
  </si>
  <si>
    <t>Worcester, MA</t>
  </si>
  <si>
    <t>Reno, NV</t>
  </si>
  <si>
    <t>Mobile, AL</t>
  </si>
  <si>
    <t>Eugene, OR</t>
  </si>
  <si>
    <t>Aurora, CO</t>
  </si>
  <si>
    <t>Hialeah, FL</t>
  </si>
  <si>
    <t>Topeka, KS</t>
  </si>
  <si>
    <t>Des Moines, IA</t>
  </si>
  <si>
    <t>Spokane, WA</t>
  </si>
  <si>
    <t>Fort Smith, AR</t>
  </si>
  <si>
    <t>Baton Rouge, LA</t>
  </si>
  <si>
    <t>Fairbanks, AK</t>
  </si>
  <si>
    <t>Fargo, ND</t>
  </si>
  <si>
    <t>Santa Ana, CA</t>
  </si>
  <si>
    <t>Little Rock, AR</t>
  </si>
  <si>
    <t>Jackson, MS</t>
  </si>
  <si>
    <t>Rutland, VT</t>
  </si>
  <si>
    <t>Omaha, NE</t>
  </si>
  <si>
    <t>Frederick, MD</t>
  </si>
  <si>
    <t>Casper, WY</t>
  </si>
  <si>
    <t>Garland, TX</t>
  </si>
  <si>
    <t>Montgomery, AL</t>
  </si>
  <si>
    <t>Gary, IN</t>
  </si>
  <si>
    <t>Fremont, CA</t>
  </si>
  <si>
    <t>Dover, DE</t>
  </si>
  <si>
    <t>Columbia, SC</t>
  </si>
  <si>
    <t>Tallahassee, FL</t>
  </si>
  <si>
    <t>Akron, OH</t>
  </si>
  <si>
    <t>Springfield, MA</t>
  </si>
  <si>
    <t>Dayton, OH</t>
  </si>
  <si>
    <t>New Orleans, LA</t>
  </si>
  <si>
    <t>Salt Lake City, UT</t>
  </si>
  <si>
    <t>Anchorage, AK</t>
  </si>
  <si>
    <t>Bakersfield, CA</t>
  </si>
  <si>
    <t>Charleston, WV</t>
  </si>
  <si>
    <t>St. Paul, MN</t>
  </si>
  <si>
    <t>Providence, RI</t>
  </si>
  <si>
    <t>Norfolk, VA</t>
  </si>
  <si>
    <t>Richmond, VA</t>
  </si>
  <si>
    <t>Burlington, VT</t>
  </si>
  <si>
    <t>Bridgeport, CT</t>
  </si>
  <si>
    <t>Stockton, CA</t>
  </si>
  <si>
    <t>Shreveport, LA</t>
  </si>
  <si>
    <t>Orlando, FL</t>
  </si>
  <si>
    <t>Anaheim, CA</t>
  </si>
  <si>
    <t>Toledo, OH</t>
  </si>
  <si>
    <t>Lubbock, TX</t>
  </si>
  <si>
    <t>Fort Lauderdale, FL</t>
  </si>
  <si>
    <t>Cincinnati, OH</t>
  </si>
  <si>
    <t>Modesto, CA</t>
  </si>
  <si>
    <t>Charlotte, NC</t>
  </si>
  <si>
    <t>Knoxville, TN</t>
  </si>
  <si>
    <t>Birmingham, AL</t>
  </si>
  <si>
    <t>Pittsburgh, PA</t>
  </si>
  <si>
    <t>Riverside, CA</t>
  </si>
  <si>
    <t>Wilmington, DE</t>
  </si>
  <si>
    <t>Syracuse, NY</t>
  </si>
  <si>
    <t>Buffalo, NY</t>
  </si>
  <si>
    <t>Cheyenne, WY</t>
  </si>
  <si>
    <t>New Haven, CT</t>
  </si>
  <si>
    <t>St. Louis, MO</t>
  </si>
  <si>
    <t>Kansas City, KS</t>
  </si>
  <si>
    <t>Yonkers, NY</t>
  </si>
  <si>
    <t>Rochester, NY</t>
  </si>
  <si>
    <t>Tacoma, WA</t>
  </si>
  <si>
    <t>Gulfport, MS</t>
  </si>
  <si>
    <t>Hartford, CT</t>
  </si>
  <si>
    <t>Flint, MI</t>
  </si>
  <si>
    <t>Detroit, MI</t>
  </si>
  <si>
    <t>Cleveland, OH</t>
  </si>
  <si>
    <t>Chattanooga, TN</t>
  </si>
  <si>
    <t>New York, NY</t>
  </si>
  <si>
    <t>Rank</t>
  </si>
  <si>
    <t>City - Census Name</t>
  </si>
  <si>
    <t>Row</t>
  </si>
  <si>
    <t>Population</t>
  </si>
  <si>
    <t>Cost  of Living Index</t>
  </si>
  <si>
    <t>Per Capita General Revenue excluding Grants</t>
  </si>
  <si>
    <t>Per Capita Own Source Revenue excluding Hospital and Electric Utility Revenue</t>
  </si>
  <si>
    <t>Per Capita Total Own Source Revenue</t>
  </si>
  <si>
    <t>MSA Per Capita Income</t>
  </si>
  <si>
    <t>General Revenue to Per Capita Income Ratio</t>
  </si>
  <si>
    <t>General Revenue Adjusted for Cost of Living Index</t>
  </si>
  <si>
    <t>Kansas City city</t>
  </si>
  <si>
    <t>New Orleans City</t>
  </si>
  <si>
    <t>AdvisorSmith City Cost of Living Index (2020)?</t>
  </si>
  <si>
    <t>https://advisorsmith.com/data/coli/</t>
  </si>
  <si>
    <t>City, State</t>
  </si>
  <si>
    <t>Cost of Living Index</t>
  </si>
  <si>
    <t>Aberdeen</t>
  </si>
  <si>
    <t>Abilene</t>
  </si>
  <si>
    <t>Adrian</t>
  </si>
  <si>
    <t>Alamogordo</t>
  </si>
  <si>
    <t>Albany</t>
  </si>
  <si>
    <t>Albertville</t>
  </si>
  <si>
    <t>Alexandria</t>
  </si>
  <si>
    <t>Altoona</t>
  </si>
  <si>
    <t>Amarillo</t>
  </si>
  <si>
    <t>Ames</t>
  </si>
  <si>
    <t>Anniston</t>
  </si>
  <si>
    <t>Ashtabula</t>
  </si>
  <si>
    <t>Athens</t>
  </si>
  <si>
    <t>Auburn</t>
  </si>
  <si>
    <t>Augusta</t>
  </si>
  <si>
    <t>Bangor</t>
  </si>
  <si>
    <t>Battle Creek</t>
  </si>
  <si>
    <t>Bay City</t>
  </si>
  <si>
    <t>Beaumont</t>
  </si>
  <si>
    <t>Beaver Dam</t>
  </si>
  <si>
    <t>Beckley</t>
  </si>
  <si>
    <t>WV</t>
  </si>
  <si>
    <t>Bellingham</t>
  </si>
  <si>
    <t>Bend</t>
  </si>
  <si>
    <t>Billings</t>
  </si>
  <si>
    <t>MT</t>
  </si>
  <si>
    <t>Binghamton</t>
  </si>
  <si>
    <t>Bismarck</t>
  </si>
  <si>
    <t>ND</t>
  </si>
  <si>
    <t>Blacksburg</t>
  </si>
  <si>
    <t>Bloomington</t>
  </si>
  <si>
    <t>Bloomsburg</t>
  </si>
  <si>
    <t>Bluefield</t>
  </si>
  <si>
    <t>Boulder</t>
  </si>
  <si>
    <t>Bowling Green</t>
  </si>
  <si>
    <t>Bozeman</t>
  </si>
  <si>
    <t>Brainerd</t>
  </si>
  <si>
    <t>Branson</t>
  </si>
  <si>
    <t>Bremerton</t>
  </si>
  <si>
    <t>Brunswick</t>
  </si>
  <si>
    <t>Buffalo</t>
  </si>
  <si>
    <t>Burlington</t>
  </si>
  <si>
    <t>VT</t>
  </si>
  <si>
    <t>California</t>
  </si>
  <si>
    <t>Cape Girardeau</t>
  </si>
  <si>
    <t>Carbondale</t>
  </si>
  <si>
    <t>Carson City</t>
  </si>
  <si>
    <t>Casper</t>
  </si>
  <si>
    <t>WY</t>
  </si>
  <si>
    <t>Cedar Rapids</t>
  </si>
  <si>
    <t>Centralia</t>
  </si>
  <si>
    <t>Chambersburg</t>
  </si>
  <si>
    <t>Champaign</t>
  </si>
  <si>
    <t>Charleston</t>
  </si>
  <si>
    <t>Charlottesville</t>
  </si>
  <si>
    <t>Cheyenne</t>
  </si>
  <si>
    <t>Chico</t>
  </si>
  <si>
    <t>Chillicothe</t>
  </si>
  <si>
    <t>Claremont</t>
  </si>
  <si>
    <t>NH</t>
  </si>
  <si>
    <t>Clarksburg</t>
  </si>
  <si>
    <t>Clarksville</t>
  </si>
  <si>
    <t>Clearlake</t>
  </si>
  <si>
    <t>Coeur d'Alene</t>
  </si>
  <si>
    <t>College Station</t>
  </si>
  <si>
    <t>Cookeville</t>
  </si>
  <si>
    <t>Coos Bay</t>
  </si>
  <si>
    <t>Corning</t>
  </si>
  <si>
    <t>Corpus Christi</t>
  </si>
  <si>
    <t>Corvallis</t>
  </si>
  <si>
    <t>Crestview</t>
  </si>
  <si>
    <t>Cullman</t>
  </si>
  <si>
    <t>Cumberland</t>
  </si>
  <si>
    <t>Dalton</t>
  </si>
  <si>
    <t>Danville</t>
  </si>
  <si>
    <t>Daphne</t>
  </si>
  <si>
    <t>Daytona Beach</t>
  </si>
  <si>
    <t>Decatur</t>
  </si>
  <si>
    <t>Denver</t>
  </si>
  <si>
    <t>Dothan</t>
  </si>
  <si>
    <t>Dover</t>
  </si>
  <si>
    <t>DE</t>
  </si>
  <si>
    <t>DuBois</t>
  </si>
  <si>
    <t>Dubuque</t>
  </si>
  <si>
    <t>Duluth</t>
  </si>
  <si>
    <t>Dunn</t>
  </si>
  <si>
    <t>East Stroudsburg</t>
  </si>
  <si>
    <t>Eau Claire</t>
  </si>
  <si>
    <t>El Centro</t>
  </si>
  <si>
    <t>Elizabeth City</t>
  </si>
  <si>
    <t>Elizabethtown</t>
  </si>
  <si>
    <t>Elkhart</t>
  </si>
  <si>
    <t>Elmira</t>
  </si>
  <si>
    <t>Enid</t>
  </si>
  <si>
    <t>Erie</t>
  </si>
  <si>
    <t>Eureka</t>
  </si>
  <si>
    <t>Fairbanks</t>
  </si>
  <si>
    <t>Fargo</t>
  </si>
  <si>
    <t>Faribault</t>
  </si>
  <si>
    <t>Farmington</t>
  </si>
  <si>
    <t>Findlay</t>
  </si>
  <si>
    <t>Flagstaff</t>
  </si>
  <si>
    <t>Florence</t>
  </si>
  <si>
    <t>Fond du Lac</t>
  </si>
  <si>
    <t>Forest City</t>
  </si>
  <si>
    <t>Fort Myers</t>
  </si>
  <si>
    <t>Fort Smith</t>
  </si>
  <si>
    <t>Frankfort</t>
  </si>
  <si>
    <t>Gadsden</t>
  </si>
  <si>
    <t>Gainesville</t>
  </si>
  <si>
    <t>Gallup</t>
  </si>
  <si>
    <t>Gettysburg</t>
  </si>
  <si>
    <t>Glens Falls</t>
  </si>
  <si>
    <t>Glenwood Springs</t>
  </si>
  <si>
    <t>Goldsboro</t>
  </si>
  <si>
    <t>Grand Forks</t>
  </si>
  <si>
    <t>Grand Island</t>
  </si>
  <si>
    <t>Grand Junction</t>
  </si>
  <si>
    <t>Grants Pass</t>
  </si>
  <si>
    <t>Great Falls</t>
  </si>
  <si>
    <t>Greeley</t>
  </si>
  <si>
    <t>Greeneville</t>
  </si>
  <si>
    <t>Greenfield Town</t>
  </si>
  <si>
    <t>Greenwood</t>
  </si>
  <si>
    <t>Hagerstown</t>
  </si>
  <si>
    <t>Hammond</t>
  </si>
  <si>
    <t>Hanford</t>
  </si>
  <si>
    <t>Harrisonburg</t>
  </si>
  <si>
    <t>Hattiesburg</t>
  </si>
  <si>
    <t>Helena</t>
  </si>
  <si>
    <t>Hermiston</t>
  </si>
  <si>
    <t>Hilo</t>
  </si>
  <si>
    <t>Hilton Head Island</t>
  </si>
  <si>
    <t>Hinesville</t>
  </si>
  <si>
    <t>Hobbs</t>
  </si>
  <si>
    <t>Holland</t>
  </si>
  <si>
    <t>Homosassa Springs</t>
  </si>
  <si>
    <t>Hot Springs</t>
  </si>
  <si>
    <t>Houma</t>
  </si>
  <si>
    <t>Hutchinson</t>
  </si>
  <si>
    <t>Idaho Falls</t>
  </si>
  <si>
    <t>Indiana</t>
  </si>
  <si>
    <t>Iowa City</t>
  </si>
  <si>
    <t>Ithaca</t>
  </si>
  <si>
    <t>Jamestown</t>
  </si>
  <si>
    <t>Janesville</t>
  </si>
  <si>
    <t>Jefferson</t>
  </si>
  <si>
    <t>Jefferson City</t>
  </si>
  <si>
    <t>Johnson City</t>
  </si>
  <si>
    <t>Johnstown</t>
  </si>
  <si>
    <t>Jonesboro</t>
  </si>
  <si>
    <t>Joplin</t>
  </si>
  <si>
    <t>Kahului</t>
  </si>
  <si>
    <t>Kalamazoo</t>
  </si>
  <si>
    <t>Kalispell</t>
  </si>
  <si>
    <t>Kankakee</t>
  </si>
  <si>
    <t>Kapaa</t>
  </si>
  <si>
    <t>Keene</t>
  </si>
  <si>
    <t>Kennewick</t>
  </si>
  <si>
    <t>Key West</t>
  </si>
  <si>
    <t>Kingsport</t>
  </si>
  <si>
    <t>Kingston</t>
  </si>
  <si>
    <t>Klamath Falls</t>
  </si>
  <si>
    <t>Kokomo</t>
  </si>
  <si>
    <t>La Crosse</t>
  </si>
  <si>
    <t>LaGrange</t>
  </si>
  <si>
    <t>Lake Charles</t>
  </si>
  <si>
    <t>Lake City</t>
  </si>
  <si>
    <t>Lake Havasu City</t>
  </si>
  <si>
    <t>Las Cruces</t>
  </si>
  <si>
    <t>Las Vegas</t>
  </si>
  <si>
    <t>Laurel</t>
  </si>
  <si>
    <t>Lawrence</t>
  </si>
  <si>
    <t>Lawton</t>
  </si>
  <si>
    <t>Lebanon</t>
  </si>
  <si>
    <t>Lewiston</t>
  </si>
  <si>
    <t>Lexington</t>
  </si>
  <si>
    <t>Lima</t>
  </si>
  <si>
    <t>Logan</t>
  </si>
  <si>
    <t>London</t>
  </si>
  <si>
    <t>Longview</t>
  </si>
  <si>
    <t>Louisville</t>
  </si>
  <si>
    <t>Lufkin</t>
  </si>
  <si>
    <t>Lumberton</t>
  </si>
  <si>
    <t>Lynchburg</t>
  </si>
  <si>
    <t>Macon</t>
  </si>
  <si>
    <t>Madera</t>
  </si>
  <si>
    <t>Manchester</t>
  </si>
  <si>
    <t>Manhattan</t>
  </si>
  <si>
    <t>Manitowoc</t>
  </si>
  <si>
    <t>Mankato</t>
  </si>
  <si>
    <t>Mansfield</t>
  </si>
  <si>
    <t>Marinette</t>
  </si>
  <si>
    <t>Marion</t>
  </si>
  <si>
    <t>Marquette</t>
  </si>
  <si>
    <t>Marshall</t>
  </si>
  <si>
    <t>Martinsville</t>
  </si>
  <si>
    <t>Meadville</t>
  </si>
  <si>
    <t>Medford</t>
  </si>
  <si>
    <t>Melbourne</t>
  </si>
  <si>
    <t>Merced</t>
  </si>
  <si>
    <t>Meridian</t>
  </si>
  <si>
    <t>Michigan City</t>
  </si>
  <si>
    <t>Midland</t>
  </si>
  <si>
    <t>Minneapolis</t>
  </si>
  <si>
    <t>Minot</t>
  </si>
  <si>
    <t>Missoula</t>
  </si>
  <si>
    <t>Monroe</t>
  </si>
  <si>
    <t>Montgomery</t>
  </si>
  <si>
    <t>Morehead City</t>
  </si>
  <si>
    <t>Morgantown</t>
  </si>
  <si>
    <t>Morristown</t>
  </si>
  <si>
    <t>Moses Lake</t>
  </si>
  <si>
    <t>Mount Airy</t>
  </si>
  <si>
    <t>Mount Pleasant</t>
  </si>
  <si>
    <t>Mount Vernon</t>
  </si>
  <si>
    <t>Muncie</t>
  </si>
  <si>
    <t>Muskegon</t>
  </si>
  <si>
    <t>Muskogee</t>
  </si>
  <si>
    <t>Myrtle Beach</t>
  </si>
  <si>
    <t>Nacogdoches</t>
  </si>
  <si>
    <t>Napa</t>
  </si>
  <si>
    <t>Naples</t>
  </si>
  <si>
    <t>Nashville</t>
  </si>
  <si>
    <t>New Bern</t>
  </si>
  <si>
    <t>New Castle</t>
  </si>
  <si>
    <t>New London</t>
  </si>
  <si>
    <t>New Philadelphia</t>
  </si>
  <si>
    <t>New York</t>
  </si>
  <si>
    <t>Niles</t>
  </si>
  <si>
    <t>North Wilkesboro</t>
  </si>
  <si>
    <t>Oak Harbor</t>
  </si>
  <si>
    <t>Ocala</t>
  </si>
  <si>
    <t>Ocean City</t>
  </si>
  <si>
    <t>Odessa</t>
  </si>
  <si>
    <t>Ogden</t>
  </si>
  <si>
    <t>Ogdensburg</t>
  </si>
  <si>
    <t>Olean</t>
  </si>
  <si>
    <t>Olympia</t>
  </si>
  <si>
    <t>Opelousas</t>
  </si>
  <si>
    <t>Orangeburg</t>
  </si>
  <si>
    <t>Oshkosh</t>
  </si>
  <si>
    <t>Ottawa</t>
  </si>
  <si>
    <t>Owensboro</t>
  </si>
  <si>
    <t>Owosso</t>
  </si>
  <si>
    <t>Paducah</t>
  </si>
  <si>
    <t>Palatka</t>
  </si>
  <si>
    <t>Panama City</t>
  </si>
  <si>
    <t>Parkersburg</t>
  </si>
  <si>
    <t>Pine Bluff</t>
  </si>
  <si>
    <t>Pittsfield</t>
  </si>
  <si>
    <t>Plattsburgh</t>
  </si>
  <si>
    <t>Pocatello</t>
  </si>
  <si>
    <t>Port Angeles</t>
  </si>
  <si>
    <t>Portsmouth</t>
  </si>
  <si>
    <t>Pottsville</t>
  </si>
  <si>
    <t>Prescott</t>
  </si>
  <si>
    <t>RI</t>
  </si>
  <si>
    <t>Provo</t>
  </si>
  <si>
    <t>Pueblo</t>
  </si>
  <si>
    <t>Punta Gorda</t>
  </si>
  <si>
    <t>Quincy</t>
  </si>
  <si>
    <t>Racine</t>
  </si>
  <si>
    <t>Rapid City</t>
  </si>
  <si>
    <t>SD</t>
  </si>
  <si>
    <t>Redding</t>
  </si>
  <si>
    <t>Riverside</t>
  </si>
  <si>
    <t>Roanoke Rapids</t>
  </si>
  <si>
    <t>Rockford</t>
  </si>
  <si>
    <t>Rocky Mount</t>
  </si>
  <si>
    <t>Rome</t>
  </si>
  <si>
    <t>Roseburg</t>
  </si>
  <si>
    <t>Roswell</t>
  </si>
  <si>
    <t>Russellville</t>
  </si>
  <si>
    <t>Saginaw</t>
  </si>
  <si>
    <t>Salinas</t>
  </si>
  <si>
    <t>Salisbury</t>
  </si>
  <si>
    <t>Salt Lake City</t>
  </si>
  <si>
    <t>San Angelo</t>
  </si>
  <si>
    <t>San Luis Obispo</t>
  </si>
  <si>
    <t>Sandusky</t>
  </si>
  <si>
    <t>Santa Cruz</t>
  </si>
  <si>
    <t>Santa Fe</t>
  </si>
  <si>
    <t>Santa Maria</t>
  </si>
  <si>
    <t>Sarasota</t>
  </si>
  <si>
    <t>Scranton</t>
  </si>
  <si>
    <t>Searcy</t>
  </si>
  <si>
    <t>Sebring</t>
  </si>
  <si>
    <t>Seneca</t>
  </si>
  <si>
    <t>Sevierville</t>
  </si>
  <si>
    <t>Shawnee</t>
  </si>
  <si>
    <t>Sheboygan</t>
  </si>
  <si>
    <t>Shelby</t>
  </si>
  <si>
    <t>Shelton</t>
  </si>
  <si>
    <t>Sherman</t>
  </si>
  <si>
    <t>Show Low</t>
  </si>
  <si>
    <t>Sierra Vista</t>
  </si>
  <si>
    <t>Sioux City</t>
  </si>
  <si>
    <t>Sioux Falls</t>
  </si>
  <si>
    <t>Somerset</t>
  </si>
  <si>
    <t>Spartanburg</t>
  </si>
  <si>
    <t>St. Cloud</t>
  </si>
  <si>
    <t>St. George</t>
  </si>
  <si>
    <t>St. Joseph</t>
  </si>
  <si>
    <t>Stamford</t>
  </si>
  <si>
    <t>State College</t>
  </si>
  <si>
    <t>Statesboro</t>
  </si>
  <si>
    <t>Staunton</t>
  </si>
  <si>
    <t>Stevens Point</t>
  </si>
  <si>
    <t>Stillwater</t>
  </si>
  <si>
    <t>Sumter</t>
  </si>
  <si>
    <t>Sunbury</t>
  </si>
  <si>
    <t>Talladega</t>
  </si>
  <si>
    <t>Tampa</t>
  </si>
  <si>
    <t>Terre Haute</t>
  </si>
  <si>
    <t>Texarkana</t>
  </si>
  <si>
    <t>The Villages</t>
  </si>
  <si>
    <t>Topeka</t>
  </si>
  <si>
    <t>Torrington</t>
  </si>
  <si>
    <t>Traverse City</t>
  </si>
  <si>
    <t>Truckee</t>
  </si>
  <si>
    <t>Tullahoma</t>
  </si>
  <si>
    <t>Tupelo</t>
  </si>
  <si>
    <t>Tuscaloosa</t>
  </si>
  <si>
    <t>Twin Falls</t>
  </si>
  <si>
    <t>Tyler</t>
  </si>
  <si>
    <t>Ukiah</t>
  </si>
  <si>
    <t>Utica</t>
  </si>
  <si>
    <t>Valdosta</t>
  </si>
  <si>
    <t>Vallejo</t>
  </si>
  <si>
    <t>Ventura</t>
  </si>
  <si>
    <t>Vero Beach</t>
  </si>
  <si>
    <t>Victoria</t>
  </si>
  <si>
    <t>Vineland</t>
  </si>
  <si>
    <t>Waco</t>
  </si>
  <si>
    <t>Walla Walla</t>
  </si>
  <si>
    <t>Warner Robins</t>
  </si>
  <si>
    <t>Warsaw</t>
  </si>
  <si>
    <t>Waterloo</t>
  </si>
  <si>
    <t>Watertown</t>
  </si>
  <si>
    <t>Wausau</t>
  </si>
  <si>
    <t>Weirton</t>
  </si>
  <si>
    <t>Wenatchee</t>
  </si>
  <si>
    <t>Wheeling</t>
  </si>
  <si>
    <t>Whitewater</t>
  </si>
  <si>
    <t>Wichita Falls</t>
  </si>
  <si>
    <t>Williamsport</t>
  </si>
  <si>
    <t>Wilson</t>
  </si>
  <si>
    <t>Winchester</t>
  </si>
  <si>
    <t>Wisconsin Rapids</t>
  </si>
  <si>
    <t>Wooster</t>
  </si>
  <si>
    <t>Yakima</t>
  </si>
  <si>
    <t>Yuba City</t>
  </si>
  <si>
    <t>Yuma</t>
  </si>
  <si>
    <t>Zanesville</t>
  </si>
  <si>
    <t>State Population 2020</t>
  </si>
  <si>
    <t>City Population 2020</t>
  </si>
  <si>
    <t>% of state population in City</t>
  </si>
  <si>
    <t>Commonwealth of Pennsylvania</t>
  </si>
  <si>
    <t>State of Massachusets</t>
  </si>
  <si>
    <t>state</t>
  </si>
  <si>
    <t>population</t>
  </si>
  <si>
    <t>state_fips</t>
  </si>
  <si>
    <t>place</t>
  </si>
  <si>
    <t>county (or part)</t>
  </si>
  <si>
    <t>DeKalb County (part)</t>
  </si>
  <si>
    <t>Georgia</t>
  </si>
  <si>
    <t>Fulton County (part)</t>
  </si>
  <si>
    <t>Cass County (part)</t>
  </si>
  <si>
    <t>Missouri</t>
  </si>
  <si>
    <t>Clay County (part)</t>
  </si>
  <si>
    <t>Jackson County (part)</t>
  </si>
  <si>
    <t>Platte County (part)</t>
  </si>
  <si>
    <t>Delaware County (part)</t>
  </si>
  <si>
    <t>Ohio</t>
  </si>
  <si>
    <t>Fairfield County (part)</t>
  </si>
  <si>
    <t>Franklin County (part)</t>
  </si>
  <si>
    <t>Canadian County (part)</t>
  </si>
  <si>
    <t>Oklahoma City city</t>
  </si>
  <si>
    <t>Oklahoma</t>
  </si>
  <si>
    <t>Cleveland County (part)</t>
  </si>
  <si>
    <t>Oklahoma County (part)</t>
  </si>
  <si>
    <t>Pottawatomie County (part)</t>
  </si>
  <si>
    <t>Osage County (part)</t>
  </si>
  <si>
    <t>Rogers County (part)</t>
  </si>
  <si>
    <t>Tulsa County (part)</t>
  </si>
  <si>
    <t>Wagoner County (part)</t>
  </si>
  <si>
    <t>Clackamas County (part)</t>
  </si>
  <si>
    <t>Oregon</t>
  </si>
  <si>
    <t>Multnomah County (part)</t>
  </si>
  <si>
    <t>Washington County (part)</t>
  </si>
  <si>
    <t>Bastrop County (part)</t>
  </si>
  <si>
    <t>Texas</t>
  </si>
  <si>
    <t>Hays County (part)</t>
  </si>
  <si>
    <t>Travis County (part)</t>
  </si>
  <si>
    <t>Williamson County (part)</t>
  </si>
  <si>
    <t>Collin County (part)</t>
  </si>
  <si>
    <t>Dallas city</t>
  </si>
  <si>
    <t>Dallas County (part)</t>
  </si>
  <si>
    <t>Denton County (part)</t>
  </si>
  <si>
    <t>Kaufman County (part)</t>
  </si>
  <si>
    <t>Rockwall County (part)</t>
  </si>
  <si>
    <t>Johnson County (part)</t>
  </si>
  <si>
    <t>Parker County (part)</t>
  </si>
  <si>
    <t>Tarrant County (part)</t>
  </si>
  <si>
    <t>Wise County (part)</t>
  </si>
  <si>
    <t>Fort Bend County (part)</t>
  </si>
  <si>
    <t>Houston city</t>
  </si>
  <si>
    <t>Harris County (part)</t>
  </si>
  <si>
    <t>Montgomery County (part)</t>
  </si>
  <si>
    <t>Waller County (part)</t>
  </si>
  <si>
    <t>Bexar County (part)</t>
  </si>
  <si>
    <t>San Antonio city</t>
  </si>
  <si>
    <t>Comal County (part)</t>
  </si>
  <si>
    <t>Medina County (part)</t>
  </si>
  <si>
    <t>Milwaukee County (part)</t>
  </si>
  <si>
    <t>Wisconsin</t>
  </si>
  <si>
    <t>Waukesha County (part)</t>
  </si>
  <si>
    <t>v</t>
  </si>
  <si>
    <t>Cities</t>
  </si>
  <si>
    <t>Counties</t>
  </si>
  <si>
    <t>City Population</t>
  </si>
  <si>
    <t>County Population</t>
  </si>
  <si>
    <t>New York city</t>
  </si>
  <si>
    <t>Kings County</t>
  </si>
  <si>
    <t>Queens County</t>
  </si>
  <si>
    <t>New York County</t>
  </si>
  <si>
    <t>Bronx County</t>
  </si>
  <si>
    <t xml:space="preserve">Richmond County </t>
  </si>
  <si>
    <t>Los Angeles city</t>
  </si>
  <si>
    <t>Chicago city</t>
  </si>
  <si>
    <t xml:space="preserve">Cook County </t>
  </si>
  <si>
    <t>DuPage</t>
  </si>
  <si>
    <t xml:space="preserve">Harris County </t>
  </si>
  <si>
    <t>Phoenix city</t>
  </si>
  <si>
    <t>Philadelphia city</t>
  </si>
  <si>
    <t>Philadephia County</t>
  </si>
  <si>
    <t>Comal County</t>
  </si>
  <si>
    <t>San Diego city</t>
  </si>
  <si>
    <t>Collin county</t>
  </si>
  <si>
    <t>Kaufman County</t>
  </si>
  <si>
    <t>Rockwall County</t>
  </si>
  <si>
    <t>Duval County</t>
  </si>
  <si>
    <t>San Francisco County</t>
  </si>
  <si>
    <t>Cumberland County</t>
  </si>
  <si>
    <t>Louisville/Jefferson County metro government (balance)</t>
  </si>
  <si>
    <t>Waukesha County</t>
  </si>
  <si>
    <t>City's S.No</t>
  </si>
  <si>
    <t>Part Population
in County</t>
  </si>
  <si>
    <t>County's Total Population - 2020</t>
  </si>
  <si>
    <t>City's Total Population - 2020</t>
  </si>
  <si>
    <t>% of City in County</t>
  </si>
  <si>
    <t>State 
FIPS</t>
  </si>
  <si>
    <t>Place
FIPS</t>
  </si>
  <si>
    <t>County 
FIPS</t>
  </si>
  <si>
    <t>https://www3.epa.gov/ttnairs1/airsaqsORIG/manuals/city_names.pdf</t>
  </si>
  <si>
    <t>36</t>
  </si>
  <si>
    <t>005</t>
  </si>
  <si>
    <t>061</t>
  </si>
  <si>
    <t>081</t>
  </si>
  <si>
    <t>Richmond County</t>
  </si>
  <si>
    <t>085</t>
  </si>
  <si>
    <t>047</t>
  </si>
  <si>
    <t>06</t>
  </si>
  <si>
    <t>037</t>
  </si>
  <si>
    <t>17</t>
  </si>
  <si>
    <t>031</t>
  </si>
  <si>
    <t>DuPage County</t>
  </si>
  <si>
    <t>043</t>
  </si>
  <si>
    <t>48</t>
  </si>
  <si>
    <t>201</t>
  </si>
  <si>
    <t>339</t>
  </si>
  <si>
    <t>Waller County</t>
  </si>
  <si>
    <t>473</t>
  </si>
  <si>
    <t>157</t>
  </si>
  <si>
    <t>04</t>
  </si>
  <si>
    <t>013</t>
  </si>
  <si>
    <t>42</t>
  </si>
  <si>
    <t>101</t>
  </si>
  <si>
    <t>029</t>
  </si>
  <si>
    <t>091</t>
  </si>
  <si>
    <t>325</t>
  </si>
  <si>
    <t>073</t>
  </si>
  <si>
    <t>121</t>
  </si>
  <si>
    <t>257</t>
  </si>
  <si>
    <t>113</t>
  </si>
  <si>
    <t>397</t>
  </si>
  <si>
    <t>Bastrop County</t>
  </si>
  <si>
    <t>021</t>
  </si>
  <si>
    <t>209</t>
  </si>
  <si>
    <t>453</t>
  </si>
  <si>
    <t>491</t>
  </si>
  <si>
    <t>Johnson County</t>
  </si>
  <si>
    <t>251</t>
  </si>
  <si>
    <t>439</t>
  </si>
  <si>
    <t>497</t>
  </si>
  <si>
    <t>367</t>
  </si>
  <si>
    <t>12</t>
  </si>
  <si>
    <t>39</t>
  </si>
  <si>
    <t>041</t>
  </si>
  <si>
    <t>045</t>
  </si>
  <si>
    <t>049</t>
  </si>
  <si>
    <t>37</t>
  </si>
  <si>
    <t>119</t>
  </si>
  <si>
    <t>Indianapolis City (Balance)</t>
  </si>
  <si>
    <t>18</t>
  </si>
  <si>
    <t>075</t>
  </si>
  <si>
    <t>53</t>
  </si>
  <si>
    <t>033</t>
  </si>
  <si>
    <t>08</t>
  </si>
  <si>
    <t>11</t>
  </si>
  <si>
    <t>Boston City</t>
  </si>
  <si>
    <t>25</t>
  </si>
  <si>
    <t>025</t>
  </si>
  <si>
    <t>141</t>
  </si>
  <si>
    <t>47</t>
  </si>
  <si>
    <t>26</t>
  </si>
  <si>
    <t>163</t>
  </si>
  <si>
    <t>32</t>
  </si>
  <si>
    <t>003</t>
  </si>
  <si>
    <t>40</t>
  </si>
  <si>
    <t>017</t>
  </si>
  <si>
    <t>027</t>
  </si>
  <si>
    <t>109</t>
  </si>
  <si>
    <t>125</t>
  </si>
  <si>
    <t>41</t>
  </si>
  <si>
    <t>067</t>
  </si>
  <si>
    <t>051</t>
  </si>
  <si>
    <t>21</t>
  </si>
  <si>
    <t>111</t>
  </si>
  <si>
    <t>55</t>
  </si>
  <si>
    <t>079</t>
  </si>
  <si>
    <t>131</t>
  </si>
  <si>
    <t>133</t>
  </si>
  <si>
    <t>Baltimore city County</t>
  </si>
  <si>
    <t>24</t>
  </si>
  <si>
    <t>510</t>
  </si>
  <si>
    <t>35</t>
  </si>
  <si>
    <t>001</t>
  </si>
  <si>
    <t>019</t>
  </si>
  <si>
    <t>13</t>
  </si>
  <si>
    <t>089</t>
  </si>
  <si>
    <t>29</t>
  </si>
  <si>
    <t>095</t>
  </si>
  <si>
    <t>165</t>
  </si>
  <si>
    <t>31</t>
  </si>
  <si>
    <t>055</t>
  </si>
  <si>
    <t>063</t>
  </si>
  <si>
    <t>183</t>
  </si>
  <si>
    <t>086</t>
  </si>
  <si>
    <t>Virginia Beach city County</t>
  </si>
  <si>
    <t>51</t>
  </si>
  <si>
    <t>810</t>
  </si>
  <si>
    <t>27</t>
  </si>
  <si>
    <t>053</t>
  </si>
  <si>
    <t>057</t>
  </si>
  <si>
    <t>143</t>
  </si>
  <si>
    <t>145</t>
  </si>
  <si>
    <t>Wichita City</t>
  </si>
  <si>
    <t>20</t>
  </si>
  <si>
    <t>173</t>
  </si>
  <si>
    <t>22</t>
  </si>
  <si>
    <t>55000</t>
  </si>
  <si>
    <t>071</t>
  </si>
  <si>
    <t>2020 Own Source Revenue</t>
  </si>
  <si>
    <t>2017 Own Source Revenue</t>
  </si>
  <si>
    <t>% Change from 2017 - 2020</t>
  </si>
  <si>
    <t>FiSC Population 2017</t>
  </si>
  <si>
    <t>Per capita OSR 2017</t>
  </si>
  <si>
    <t>Per capita OSR x Population</t>
  </si>
  <si>
    <t>% Difference 2017 OSR vs (Per Capita OSR x Pop)</t>
  </si>
  <si>
    <t>Table 2. Per Capita Personal Income, by Metropolitan Area, 2018–2020</t>
  </si>
  <si>
    <t>Per capita personal income1</t>
  </si>
  <si>
    <t>Percent change from preceding period</t>
  </si>
  <si>
    <t>Dollars</t>
  </si>
  <si>
    <t>Rank in United States</t>
  </si>
  <si>
    <t>Percent change</t>
  </si>
  <si>
    <t>United States</t>
  </si>
  <si>
    <t>--</t>
  </si>
  <si>
    <t>Metropolitan portion</t>
  </si>
  <si>
    <t>Nonmetropolitan portion</t>
  </si>
  <si>
    <t>Metropolitan Statistical Areas2</t>
  </si>
  <si>
    <t>Abilene, TX</t>
  </si>
  <si>
    <t>Albany, GA</t>
  </si>
  <si>
    <t>Albany-Lebanon, OR</t>
  </si>
  <si>
    <t>Albany-Schenectady-Troy, NY</t>
  </si>
  <si>
    <t>Alexandria, LA</t>
  </si>
  <si>
    <t>Allentown-Bethlehem-Easton, PA-NJ</t>
  </si>
  <si>
    <t>Altoona, PA</t>
  </si>
  <si>
    <t>Amarillo, TX</t>
  </si>
  <si>
    <t>Ames, IA</t>
  </si>
  <si>
    <t>Ann Arbor, MI</t>
  </si>
  <si>
    <t>Anniston-Oxford, AL</t>
  </si>
  <si>
    <t>Appleton, WI</t>
  </si>
  <si>
    <t>Asheville, NC</t>
  </si>
  <si>
    <t>Athens-Clarke County, GA</t>
  </si>
  <si>
    <t>Atlanta-Sandy Springs-Alpharetta, GA</t>
  </si>
  <si>
    <t>Atlantic City-Hammonton, NJ</t>
  </si>
  <si>
    <t>Auburn-Opelika, AL</t>
  </si>
  <si>
    <t>Augusta-Richmond County, GA-SC</t>
  </si>
  <si>
    <t>Austin-Round Rock-Georgetown, TX</t>
  </si>
  <si>
    <t>Baltimore-Columbia-Towson, MD</t>
  </si>
  <si>
    <t>Bangor, ME</t>
  </si>
  <si>
    <t>Barnstable Town, MA</t>
  </si>
  <si>
    <t>Battle Creek, MI</t>
  </si>
  <si>
    <t>Bay City, MI</t>
  </si>
  <si>
    <t>Beaumont-Port Arthur, TX</t>
  </si>
  <si>
    <t>Beckley, WV</t>
  </si>
  <si>
    <t>Bellingham, WA</t>
  </si>
  <si>
    <t>Bend, OR</t>
  </si>
  <si>
    <t>Binghamton, NY</t>
  </si>
  <si>
    <t>Birmingham-Hoover, AL</t>
  </si>
  <si>
    <t>Blacksburg-Christiansburg, VA</t>
  </si>
  <si>
    <t>Bloomington, IL</t>
  </si>
  <si>
    <t>Bloomington, IN</t>
  </si>
  <si>
    <t>Bloomsburg-Berwick, PA</t>
  </si>
  <si>
    <t>Boise City, ID</t>
  </si>
  <si>
    <t>Boston-Cambridge-Newton, MA-NH</t>
  </si>
  <si>
    <t>Boulder, CO</t>
  </si>
  <si>
    <t>Bowling Green, KY</t>
  </si>
  <si>
    <t>Bremerton-Silverdale-Port Orchard, WA</t>
  </si>
  <si>
    <t>Bridgeport-Stamford-Norwalk, CT</t>
  </si>
  <si>
    <t>Brownsville-Harlingen, TX</t>
  </si>
  <si>
    <t>Brunswick, GA</t>
  </si>
  <si>
    <t>Buffalo-Cheektowaga, NY</t>
  </si>
  <si>
    <t>Burlington, NC</t>
  </si>
  <si>
    <t>Burlington-South Burlington, VT</t>
  </si>
  <si>
    <t>California-Lexington Park, MD</t>
  </si>
  <si>
    <t>Canton-Massillon, OH</t>
  </si>
  <si>
    <t>Cape Coral-Fort Myers, FL</t>
  </si>
  <si>
    <t>Cape Girardeau, MO-IL</t>
  </si>
  <si>
    <t>Carbondale-Marion, IL</t>
  </si>
  <si>
    <t>Carson City, NV</t>
  </si>
  <si>
    <t>Chambersburg-Waynesboro, PA</t>
  </si>
  <si>
    <t>Champaign-Urbana, IL</t>
  </si>
  <si>
    <t>Charleston-North Charleston, SC</t>
  </si>
  <si>
    <t>Charlotte-Concord-Gastonia, NC-SC</t>
  </si>
  <si>
    <t>Charlottesville, VA</t>
  </si>
  <si>
    <t>Chattanooga, TN-GA</t>
  </si>
  <si>
    <t>Chicago-Naperville-Elgin, IL-IN-WI</t>
  </si>
  <si>
    <t>Chico, CA</t>
  </si>
  <si>
    <t>Cincinnati, OH-KY-IN</t>
  </si>
  <si>
    <t>Clarksville, TN-KY</t>
  </si>
  <si>
    <t>Cleveland, TN</t>
  </si>
  <si>
    <t>Cleveland-Elyria, OH</t>
  </si>
  <si>
    <t>Coeur d'Alene, ID</t>
  </si>
  <si>
    <t>College Station-Bryan, TX</t>
  </si>
  <si>
    <t>Columbia, MO</t>
  </si>
  <si>
    <t>Columbus, GA-AL</t>
  </si>
  <si>
    <t>Columbus, IN</t>
  </si>
  <si>
    <t>Corvallis, OR</t>
  </si>
  <si>
    <t>Crestview-Fort Walton Beach-Destin, FL</t>
  </si>
  <si>
    <t>Cumberland, MD-WV</t>
  </si>
  <si>
    <t>Dallas-Fort Worth-Arlington, TX</t>
  </si>
  <si>
    <t>Dalton, GA</t>
  </si>
  <si>
    <t>Danville, IL</t>
  </si>
  <si>
    <t>Daphne-Fairhope-Foley, AL</t>
  </si>
  <si>
    <t>Davenport-Moline-Rock Island, IA-IL</t>
  </si>
  <si>
    <t>Dayton-Kettering, OH</t>
  </si>
  <si>
    <t>Decatur, AL</t>
  </si>
  <si>
    <t>Decatur, IL</t>
  </si>
  <si>
    <t>Deltona-Daytona Beach-Ormond Beach, FL</t>
  </si>
  <si>
    <t>Denver-Aurora-Lakewood, CO</t>
  </si>
  <si>
    <t>Des Moines-West Des Moines, IA</t>
  </si>
  <si>
    <t>Detroit-Warren-Dearborn, MI</t>
  </si>
  <si>
    <t>Dothan, AL</t>
  </si>
  <si>
    <t>Dubuque, IA</t>
  </si>
  <si>
    <t>Duluth, MN-WI</t>
  </si>
  <si>
    <t>Durham-Chapel Hill, NC</t>
  </si>
  <si>
    <t>East Stroudsburg, PA</t>
  </si>
  <si>
    <t>Eau Claire, WI</t>
  </si>
  <si>
    <t>El Centro, CA</t>
  </si>
  <si>
    <t>Elizabethtown-Fort Knox, KY</t>
  </si>
  <si>
    <t>Elkhart-Goshen, IN</t>
  </si>
  <si>
    <t>Elmira, NY</t>
  </si>
  <si>
    <t>Enid, OK</t>
  </si>
  <si>
    <t>Erie, PA</t>
  </si>
  <si>
    <t>Eugene-Springfield, OR</t>
  </si>
  <si>
    <t>Evansville, IN-KY</t>
  </si>
  <si>
    <t>Fargo, ND-MN</t>
  </si>
  <si>
    <t>Farmington, NM</t>
  </si>
  <si>
    <t>Fayetteville, NC</t>
  </si>
  <si>
    <t>Fayetteville-Springdale-Rogers, AR</t>
  </si>
  <si>
    <t>Flagstaff, AZ</t>
  </si>
  <si>
    <t>Florence, SC</t>
  </si>
  <si>
    <t>Florence-Muscle Shoals, AL</t>
  </si>
  <si>
    <t>Fond du Lac, WI</t>
  </si>
  <si>
    <t>Fort Collins, CO</t>
  </si>
  <si>
    <t>Fort Smith, AR-OK</t>
  </si>
  <si>
    <t>Gadsden, AL</t>
  </si>
  <si>
    <t>Gainesville, FL</t>
  </si>
  <si>
    <t>Gainesville, GA</t>
  </si>
  <si>
    <t>Gettysburg, PA</t>
  </si>
  <si>
    <t>Glens Falls, NY</t>
  </si>
  <si>
    <t>Goldsboro, NC</t>
  </si>
  <si>
    <t>Grand Forks, ND-MN</t>
  </si>
  <si>
    <t>Grand Island, NE</t>
  </si>
  <si>
    <t>Grand Junction, CO</t>
  </si>
  <si>
    <t>Grand Rapids-Kentwood, MI</t>
  </si>
  <si>
    <t>Grants Pass, OR</t>
  </si>
  <si>
    <t>Great Falls, MT</t>
  </si>
  <si>
    <t>Greeley, CO</t>
  </si>
  <si>
    <t>Green Bay, WI</t>
  </si>
  <si>
    <t>Greensboro-High Point, NC</t>
  </si>
  <si>
    <t>Greenville, NC</t>
  </si>
  <si>
    <t>Greenville-Anderson, SC</t>
  </si>
  <si>
    <t>Gulfport-Biloxi, MS</t>
  </si>
  <si>
    <t>Hagerstown-Martinsburg, MD-WV</t>
  </si>
  <si>
    <t>Hammond, LA</t>
  </si>
  <si>
    <t>Hanford-Corcoran, CA</t>
  </si>
  <si>
    <t>Harrisburg-Carlisle, PA</t>
  </si>
  <si>
    <t>Harrisonburg, VA</t>
  </si>
  <si>
    <t>Hartford-East Hartford-Middletown, CT</t>
  </si>
  <si>
    <t>Hattiesburg, MS</t>
  </si>
  <si>
    <t>Hickory-Lenoir-Morganton, NC</t>
  </si>
  <si>
    <t>Hilton Head Island-Bluffton, SC</t>
  </si>
  <si>
    <t>Hinesville, GA</t>
  </si>
  <si>
    <t>Homosassa Springs, FL</t>
  </si>
  <si>
    <t>Hot Springs, AR</t>
  </si>
  <si>
    <t>Houma-Thibodaux, LA</t>
  </si>
  <si>
    <t>Houston-The Woodlands-Sugar Land, TX</t>
  </si>
  <si>
    <t>Huntington-Ashland, WV-KY-OH</t>
  </si>
  <si>
    <t>Huntsville, AL</t>
  </si>
  <si>
    <t>Idaho Falls, ID</t>
  </si>
  <si>
    <t>Indianapolis-Carmel-Anderson, IN</t>
  </si>
  <si>
    <t>Iowa City, IA</t>
  </si>
  <si>
    <t>Ithaca, NY</t>
  </si>
  <si>
    <t>Jackson, MI</t>
  </si>
  <si>
    <t>Jackson, TN</t>
  </si>
  <si>
    <t>Jacksonville, NC</t>
  </si>
  <si>
    <t>Janesville-Beloit, WI</t>
  </si>
  <si>
    <t>Jefferson City, MO</t>
  </si>
  <si>
    <t>Johnson City, TN</t>
  </si>
  <si>
    <t>Johnstown, PA</t>
  </si>
  <si>
    <t>Jonesboro, AR</t>
  </si>
  <si>
    <t>Joplin, MO</t>
  </si>
  <si>
    <t>Kahului-Wailuku-Lahaina, HI</t>
  </si>
  <si>
    <t>Kalamazoo-Portage, MI</t>
  </si>
  <si>
    <t>Kankakee, IL</t>
  </si>
  <si>
    <t>Kansas City, MO-KS</t>
  </si>
  <si>
    <t>Kennewick-Richland, WA</t>
  </si>
  <si>
    <t>Killeen-Temple, TX</t>
  </si>
  <si>
    <t>Kingsport-Bristol, TN-VA</t>
  </si>
  <si>
    <t>Kingston, NY</t>
  </si>
  <si>
    <t>Kokomo, IN</t>
  </si>
  <si>
    <t>La Crosse-Onalaska, WI-MN</t>
  </si>
  <si>
    <t>Lafayette, LA</t>
  </si>
  <si>
    <t>Lafayette-West Lafayette, IN</t>
  </si>
  <si>
    <t>Lake Charles, LA</t>
  </si>
  <si>
    <t>Lake Havasu City-Kingman, AZ</t>
  </si>
  <si>
    <t>Lakeland-Winter Haven, FL</t>
  </si>
  <si>
    <t>Lancaster, PA</t>
  </si>
  <si>
    <t>Lansing-East Lansing, MI</t>
  </si>
  <si>
    <t>Laredo, TX</t>
  </si>
  <si>
    <t>Las Vegas-Henderson-Paradise, NV</t>
  </si>
  <si>
    <t>Lawrence, KS</t>
  </si>
  <si>
    <t>Lawton, OK</t>
  </si>
  <si>
    <t>Lebanon, PA</t>
  </si>
  <si>
    <t>Lewiston, ID-WA</t>
  </si>
  <si>
    <t>Lewiston-Auburn, ME</t>
  </si>
  <si>
    <t>Lima, OH</t>
  </si>
  <si>
    <t>Little Rock-North Little Rock-Conway, AR</t>
  </si>
  <si>
    <t>Logan, UT-ID</t>
  </si>
  <si>
    <t>Longview, TX</t>
  </si>
  <si>
    <t>Longview, WA</t>
  </si>
  <si>
    <t>Los Angeles-Long Beach-Anaheim, CA</t>
  </si>
  <si>
    <t>Louisville/Jefferson County, KY-IN</t>
  </si>
  <si>
    <t>Lynchburg, VA</t>
  </si>
  <si>
    <t>Macon-Bibb County, GA</t>
  </si>
  <si>
    <t>Madera, CA</t>
  </si>
  <si>
    <t>Manchester-Nashua, NH</t>
  </si>
  <si>
    <t>Manhattan, KS</t>
  </si>
  <si>
    <t>Mankato, MN</t>
  </si>
  <si>
    <t>Mansfield, OH</t>
  </si>
  <si>
    <t>McAllen-Edinburg-Mission, TX</t>
  </si>
  <si>
    <t>Medford, OR</t>
  </si>
  <si>
    <t>Memphis, TN-MS-AR</t>
  </si>
  <si>
    <t>Merced, CA</t>
  </si>
  <si>
    <t>Miami-Fort Lauderdale-Pompano Beach, FL</t>
  </si>
  <si>
    <t>Michigan City-La Porte, IN</t>
  </si>
  <si>
    <t>Midland, MI</t>
  </si>
  <si>
    <t>Midland, TX</t>
  </si>
  <si>
    <t>Milwaukee-Waukesha, WI</t>
  </si>
  <si>
    <t>Minneapolis-St. Paul-Bloomington, MN-WI</t>
  </si>
  <si>
    <t>Monroe, LA</t>
  </si>
  <si>
    <t>Monroe, MI</t>
  </si>
  <si>
    <t>Morgantown, WV</t>
  </si>
  <si>
    <t>Morristown, TN</t>
  </si>
  <si>
    <t>Mount Vernon-Anacortes, WA</t>
  </si>
  <si>
    <t>Muncie, IN</t>
  </si>
  <si>
    <t>Muskegon, MI</t>
  </si>
  <si>
    <t>Myrtle Beach-Conway-North Myrtle Beach, SC-NC</t>
  </si>
  <si>
    <t>Napa, CA</t>
  </si>
  <si>
    <t>Naples-Marco Island, FL</t>
  </si>
  <si>
    <t>Nashville-Davidson--Murfreesboro--Franklin, TN</t>
  </si>
  <si>
    <t>New Bern, NC</t>
  </si>
  <si>
    <t>New Haven-Milford, CT</t>
  </si>
  <si>
    <t>New Orleans-Metairie, LA</t>
  </si>
  <si>
    <t>New York-Newark-Jersey City, NY-NJ-PA</t>
  </si>
  <si>
    <t>Niles, MI</t>
  </si>
  <si>
    <t>North Port-Sarasota-Bradenton, FL</t>
  </si>
  <si>
    <t>Norwich-New London, CT</t>
  </si>
  <si>
    <t>Ocala, FL</t>
  </si>
  <si>
    <t>Ocean City, NJ</t>
  </si>
  <si>
    <t>Odessa, TX</t>
  </si>
  <si>
    <t>Ogden-Clearfield, UT</t>
  </si>
  <si>
    <t>Olympia-Lacey-Tumwater, WA</t>
  </si>
  <si>
    <t>Omaha-Council Bluffs, NE-IA</t>
  </si>
  <si>
    <t>Orlando-Kissimmee-Sanford, FL</t>
  </si>
  <si>
    <t>Oshkosh-Neenah, WI</t>
  </si>
  <si>
    <t>Owensboro, KY</t>
  </si>
  <si>
    <t>Oxnard-Thousand Oaks-Ventura, CA</t>
  </si>
  <si>
    <t>Palm Bay-Melbourne-Titusville, FL</t>
  </si>
  <si>
    <t>Panama City, FL</t>
  </si>
  <si>
    <t>Parkersburg-Vienna, WV</t>
  </si>
  <si>
    <t>Pensacola-Ferry Pass-Brent, FL</t>
  </si>
  <si>
    <t>Peoria, IL</t>
  </si>
  <si>
    <t>Philadelphia-Camden-Wilmington, PA-NJ-DE-MD</t>
  </si>
  <si>
    <t>Phoenix-Mesa-Chandler, AZ</t>
  </si>
  <si>
    <t>Pine Bluff, AR</t>
  </si>
  <si>
    <t>Pittsfield, MA</t>
  </si>
  <si>
    <t>Pocatello, ID</t>
  </si>
  <si>
    <t>Portland-South Portland, ME</t>
  </si>
  <si>
    <t>Portland-Vancouver-Hillsboro, OR-WA</t>
  </si>
  <si>
    <t>Port St. Lucie, FL</t>
  </si>
  <si>
    <t>Poughkeepsie-Newburgh-Middletown, NY</t>
  </si>
  <si>
    <t>Prescott Valley-Prescott, AZ</t>
  </si>
  <si>
    <t>Providence-Warwick, RI-MA</t>
  </si>
  <si>
    <t>Provo-Orem, UT</t>
  </si>
  <si>
    <t>Pueblo, CO</t>
  </si>
  <si>
    <t>Punta Gorda, FL</t>
  </si>
  <si>
    <t>Racine, WI</t>
  </si>
  <si>
    <t>Raleigh-Cary, NC</t>
  </si>
  <si>
    <t>Reading, PA</t>
  </si>
  <si>
    <t>Redding, CA</t>
  </si>
  <si>
    <t>Riverside-San Bernardino-Ontario, CA</t>
  </si>
  <si>
    <t>Roanoke, VA</t>
  </si>
  <si>
    <t>Rochester, MN</t>
  </si>
  <si>
    <t>Rocky Mount, NC</t>
  </si>
  <si>
    <t>Rome, GA</t>
  </si>
  <si>
    <t>Sacramento-Roseville-Folsom, CA</t>
  </si>
  <si>
    <t>Saginaw, MI</t>
  </si>
  <si>
    <t>St. Cloud, MN</t>
  </si>
  <si>
    <t>St. George, UT</t>
  </si>
  <si>
    <t>St. Joseph, MO-KS</t>
  </si>
  <si>
    <t>St. Louis, MO-IL</t>
  </si>
  <si>
    <t>Salinas, CA</t>
  </si>
  <si>
    <t>Salisbury, MD-DE</t>
  </si>
  <si>
    <t>San Angelo, TX</t>
  </si>
  <si>
    <t>San Antonio-New Braunfels, TX</t>
  </si>
  <si>
    <t>San Diego-Chula Vista-Carlsbad, CA</t>
  </si>
  <si>
    <t>San Francisco-Oakland-Berkeley, CA</t>
  </si>
  <si>
    <t>San Jose-Sunnyvale-Santa Clara, CA</t>
  </si>
  <si>
    <t>San Luis Obispo-Paso Robles, CA</t>
  </si>
  <si>
    <t>Santa Cruz-Watsonville, CA</t>
  </si>
  <si>
    <t>Santa Fe, NM</t>
  </si>
  <si>
    <t>Santa Maria-Santa Barbara, CA</t>
  </si>
  <si>
    <t>Santa Rosa-Petaluma, CA</t>
  </si>
  <si>
    <t>Savannah, GA</t>
  </si>
  <si>
    <t>Scranton--Wilkes-Barre, PA</t>
  </si>
  <si>
    <t>Seattle-Tacoma-Bellevue, WA</t>
  </si>
  <si>
    <t>Sebastian-Vero Beach, FL</t>
  </si>
  <si>
    <t>Sebring-Avon Park, FL</t>
  </si>
  <si>
    <t>Sheboygan, WI</t>
  </si>
  <si>
    <t>Sherman-Denison, TX</t>
  </si>
  <si>
    <t>Shreveport-Bossier City, LA</t>
  </si>
  <si>
    <t>Sierra Vista-Douglas, AZ</t>
  </si>
  <si>
    <t>Sioux City, IA-NE-SD</t>
  </si>
  <si>
    <t>South Bend-Mishawaka, IN-MI</t>
  </si>
  <si>
    <t>Spartanburg, SC</t>
  </si>
  <si>
    <t>Spokane-Spokane Valley, WA</t>
  </si>
  <si>
    <t>Springfield, IL</t>
  </si>
  <si>
    <t>Springfield, MO</t>
  </si>
  <si>
    <t>Springfield, OH</t>
  </si>
  <si>
    <t>State College, PA</t>
  </si>
  <si>
    <t>Staunton, VA</t>
  </si>
  <si>
    <t>Sumter, SC</t>
  </si>
  <si>
    <t>Tampa-St. Petersburg-Clearwater, FL</t>
  </si>
  <si>
    <t>Terre Haute, IN</t>
  </si>
  <si>
    <t>Texarkana, TX-AR</t>
  </si>
  <si>
    <t>The Villages, FL</t>
  </si>
  <si>
    <t>Trenton-Princeton, NJ</t>
  </si>
  <si>
    <t>Tuscaloosa, AL</t>
  </si>
  <si>
    <t>Twin Falls, ID</t>
  </si>
  <si>
    <t>Tyler, TX</t>
  </si>
  <si>
    <t>Urban Honolulu, HI</t>
  </si>
  <si>
    <t>Utica-Rome, NY</t>
  </si>
  <si>
    <t>Valdosta, GA</t>
  </si>
  <si>
    <t>Vallejo, CA</t>
  </si>
  <si>
    <t>Victoria, TX</t>
  </si>
  <si>
    <t>Vineland-Bridgeton, NJ</t>
  </si>
  <si>
    <t>Virginia Beach-Norfolk-Newport News, VA-NC</t>
  </si>
  <si>
    <t>Visalia, CA</t>
  </si>
  <si>
    <t>Waco, TX</t>
  </si>
  <si>
    <t>Walla Walla, WA</t>
  </si>
  <si>
    <t>Warner Robins, GA</t>
  </si>
  <si>
    <t>Washington-Arlington-Alexandria, DC-VA-MD-WV</t>
  </si>
  <si>
    <t>Waterloo-Cedar Falls, IA</t>
  </si>
  <si>
    <t>Watertown-Fort Drum, NY</t>
  </si>
  <si>
    <t>Wausau-Weston, WI</t>
  </si>
  <si>
    <t>Weirton-Steubenville, WV-OH</t>
  </si>
  <si>
    <t>Wenatchee, WA</t>
  </si>
  <si>
    <t>Wheeling, WV-OH</t>
  </si>
  <si>
    <t>Wichita Falls, TX</t>
  </si>
  <si>
    <t>Williamsport, PA</t>
  </si>
  <si>
    <t>Wilmington, NC</t>
  </si>
  <si>
    <t>Winchester, VA-WV</t>
  </si>
  <si>
    <t>Winston-Salem, NC</t>
  </si>
  <si>
    <t>Worcester, MA-CT</t>
  </si>
  <si>
    <t>Yakima, WA</t>
  </si>
  <si>
    <t>York-Hanover, PA</t>
  </si>
  <si>
    <t>Youngstown-Warren-Boardman, OH-PA</t>
  </si>
  <si>
    <t>Yuba City, CA</t>
  </si>
  <si>
    <t>Yuma, AZ</t>
  </si>
  <si>
    <t>1. Per capita personal income was computed using Census Bureau midyear population estimates. Estimates reflect county population estimates available as of March 2021.</t>
  </si>
  <si>
    <t>2. The personal income level shown for the United States is derived as the sum of the county estimates. It differs from the estimate of personal income in the national income and product accounts because of differences in coverage, in the methodologies used to prepare the estimates, and in the timing of the availability of source data.</t>
  </si>
  <si>
    <t>Source. U.S. Bureau of Economic Analysis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</si>
</sst>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_(* \(#,##0\);_(* &quot;-&quot;??_);_(@_)"/>
    <numFmt numFmtId="165" formatCode="&quot;$&quot;#,##0"/>
    <numFmt numFmtId="166" formatCode="#,###,##0.0"/>
    <numFmt numFmtId="167" formatCode="#,###,##0"/>
  </numFmts>
  <fonts count="46">
    <font>
      <sz val="12.0"/>
      <color theme="1"/>
      <name val="Calibri"/>
      <scheme val="minor"/>
    </font>
    <font>
      <b/>
      <sz val="12.0"/>
      <color theme="1"/>
      <name val="Calibri"/>
    </font>
    <font>
      <sz val="12.0"/>
      <color theme="1"/>
      <name val="Calibri"/>
    </font>
    <font>
      <color theme="1"/>
      <name val="Calibri"/>
      <scheme val="minor"/>
    </font>
    <font>
      <sz val="12.0"/>
      <color theme="10"/>
      <name val="Calibri"/>
    </font>
    <font>
      <u/>
      <sz val="12.0"/>
      <color rgb="FF0563C1"/>
      <name val="Calibri"/>
    </font>
    <font>
      <u/>
      <sz val="12.0"/>
      <color theme="10"/>
      <name val="Calibri"/>
    </font>
    <font>
      <sz val="12.0"/>
      <color rgb="FF000000"/>
      <name val="Calibri"/>
    </font>
    <font>
      <u/>
      <sz val="12.0"/>
      <color rgb="FF007BFF"/>
      <name val="Calibri"/>
    </font>
    <font>
      <u/>
      <sz val="12.0"/>
      <color rgb="FF1155CC"/>
      <name val="Calibri"/>
    </font>
    <font>
      <u/>
      <sz val="12.0"/>
      <color rgb="FF0056B3"/>
      <name val="Calibri"/>
    </font>
    <font>
      <sz val="12.0"/>
      <color rgb="FF333333"/>
      <name val="Calibri"/>
    </font>
    <font>
      <u/>
      <sz val="12.0"/>
      <color rgb="FF1155CC"/>
      <name val="Calibri"/>
    </font>
    <font>
      <b/>
      <sz val="12.0"/>
      <color rgb="FF000000"/>
      <name val="Calibri"/>
    </font>
    <font>
      <sz val="12.0"/>
      <color rgb="FF007BFF"/>
      <name val="Calibri"/>
    </font>
    <font>
      <u/>
      <sz val="12.0"/>
      <color rgb="FF1155CC"/>
      <name val="Calibri"/>
    </font>
    <font>
      <u/>
      <sz val="12.0"/>
      <color rgb="FF007BFF"/>
      <name val="Calibri"/>
    </font>
    <font>
      <b/>
      <sz val="14.0"/>
      <color theme="1"/>
      <name val="Calibri"/>
    </font>
    <font>
      <color theme="1"/>
      <name val="Arial"/>
    </font>
    <font>
      <u/>
      <color rgb="FF0563C1"/>
      <name val="Arial"/>
    </font>
    <font>
      <b/>
      <color theme="1"/>
      <name val="Calibri"/>
    </font>
    <font>
      <color theme="1"/>
      <name val="Calibri"/>
    </font>
    <font>
      <u/>
      <color rgb="FF0000FF"/>
    </font>
    <font>
      <b/>
      <sz val="10.0"/>
      <color theme="1"/>
      <name val="Calibri"/>
    </font>
    <font>
      <b/>
      <sz val="11.0"/>
      <color theme="1"/>
      <name val="Calibri"/>
    </font>
    <font>
      <sz val="10.0"/>
      <color theme="1"/>
      <name val="Calibri"/>
    </font>
    <font>
      <sz val="11.0"/>
      <color theme="1"/>
      <name val="Calibri"/>
    </font>
    <font>
      <u/>
      <color rgb="FF0563C1"/>
    </font>
    <font>
      <b/>
      <sz val="14.0"/>
      <color rgb="FF000000"/>
      <name val="ProximaNovaCond-Bold"/>
    </font>
    <font>
      <sz val="14.0"/>
      <color rgb="FF000000"/>
      <name val="ProximaNovaCond-Regular"/>
    </font>
    <font>
      <sz val="11.0"/>
      <color rgb="FF000000"/>
      <name val="Calibri"/>
    </font>
    <font>
      <u/>
      <sz val="11.0"/>
      <color rgb="FF000000"/>
      <name val="Calibri"/>
    </font>
    <font>
      <b/>
      <sz val="12.0"/>
      <color rgb="FF404040"/>
      <name val="Helvetica"/>
    </font>
    <font>
      <b/>
      <color theme="1"/>
      <name val="Calibri"/>
      <scheme val="minor"/>
    </font>
    <font>
      <sz val="12.0"/>
      <color rgb="FFFF0000"/>
      <name val="Calibri"/>
    </font>
    <font>
      <sz val="11.0"/>
      <color rgb="FF333333"/>
      <name val="Helvetica Neue"/>
    </font>
    <font>
      <b/>
      <sz val="12.0"/>
      <color rgb="FF999999"/>
      <name val="Calibri"/>
    </font>
    <font>
      <u/>
      <sz val="12.0"/>
      <color rgb="FF000000"/>
      <name val="Calibri"/>
    </font>
    <font>
      <sz val="12.0"/>
      <color rgb="FF999999"/>
      <name val="Calibri"/>
    </font>
    <font>
      <i/>
      <sz val="12.0"/>
      <color rgb="FF000000"/>
      <name val="Calibri"/>
    </font>
    <font>
      <i/>
      <sz val="12.0"/>
      <color rgb="FF999999"/>
      <name val="Calibri"/>
    </font>
    <font/>
    <font>
      <b/>
      <sz val="16.0"/>
      <color theme="1"/>
      <name val="&quot;Arial Narrow&quot;"/>
    </font>
    <font>
      <color theme="1"/>
      <name val="&quot;Arial Narrow&quot;"/>
    </font>
    <font>
      <b/>
      <color rgb="FF000000"/>
      <name val="&quot;Arial Narrow&quot;"/>
    </font>
    <font>
      <color rgb="FF000000"/>
      <name val="&quot;Arial Narrow&quot;"/>
    </font>
  </fonts>
  <fills count="10">
    <fill>
      <patternFill patternType="none"/>
    </fill>
    <fill>
      <patternFill patternType="lightGray"/>
    </fill>
    <fill>
      <patternFill patternType="solid">
        <fgColor rgb="FFD9E2F3"/>
        <bgColor rgb="FFD9E2F3"/>
      </patternFill>
    </fill>
    <fill>
      <patternFill patternType="solid">
        <fgColor theme="0"/>
        <bgColor theme="0"/>
      </patternFill>
    </fill>
    <fill>
      <patternFill patternType="solid">
        <fgColor rgb="FFFFFFFF"/>
        <bgColor rgb="FFFFFFFF"/>
      </patternFill>
    </fill>
    <fill>
      <patternFill patternType="solid">
        <fgColor rgb="FFE8E6DA"/>
        <bgColor rgb="FFE8E6DA"/>
      </patternFill>
    </fill>
    <fill>
      <patternFill patternType="solid">
        <fgColor rgb="FFFF9900"/>
        <bgColor rgb="FFFF9900"/>
      </patternFill>
    </fill>
    <fill>
      <patternFill patternType="solid">
        <fgColor rgb="FFFFFF00"/>
        <bgColor rgb="FFFFFF00"/>
      </patternFill>
    </fill>
    <fill>
      <patternFill patternType="solid">
        <fgColor rgb="FFD9E1F2"/>
        <bgColor rgb="FFD9E1F2"/>
      </patternFill>
    </fill>
    <fill>
      <patternFill patternType="solid">
        <fgColor rgb="FFD9D9D9"/>
        <bgColor rgb="FFD9D9D9"/>
      </patternFill>
    </fill>
  </fills>
  <borders count="15">
    <border/>
    <border>
      <left/>
      <right/>
      <top/>
      <bottom/>
    </border>
    <border>
      <left style="thin">
        <color rgb="FFBFBFBF"/>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D6D4"/>
      </top>
      <bottom style="thin">
        <color rgb="FF000000"/>
      </bottom>
    </border>
    <border>
      <left style="thin">
        <color rgb="FF000000"/>
      </left>
      <top style="thin">
        <color rgb="FF000000"/>
      </top>
    </border>
    <border>
      <left/>
      <top/>
      <bottom/>
    </border>
    <border>
      <right/>
      <top/>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1" fillId="2" fontId="1" numFmtId="3" xfId="0" applyBorder="1" applyFont="1" applyNumberFormat="1"/>
    <xf borderId="1" fillId="2" fontId="1" numFmtId="3" xfId="0" applyAlignment="1" applyBorder="1" applyFont="1" applyNumberFormat="1">
      <alignment readingOrder="0"/>
    </xf>
    <xf borderId="1" fillId="2" fontId="1" numFmtId="10" xfId="0" applyBorder="1" applyFont="1" applyNumberFormat="1"/>
    <xf borderId="0" fillId="0" fontId="2" numFmtId="0" xfId="0" applyFont="1"/>
    <xf borderId="0" fillId="0" fontId="2" numFmtId="0" xfId="0" applyAlignment="1" applyFont="1">
      <alignment readingOrder="0"/>
    </xf>
    <xf borderId="0" fillId="0" fontId="3" numFmtId="3" xfId="0" applyAlignment="1" applyFont="1" applyNumberFormat="1">
      <alignment readingOrder="0"/>
    </xf>
    <xf borderId="0" fillId="0" fontId="2" numFmtId="3" xfId="0" applyFont="1" applyNumberFormat="1"/>
    <xf borderId="0" fillId="3" fontId="2" numFmtId="3" xfId="0" applyAlignment="1" applyFill="1" applyFont="1" applyNumberFormat="1">
      <alignment vertical="bottom"/>
    </xf>
    <xf borderId="0" fillId="0" fontId="2" numFmtId="10" xfId="0" applyAlignment="1" applyFont="1" applyNumberFormat="1">
      <alignment readingOrder="0"/>
    </xf>
    <xf borderId="0" fillId="0" fontId="4" numFmtId="3" xfId="0" applyFont="1" applyNumberFormat="1"/>
    <xf borderId="0" fillId="0" fontId="5" numFmtId="0" xfId="0" applyFont="1"/>
    <xf borderId="0" fillId="3" fontId="2" numFmtId="3" xfId="0" applyAlignment="1" applyFont="1" applyNumberFormat="1">
      <alignment horizontal="right" vertical="bottom"/>
    </xf>
    <xf borderId="0" fillId="0" fontId="2" numFmtId="10" xfId="0" applyFont="1" applyNumberFormat="1"/>
    <xf borderId="0" fillId="0" fontId="6" numFmtId="0" xfId="0" applyFont="1"/>
    <xf borderId="0" fillId="0" fontId="1" numFmtId="0" xfId="0" applyFont="1"/>
    <xf borderId="0" fillId="0" fontId="1" numFmtId="10" xfId="0" applyFont="1" applyNumberFormat="1"/>
    <xf borderId="0" fillId="0" fontId="1" numFmtId="3" xfId="0" applyFont="1" applyNumberFormat="1"/>
    <xf borderId="0" fillId="0" fontId="1" numFmtId="3" xfId="0" applyAlignment="1" applyFont="1" applyNumberFormat="1">
      <alignment readingOrder="0"/>
    </xf>
    <xf borderId="0" fillId="0" fontId="7" numFmtId="3" xfId="0" applyAlignment="1" applyFont="1" applyNumberFormat="1">
      <alignment readingOrder="0"/>
    </xf>
    <xf borderId="0" fillId="0" fontId="2" numFmtId="3" xfId="0" applyAlignment="1" applyFont="1" applyNumberFormat="1">
      <alignment readingOrder="0"/>
    </xf>
    <xf borderId="0" fillId="3" fontId="2" numFmtId="3" xfId="0" applyAlignment="1" applyFont="1" applyNumberFormat="1">
      <alignment horizontal="right" readingOrder="0" vertical="bottom"/>
    </xf>
    <xf borderId="2" fillId="0" fontId="2" numFmtId="0" xfId="0" applyBorder="1" applyFont="1"/>
    <xf borderId="0" fillId="0" fontId="7" numFmtId="0" xfId="0" applyFont="1"/>
    <xf borderId="0" fillId="0" fontId="1" numFmtId="0" xfId="0" applyAlignment="1" applyFont="1">
      <alignment readingOrder="0"/>
    </xf>
    <xf borderId="3" fillId="3" fontId="2" numFmtId="3" xfId="0" applyAlignment="1" applyBorder="1" applyFont="1" applyNumberFormat="1">
      <alignment vertical="bottom"/>
    </xf>
    <xf borderId="0" fillId="0" fontId="3" numFmtId="164" xfId="0" applyAlignment="1" applyFont="1" applyNumberFormat="1">
      <alignment readingOrder="0"/>
    </xf>
    <xf borderId="0" fillId="0" fontId="2" numFmtId="164" xfId="0" applyFont="1" applyNumberFormat="1"/>
    <xf borderId="0" fillId="0" fontId="3" numFmtId="0" xfId="0" applyAlignment="1" applyFont="1">
      <alignment readingOrder="0"/>
    </xf>
    <xf borderId="0" fillId="0" fontId="7" numFmtId="10" xfId="0" applyAlignment="1" applyFont="1" applyNumberFormat="1">
      <alignment horizontal="right" readingOrder="0" shrinkToFit="0" vertical="bottom" wrapText="0"/>
    </xf>
    <xf borderId="0" fillId="0" fontId="8" numFmtId="0" xfId="0" applyAlignment="1" applyFont="1">
      <alignment horizontal="left"/>
    </xf>
    <xf borderId="0" fillId="0" fontId="9" numFmtId="0" xfId="0" applyAlignment="1" applyFont="1">
      <alignment horizontal="left"/>
    </xf>
    <xf borderId="0" fillId="0" fontId="10" numFmtId="0" xfId="0" applyAlignment="1" applyFont="1">
      <alignment horizontal="left"/>
    </xf>
    <xf borderId="0" fillId="0" fontId="11" numFmtId="0" xfId="0" applyFont="1"/>
    <xf borderId="0" fillId="0" fontId="11" numFmtId="0" xfId="0" applyAlignment="1" applyFont="1">
      <alignment readingOrder="0"/>
    </xf>
    <xf borderId="0" fillId="0" fontId="7" numFmtId="3" xfId="0" applyAlignment="1" applyFont="1" applyNumberFormat="1">
      <alignment horizontal="right"/>
    </xf>
    <xf borderId="0" fillId="0" fontId="7" numFmtId="10" xfId="0" applyAlignment="1" applyFont="1" applyNumberFormat="1">
      <alignment horizontal="right"/>
    </xf>
    <xf borderId="0" fillId="0" fontId="11" numFmtId="10" xfId="0" applyAlignment="1" applyFont="1" applyNumberFormat="1">
      <alignment horizontal="right"/>
    </xf>
    <xf borderId="0" fillId="0" fontId="12" numFmtId="0" xfId="0" applyFont="1"/>
    <xf borderId="0" fillId="0" fontId="13" numFmtId="0" xfId="0" applyFont="1"/>
    <xf borderId="0" fillId="0" fontId="7" numFmtId="0" xfId="0" applyAlignment="1" applyFont="1">
      <alignment readingOrder="0"/>
    </xf>
    <xf borderId="0" fillId="0" fontId="4" numFmtId="0" xfId="0" applyFont="1"/>
    <xf borderId="0" fillId="0" fontId="14" numFmtId="3" xfId="0" applyAlignment="1" applyFont="1" applyNumberFormat="1">
      <alignment horizontal="left"/>
    </xf>
    <xf borderId="0" fillId="0" fontId="2" numFmtId="164" xfId="0" applyAlignment="1" applyFont="1" applyNumberFormat="1">
      <alignment horizontal="right"/>
    </xf>
    <xf borderId="0" fillId="3" fontId="2" numFmtId="164" xfId="0" applyAlignment="1" applyFont="1" applyNumberFormat="1">
      <alignment vertical="bottom"/>
    </xf>
    <xf borderId="0" fillId="3" fontId="2" numFmtId="164" xfId="0" applyAlignment="1" applyFont="1" applyNumberFormat="1">
      <alignment horizontal="right" vertical="bottom"/>
    </xf>
    <xf borderId="0" fillId="0" fontId="2" numFmtId="10" xfId="0" applyAlignment="1" applyFont="1" applyNumberFormat="1">
      <alignment horizontal="right"/>
    </xf>
    <xf borderId="0" fillId="0" fontId="14" numFmtId="0" xfId="0" applyAlignment="1" applyFont="1">
      <alignment horizontal="left"/>
    </xf>
    <xf borderId="0" fillId="0" fontId="7" numFmtId="3" xfId="0" applyFont="1" applyNumberFormat="1"/>
    <xf borderId="0" fillId="3" fontId="2" numFmtId="3" xfId="0" applyAlignment="1" applyFont="1" applyNumberFormat="1">
      <alignment readingOrder="0" vertical="bottom"/>
    </xf>
    <xf borderId="0" fillId="0" fontId="13" numFmtId="3" xfId="0" applyAlignment="1" applyFont="1" applyNumberFormat="1">
      <alignment horizontal="right"/>
    </xf>
    <xf borderId="0" fillId="0" fontId="7" numFmtId="10" xfId="0" applyFont="1" applyNumberFormat="1"/>
    <xf borderId="0" fillId="0" fontId="15" numFmtId="0" xfId="0" applyAlignment="1" applyFont="1">
      <alignment horizontal="left" readingOrder="0"/>
    </xf>
    <xf borderId="0" fillId="0" fontId="2" numFmtId="164" xfId="0" applyAlignment="1" applyFont="1" applyNumberFormat="1">
      <alignment readingOrder="0"/>
    </xf>
    <xf borderId="0" fillId="4" fontId="16" numFmtId="0" xfId="0" applyAlignment="1" applyFill="1" applyFont="1">
      <alignment horizontal="left" readingOrder="0"/>
    </xf>
    <xf borderId="0" fillId="0" fontId="7"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3" xfId="0" applyAlignment="1" applyFont="1" applyNumberFormat="1">
      <alignment horizontal="right" readingOrder="0" shrinkToFit="0" vertical="bottom" wrapText="0"/>
    </xf>
    <xf borderId="0" fillId="0" fontId="1" numFmtId="0" xfId="0" applyAlignment="1" applyFont="1">
      <alignment horizontal="left" readingOrder="0"/>
    </xf>
    <xf borderId="0" fillId="3" fontId="13" numFmtId="3" xfId="0" applyAlignment="1" applyFont="1" applyNumberFormat="1">
      <alignment readingOrder="0" shrinkToFit="0" vertical="bottom" wrapText="0"/>
    </xf>
    <xf borderId="0" fillId="0" fontId="17" numFmtId="0" xfId="0" applyAlignment="1" applyFont="1">
      <alignment readingOrder="0" shrinkToFit="0" vertical="top" wrapText="0"/>
    </xf>
    <xf borderId="0" fillId="0" fontId="18"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0" fontId="20" numFmtId="0" xfId="0" applyAlignment="1" applyFont="1">
      <alignment readingOrder="0" shrinkToFit="0" vertical="top" wrapText="0"/>
    </xf>
    <xf borderId="3" fillId="0" fontId="20" numFmtId="0" xfId="0" applyAlignment="1" applyBorder="1" applyFont="1">
      <alignment horizontal="left" readingOrder="0" shrinkToFit="0" vertical="bottom" wrapText="0"/>
    </xf>
    <xf borderId="4" fillId="0" fontId="20" numFmtId="0" xfId="0" applyAlignment="1" applyBorder="1" applyFont="1">
      <alignment horizontal="center" readingOrder="0" shrinkToFit="0" vertical="bottom" wrapText="0"/>
    </xf>
    <xf borderId="4" fillId="0" fontId="20" numFmtId="0" xfId="0" applyAlignment="1" applyBorder="1" applyFont="1">
      <alignment horizontal="center" readingOrder="0" vertical="bottom"/>
    </xf>
    <xf borderId="5" fillId="0" fontId="21" numFmtId="0" xfId="0" applyAlignment="1" applyBorder="1" applyFont="1">
      <alignment horizontal="left" readingOrder="0" shrinkToFit="0" vertical="top" wrapText="0"/>
    </xf>
    <xf borderId="6" fillId="0" fontId="21" numFmtId="0" xfId="0" applyAlignment="1" applyBorder="1" applyFont="1">
      <alignment horizontal="center" readingOrder="0" shrinkToFit="0" vertical="top" wrapText="0"/>
    </xf>
    <xf borderId="6" fillId="0" fontId="18" numFmtId="9" xfId="0" applyAlignment="1" applyBorder="1" applyFont="1" applyNumberFormat="1">
      <alignment horizontal="center" readingOrder="0" shrinkToFit="0" vertical="top" wrapText="0"/>
    </xf>
    <xf borderId="6" fillId="0" fontId="18" numFmtId="165" xfId="0" applyAlignment="1" applyBorder="1" applyFont="1" applyNumberFormat="1">
      <alignment horizontal="center" readingOrder="0" shrinkToFit="0" vertical="top" wrapText="0"/>
    </xf>
    <xf borderId="5" fillId="0" fontId="21" numFmtId="0" xfId="0" applyAlignment="1" applyBorder="1" applyFont="1">
      <alignment horizontal="left" readingOrder="0" shrinkToFit="0" vertical="bottom" wrapText="0"/>
    </xf>
    <xf borderId="6" fillId="0" fontId="21" numFmtId="0" xfId="0" applyAlignment="1" applyBorder="1" applyFont="1">
      <alignment horizontal="center" readingOrder="0" shrinkToFit="0" vertical="bottom" wrapText="0"/>
    </xf>
    <xf borderId="6" fillId="0" fontId="18" numFmtId="9" xfId="0" applyAlignment="1" applyBorder="1" applyFont="1" applyNumberFormat="1">
      <alignment horizontal="center" readingOrder="0" shrinkToFit="0" vertical="bottom" wrapText="0"/>
    </xf>
    <xf borderId="6" fillId="0" fontId="18" numFmtId="165" xfId="0" applyAlignment="1" applyBorder="1" applyFont="1" applyNumberFormat="1">
      <alignment horizontal="center" readingOrder="0" shrinkToFit="0" vertical="bottom" wrapText="0"/>
    </xf>
    <xf borderId="5" fillId="0" fontId="21" numFmtId="0" xfId="0" applyAlignment="1" applyBorder="1" applyFont="1">
      <alignment horizontal="left" readingOrder="0" shrinkToFit="0" wrapText="0"/>
    </xf>
    <xf borderId="6" fillId="0" fontId="21" numFmtId="0" xfId="0" applyAlignment="1" applyBorder="1" applyFont="1">
      <alignment horizontal="center" readingOrder="0" shrinkToFit="0" wrapText="0"/>
    </xf>
    <xf borderId="6" fillId="0" fontId="18" numFmtId="9" xfId="0" applyAlignment="1" applyBorder="1" applyFont="1" applyNumberFormat="1">
      <alignment horizontal="center" readingOrder="0" shrinkToFit="0" wrapText="0"/>
    </xf>
    <xf borderId="6" fillId="0" fontId="18" numFmtId="165" xfId="0" applyAlignment="1" applyBorder="1" applyFont="1" applyNumberFormat="1">
      <alignment horizontal="center" readingOrder="0" shrinkToFit="0" wrapText="0"/>
    </xf>
    <xf borderId="6" fillId="0" fontId="21" numFmtId="0" xfId="0" applyAlignment="1" applyBorder="1" applyFont="1">
      <alignment horizontal="left" readingOrder="0" shrinkToFit="0" vertical="top" wrapText="0"/>
    </xf>
    <xf borderId="6" fillId="0" fontId="21" numFmtId="0" xfId="0" applyAlignment="1" applyBorder="1" applyFont="1">
      <alignment horizontal="left" readingOrder="0" shrinkToFit="0" vertical="bottom" wrapText="0"/>
    </xf>
    <xf borderId="0" fillId="0" fontId="18" numFmtId="0" xfId="0" applyAlignment="1" applyFont="1">
      <alignment shrinkToFit="0" vertical="top" wrapText="0"/>
    </xf>
    <xf borderId="2" fillId="0" fontId="2" numFmtId="0" xfId="0" applyAlignment="1" applyBorder="1" applyFont="1">
      <alignment readingOrder="0"/>
    </xf>
    <xf borderId="0" fillId="0" fontId="3" numFmtId="9" xfId="0" applyAlignment="1" applyFont="1" applyNumberFormat="1">
      <alignment readingOrder="0"/>
    </xf>
    <xf borderId="0" fillId="0" fontId="22" numFmtId="0" xfId="0" applyAlignment="1" applyFont="1">
      <alignment readingOrder="0"/>
    </xf>
    <xf borderId="0" fillId="5" fontId="23" numFmtId="0" xfId="0" applyAlignment="1" applyFill="1" applyFont="1">
      <alignment horizontal="center" readingOrder="0" vertical="bottom"/>
    </xf>
    <xf borderId="0" fillId="5" fontId="24" numFmtId="0" xfId="0" applyAlignment="1" applyFont="1">
      <alignment horizontal="center" vertical="bottom"/>
    </xf>
    <xf borderId="0" fillId="4" fontId="25" numFmtId="0" xfId="0" applyAlignment="1" applyFont="1">
      <alignment horizontal="left" readingOrder="0" vertical="bottom"/>
    </xf>
    <xf borderId="0" fillId="4" fontId="25" numFmtId="3" xfId="0" applyAlignment="1" applyFont="1" applyNumberFormat="1">
      <alignment horizontal="right" readingOrder="0" vertical="bottom"/>
    </xf>
    <xf borderId="0" fillId="4" fontId="25" numFmtId="0" xfId="0" applyAlignment="1" applyFont="1">
      <alignment horizontal="right" readingOrder="0" vertical="bottom"/>
    </xf>
    <xf borderId="0" fillId="4" fontId="26" numFmtId="10" xfId="0" applyAlignment="1" applyFont="1" applyNumberFormat="1">
      <alignment horizontal="right" vertical="bottom"/>
    </xf>
    <xf borderId="0" fillId="0" fontId="27" numFmtId="0" xfId="0" applyAlignment="1" applyFont="1">
      <alignment readingOrder="0"/>
    </xf>
    <xf quotePrefix="1" borderId="0" fillId="0" fontId="3" numFmtId="0" xfId="0" applyAlignment="1" applyFont="1">
      <alignment readingOrder="0"/>
    </xf>
    <xf borderId="0" fillId="4" fontId="23" numFmtId="0" xfId="0" applyAlignment="1" applyFont="1">
      <alignment horizontal="left" vertical="bottom"/>
    </xf>
    <xf borderId="0" fillId="4" fontId="23" numFmtId="0" xfId="0" applyAlignment="1" applyFont="1">
      <alignment horizontal="left" readingOrder="0" vertical="bottom"/>
    </xf>
    <xf borderId="0" fillId="4" fontId="23" numFmtId="3" xfId="0" applyAlignment="1" applyFont="1" applyNumberFormat="1">
      <alignment horizontal="right" readingOrder="0" vertical="bottom"/>
    </xf>
    <xf borderId="0" fillId="4" fontId="24" numFmtId="10" xfId="0" applyAlignment="1" applyFont="1" applyNumberFormat="1">
      <alignment horizontal="right" vertical="bottom"/>
    </xf>
    <xf borderId="7" fillId="0" fontId="28" numFmtId="0" xfId="0" applyAlignment="1" applyBorder="1" applyFont="1">
      <alignment horizontal="center" readingOrder="0"/>
    </xf>
    <xf borderId="7" fillId="0" fontId="29" numFmtId="0" xfId="0" applyAlignment="1" applyBorder="1" applyFont="1">
      <alignment horizontal="center" readingOrder="0"/>
    </xf>
    <xf borderId="0" fillId="0" fontId="13" numFmtId="3" xfId="0" applyAlignment="1" applyFont="1" applyNumberFormat="1">
      <alignment readingOrder="0" shrinkToFit="0" vertical="bottom" wrapText="1"/>
    </xf>
    <xf borderId="8" fillId="0" fontId="13" numFmtId="3" xfId="0" applyAlignment="1" applyBorder="1" applyFont="1" applyNumberFormat="1">
      <alignment readingOrder="0" shrinkToFit="0" vertical="bottom" wrapText="1"/>
    </xf>
    <xf borderId="0" fillId="0" fontId="3" numFmtId="0" xfId="0" applyAlignment="1" applyFont="1">
      <alignment horizontal="right" readingOrder="0" shrinkToFit="0" wrapText="1"/>
    </xf>
    <xf borderId="0" fillId="0" fontId="3" numFmtId="0" xfId="0" applyAlignment="1" applyFont="1">
      <alignment horizontal="right" shrinkToFit="0" wrapText="1"/>
    </xf>
    <xf borderId="0" fillId="0" fontId="3" numFmtId="0" xfId="0" applyAlignment="1" applyFont="1">
      <alignment horizontal="right" readingOrder="0" shrinkToFit="0" wrapText="1"/>
    </xf>
    <xf borderId="0" fillId="0" fontId="7" numFmtId="3" xfId="0" applyAlignment="1" applyFont="1" applyNumberFormat="1">
      <alignment readingOrder="0" shrinkToFit="0" vertical="bottom" wrapText="0"/>
    </xf>
    <xf borderId="0" fillId="0" fontId="30" numFmtId="0" xfId="0" applyAlignment="1" applyFont="1">
      <alignment horizontal="right"/>
    </xf>
    <xf borderId="0" fillId="0" fontId="3" numFmtId="10" xfId="0" applyFont="1" applyNumberFormat="1"/>
    <xf borderId="0" fillId="0" fontId="3" numFmtId="166" xfId="0" applyFont="1" applyNumberFormat="1"/>
    <xf borderId="0" fillId="0" fontId="3" numFmtId="167" xfId="0" applyFont="1" applyNumberFormat="1"/>
    <xf borderId="0" fillId="0" fontId="3" numFmtId="3" xfId="0" applyFont="1" applyNumberFormat="1"/>
    <xf borderId="0" fillId="0" fontId="3" numFmtId="3" xfId="0" applyFont="1" applyNumberFormat="1"/>
    <xf borderId="0" fillId="0" fontId="3" numFmtId="0" xfId="0" applyFont="1"/>
    <xf borderId="0" fillId="0" fontId="30"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0" fontId="31" numFmtId="0" xfId="0" applyAlignment="1" applyFont="1">
      <alignment readingOrder="0" shrinkToFit="0" vertical="bottom" wrapText="0"/>
    </xf>
    <xf borderId="0" fillId="0" fontId="30" numFmtId="0" xfId="0" applyAlignment="1" applyFont="1">
      <alignment horizontal="left" readingOrder="0" shrinkToFit="0" vertical="bottom" wrapText="0"/>
    </xf>
    <xf borderId="0" fillId="0" fontId="30" numFmtId="0" xfId="0" applyAlignment="1" applyFont="1">
      <alignment shrinkToFit="0" vertical="bottom" wrapText="0"/>
    </xf>
    <xf borderId="0" fillId="0" fontId="32" numFmtId="0" xfId="0" applyAlignment="1" applyFont="1">
      <alignment horizontal="left"/>
    </xf>
    <xf borderId="0" fillId="0" fontId="33" numFmtId="0" xfId="0" applyAlignment="1" applyFont="1">
      <alignment readingOrder="0"/>
    </xf>
    <xf borderId="0" fillId="0" fontId="33" numFmtId="10" xfId="0" applyAlignment="1" applyFont="1" applyNumberFormat="1">
      <alignment readingOrder="0"/>
    </xf>
    <xf borderId="0" fillId="0" fontId="2" numFmtId="3" xfId="0" applyAlignment="1" applyFont="1" applyNumberFormat="1">
      <alignment horizontal="right" readingOrder="0" shrinkToFit="0" vertical="bottom" wrapText="0"/>
    </xf>
    <xf borderId="0" fillId="4" fontId="2" numFmtId="3" xfId="0" applyAlignment="1" applyFont="1" applyNumberFormat="1">
      <alignment horizontal="right" readingOrder="0" shrinkToFit="0" vertical="bottom" wrapText="0"/>
    </xf>
    <xf borderId="0" fillId="0" fontId="2" numFmtId="0" xfId="0" applyAlignment="1" applyFont="1">
      <alignment horizontal="right" readingOrder="0" shrinkToFit="0" vertical="bottom" wrapText="0"/>
    </xf>
    <xf borderId="0" fillId="0" fontId="34" numFmtId="0" xfId="0" applyFont="1"/>
    <xf borderId="0" fillId="0" fontId="35" numFmtId="0" xfId="0" applyFont="1"/>
    <xf borderId="0" fillId="0" fontId="21" numFmtId="0" xfId="0" applyAlignment="1" applyFont="1">
      <alignment readingOrder="0"/>
    </xf>
    <xf borderId="0" fillId="0" fontId="21" numFmtId="0" xfId="0" applyFont="1"/>
    <xf borderId="0" fillId="0" fontId="13" numFmtId="0" xfId="0" applyAlignment="1" applyFont="1">
      <alignment horizontal="left" shrinkToFit="0" vertical="top" wrapText="1"/>
    </xf>
    <xf borderId="0" fillId="0" fontId="13" numFmtId="3" xfId="0" applyAlignment="1" applyFont="1" applyNumberFormat="1">
      <alignment horizontal="left" shrinkToFit="0" vertical="top" wrapText="1"/>
    </xf>
    <xf borderId="0" fillId="0" fontId="13" numFmtId="4" xfId="0" applyAlignment="1" applyFont="1" applyNumberFormat="1">
      <alignment horizontal="left" shrinkToFit="0" vertical="top" wrapText="1"/>
    </xf>
    <xf borderId="0" fillId="0" fontId="13" numFmtId="10" xfId="0" applyAlignment="1" applyFont="1" applyNumberFormat="1">
      <alignment horizontal="left" shrinkToFit="0" vertical="top" wrapText="1"/>
    </xf>
    <xf borderId="0" fillId="0" fontId="36" numFmtId="0" xfId="0" applyAlignment="1" applyFont="1">
      <alignment horizontal="left" shrinkToFit="0" vertical="top" wrapText="1"/>
    </xf>
    <xf borderId="0" fillId="0" fontId="37" numFmtId="0" xfId="0" applyAlignment="1" applyFont="1">
      <alignment horizontal="left" shrinkToFit="0" vertical="top" wrapText="1"/>
    </xf>
    <xf borderId="0" fillId="0" fontId="2" numFmtId="0" xfId="0" applyAlignment="1" applyFont="1">
      <alignment horizontal="left" shrinkToFit="0" vertical="top" wrapText="1"/>
    </xf>
    <xf borderId="0" fillId="0" fontId="7" numFmtId="0" xfId="0" applyAlignment="1" applyFont="1">
      <alignment horizontal="right"/>
    </xf>
    <xf borderId="0" fillId="0" fontId="2" numFmtId="3" xfId="0" applyAlignment="1" applyFont="1" applyNumberFormat="1">
      <alignment horizontal="right"/>
    </xf>
    <xf borderId="0" fillId="0" fontId="38" numFmtId="3" xfId="0" applyAlignment="1" applyFont="1" applyNumberFormat="1">
      <alignment horizontal="right"/>
    </xf>
    <xf borderId="1" fillId="6" fontId="39" numFmtId="10" xfId="0" applyAlignment="1" applyBorder="1" applyFill="1" applyFont="1" applyNumberFormat="1">
      <alignment horizontal="right"/>
    </xf>
    <xf borderId="0" fillId="0" fontId="40" numFmtId="49" xfId="0" applyAlignment="1" applyFont="1" applyNumberFormat="1">
      <alignment horizontal="right"/>
    </xf>
    <xf borderId="1" fillId="4" fontId="2" numFmtId="0" xfId="0" applyBorder="1" applyFont="1"/>
    <xf borderId="0" fillId="0" fontId="2" numFmtId="0" xfId="0" applyFont="1"/>
    <xf borderId="0" fillId="0" fontId="39" numFmtId="3" xfId="0" applyAlignment="1" applyFont="1" applyNumberFormat="1">
      <alignment horizontal="right"/>
    </xf>
    <xf borderId="0" fillId="0" fontId="40" numFmtId="3" xfId="0" applyAlignment="1" applyFont="1" applyNumberFormat="1">
      <alignment horizontal="right"/>
    </xf>
    <xf borderId="0" fillId="0" fontId="7" numFmtId="49" xfId="0" applyFont="1" applyNumberFormat="1"/>
    <xf borderId="1" fillId="3" fontId="7" numFmtId="3" xfId="0" applyAlignment="1" applyBorder="1" applyFont="1" applyNumberFormat="1">
      <alignment horizontal="right"/>
    </xf>
    <xf borderId="1" fillId="3" fontId="38" numFmtId="3" xfId="0" applyAlignment="1" applyBorder="1" applyFont="1" applyNumberFormat="1">
      <alignment horizontal="right"/>
    </xf>
    <xf borderId="1" fillId="6" fontId="7" numFmtId="10" xfId="0" applyAlignment="1" applyBorder="1" applyFont="1" applyNumberFormat="1">
      <alignment horizontal="right"/>
    </xf>
    <xf borderId="1" fillId="7" fontId="7" numFmtId="0" xfId="0" applyAlignment="1" applyBorder="1" applyFill="1" applyFont="1">
      <alignment horizontal="right"/>
    </xf>
    <xf borderId="9" fillId="7" fontId="7" numFmtId="0" xfId="0" applyBorder="1" applyFont="1"/>
    <xf borderId="10" fillId="0" fontId="41" numFmtId="0" xfId="0" applyBorder="1" applyFont="1"/>
    <xf borderId="1" fillId="7" fontId="7" numFmtId="0" xfId="0" applyBorder="1" applyFont="1"/>
    <xf borderId="1" fillId="7" fontId="7" numFmtId="3" xfId="0" applyBorder="1" applyFont="1" applyNumberFormat="1"/>
    <xf borderId="1" fillId="7" fontId="39" numFmtId="3" xfId="0" applyAlignment="1" applyBorder="1" applyFont="1" applyNumberFormat="1">
      <alignment horizontal="right"/>
    </xf>
    <xf borderId="1" fillId="7" fontId="40" numFmtId="3" xfId="0" applyAlignment="1" applyBorder="1" applyFont="1" applyNumberFormat="1">
      <alignment horizontal="right"/>
    </xf>
    <xf borderId="1" fillId="7" fontId="40" numFmtId="49" xfId="0" applyAlignment="1" applyBorder="1" applyFont="1" applyNumberFormat="1">
      <alignment horizontal="right"/>
    </xf>
    <xf borderId="1" fillId="4" fontId="7" numFmtId="3" xfId="0" applyAlignment="1" applyBorder="1" applyFont="1" applyNumberFormat="1">
      <alignment horizontal="right"/>
    </xf>
    <xf borderId="1" fillId="4" fontId="38" numFmtId="3" xfId="0" applyAlignment="1" applyBorder="1" applyFont="1" applyNumberFormat="1">
      <alignment horizontal="right"/>
    </xf>
    <xf borderId="1" fillId="3" fontId="7" numFmtId="0" xfId="0" applyBorder="1" applyFont="1"/>
    <xf borderId="1" fillId="3" fontId="7" numFmtId="3" xfId="0" applyBorder="1" applyFont="1" applyNumberFormat="1"/>
    <xf borderId="1" fillId="3" fontId="39" numFmtId="3" xfId="0" applyAlignment="1" applyBorder="1" applyFont="1" applyNumberFormat="1">
      <alignment horizontal="right"/>
    </xf>
    <xf borderId="1" fillId="3" fontId="40" numFmtId="3" xfId="0" applyAlignment="1" applyBorder="1" applyFont="1" applyNumberFormat="1">
      <alignment horizontal="right"/>
    </xf>
    <xf borderId="1" fillId="3" fontId="40" numFmtId="49" xfId="0" applyAlignment="1" applyBorder="1" applyFont="1" applyNumberFormat="1">
      <alignment horizontal="right"/>
    </xf>
    <xf borderId="1" fillId="3" fontId="2" numFmtId="0" xfId="0" applyBorder="1" applyFont="1"/>
    <xf borderId="1" fillId="7" fontId="38" numFmtId="3" xfId="0" applyBorder="1" applyFont="1" applyNumberFormat="1"/>
    <xf borderId="0" fillId="0" fontId="39" numFmtId="4" xfId="0" applyAlignment="1" applyFont="1" applyNumberFormat="1">
      <alignment horizontal="right"/>
    </xf>
    <xf borderId="0" fillId="0" fontId="40" numFmtId="4" xfId="0" applyAlignment="1" applyFont="1" applyNumberFormat="1">
      <alignment horizontal="right"/>
    </xf>
    <xf borderId="0" fillId="0" fontId="40" numFmtId="10" xfId="0" applyAlignment="1" applyFont="1" applyNumberFormat="1">
      <alignment horizontal="right"/>
    </xf>
    <xf borderId="0" fillId="0" fontId="7" numFmtId="0" xfId="0" applyAlignment="1" applyFont="1">
      <alignment horizontal="right" readingOrder="0" shrinkToFit="0" vertical="bottom" wrapText="0"/>
    </xf>
    <xf borderId="0" fillId="0" fontId="7" numFmtId="0" xfId="0" applyAlignment="1" applyFont="1">
      <alignment readingOrder="0" shrinkToFit="0" wrapText="1"/>
    </xf>
    <xf borderId="0" fillId="0" fontId="40" numFmtId="49" xfId="0" applyAlignment="1" applyFont="1" applyNumberFormat="1">
      <alignment horizontal="right" readingOrder="0"/>
    </xf>
    <xf borderId="0" fillId="8" fontId="13" numFmtId="3" xfId="0" applyAlignment="1" applyFill="1" applyFont="1" applyNumberFormat="1">
      <alignment readingOrder="0" shrinkToFit="0" vertical="bottom" wrapText="1"/>
    </xf>
    <xf borderId="0" fillId="0" fontId="7" numFmtId="3" xfId="0" applyAlignment="1" applyFont="1" applyNumberFormat="1">
      <alignment horizontal="right" readingOrder="0" shrinkToFit="0" vertical="bottom" wrapText="0"/>
    </xf>
    <xf borderId="0" fillId="8" fontId="7" numFmtId="10" xfId="0" applyAlignment="1" applyFont="1" applyNumberFormat="1">
      <alignment horizontal="right" readingOrder="0" shrinkToFit="0" vertical="bottom" wrapText="0"/>
    </xf>
    <xf borderId="0" fillId="0" fontId="30" numFmtId="3" xfId="0" applyAlignment="1" applyFont="1" applyNumberFormat="1">
      <alignment horizontal="right" readingOrder="0" shrinkToFit="0" vertical="bottom" wrapText="0"/>
    </xf>
    <xf borderId="0" fillId="0" fontId="7" numFmtId="3" xfId="0" applyAlignment="1" applyFont="1" applyNumberFormat="1">
      <alignment horizontal="right" readingOrder="0" shrinkToFit="0" vertical="bottom" wrapText="0"/>
    </xf>
    <xf borderId="0" fillId="0" fontId="7" numFmtId="3" xfId="0" applyAlignment="1" applyFont="1" applyNumberFormat="1">
      <alignment shrinkToFit="0" vertical="bottom" wrapText="0"/>
    </xf>
    <xf borderId="0" fillId="3" fontId="7" numFmtId="3" xfId="0" applyAlignment="1" applyFont="1" applyNumberFormat="1">
      <alignment shrinkToFit="0" vertical="bottom" wrapText="0"/>
    </xf>
    <xf borderId="0" fillId="0" fontId="42" numFmtId="0" xfId="0" applyAlignment="1" applyFont="1">
      <alignment horizontal="center" readingOrder="0" shrinkToFit="0" vertical="bottom" wrapText="0"/>
    </xf>
    <xf borderId="11" fillId="0" fontId="43" numFmtId="0" xfId="0" applyAlignment="1" applyBorder="1" applyFont="1">
      <alignment horizontal="left" vertical="bottom"/>
    </xf>
    <xf borderId="12" fillId="0" fontId="43" numFmtId="0" xfId="0" applyAlignment="1" applyBorder="1" applyFont="1">
      <alignment horizontal="center" readingOrder="0"/>
    </xf>
    <xf borderId="12" fillId="0" fontId="41" numFmtId="0" xfId="0" applyBorder="1" applyFont="1"/>
    <xf borderId="4" fillId="0" fontId="41" numFmtId="0" xfId="0" applyBorder="1" applyFont="1"/>
    <xf borderId="13" fillId="0" fontId="41" numFmtId="0" xfId="0" applyBorder="1" applyFont="1"/>
    <xf borderId="6" fillId="0" fontId="43" numFmtId="0" xfId="0" applyAlignment="1" applyBorder="1" applyFont="1">
      <alignment horizontal="center" readingOrder="0"/>
    </xf>
    <xf borderId="5" fillId="0" fontId="41" numFmtId="0" xfId="0" applyBorder="1" applyFont="1"/>
    <xf borderId="14" fillId="0" fontId="43" numFmtId="0" xfId="0" applyAlignment="1" applyBorder="1" applyFont="1">
      <alignment horizontal="center" readingOrder="0"/>
    </xf>
    <xf borderId="11" fillId="9" fontId="44" numFmtId="0" xfId="0" applyAlignment="1" applyBorder="1" applyFill="1" applyFont="1">
      <alignment horizontal="left" readingOrder="0" shrinkToFit="0" vertical="bottom" wrapText="0"/>
    </xf>
    <xf borderId="11" fillId="9" fontId="44" numFmtId="3" xfId="0" applyAlignment="1" applyBorder="1" applyFont="1" applyNumberFormat="1">
      <alignment horizontal="right" readingOrder="0" shrinkToFit="0" vertical="bottom" wrapText="0"/>
    </xf>
    <xf borderId="11" fillId="9" fontId="44" numFmtId="0" xfId="0" applyAlignment="1" applyBorder="1" applyFont="1">
      <alignment horizontal="right" readingOrder="0" shrinkToFit="0" vertical="bottom" wrapText="0"/>
    </xf>
    <xf borderId="13" fillId="0" fontId="45" numFmtId="0" xfId="0" applyAlignment="1" applyBorder="1" applyFont="1">
      <alignment horizontal="left" readingOrder="0" shrinkToFit="0" vertical="bottom" wrapText="0"/>
    </xf>
    <xf borderId="13" fillId="0" fontId="45" numFmtId="3" xfId="0" applyAlignment="1" applyBorder="1" applyFont="1" applyNumberFormat="1">
      <alignment horizontal="right" readingOrder="0" shrinkToFit="0" vertical="bottom" wrapText="0"/>
    </xf>
    <xf borderId="13" fillId="0" fontId="45" numFmtId="0" xfId="0" applyAlignment="1" applyBorder="1" applyFont="1">
      <alignment horizontal="right" readingOrder="0" shrinkToFit="0" vertical="bottom" wrapText="0"/>
    </xf>
    <xf borderId="13" fillId="9" fontId="45" numFmtId="0" xfId="0" applyAlignment="1" applyBorder="1" applyFont="1">
      <alignment horizontal="left" readingOrder="0" shrinkToFit="0" vertical="bottom" wrapText="0"/>
    </xf>
    <xf borderId="13" fillId="9" fontId="45" numFmtId="3" xfId="0" applyAlignment="1" applyBorder="1" applyFont="1" applyNumberFormat="1">
      <alignment horizontal="right" readingOrder="0" shrinkToFit="0" vertical="bottom" wrapText="0"/>
    </xf>
    <xf borderId="13" fillId="9" fontId="45" numFmtId="0" xfId="0" applyAlignment="1" applyBorder="1" applyFont="1">
      <alignment horizontal="right" readingOrder="0" shrinkToFit="0" vertical="bottom" wrapText="0"/>
    </xf>
    <xf borderId="13" fillId="0" fontId="44" numFmtId="0" xfId="0" applyAlignment="1" applyBorder="1" applyFont="1">
      <alignment horizontal="left" readingOrder="0" shrinkToFit="0" vertical="bottom" wrapText="0"/>
    </xf>
    <xf borderId="13" fillId="0" fontId="44" numFmtId="0" xfId="0" applyAlignment="1" applyBorder="1" applyFont="1">
      <alignment horizontal="right" shrinkToFit="0" vertical="bottom" wrapText="0"/>
    </xf>
    <xf borderId="5" fillId="0" fontId="45" numFmtId="0" xfId="0" applyAlignment="1" applyBorder="1" applyFont="1">
      <alignment horizontal="left" readingOrder="0" shrinkToFit="0" vertical="bottom" wrapText="0"/>
    </xf>
    <xf borderId="5" fillId="0" fontId="45" numFmtId="3" xfId="0" applyAlignment="1" applyBorder="1" applyFont="1" applyNumberFormat="1">
      <alignment horizontal="right" readingOrder="0" shrinkToFit="0" vertical="bottom" wrapText="0"/>
    </xf>
    <xf borderId="5" fillId="0" fontId="45" numFmtId="0" xfId="0" applyAlignment="1" applyBorder="1" applyFont="1">
      <alignment horizontal="right" readingOrder="0" shrinkToFit="0" vertical="bottom" wrapText="0"/>
    </xf>
    <xf borderId="0" fillId="0" fontId="43"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 Capita State and Local General Revenue (Grants Excluded), 2020</a:t>
            </a:r>
          </a:p>
        </c:rich>
      </c:tx>
      <c:overlay val="0"/>
    </c:title>
    <c:plotArea>
      <c:layout/>
      <c:barChart>
        <c:barDir val="bar"/>
        <c:ser>
          <c:idx val="0"/>
          <c:order val="0"/>
          <c:tx>
            <c:strRef>
              <c:f>'Chart Data'!$L$3</c:f>
            </c:strRef>
          </c:tx>
          <c:spPr>
            <a:solidFill>
              <a:schemeClr val="accent1"/>
            </a:solidFill>
            <a:ln cmpd="sng">
              <a:solidFill>
                <a:srgbClr val="000000"/>
              </a:solidFill>
            </a:ln>
          </c:spPr>
          <c:cat>
            <c:strRef>
              <c:f>'Chart Data'!$K$4:$K$54</c:f>
            </c:strRef>
          </c:cat>
          <c:val>
            <c:numRef>
              <c:f>'Chart Data'!$L$4:$L$54</c:f>
              <c:numCache/>
            </c:numRef>
          </c:val>
        </c:ser>
        <c:ser>
          <c:idx val="1"/>
          <c:order val="1"/>
          <c:tx>
            <c:strRef>
              <c:f>'Chart Data'!$M$3</c:f>
            </c:strRef>
          </c:tx>
          <c:spPr>
            <a:solidFill>
              <a:schemeClr val="accent2"/>
            </a:solidFill>
            <a:ln cmpd="sng">
              <a:solidFill>
                <a:srgbClr val="000000"/>
              </a:solidFill>
            </a:ln>
          </c:spPr>
          <c:cat>
            <c:strRef>
              <c:f>'Chart Data'!$K$4:$K$54</c:f>
            </c:strRef>
          </c:cat>
          <c:val>
            <c:numRef>
              <c:f>'Chart Data'!$M$4:$M$54</c:f>
              <c:numCache/>
            </c:numRef>
          </c:val>
        </c:ser>
        <c:axId val="769790689"/>
        <c:axId val="1236574224"/>
      </c:barChart>
      <c:catAx>
        <c:axId val="7697906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6574224"/>
      </c:catAx>
      <c:valAx>
        <c:axId val="1236574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979068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476250</xdr:colOff>
      <xdr:row>2</xdr:row>
      <xdr:rowOff>628650</xdr:rowOff>
    </xdr:from>
    <xdr:ext cx="5715000" cy="4219575"/>
    <xdr:graphicFrame>
      <xdr:nvGraphicFramePr>
        <xdr:cNvPr id="113929287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afrfindos.file.core.windows.net/cafr/Special%20District/2020/TX%20Housing%20Authority%20of%20the%20City%20of%20Austin%202020.pdf?sv=2017-07-29&amp;ss=f&amp;srt=sco&amp;sp=r&amp;se=2122-03-17T01:14:46Z&amp;st=2022-03-17T01:14:46Z&amp;spr=https&amp;sig=d4QgExs6Kg%2BIANxU85YxcPNPOCimg4YURQTDSWIEaq8%3D" TargetMode="External"/><Relationship Id="rId194" Type="http://schemas.openxmlformats.org/officeDocument/2006/relationships/hyperlink" Target="https://cafrfindos.file.core.windows.net/cafr/General%20Purpose/2020/TX%20Fort%20Worth%202020.pdf?sv=2017-07-29&amp;ss=f&amp;srt=sco&amp;sp=r&amp;se=2122-03-17T01:14:46Z&amp;st=2022-03-17T01:14:46Z&amp;spr=https&amp;sig=d4QgExs6Kg%2BIANxU85YxcPNPOCimg4YURQTDSWIEaq8%3D" TargetMode="External"/><Relationship Id="rId193"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192" Type="http://schemas.openxmlformats.org/officeDocument/2006/relationships/hyperlink" Target="https://cafrfindos.file.core.windows.net/cafr/Special%20District/2020/TX%20Capital%20Metropolitan%20Transportation%20Authority%202020.pdf?sv=2017-07-29&amp;ss=f&amp;srt=sco&amp;sp=r&amp;se=2122-03-17T01:14:46Z&amp;st=2022-03-17T01:14:46Z&amp;spr=https&amp;sig=d4QgExs6Kg%2BIANxU85YxcPNPOCimg4YURQTDSWIEaq8%3D" TargetMode="External"/><Relationship Id="rId191" Type="http://schemas.openxmlformats.org/officeDocument/2006/relationships/hyperlink" Target="https://cafrfindos.file.core.windows.net/cafr/Special%20District/2020/TX%20Central%20Texas%20Regional%20Mobility%20Authority%202020.pdf?sv=2017-07-29&amp;ss=f&amp;srt=sco&amp;sp=r&amp;se=2122-03-17T01:14:46Z&amp;st=2022-03-17T01:14:46Z&amp;spr=https&amp;sig=d4QgExs6Kg%2BIANxU85YxcPNPOCimg4YURQTDSWIEaq8%3D" TargetMode="External"/><Relationship Id="rId187" Type="http://schemas.openxmlformats.org/officeDocument/2006/relationships/hyperlink" Target="https://cafrfindos.file.core.windows.net/cafr/School%20District/2020/TX%20Pflugerville%20Independent%20School%20District%202020.pdf?sv=2017-07-29&amp;ss=f&amp;srt=sco&amp;sp=r&amp;se=2122-03-17T01:14:46Z&amp;st=2022-03-17T01:14:46Z&amp;spr=https&amp;sig=d4QgExs6Kg%2BIANxU85YxcPNPOCimg4YURQTDSWIEaq8%3D" TargetMode="External"/><Relationship Id="rId186" Type="http://schemas.openxmlformats.org/officeDocument/2006/relationships/hyperlink" Target="https://cafrfindos.file.core.windows.net/cafr/School%20District/2020/TX%20Manor%20Independent%20School%20District%202020.pdf?sv=2017-07-29&amp;ss=f&amp;srt=sco&amp;sp=r&amp;se=2122-03-17T01:14:46Z&amp;st=2022-03-17T01:14:46Z&amp;spr=https&amp;sig=d4QgExs6Kg%2BIANxU85YxcPNPOCimg4YURQTDSWIEaq8%3D" TargetMode="External"/><Relationship Id="rId185" Type="http://schemas.openxmlformats.org/officeDocument/2006/relationships/hyperlink" Target="https://cafrfindos.file.core.windows.net/cafr/School%20District/2020/TX%20Eanes%20Independent%20School%20District%202020.pdf?sv=2017-07-29&amp;ss=f&amp;srt=sco&amp;sp=r&amp;se=2122-03-17T01:14:46Z&amp;st=2022-03-17T01:14:46Z&amp;spr=https&amp;sig=d4QgExs6Kg%2BIANxU85YxcPNPOCimg4YURQTDSWIEaq8%3D" TargetMode="External"/><Relationship Id="rId184" Type="http://schemas.openxmlformats.org/officeDocument/2006/relationships/hyperlink" Target="https://cafrfindos.file.core.windows.net/cafr/School%20District/2020/TX%20Del%20Valle%20Independent%20School%20District%202020.pdf?sv=2017-07-29&amp;ss=f&amp;srt=sco&amp;sp=r&amp;se=2122-03-17T01:14:46Z&amp;st=2022-03-17T01:14:46Z&amp;spr=https&amp;sig=d4QgExs6Kg%2BIANxU85YxcPNPOCimg4YURQTDSWIEaq8%3D" TargetMode="External"/><Relationship Id="rId189" Type="http://schemas.openxmlformats.org/officeDocument/2006/relationships/hyperlink" Target="https://cafrfindos.file.core.windows.net/cafr/School%20District/2020/TX%20Round%20Rock%20Independent%20School%20District%202020.pdf?sv=2017-07-29&amp;ss=f&amp;srt=sco&amp;sp=r&amp;se=2122-03-17T01:14:46Z&amp;st=2022-03-17T01:14:46Z&amp;spr=https&amp;sig=d4QgExs6Kg%2BIANxU85YxcPNPOCimg4YURQTDSWIEaq8%3D" TargetMode="External"/><Relationship Id="rId188" Type="http://schemas.openxmlformats.org/officeDocument/2006/relationships/hyperlink" Target="https://cafrfindos.file.core.windows.net/cafr/School%20District/2020/TX%20Leander%20Independent%20School%20District%202020.pdf?sv=2017-07-29&amp;ss=f&amp;srt=sco&amp;sp=r&amp;se=2122-03-17T01:14:46Z&amp;st=2022-03-17T01:14:46Z&amp;spr=https&amp;sig=d4QgExs6Kg%2BIANxU85YxcPNPOCimg4YURQTDSWIEaq8%3D" TargetMode="External"/><Relationship Id="rId183" Type="http://schemas.openxmlformats.org/officeDocument/2006/relationships/hyperlink" Target="https://cafrfindos.file.core.windows.net/cafr/School%20District/2020/TX%20Austin%20Independent%20School%20District%202020.pdf?sv=2017-07-29&amp;ss=f&amp;srt=sco&amp;sp=r&amp;se=2122-03-17T01:14:46Z&amp;st=2022-03-17T01:14:46Z&amp;spr=https&amp;sig=d4QgExs6Kg%2BIANxU85YxcPNPOCimg4YURQTDSWIEaq8%3D" TargetMode="External"/><Relationship Id="rId182" Type="http://schemas.openxmlformats.org/officeDocument/2006/relationships/hyperlink" Target="https://cafrfindos.file.core.windows.net/cafr/General%20Purpose/2020/TX%20Hays%20County%202020.pdf?sv=2017-07-29&amp;ss=f&amp;srt=sco&amp;sp=r&amp;se=2122-03-17T01:14:46Z&amp;st=2022-03-17T01:14:46Z&amp;spr=https&amp;sig=d4QgExs6Kg%2BIANxU85YxcPNPOCimg4YURQTDSWIEaq8%3D" TargetMode="External"/><Relationship Id="rId181" Type="http://schemas.openxmlformats.org/officeDocument/2006/relationships/hyperlink" Target="https://cafrfindos.file.core.windows.net/cafr/General%20Purpose/2020/TX%20Williamson%20County%202020.pdf?sv=2017-07-29&amp;ss=f&amp;srt=sco&amp;sp=r&amp;se=2122-03-17T01:14:46Z&amp;st=2022-03-17T01:14:46Z&amp;spr=https&amp;sig=d4QgExs6Kg%2BIANxU85YxcPNPOCimg4YURQTDSWIEaq8%3D" TargetMode="External"/><Relationship Id="rId180" Type="http://schemas.openxmlformats.org/officeDocument/2006/relationships/hyperlink" Target="https://cafrfindos.file.core.windows.net/cafr/General%20Purpose/2020/TX%20Travis%20County%202020.pdf?sv=2017-07-29&amp;ss=f&amp;srt=sco&amp;sp=r&amp;se=2122-03-17T01:14:46Z&amp;st=2022-03-17T01:14:46Z&amp;spr=https&amp;sig=d4QgExs6Kg%2BIANxU85YxcPNPOCimg4YURQTDSWIEaq8%3D" TargetMode="External"/><Relationship Id="rId176" Type="http://schemas.openxmlformats.org/officeDocument/2006/relationships/hyperlink" Target="https://cafrfindos.file.core.windows.net/cafr/Special%20District/2020/CA%20Santa%20Clara%20Valley%20Transportation%20Authority%202020.pdf?sv=2017-07-29&amp;ss=f&amp;srt=sco&amp;sp=r&amp;se=2122-03-17T01:14:46Z&amp;st=2022-03-17T01:14:46Z&amp;spr=https&amp;sig=d4QgExs6Kg%2BIANxU85YxcPNPOCimg4YURQTDSWIEaq8%3D" TargetMode="External"/><Relationship Id="rId297" Type="http://schemas.openxmlformats.org/officeDocument/2006/relationships/hyperlink" Target="https://cafrfindos.file.core.windows.net/cafr/Special%20District/2020/NV%20Southern%20Nevada%20Regional%20Housing%20Authority%202020.pdf?sv=2017-07-29&amp;ss=f&amp;srt=sco&amp;sp=r&amp;se=2122-03-17T01:14:46Z&amp;st=2022-03-17T01:14:46Z&amp;spr=https&amp;sig=d4QgExs6Kg%2BIANxU85YxcPNPOCimg4YURQTDSWIEaq8%3D" TargetMode="External"/><Relationship Id="rId175" Type="http://schemas.openxmlformats.org/officeDocument/2006/relationships/hyperlink" Target="https://cafrfindos.file.core.windows.net/cafr/Special%20District/2020/CA%20Santa%20Clara%20Valley%20Water%20District%202020.pdf?sv=2017-07-29&amp;ss=f&amp;srt=sco&amp;sp=r&amp;se=2122-03-17T01:14:46Z&amp;st=2022-03-17T01:14:46Z&amp;spr=https&amp;sig=d4QgExs6Kg%2BIANxU85YxcPNPOCimg4YURQTDSWIEaq8%3D" TargetMode="External"/><Relationship Id="rId296" Type="http://schemas.openxmlformats.org/officeDocument/2006/relationships/hyperlink" Target="https://cafrfindos.file.core.windows.net/cafr/School%20District/2020/NV%20Clark%20County%20School%20District%202020.pdf?sv=2017-07-29&amp;ss=f&amp;srt=sco&amp;sp=r&amp;se=2122-03-17T01:14:46Z&amp;st=2022-03-17T01:14:46Z&amp;spr=https&amp;sig=d4QgExs6Kg%2BIANxU85YxcPNPOCimg4YURQTDSWIEaq8%3D" TargetMode="External"/><Relationship Id="rId174" Type="http://schemas.openxmlformats.org/officeDocument/2006/relationships/hyperlink" Target="https://cafrfindos.file.core.windows.net/cafr/Special%20District/2020/CA%20Peninsula%20Corridor%20Joint%20Powers%20Board%202020.pdf?sv=2017-07-29&amp;ss=f&amp;srt=sco&amp;sp=r&amp;se=2122-03-17T01:14:46Z&amp;st=2022-03-17T01:14:46Z&amp;spr=https&amp;sig=d4QgExs6Kg%2BIANxU85YxcPNPOCimg4YURQTDSWIEaq8%3D" TargetMode="External"/><Relationship Id="rId295" Type="http://schemas.openxmlformats.org/officeDocument/2006/relationships/hyperlink" Target="https://cafrfindos.file.core.windows.net/cafr/General%20Purpose/2020/NV%20Clark%20County%202020.pdf?sv=2017-07-29&amp;ss=f&amp;srt=sco&amp;sp=r&amp;se=2122-03-17T01:14:46Z&amp;st=2022-03-17T01:14:46Z&amp;spr=https&amp;sig=d4QgExs6Kg%2BIANxU85YxcPNPOCimg4YURQTDSWIEaq8%3D" TargetMode="External"/><Relationship Id="rId173" Type="http://schemas.openxmlformats.org/officeDocument/2006/relationships/hyperlink" Target="https://cafrfindos.file.core.windows.net/cafr/Special%20District/2020/CA%20Bay%20Area%20Air%20Quality%20Management%20District%202020.pdf?sv=2017-07-29&amp;ss=f&amp;srt=sco&amp;sp=r&amp;se=2122-03-17T01:14:46Z&amp;st=2022-03-17T01:14:46Z&amp;spr=https&amp;sig=d4QgExs6Kg%2BIANxU85YxcPNPOCimg4YURQTDSWIEaq8%3D" TargetMode="External"/><Relationship Id="rId294" Type="http://schemas.openxmlformats.org/officeDocument/2006/relationships/hyperlink" Target="https://cafrfindos.file.core.windows.net/cafr/General%20Purpose/2020/NV%20Las%20Vegas%202020.pdf?sv=2017-07-29&amp;ss=f&amp;srt=sco&amp;sp=r&amp;se=2122-03-17T01:14:46Z&amp;st=2022-03-17T01:14:46Z&amp;spr=https&amp;sig=d4QgExs6Kg%2BIANxU85YxcPNPOCimg4YURQTDSWIEaq8%3D" TargetMode="External"/><Relationship Id="rId179" Type="http://schemas.openxmlformats.org/officeDocument/2006/relationships/hyperlink" Target="https://cafrfindos.file.core.windows.net/cafr/General%20Purpose/2020/TX%20Austin%202020.pdf?sv=2017-07-29&amp;ss=f&amp;srt=sco&amp;sp=r&amp;se=2122-03-17T01:14:46Z&amp;st=2022-03-17T01:14:46Z&amp;spr=https&amp;sig=d4QgExs6Kg%2BIANxU85YxcPNPOCimg4YURQTDSWIEaq8%3D" TargetMode="External"/><Relationship Id="rId178"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299" Type="http://schemas.openxmlformats.org/officeDocument/2006/relationships/hyperlink" Target="https://cafrfindos.file.core.windows.net/cafr/Special%20District/2020/NV%20Las%20Vegas-Clark%20County%20Library%20District%202020.pdf?sv=2017-07-29&amp;ss=f&amp;srt=sco&amp;sp=r&amp;se=2122-03-17T01:14:46Z&amp;st=2022-03-17T01:14:46Z&amp;spr=https&amp;sig=d4QgExs6Kg%2BIANxU85YxcPNPOCimg4YURQTDSWIEaq8%3D" TargetMode="External"/><Relationship Id="rId177" Type="http://schemas.openxmlformats.org/officeDocument/2006/relationships/hyperlink" Target="https://cafrfindos.file.core.windows.net/cafr/Special%20District/2020/CA%20Santa%20Clara%20County%20Housing%20Authority%202020.pdf?sv=2017-07-29&amp;ss=f&amp;srt=sco&amp;sp=r&amp;se=2122-03-17T01:14:46Z&amp;st=2022-03-17T01:14:46Z&amp;spr=https&amp;sig=d4QgExs6Kg%2BIANxU85YxcPNPOCimg4YURQTDSWIEaq8%3D" TargetMode="External"/><Relationship Id="rId298" Type="http://schemas.openxmlformats.org/officeDocument/2006/relationships/hyperlink" Target="https://cafrfindos.file.core.windows.net/cafr/Special%20District/2020/NV%20Southern%20Nevada%20Water%20Authority%202020.pdf?sv=2017-07-29&amp;ss=f&amp;srt=sco&amp;sp=r&amp;se=2122-03-17T01:14:46Z&amp;st=2022-03-17T01:14:46Z&amp;spr=https&amp;sig=d4QgExs6Kg%2BIANxU85YxcPNPOCimg4YURQTDSWIEaq8%3D" TargetMode="External"/><Relationship Id="rId198" Type="http://schemas.openxmlformats.org/officeDocument/2006/relationships/hyperlink" Target="https://cafrfindos.file.core.windows.net/cafr/General%20Purpose/2020/TX%20Wise%20County%202020.pdf?sv=2017-07-29&amp;ss=f&amp;srt=sco&amp;sp=r&amp;se=2122-03-17T01:14:46Z&amp;st=2022-03-17T01:14:46Z&amp;spr=https&amp;sig=d4QgExs6Kg%2BIANxU85YxcPNPOCimg4YURQTDSWIEaq8%3D" TargetMode="External"/><Relationship Id="rId197" Type="http://schemas.openxmlformats.org/officeDocument/2006/relationships/hyperlink" Target="https://cafrfindos.file.core.windows.net/cafr/General%20Purpose/2020/TX%20Parker%20County%202020.pdf?sv=2017-07-29&amp;ss=f&amp;srt=sco&amp;sp=r&amp;se=2122-03-17T01:14:46Z&amp;st=2022-03-17T01:14:46Z&amp;spr=https&amp;sig=d4QgExs6Kg%2BIANxU85YxcPNPOCimg4YURQTDSWIEaq8%3D" TargetMode="External"/><Relationship Id="rId196" Type="http://schemas.openxmlformats.org/officeDocument/2006/relationships/hyperlink" Target="https://cafrfindos.file.core.windows.net/cafr/General%20Purpose/2020/TX%20Denton%20County%202020.pdf?sv=2017-07-29&amp;ss=f&amp;srt=sco&amp;sp=r&amp;se=2122-03-17T01:14:46Z&amp;st=2022-03-17T01:14:46Z&amp;spr=https&amp;sig=d4QgExs6Kg%2BIANxU85YxcPNPOCimg4YURQTDSWIEaq8%3D" TargetMode="External"/><Relationship Id="rId195" Type="http://schemas.openxmlformats.org/officeDocument/2006/relationships/hyperlink" Target="https://cafrfindos.file.core.windows.net/cafr/General%20Purpose/2020/TX%20Tarrant%20County%202020.pdf?sv=2017-07-29&amp;ss=f&amp;srt=sco&amp;sp=r&amp;se=2122-03-17T01:14:46Z&amp;st=2022-03-17T01:14:46Z&amp;spr=https&amp;sig=d4QgExs6Kg%2BIANxU85YxcPNPOCimg4YURQTDSWIEaq8%3D" TargetMode="External"/><Relationship Id="rId199" Type="http://schemas.openxmlformats.org/officeDocument/2006/relationships/hyperlink" Target="https://cafrfindos.file.core.windows.net/cafr/School%20District/2020/TX%20Northwest%20Independent%20School%20District%202020.pdf?sv=2017-07-29&amp;ss=f&amp;srt=sco&amp;sp=r&amp;se=2122-03-17T01:14:46Z&amp;st=2022-03-17T01:14:46Z&amp;spr=https&amp;sig=d4QgExs6Kg%2BIANxU85YxcPNPOCimg4YURQTDSWIEaq8%3D" TargetMode="External"/><Relationship Id="rId150" Type="http://schemas.openxmlformats.org/officeDocument/2006/relationships/hyperlink" Target="https://cafrfindos.file.core.windows.net/cafr/Special%20District/2020/TX%20Dallas%20Area%20Rapid%20Transit%202020.pdf?sv=2017-07-29&amp;ss=f&amp;srt=sco&amp;sp=r&amp;se=2122-03-17T01:14:46Z&amp;st=2022-03-17T01:14:46Z&amp;spr=https&amp;sig=d4QgExs6Kg%2BIANxU85YxcPNPOCimg4YURQTDSWIEaq8%3D" TargetMode="External"/><Relationship Id="rId271" Type="http://schemas.openxmlformats.org/officeDocument/2006/relationships/hyperlink" Target="https://cafrfindos.file.core.windows.net/cafr/Special%20District/2020/DC%20Washington%20Metropolitan%20Area%20Transit%20Authority%202020.pdf?sv=2017-07-29&amp;ss=f&amp;srt=sco&amp;sp=r&amp;se=2122-03-17T01:14:46Z&amp;st=2022-03-17T01:14:46Z&amp;spr=https&amp;sig=d4QgExs6Kg%2BIANxU85YxcPNPOCimg4YURQTDSWIEaq8%3D" TargetMode="External"/><Relationship Id="rId392" Type="http://schemas.openxmlformats.org/officeDocument/2006/relationships/hyperlink" Target="https://cafrfindos.file.core.windows.net/cafr/General%20Purpose/2020/GA%20Fulton%20County%202020.pdf?sv=2017-07-29&amp;ss=f&amp;srt=sco&amp;sp=r&amp;se=2122-03-17T01:14:46Z&amp;st=2022-03-17T01:14:46Z&amp;spr=https&amp;sig=d4QgExs6Kg%2BIANxU85YxcPNPOCimg4YURQTDSWIEaq8%3D" TargetMode="External"/><Relationship Id="rId270" Type="http://schemas.openxmlformats.org/officeDocument/2006/relationships/hyperlink" Target="https://cafrfindos.file.core.windows.net/cafr/General%20Purpose/2020/DC%20Government%20of%20the%20District%20of%20Columbia%202020.pdf?sv=2017-07-29&amp;ss=f&amp;srt=sco&amp;sp=r&amp;se=2122-03-17T01:14:46Z&amp;st=2022-03-17T01:14:46Z&amp;spr=https&amp;sig=d4QgExs6Kg%2BIANxU85YxcPNPOCimg4YURQTDSWIEaq8%3D" TargetMode="External"/><Relationship Id="rId391" Type="http://schemas.openxmlformats.org/officeDocument/2006/relationships/hyperlink" Target="https://cafrfindos.file.core.windows.net/cafr/General%20Purpose/2020/GA%20Atlanta%202020.pdf?sv=2017-07-29&amp;ss=f&amp;srt=sco&amp;sp=r&amp;se=2122-03-17T01:14:46Z&amp;st=2022-03-17T01:14:46Z&amp;spr=https&amp;sig=d4QgExs6Kg%2BIANxU85YxcPNPOCimg4YURQTDSWIEaq8%3D" TargetMode="External"/><Relationship Id="rId390" Type="http://schemas.openxmlformats.org/officeDocument/2006/relationships/hyperlink" Target="https://cafrfindos.file.core.windows.net/cafr/General%20Purpose/2020/GA%20State%20of%20Georgia%202020.pdf?sv=2017-07-29&amp;ss=f&amp;srt=sco&amp;sp=r&amp;se=2122-03-17T01:14:46Z&amp;st=2022-03-17T01:14:46Z&amp;spr=https&amp;sig=d4QgExs6Kg%2BIANxU85YxcPNPOCimg4YURQTDSWIEaq8%3D" TargetMode="External"/><Relationship Id="rId1" Type="http://schemas.openxmlformats.org/officeDocument/2006/relationships/hyperlink" Target="https://cafrfindos.file.core.windows.net/cafr/General%20Purpose/2020/NY%20State%20of%20New%20York%202020.pdf?sv=2017-07-29&amp;ss=f&amp;srt=sco&amp;sp=r&amp;se=2122-03-17T01:14:46Z&amp;st=2022-03-17T01:14:46Z&amp;spr=https&amp;sig=d4QgExs6Kg%2BIANxU85YxcPNPOCimg4YURQTDSWIEaq8%3D" TargetMode="External"/><Relationship Id="rId2" Type="http://schemas.openxmlformats.org/officeDocument/2006/relationships/hyperlink" Target="https://cafrfindos.file.core.windows.net/cafr/General%20Purpose/2020/NY%20New%20York%202020.pdf?sv=2017-07-29&amp;ss=f&amp;srt=sco&amp;sp=r&amp;se=2122-03-17T01:14:46Z&amp;st=2022-03-17T01:14:46Z&amp;spr=https&amp;sig=d4QgExs6Kg%2BIANxU85YxcPNPOCimg4YURQTDSWIEaq8%3D" TargetMode="External"/><Relationship Id="rId3" Type="http://schemas.openxmlformats.org/officeDocument/2006/relationships/hyperlink" Target="https://cafrfindos.file.core.windows.net/cafr/Special%20District/2020/NJ%20Passaic%20Valley%20Sewerage%20Commission%202020.pdf?sv=2017-07-29&amp;ss=f&amp;srt=sco&amp;sp=r&amp;se=2122-03-17T01:14:46Z&amp;st=2022-03-17T01:14:46Z&amp;spr=https&amp;sig=d4QgExs6Kg%2BIANxU85YxcPNPOCimg4YURQTDSWIEaq8%3D" TargetMode="External"/><Relationship Id="rId149" Type="http://schemas.openxmlformats.org/officeDocument/2006/relationships/hyperlink" Target="https://cafrfindos.file.core.windows.net/cafr/Special%20District/2020/GA%20Housing%20Authority%20of%20the%20City%20of%20Dallas%202020.pdf?sv=2017-07-29&amp;ss=f&amp;srt=sco&amp;sp=r&amp;se=2122-03-17T01:14:46Z&amp;st=2022-03-17T01:14:46Z&amp;spr=https&amp;sig=d4QgExs6Kg%2BIANxU85YxcPNPOCimg4YURQTDSWIEaq8%3D" TargetMode="External"/><Relationship Id="rId4" Type="http://schemas.openxmlformats.org/officeDocument/2006/relationships/hyperlink" Target="https://cafrfindos.file.core.windows.net/cafr/Special%20District/2020/NJ%20The%20Port%20Authority%20of%20New%20York%20and%20New%20Jersey%202020.pdf?sv=2017-07-29&amp;ss=f&amp;srt=sco&amp;sp=r&amp;se=2122-03-17T01:14:46Z&amp;st=2022-03-17T01:14:46Z&amp;spr=https&amp;sig=d4QgExs6Kg%2BIANxU85YxcPNPOCimg4YURQTDSWIEaq8%3D" TargetMode="External"/><Relationship Id="rId148" Type="http://schemas.openxmlformats.org/officeDocument/2006/relationships/hyperlink" Target="https://cafrfindos.file.core.windows.net/cafr/Special%20District/2020/TX%20North%20Texas%20Tollway%20Authority%202020.pdf?sv=2017-07-29&amp;ss=f&amp;srt=sco&amp;sp=r&amp;se=2122-03-17T01:14:46Z&amp;st=2022-03-17T01:14:46Z&amp;spr=https&amp;sig=d4QgExs6Kg%2BIANxU85YxcPNPOCimg4YURQTDSWIEaq8%3D" TargetMode="External"/><Relationship Id="rId269" Type="http://schemas.openxmlformats.org/officeDocument/2006/relationships/hyperlink" Target="https://cafrfindos.file.core.windows.net/cafr/Special%20District/2020/CO%20Regional%20Transportation%20District%202020.pdf?sv=2017-07-29&amp;ss=f&amp;srt=sco&amp;sp=r&amp;se=2122-03-17T01:14:46Z&amp;st=2022-03-17T01:14:46Z&amp;spr=https&amp;sig=d4QgExs6Kg%2BIANxU85YxcPNPOCimg4YURQTDSWIEaq8%3D" TargetMode="External"/><Relationship Id="rId9" Type="http://schemas.openxmlformats.org/officeDocument/2006/relationships/hyperlink" Target="https://cafrfindos.file.core.windows.net/cafr/Special%20District/2020/CA%20Los%20Angeles%20County%20Metropolitan%20Transportation%20Authority%202020.pdf?sv=2017-07-29&amp;ss=f&amp;srt=sco&amp;sp=r&amp;se=2122-03-17T01:14:46Z&amp;st=2022-03-17T01:14:46Z&amp;spr=https&amp;sig=d4QgExs6Kg%2BIANxU85YxcPNPOCimg4YURQTDSWIEaq8%3D" TargetMode="External"/><Relationship Id="rId143" Type="http://schemas.openxmlformats.org/officeDocument/2006/relationships/hyperlink" Target="https://cafrfindos.file.core.windows.net/cafr/School%20District/2020/TX%20Garland%20Independent%20School%20District%202020.pdf?sv=2017-07-29&amp;ss=f&amp;srt=sco&amp;sp=r&amp;se=2122-03-17T01:14:46Z&amp;st=2022-03-17T01:14:46Z&amp;spr=https&amp;sig=d4QgExs6Kg%2BIANxU85YxcPNPOCimg4YURQTDSWIEaq8%3D" TargetMode="External"/><Relationship Id="rId264" Type="http://schemas.openxmlformats.org/officeDocument/2006/relationships/hyperlink" Target="https://cafrfindos.file.core.windows.net/cafr/General%20Purpose/2020/CO%20State%20of%20Colorado%202020.pdf?sv=2017-07-29&amp;ss=f&amp;srt=sco&amp;sp=r&amp;se=2122-03-17T01:14:46Z&amp;st=2022-03-17T01:14:46Z&amp;spr=https&amp;sig=d4QgExs6Kg%2BIANxU85YxcPNPOCimg4YURQTDSWIEaq8%3D" TargetMode="External"/><Relationship Id="rId385" Type="http://schemas.openxmlformats.org/officeDocument/2006/relationships/hyperlink" Target="https://cafrfindos.file.core.windows.net/cafr/School%20District/2020/CA%20San%20Juan%20Unified%20School%20District%202020.pdf?sv=2017-07-29&amp;ss=f&amp;srt=sco&amp;sp=r&amp;se=2122-03-17T01:14:46Z&amp;st=2022-03-17T01:14:46Z&amp;spr=https&amp;sig=d4QgExs6Kg%2BIANxU85YxcPNPOCimg4YURQTDSWIEaq8%3D" TargetMode="External"/><Relationship Id="rId142" Type="http://schemas.openxmlformats.org/officeDocument/2006/relationships/hyperlink" Target="https://cafrfindos.file.core.windows.net/cafr/School%20District/2020/TX%20Duncanville%20Independent%20School%20District%202020.pdf?sv=2017-07-29&amp;ss=f&amp;srt=sco&amp;sp=r&amp;se=2122-03-17T01:14:46Z&amp;st=2022-03-17T01:14:46Z&amp;spr=https&amp;sig=d4QgExs6Kg%2BIANxU85YxcPNPOCimg4YURQTDSWIEaq8%3D" TargetMode="External"/><Relationship Id="rId263" Type="http://schemas.openxmlformats.org/officeDocument/2006/relationships/hyperlink" Target="https://cafrfindos.file.core.windows.net/cafr/Special%20District/2020/WA%20Port%20of%20Everett%202020.pdf?sv=2017-07-29&amp;ss=f&amp;srt=sco&amp;sp=r&amp;se=2122-03-17T01:14:46Z&amp;st=2022-03-17T01:14:46Z&amp;spr=https&amp;sig=d4QgExs6Kg%2BIANxU85YxcPNPOCimg4YURQTDSWIEaq8%3D" TargetMode="External"/><Relationship Id="rId384" Type="http://schemas.openxmlformats.org/officeDocument/2006/relationships/hyperlink" Target="https://cafrfindos.file.core.windows.net/cafr/School%20District/2020/CA%20Sacramento%20City%20Unified%20School%20District%202020.pdf?sv=2017-07-29&amp;ss=f&amp;srt=sco&amp;sp=r&amp;se=2122-03-17T01:14:46Z&amp;st=2022-03-17T01:14:46Z&amp;spr=https&amp;sig=d4QgExs6Kg%2BIANxU85YxcPNPOCimg4YURQTDSWIEaq8%3D" TargetMode="External"/><Relationship Id="rId141" Type="http://schemas.openxmlformats.org/officeDocument/2006/relationships/hyperlink" Target="https://cafrfindos.file.core.windows.net/cafr/School%20District/2020/TX%20Dallas%20Independent%20School%20District%202020.pdf?sv=2017-07-29&amp;ss=f&amp;srt=sco&amp;sp=r&amp;se=2122-03-17T01:14:46Z&amp;st=2022-03-17T01:14:46Z&amp;spr=https&amp;sig=d4QgExs6Kg%2BIANxU85YxcPNPOCimg4YURQTDSWIEaq8%3D" TargetMode="External"/><Relationship Id="rId262" Type="http://schemas.openxmlformats.org/officeDocument/2006/relationships/hyperlink" Target="https://cafrfindos.file.core.windows.net/cafr/Special%20District/2020/WA%20Central%20Puget%20Sound%20Regional%20Transit%20Authority%202020.pdf?sv=2017-07-29&amp;ss=f&amp;srt=sco&amp;sp=r&amp;se=2122-03-17T01:14:46Z&amp;st=2022-03-17T01:14:46Z&amp;spr=https&amp;sig=d4QgExs6Kg%2BIANxU85YxcPNPOCimg4YURQTDSWIEaq8%3D" TargetMode="External"/><Relationship Id="rId383" Type="http://schemas.openxmlformats.org/officeDocument/2006/relationships/hyperlink" Target="https://cafrfindos.file.core.windows.net/cafr/School%20District/2020/CA%20Robla%20School%20District%202020.pdf?sv=2017-07-29&amp;ss=f&amp;srt=sco&amp;sp=r&amp;se=2122-03-17T01:14:46Z&amp;st=2022-03-17T01:14:46Z&amp;spr=https&amp;sig=d4QgExs6Kg%2BIANxU85YxcPNPOCimg4YURQTDSWIEaq8%3D" TargetMode="External"/><Relationship Id="rId140" Type="http://schemas.openxmlformats.org/officeDocument/2006/relationships/hyperlink" Target="https://cafrfindos.file.core.windows.net/cafr/School%20District/2020/TX%20Coppell%20Independent%20School%20District%202020.pdf?sv=2017-07-29&amp;ss=f&amp;srt=sco&amp;sp=r&amp;se=2122-03-17T01:14:46Z&amp;st=2022-03-17T01:14:46Z&amp;spr=https&amp;sig=d4QgExs6Kg%2BIANxU85YxcPNPOCimg4YURQTDSWIEaq8%3D" TargetMode="External"/><Relationship Id="rId261" Type="http://schemas.openxmlformats.org/officeDocument/2006/relationships/hyperlink" Target="https://cafrfindos.file.core.windows.net/cafr/Special%20District/2020/WA%20Port%20of%20Seattle%202020.pdf?sv=2017-07-29&amp;ss=f&amp;srt=sco&amp;sp=r&amp;se=2122-03-17T01:14:46Z&amp;st=2022-03-17T01:14:46Z&amp;spr=https&amp;sig=d4QgExs6Kg%2BIANxU85YxcPNPOCimg4YURQTDSWIEaq8%3D" TargetMode="External"/><Relationship Id="rId382" Type="http://schemas.openxmlformats.org/officeDocument/2006/relationships/hyperlink" Target="https://cafrfindos.file.core.windows.net/cafr/School%20District/2020/CA%20Natomas%20Unified%20School%20District%202020.pdf?sv=2017-07-29&amp;ss=f&amp;srt=sco&amp;sp=r&amp;se=2122-03-17T01:14:46Z&amp;st=2022-03-17T01:14:46Z&amp;spr=https&amp;sig=d4QgExs6Kg%2BIANxU85YxcPNPOCimg4YURQTDSWIEaq8%3D" TargetMode="External"/><Relationship Id="rId5"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147" Type="http://schemas.openxmlformats.org/officeDocument/2006/relationships/hyperlink" Target="https://cafrfindos.file.core.windows.net/cafr/School%20District/2020/TX%20Rockwall%20Independent%20School%20District%202020.pdf?sv=2017-07-29&amp;ss=f&amp;srt=sco&amp;sp=r&amp;se=2122-03-17T01:14:46Z&amp;st=2022-03-17T01:14:46Z&amp;spr=https&amp;sig=d4QgExs6Kg%2BIANxU85YxcPNPOCimg4YURQTDSWIEaq8%3D" TargetMode="External"/><Relationship Id="rId268" Type="http://schemas.openxmlformats.org/officeDocument/2006/relationships/hyperlink" Target="https://cafrfindos.file.core.windows.net/cafr/Special%20District/2020/CO%20Denver%20Health%20and%20Hospital%20Authority%202020.pdf?sv=2017-07-29&amp;ss=f&amp;srt=sco&amp;sp=r&amp;se=2122-03-17T01:14:46Z&amp;st=2022-03-17T01:14:46Z&amp;spr=https&amp;sig=d4QgExs6Kg%2BIANxU85YxcPNPOCimg4YURQTDSWIEaq8%3D" TargetMode="External"/><Relationship Id="rId389" Type="http://schemas.openxmlformats.org/officeDocument/2006/relationships/hyperlink" Target="https://cafrfindos.file.core.windows.net/cafr/Special%20District/2020/CA%20Sacramento%20Regional%20Transit%20District%202020.pdf?sv=2017-07-29&amp;ss=f&amp;srt=sco&amp;sp=r&amp;se=2122-03-17T01:14:46Z&amp;st=2022-03-17T01:14:46Z&amp;spr=https&amp;sig=d4QgExs6Kg%2BIANxU85YxcPNPOCimg4YURQTDSWIEaq8%3D" TargetMode="External"/><Relationship Id="rId6" Type="http://schemas.openxmlformats.org/officeDocument/2006/relationships/hyperlink" Target="https://cafrfindos.file.core.windows.net/cafr/General%20Purpose/2020/CA%20Los%20Angeles%202020.pdf?sv=2017-07-29&amp;ss=f&amp;srt=sco&amp;sp=r&amp;se=2122-03-17T01:14:46Z&amp;st=2022-03-17T01:14:46Z&amp;spr=https&amp;sig=d4QgExs6Kg%2BIANxU85YxcPNPOCimg4YURQTDSWIEaq8%3D" TargetMode="External"/><Relationship Id="rId146" Type="http://schemas.openxmlformats.org/officeDocument/2006/relationships/hyperlink" Target="https://cafrfindos.file.core.windows.net/cafr/School%20District/2020/TX%20Richardson%20Independent%20School%20District%202020.pdf?sv=2017-07-29&amp;ss=f&amp;srt=sco&amp;sp=r&amp;se=2122-03-17T01:14:46Z&amp;st=2022-03-17T01:14:46Z&amp;spr=https&amp;sig=d4QgExs6Kg%2BIANxU85YxcPNPOCimg4YURQTDSWIEaq8%3D" TargetMode="External"/><Relationship Id="rId267" Type="http://schemas.openxmlformats.org/officeDocument/2006/relationships/hyperlink" Target="https://cafrfindos.file.core.windows.net/cafr/Special%20District/2020/CO%20Housing%20Authority%20of%20the%20City%20and%20County%20of%20Denver%202020.pdf?sv=2017-07-29&amp;ss=f&amp;srt=sco&amp;sp=r&amp;se=2122-03-17T01:14:46Z&amp;st=2022-03-17T01:14:46Z&amp;spr=https&amp;sig=d4QgExs6Kg%2BIANxU85YxcPNPOCimg4YURQTDSWIEaq8%3D" TargetMode="External"/><Relationship Id="rId388" Type="http://schemas.openxmlformats.org/officeDocument/2006/relationships/hyperlink" Target="https://cafrfindos.file.core.windows.net/cafr/Special%20District/2020/CA%20Sacramento%20Area%20Council%20of%20Governments%202020.pdf?sv=2017-07-29&amp;ss=f&amp;srt=sco&amp;sp=r&amp;se=2122-03-17T01:14:46Z&amp;st=2022-03-17T01:14:46Z&amp;spr=https&amp;sig=d4QgExs6Kg%2BIANxU85YxcPNPOCimg4YURQTDSWIEaq8%3D" TargetMode="External"/><Relationship Id="rId7" Type="http://schemas.openxmlformats.org/officeDocument/2006/relationships/hyperlink" Target="https://cafrfindos.file.core.windows.net/cafr/General%20Purpose/2020/CA%20Los%20Angeles%20County%202020.pdf?sv=2017-07-29&amp;ss=f&amp;srt=sco&amp;sp=r&amp;se=2122-03-17T01:14:46Z&amp;st=2022-03-17T01:14:46Z&amp;spr=https&amp;sig=d4QgExs6Kg%2BIANxU85YxcPNPOCimg4YURQTDSWIEaq8%3D" TargetMode="External"/><Relationship Id="rId145" Type="http://schemas.openxmlformats.org/officeDocument/2006/relationships/hyperlink" Target="https://cafrfindos.file.core.windows.net/cafr/School%20District/2020/TX%20Irving%20Independent%20School%20District%202020.pdf?sv=2017-07-29&amp;ss=f&amp;srt=sco&amp;sp=r&amp;se=2122-03-17T01:14:46Z&amp;st=2022-03-17T01:14:46Z&amp;spr=https&amp;sig=d4QgExs6Kg%2BIANxU85YxcPNPOCimg4YURQTDSWIEaq8%3D" TargetMode="External"/><Relationship Id="rId266" Type="http://schemas.openxmlformats.org/officeDocument/2006/relationships/hyperlink" Target="https://cafrfindos.file.core.windows.net/cafr/School%20District/2020/CO%20School%20District%20No.%201%20in%20the%20City%20and%20County%20of%20Denver%20and%20State%20of%20Colorado%202020.pdf?sv=2017-07-29&amp;ss=f&amp;srt=sco&amp;sp=r&amp;se=2122-03-17T01:14:46Z&amp;st=2022-03-17T01:14:46Z&amp;spr=https&amp;sig=d4QgExs6Kg%2BIANxU85YxcPNPOCimg4YURQTDSWIEaq8%3D" TargetMode="External"/><Relationship Id="rId387" Type="http://schemas.openxmlformats.org/officeDocument/2006/relationships/hyperlink" Target="https://cafrfindos.file.core.windows.net/cafr/Special%20District/2020/CA%20Sacramento%20Regional%20County%20Sanitation%20District%202020.pdf?sv=2017-07-29&amp;ss=f&amp;srt=sco&amp;sp=r&amp;se=2122-03-17T01:14:46Z&amp;st=2022-03-17T01:14:46Z&amp;spr=https&amp;sig=d4QgExs6Kg%2BIANxU85YxcPNPOCimg4YURQTDSWIEaq8%3D" TargetMode="External"/><Relationship Id="rId8" Type="http://schemas.openxmlformats.org/officeDocument/2006/relationships/hyperlink" Target="https://cafrfindos.file.core.windows.net/cafr/School%20District/2020/CA%20Los%20Angeles%20Unified%20School%20District%202020.pdf?sv=2017-07-29&amp;ss=f&amp;srt=sco&amp;sp=r&amp;se=2122-03-17T01:14:46Z&amp;st=2022-03-17T01:14:46Z&amp;spr=https&amp;sig=d4QgExs6Kg%2BIANxU85YxcPNPOCimg4YURQTDSWIEaq8%3D" TargetMode="External"/><Relationship Id="rId144" Type="http://schemas.openxmlformats.org/officeDocument/2006/relationships/hyperlink" Target="https://cafrfindos.file.core.windows.net/cafr/School%20District/2020/TX%20Grand%20Prairie%20Independent%20School%20District%202020.pdf?sv=2017-07-29&amp;ss=f&amp;srt=sco&amp;sp=r&amp;se=2122-03-17T01:14:46Z&amp;st=2022-03-17T01:14:46Z&amp;spr=https&amp;sig=d4QgExs6Kg%2BIANxU85YxcPNPOCimg4YURQTDSWIEaq8%3D" TargetMode="External"/><Relationship Id="rId265" Type="http://schemas.openxmlformats.org/officeDocument/2006/relationships/hyperlink" Target="https://cafrfindos.file.core.windows.net/cafr/General%20Purpose/2020/CO%20Denver%202020.pdf?sv=2017-07-29&amp;ss=f&amp;srt=sco&amp;sp=r&amp;se=2122-03-17T01:14:46Z&amp;st=2022-03-17T01:14:46Z&amp;spr=https&amp;sig=d4QgExs6Kg%2BIANxU85YxcPNPOCimg4YURQTDSWIEaq8%3D" TargetMode="External"/><Relationship Id="rId386" Type="http://schemas.openxmlformats.org/officeDocument/2006/relationships/hyperlink" Target="https://cafrfindos.file.core.windows.net/cafr/Special%20District/2020/CA%20Sacramento%20Municipal%20Utility%20District%202020.pdf?sv=2017-07-29&amp;ss=f&amp;srt=sco&amp;sp=r&amp;se=2122-03-17T01:14:46Z&amp;st=2022-03-17T01:14:46Z&amp;spr=https&amp;sig=d4QgExs6Kg%2BIANxU85YxcPNPOCimg4YURQTDSWIEaq8%3D" TargetMode="External"/><Relationship Id="rId260" Type="http://schemas.openxmlformats.org/officeDocument/2006/relationships/hyperlink" Target="https://cafrfindos.file.core.windows.net/cafr/Special%20District/2020/WA%20Housing%20Authority%20of%20the%20City%20of%20Seattle%202020.pdf?sv=2017-07-29&amp;ss=f&amp;srt=sco&amp;sp=r&amp;se=2122-03-17T01:14:46Z&amp;st=2022-03-17T01:14:46Z&amp;spr=https&amp;sig=d4QgExs6Kg%2BIANxU85YxcPNPOCimg4YURQTDSWIEaq8%3D" TargetMode="External"/><Relationship Id="rId381" Type="http://schemas.openxmlformats.org/officeDocument/2006/relationships/hyperlink" Target="https://cafrfindos.file.core.windows.net/cafr/School%20District/2020/CA%20Twin%20Rivers%20Unified%20School%20District%202020.pdf?sv=2017-07-29&amp;ss=f&amp;srt=sco&amp;sp=r&amp;se=2122-03-17T01:14:46Z&amp;st=2022-03-17T01:14:46Z&amp;spr=https&amp;sig=d4QgExs6Kg%2BIANxU85YxcPNPOCimg4YURQTDSWIEaq8%3D" TargetMode="External"/><Relationship Id="rId380" Type="http://schemas.openxmlformats.org/officeDocument/2006/relationships/hyperlink" Target="https://cafrfindos.file.core.windows.net/cafr/School%20District/2020/CA%20Elk%20Grove%20Unified%20School%20District%202020.pdf?sv=2017-07-29&amp;ss=f&amp;srt=sco&amp;sp=r&amp;se=2122-03-17T01:14:46Z&amp;st=2022-03-17T01:14:46Z&amp;spr=https&amp;sig=d4QgExs6Kg%2BIANxU85YxcPNPOCimg4YURQTDSWIEaq8%3D" TargetMode="External"/><Relationship Id="rId139" Type="http://schemas.openxmlformats.org/officeDocument/2006/relationships/hyperlink" Target="https://cafrfindos.file.core.windows.net/cafr/School%20District/2020/TX%20Cedar%20Hill%20Independent%20School%20District%202020.pdf?sv=2017-07-29&amp;ss=f&amp;srt=sco&amp;sp=r&amp;se=2122-03-17T01:14:46Z&amp;st=2022-03-17T01:14:46Z&amp;spr=https&amp;sig=d4QgExs6Kg%2BIANxU85YxcPNPOCimg4YURQTDSWIEaq8%3D" TargetMode="External"/><Relationship Id="rId138" Type="http://schemas.openxmlformats.org/officeDocument/2006/relationships/hyperlink" Target="https://cafrfindos.file.core.windows.net/cafr/School%20District/2020/TX%20Carrollton-Farmers%20Branch%20Independent%20School%20District%202020.pdf?sv=2017-07-29&amp;ss=f&amp;srt=sco&amp;sp=r&amp;se=2122-03-17T01:14:46Z&amp;st=2022-03-17T01:14:46Z&amp;spr=https&amp;sig=d4QgExs6Kg%2BIANxU85YxcPNPOCimg4YURQTDSWIEaq8%3D" TargetMode="External"/><Relationship Id="rId259" Type="http://schemas.openxmlformats.org/officeDocument/2006/relationships/hyperlink" Target="https://cafrfindos.file.core.windows.net/cafr/School%20District/2020/WA%20Seattle%20School%20District%20No.1%202020.pdf?sv=2017-07-29&amp;ss=f&amp;srt=sco&amp;sp=r&amp;se=2122-03-17T01:14:46Z&amp;st=2022-03-17T01:14:46Z&amp;spr=https&amp;sig=d4QgExs6Kg%2BIANxU85YxcPNPOCimg4YURQTDSWIEaq8%3D" TargetMode="External"/><Relationship Id="rId137" Type="http://schemas.openxmlformats.org/officeDocument/2006/relationships/hyperlink" Target="https://cafrfindos.file.core.windows.net/cafr/School%20District/2020/TX%20Plano%20Independent%20School%20District%202020.pdf?sv=2017-07-29&amp;ss=f&amp;srt=sco&amp;sp=r&amp;se=2122-03-17T01:14:46Z&amp;st=2022-03-17T01:14:46Z&amp;spr=https&amp;sig=d4QgExs6Kg%2BIANxU85YxcPNPOCimg4YURQTDSWIEaq8%3D" TargetMode="External"/><Relationship Id="rId258" Type="http://schemas.openxmlformats.org/officeDocument/2006/relationships/hyperlink" Target="https://cafrfindos.file.core.windows.net/cafr/General%20Purpose/2020/WA%20King%20County%202020.pdf?sv=2017-07-29&amp;ss=f&amp;srt=sco&amp;sp=r&amp;se=2122-03-17T01:14:46Z&amp;st=2022-03-17T01:14:46Z&amp;spr=https&amp;sig=d4QgExs6Kg%2BIANxU85YxcPNPOCimg4YURQTDSWIEaq8%3D" TargetMode="External"/><Relationship Id="rId379" Type="http://schemas.openxmlformats.org/officeDocument/2006/relationships/hyperlink" Target="https://cafrfindos.file.core.windows.net/cafr/General%20Purpose/2020/CA%20Sacramento%20County%202020.pdf?sv=2017-07-29&amp;ss=f&amp;srt=sco&amp;sp=r&amp;se=2122-03-17T01:14:46Z&amp;st=2022-03-17T01:14:46Z&amp;spr=https&amp;sig=d4QgExs6Kg%2BIANxU85YxcPNPOCimg4YURQTDSWIEaq8%3D" TargetMode="External"/><Relationship Id="rId132"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253" Type="http://schemas.openxmlformats.org/officeDocument/2006/relationships/hyperlink" Target="https://cafrfindos.file.core.windows.net/cafr/Special%20District/2020/CA%20Golden%20Gate%20Bridge%20Highway%20and%20Transportation%20District%202020.pdf?sv=2017-07-29&amp;ss=f&amp;srt=sco&amp;sp=r&amp;se=2122-03-17T01:14:46Z&amp;st=2022-03-17T01:14:46Z&amp;spr=https&amp;sig=d4QgExs6Kg%2BIANxU85YxcPNPOCimg4YURQTDSWIEaq8%3D" TargetMode="External"/><Relationship Id="rId374" Type="http://schemas.openxmlformats.org/officeDocument/2006/relationships/hyperlink" Target="https://cafrfindos.file.core.windows.net/cafr/School%20District/2020/AZ%20Queen%20Creek%20Unified%20School%20District%20No.%2095%202020.pdf?sv=2017-07-29&amp;ss=f&amp;srt=sco&amp;sp=r&amp;se=2122-03-17T01:14:46Z&amp;st=2022-03-17T01:14:46Z&amp;spr=https&amp;sig=d4QgExs6Kg%2BIANxU85YxcPNPOCimg4YURQTDSWIEaq8%3D" TargetMode="External"/><Relationship Id="rId495" Type="http://schemas.openxmlformats.org/officeDocument/2006/relationships/hyperlink" Target="https://cafrfindos.file.core.windows.net/cafr/General%20Purpose/2020/TX%20Arlington%202020.pdf?sv=2017-07-29&amp;ss=f&amp;srt=sco&amp;sp=r&amp;se=2122-03-17T01:14:46Z&amp;st=2022-03-17T01:14:46Z&amp;spr=https&amp;sig=d4QgExs6Kg%2BIANxU85YxcPNPOCimg4YURQTDSWIEaq8%3D" TargetMode="External"/><Relationship Id="rId131" Type="http://schemas.openxmlformats.org/officeDocument/2006/relationships/hyperlink" Target="https://cafrfindos.file.core.windows.net/cafr/Special%20District/2020/CA%20San%20Diego%20Unified%20Port%20District%202020.pdf?sv=2017-07-29&amp;ss=f&amp;srt=sco&amp;sp=r&amp;se=2122-03-17T01:14:46Z&amp;st=2022-03-17T01:14:46Z&amp;spr=https&amp;sig=d4QgExs6Kg%2BIANxU85YxcPNPOCimg4YURQTDSWIEaq8%3D" TargetMode="External"/><Relationship Id="rId252" Type="http://schemas.openxmlformats.org/officeDocument/2006/relationships/hyperlink" Target="https://cafrfindos.file.core.windows.net/cafr/Special%20District/2020/CA%20Bay%20Area%20Air%20Quality%20Management%20District%202020.pdf?sv=2017-07-29&amp;ss=f&amp;srt=sco&amp;sp=r&amp;se=2122-03-17T01:14:46Z&amp;st=2022-03-17T01:14:46Z&amp;spr=https&amp;sig=d4QgExs6Kg%2BIANxU85YxcPNPOCimg4YURQTDSWIEaq8%3D" TargetMode="External"/><Relationship Id="rId373" Type="http://schemas.openxmlformats.org/officeDocument/2006/relationships/hyperlink" Target="https://cafrfindos.file.core.windows.net/cafr/School%20District/2020/AZ%20Mesa%20Unified%20School%20District%20No.4%202020.pdf?sv=2017-07-29&amp;ss=f&amp;srt=sco&amp;sp=r&amp;se=2122-03-17T01:14:46Z&amp;st=2022-03-17T01:14:46Z&amp;spr=https&amp;sig=d4QgExs6Kg%2BIANxU85YxcPNPOCimg4YURQTDSWIEaq8%3D" TargetMode="External"/><Relationship Id="rId494"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130" Type="http://schemas.openxmlformats.org/officeDocument/2006/relationships/hyperlink" Target="https://cafrfindos.file.core.windows.net/cafr/Special%20District/2020/CA%20San%20Diego%20Association%20of%20Governments%202020.pdf?sv=2017-07-29&amp;ss=f&amp;srt=sco&amp;sp=r&amp;se=2122-03-17T01:14:46Z&amp;st=2022-03-17T01:14:46Z&amp;spr=https&amp;sig=d4QgExs6Kg%2BIANxU85YxcPNPOCimg4YURQTDSWIEaq8%3D" TargetMode="External"/><Relationship Id="rId251" Type="http://schemas.openxmlformats.org/officeDocument/2006/relationships/hyperlink" Target="https://cafrfindos.file.core.windows.net/cafr/Special%20District/2020/CA%20San%20Francisco%20Bay%20Area%20Rapid%20Transit%20District%202020.pdf?sv=2017-07-29&amp;ss=f&amp;srt=sco&amp;sp=r&amp;se=2122-03-17T01:14:46Z&amp;st=2022-03-17T01:14:46Z&amp;spr=https&amp;sig=d4QgExs6Kg%2BIANxU85YxcPNPOCimg4YURQTDSWIEaq8%3D" TargetMode="External"/><Relationship Id="rId372" Type="http://schemas.openxmlformats.org/officeDocument/2006/relationships/hyperlink" Target="https://cafrfindos.file.core.windows.net/cafr/School%20District/2020/AZ%20Gilbert%20Unified%20School%20District%20No.%2041%202020.pdf?sv=2017-07-29&amp;ss=f&amp;srt=sco&amp;sp=r&amp;se=2122-03-17T01:14:46Z&amp;st=2022-03-17T01:14:46Z&amp;spr=https&amp;sig=d4QgExs6Kg%2BIANxU85YxcPNPOCimg4YURQTDSWIEaq8%3D" TargetMode="External"/><Relationship Id="rId493" Type="http://schemas.openxmlformats.org/officeDocument/2006/relationships/hyperlink" Target="https://cafrfindos.file.core.windows.net/cafr/School%20District/2020/OK%20Union%20Public%20Schools%20I-9%202020.pdf?sv=2017-07-29&amp;ss=f&amp;srt=sco&amp;sp=r&amp;se=2122-03-17T01:14:46Z&amp;st=2022-03-17T01:14:46Z&amp;spr=https&amp;sig=d4QgExs6Kg%2BIANxU85YxcPNPOCimg4YURQTDSWIEaq8%3D" TargetMode="External"/><Relationship Id="rId250" Type="http://schemas.openxmlformats.org/officeDocument/2006/relationships/hyperlink" Target="https://cafrfindos.file.core.windows.net/cafr/Special%20District/2020/CA%20Metropolitan%20Transportation%20Commission%202020.pdf?sv=2017-07-29&amp;ss=f&amp;srt=sco&amp;sp=r&amp;se=2122-03-17T01:14:46Z&amp;st=2022-03-17T01:14:46Z&amp;spr=https&amp;sig=d4QgExs6Kg%2BIANxU85YxcPNPOCimg4YURQTDSWIEaq8%3D" TargetMode="External"/><Relationship Id="rId371" Type="http://schemas.openxmlformats.org/officeDocument/2006/relationships/hyperlink" Target="https://cafrfindos.file.core.windows.net/cafr/General%20Purpose/2020/AZ%20Maricopa%20County%202020.pdf?sv=2017-07-29&amp;ss=f&amp;srt=sco&amp;sp=r&amp;se=2122-03-17T01:14:46Z&amp;st=2022-03-17T01:14:46Z&amp;spr=https&amp;sig=d4QgExs6Kg%2BIANxU85YxcPNPOCimg4YURQTDSWIEaq8%3D" TargetMode="External"/><Relationship Id="rId492" Type="http://schemas.openxmlformats.org/officeDocument/2006/relationships/hyperlink" Target="https://cafrfindos.file.core.windows.net/cafr/School%20District/2020/OK%20Tulsa%20Public%20Schools%202020.pdf?sv=2017-07-29&amp;ss=f&amp;srt=sco&amp;sp=r&amp;se=2122-03-17T01:14:46Z&amp;st=2022-03-17T01:14:46Z&amp;spr=https&amp;sig=d4QgExs6Kg%2BIANxU85YxcPNPOCimg4YURQTDSWIEaq8%3D" TargetMode="External"/><Relationship Id="rId136" Type="http://schemas.openxmlformats.org/officeDocument/2006/relationships/hyperlink" Target="https://cafrfindos.file.core.windows.net/cafr/General%20Purpose/2020/TX%20Denton%20County%202020.pdf?sv=2017-07-29&amp;ss=f&amp;srt=sco&amp;sp=r&amp;se=2122-03-17T01:14:46Z&amp;st=2022-03-17T01:14:46Z&amp;spr=https&amp;sig=d4QgExs6Kg%2BIANxU85YxcPNPOCimg4YURQTDSWIEaq8%3D" TargetMode="External"/><Relationship Id="rId257" Type="http://schemas.openxmlformats.org/officeDocument/2006/relationships/hyperlink" Target="https://cafrfindos.file.core.windows.net/cafr/General%20Purpose/2020/WA%20Seattle%202020.pdf?sv=2017-07-29&amp;ss=f&amp;srt=sco&amp;sp=r&amp;se=2122-03-17T01:14:46Z&amp;st=2022-03-17T01:14:46Z&amp;spr=https&amp;sig=d4QgExs6Kg%2BIANxU85YxcPNPOCimg4YURQTDSWIEaq8%3D" TargetMode="External"/><Relationship Id="rId378" Type="http://schemas.openxmlformats.org/officeDocument/2006/relationships/hyperlink" Target="https://cafrfindos.file.core.windows.net/cafr/General%20Purpose/2020/CA%20Sacramento%202020.pdf?sv=2017-07-29&amp;ss=f&amp;srt=sco&amp;sp=r&amp;se=2122-03-17T01:14:46Z&amp;st=2022-03-17T01:14:46Z&amp;spr=https&amp;sig=d4QgExs6Kg%2BIANxU85YxcPNPOCimg4YURQTDSWIEaq8%3D" TargetMode="External"/><Relationship Id="rId499" Type="http://schemas.openxmlformats.org/officeDocument/2006/relationships/hyperlink" Target="https://cafrfindos.file.core.windows.net/cafr/School%20District/2020/TX%20Hurst-Euless-Bedford%20Independent%20School%20District%202020.pdf?sv=2017-07-29&amp;ss=f&amp;srt=sco&amp;sp=r&amp;se=2122-03-17T01:14:46Z&amp;st=2022-03-17T01:14:46Z&amp;spr=https&amp;sig=d4QgExs6Kg%2BIANxU85YxcPNPOCimg4YURQTDSWIEaq8%3D" TargetMode="External"/><Relationship Id="rId135" Type="http://schemas.openxmlformats.org/officeDocument/2006/relationships/hyperlink" Target="https://cafrfindos.file.core.windows.net/cafr/General%20Purpose/2020/TX%20Collin%20County%202020.pdf?sv=2017-07-29&amp;ss=f&amp;srt=sco&amp;sp=r&amp;se=2122-03-17T01:14:46Z&amp;st=2022-03-17T01:14:46Z&amp;spr=https&amp;sig=d4QgExs6Kg%2BIANxU85YxcPNPOCimg4YURQTDSWIEaq8%3D" TargetMode="External"/><Relationship Id="rId256" Type="http://schemas.openxmlformats.org/officeDocument/2006/relationships/hyperlink" Target="https://cafrfindos.file.core.windows.net/cafr/General%20Purpose/2020/WA%20State%20of%20Washington%202020.pdf?sv=2017-07-29&amp;ss=f&amp;srt=sco&amp;sp=r&amp;se=2122-03-17T01:14:46Z&amp;st=2022-03-17T01:14:46Z&amp;spr=https&amp;sig=d4QgExs6Kg%2BIANxU85YxcPNPOCimg4YURQTDSWIEaq8%3D" TargetMode="External"/><Relationship Id="rId377"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498" Type="http://schemas.openxmlformats.org/officeDocument/2006/relationships/hyperlink" Target="https://cafrfindos.file.core.windows.net/cafr/School%20District/2020/TX%20Fort%20Worth%20Independent%20School%20District%202020.pdf?sv=2017-07-29&amp;ss=f&amp;srt=sco&amp;sp=r&amp;se=2122-03-17T01:14:46Z&amp;st=2022-03-17T01:14:46Z&amp;spr=https&amp;sig=d4QgExs6Kg%2BIANxU85YxcPNPOCimg4YURQTDSWIEaq8%3D" TargetMode="External"/><Relationship Id="rId134" Type="http://schemas.openxmlformats.org/officeDocument/2006/relationships/hyperlink" Target="https://cafrfindos.file.core.windows.net/cafr/General%20Purpose/2020/TX%20Dallas%20County%202020.pdf?sv=2017-07-29&amp;ss=f&amp;srt=sco&amp;sp=r&amp;se=2122-03-17T01:14:46Z&amp;st=2022-03-17T01:14:46Z&amp;spr=https&amp;sig=d4QgExs6Kg%2BIANxU85YxcPNPOCimg4YURQTDSWIEaq8%3D" TargetMode="External"/><Relationship Id="rId255" Type="http://schemas.openxmlformats.org/officeDocument/2006/relationships/hyperlink" Target="https://cafrfindos.file.core.windows.net/cafr/Special%20District/2020/CA%20Peninsula%20Corridor%20Joint%20Powers%20Board%202020.pdf?sv=2017-07-29&amp;ss=f&amp;srt=sco&amp;sp=r&amp;se=2122-03-17T01:14:46Z&amp;st=2022-03-17T01:14:46Z&amp;spr=https&amp;sig=d4QgExs6Kg%2BIANxU85YxcPNPOCimg4YURQTDSWIEaq8%3D" TargetMode="External"/><Relationship Id="rId376" Type="http://schemas.openxmlformats.org/officeDocument/2006/relationships/hyperlink" Target="https://cafrfindos.file.core.windows.net/cafr/Special%20District/2020/AZ%20Valley%20Metro%20Regional%20Public%20Transportation%20Authority%202020.pdf?sv=2017-07-29&amp;ss=f&amp;srt=sco&amp;sp=r&amp;se=2122-03-17T01:14:46Z&amp;st=2022-03-17T01:14:46Z&amp;spr=https&amp;sig=d4QgExs6Kg%2BIANxU85YxcPNPOCimg4YURQTDSWIEaq8%3D" TargetMode="External"/><Relationship Id="rId497" Type="http://schemas.openxmlformats.org/officeDocument/2006/relationships/hyperlink" Target="https://cafrfindos.file.core.windows.net/cafr/School%20District/2020/TX%20Arlington%20Independent%20School%20District%202020.pdf?sv=2017-07-29&amp;ss=f&amp;srt=sco&amp;sp=r&amp;se=2122-03-17T01:14:46Z&amp;st=2022-03-17T01:14:46Z&amp;spr=https&amp;sig=d4QgExs6Kg%2BIANxU85YxcPNPOCimg4YURQTDSWIEaq8%3D" TargetMode="External"/><Relationship Id="rId133" Type="http://schemas.openxmlformats.org/officeDocument/2006/relationships/hyperlink" Target="https://cafrfindos.file.core.windows.net/cafr/General%20Purpose/2020/TX%20Dallas%202020.pdf?sv=2017-07-29&amp;ss=f&amp;srt=sco&amp;sp=r&amp;se=2122-03-17T01:14:46Z&amp;st=2022-03-17T01:14:46Z&amp;spr=https&amp;sig=d4QgExs6Kg%2BIANxU85YxcPNPOCimg4YURQTDSWIEaq8%3D" TargetMode="External"/><Relationship Id="rId254" Type="http://schemas.openxmlformats.org/officeDocument/2006/relationships/hyperlink" Target="https://cafrfindos.file.core.windows.net/cafr/Special%20District/2020/CA%20Housing%20Authority%20of%20the%20City%20and%20County%20of%20San%20Francisco%202020.pdf?sv=2017-07-29&amp;ss=f&amp;srt=sco&amp;sp=r&amp;se=2122-03-17T01:14:46Z&amp;st=2022-03-17T01:14:46Z&amp;spr=https&amp;sig=d4QgExs6Kg%2BIANxU85YxcPNPOCimg4YURQTDSWIEaq8%3D" TargetMode="External"/><Relationship Id="rId375" Type="http://schemas.openxmlformats.org/officeDocument/2006/relationships/hyperlink" Target="https://cafrfindos.file.core.windows.net/cafr/Special%20District/2020/AZ%20Maricopa%20County%20Special%20Health%20Care%20District%202020.pdf?sv=2017-07-29&amp;ss=f&amp;srt=sco&amp;sp=r&amp;se=2122-03-17T01:14:46Z&amp;st=2022-03-17T01:14:46Z&amp;spr=https&amp;sig=d4QgExs6Kg%2BIANxU85YxcPNPOCimg4YURQTDSWIEaq8%3D" TargetMode="External"/><Relationship Id="rId496" Type="http://schemas.openxmlformats.org/officeDocument/2006/relationships/hyperlink" Target="https://cafrfindos.file.core.windows.net/cafr/General%20Purpose/2020/TX%20Tarrant%20County%202020.pdf?sv=2017-07-29&amp;ss=f&amp;srt=sco&amp;sp=r&amp;se=2122-03-17T01:14:46Z&amp;st=2022-03-17T01:14:46Z&amp;spr=https&amp;sig=d4QgExs6Kg%2BIANxU85YxcPNPOCimg4YURQTDSWIEaq8%3D" TargetMode="External"/><Relationship Id="rId172" Type="http://schemas.openxmlformats.org/officeDocument/2006/relationships/hyperlink" Target="https://cafrfindos.file.core.windows.net/cafr/Special%20District/2020/CA%20Metropolitan%20Transportation%20Commission%202020.pdf?sv=2017-07-29&amp;ss=f&amp;srt=sco&amp;sp=r&amp;se=2122-03-17T01:14:46Z&amp;st=2022-03-17T01:14:46Z&amp;spr=https&amp;sig=d4QgExs6Kg%2BIANxU85YxcPNPOCimg4YURQTDSWIEaq8%3D" TargetMode="External"/><Relationship Id="rId293" Type="http://schemas.openxmlformats.org/officeDocument/2006/relationships/hyperlink" Target="https://cafrfindos.file.core.windows.net/cafr/General%20Purpose/2020/NV%20State%20of%20Nevada%202020.pdf?sv=2017-07-29&amp;ss=f&amp;srt=sco&amp;sp=r&amp;se=2122-03-17T01:14:46Z&amp;st=2022-03-17T01:14:46Z&amp;spr=https&amp;sig=d4QgExs6Kg%2BIANxU85YxcPNPOCimg4YURQTDSWIEaq8%3D" TargetMode="External"/><Relationship Id="rId171" Type="http://schemas.openxmlformats.org/officeDocument/2006/relationships/hyperlink" Target="https://cafrfindos.file.core.windows.net/cafr/School%20District/2020/CA%20Morgan%20Hill%20Unified%20School%20District%202020.pdf?sv=2017-07-29&amp;ss=f&amp;srt=sco&amp;sp=r&amp;se=2122-03-17T01:14:46Z&amp;st=2022-03-17T01:14:46Z&amp;spr=https&amp;sig=d4QgExs6Kg%2BIANxU85YxcPNPOCimg4YURQTDSWIEaq8%3D" TargetMode="External"/><Relationship Id="rId292" Type="http://schemas.openxmlformats.org/officeDocument/2006/relationships/hyperlink" Target="https://cafrfindos.file.core.windows.net/cafr/Special%20District/2020/MI%20Wayne%20County%20Airport%20Authority%202020.pdf?sv=2017-07-29&amp;ss=f&amp;srt=sco&amp;sp=r&amp;se=2122-03-17T01:14:46Z&amp;st=2022-03-17T01:14:46Z&amp;spr=https&amp;sig=d4QgExs6Kg%2BIANxU85YxcPNPOCimg4YURQTDSWIEaq8%3D" TargetMode="External"/><Relationship Id="rId170" Type="http://schemas.openxmlformats.org/officeDocument/2006/relationships/hyperlink" Target="https://cafrfindos.file.core.windows.net/cafr/School%20District/2020/CA%20Union%20School%20District%202020.pdf?sv=2017-07-29&amp;ss=f&amp;srt=sco&amp;sp=r&amp;se=2122-03-17T01:14:46Z&amp;st=2022-03-17T01:14:46Z&amp;spr=https&amp;sig=d4QgExs6Kg%2BIANxU85YxcPNPOCimg4YURQTDSWIEaq8%3D" TargetMode="External"/><Relationship Id="rId291" Type="http://schemas.openxmlformats.org/officeDocument/2006/relationships/hyperlink" Target="https://cafrfindos.file.core.windows.net/cafr/School%20District/2020/MI%20Detroit%20Public%20Schools%20Community%20District%202020.pdf?sv=2017-07-29&amp;ss=f&amp;srt=sco&amp;sp=r&amp;se=2122-03-17T01:14:46Z&amp;st=2022-03-17T01:14:46Z&amp;spr=https&amp;sig=d4QgExs6Kg%2BIANxU85YxcPNPOCimg4YURQTDSWIEaq8%3D" TargetMode="External"/><Relationship Id="rId290" Type="http://schemas.openxmlformats.org/officeDocument/2006/relationships/hyperlink" Target="https://cafrfindos.file.core.windows.net/cafr/General%20Purpose/2020/MI%20Wayne%20County%202020.pdf?sv=2017-07-29&amp;ss=f&amp;srt=sco&amp;sp=r&amp;se=2122-03-17T01:14:46Z&amp;st=2022-03-17T01:14:46Z&amp;spr=https&amp;sig=d4QgExs6Kg%2BIANxU85YxcPNPOCimg4YURQTDSWIEaq8%3D" TargetMode="External"/><Relationship Id="rId165" Type="http://schemas.openxmlformats.org/officeDocument/2006/relationships/hyperlink" Target="https://cafrfindos.file.core.windows.net/cafr/School%20District/2020/CA%20Mt%20Pleasant%20Elementary%20School%20District%202020.pdf?sv=2017-07-29&amp;ss=f&amp;srt=sco&amp;sp=r&amp;se=2122-03-17T01:14:46Z&amp;st=2022-03-17T01:14:46Z&amp;spr=https&amp;sig=d4QgExs6Kg%2BIANxU85YxcPNPOCimg4YURQTDSWIEaq8%3D" TargetMode="External"/><Relationship Id="rId286" Type="http://schemas.openxmlformats.org/officeDocument/2006/relationships/hyperlink" Target="https://cafrfindos.file.core.windows.net/cafr/Special%20District/2020/TN%20Metropolitan%20Development%20and%20Housing%20Agency%202020.pdf?sv=2017-07-29&amp;ss=f&amp;srt=sco&amp;sp=r&amp;se=2122-03-17T01:14:46Z&amp;st=2022-03-17T01:14:46Z&amp;spr=https&amp;sig=d4QgExs6Kg%2BIANxU85YxcPNPOCimg4YURQTDSWIEaq8%3D" TargetMode="External"/><Relationship Id="rId164" Type="http://schemas.openxmlformats.org/officeDocument/2006/relationships/hyperlink" Target="https://cafrfindos.file.core.windows.net/cafr/School%20District/2020/CA%20Moreland%20School%20District%202020.pdf?sv=2017-07-29&amp;ss=f&amp;srt=sco&amp;sp=r&amp;se=2122-03-17T01:14:46Z&amp;st=2022-03-17T01:14:46Z&amp;spr=https&amp;sig=d4QgExs6Kg%2BIANxU85YxcPNPOCimg4YURQTDSWIEaq8%3D" TargetMode="External"/><Relationship Id="rId285" Type="http://schemas.openxmlformats.org/officeDocument/2006/relationships/hyperlink" Target="https://cafrfindos.file.core.windows.net/cafr/General%20Purpose/2020/TN%20Metropolitan%20Nashville%20and%20Davidson%20Annual%20Financial%20...%20County%202020.pdf?sv=2017-07-29&amp;ss=f&amp;srt=sco&amp;sp=r&amp;se=2122-04-25T18:30:52Z&amp;st=2022-04-25T17:30:52Z&amp;spr=https&amp;sig=R9KrBAsIaQ6IvzpAt%2FmWIdxtsOsX41940RMDOSJ6mss%3D" TargetMode="External"/><Relationship Id="rId163" Type="http://schemas.openxmlformats.org/officeDocument/2006/relationships/hyperlink" Target="https://cafrfindos.file.core.windows.net/cafr/School%20District/2020/CA%20Fremont%20Union%20High%20School%20District%202020.pdf?sv=2017-07-29&amp;ss=f&amp;srt=sco&amp;sp=r&amp;se=2122-03-17T01:14:46Z&amp;st=2022-03-17T01:14:46Z&amp;spr=https&amp;sig=d4QgExs6Kg%2BIANxU85YxcPNPOCimg4YURQTDSWIEaq8%3D" TargetMode="External"/><Relationship Id="rId284" Type="http://schemas.openxmlformats.org/officeDocument/2006/relationships/hyperlink" Target="https://cafrfindos.file.core.windows.net/cafr/General%20Purpose/2020/TN%20State%20of%20Tennessee%202020.pdf?sv=2017-07-29&amp;ss=f&amp;srt=sco&amp;sp=r&amp;se=2122-03-17T01:14:46Z&amp;st=2022-03-17T01:14:46Z&amp;spr=https&amp;sig=d4QgExs6Kg%2BIANxU85YxcPNPOCimg4YURQTDSWIEaq8%3D" TargetMode="External"/><Relationship Id="rId162" Type="http://schemas.openxmlformats.org/officeDocument/2006/relationships/hyperlink" Target="https://cafrfindos.file.core.windows.net/cafr/School%20District/2020/CA%20Franklin-Mckinley%20School%20District%202020.pdf?sv=2017-07-29&amp;ss=f&amp;srt=sco&amp;sp=r&amp;se=2122-03-17T01:14:46Z&amp;st=2022-03-17T01:14:46Z&amp;spr=https&amp;sig=d4QgExs6Kg%2BIANxU85YxcPNPOCimg4YURQTDSWIEaq8%3D" TargetMode="External"/><Relationship Id="rId283" Type="http://schemas.openxmlformats.org/officeDocument/2006/relationships/hyperlink" Target="https://cafrfindos.file.core.windows.net/cafr/School%20District/2020/TX%20El%20Paso%20Independent%20School%20District%202020.pdf?sv=2017-07-29&amp;ss=f&amp;srt=sco&amp;sp=r&amp;se=2122-03-17T01:14:46Z&amp;st=2022-03-17T01:14:46Z&amp;spr=https&amp;sig=d4QgExs6Kg%2BIANxU85YxcPNPOCimg4YURQTDSWIEaq8%3D" TargetMode="External"/><Relationship Id="rId169" Type="http://schemas.openxmlformats.org/officeDocument/2006/relationships/hyperlink" Target="https://cafrfindos.file.core.windows.net/cafr/School%20District/2020/CA%20Santa%20Clara%20Unified%20School%20District%202020.pdf?sv=2017-07-29&amp;ss=f&amp;srt=sco&amp;sp=r&amp;se=2122-03-17T01:14:46Z&amp;st=2022-03-17T01:14:46Z&amp;spr=https&amp;sig=d4QgExs6Kg%2BIANxU85YxcPNPOCimg4YURQTDSWIEaq8%3D" TargetMode="External"/><Relationship Id="rId168" Type="http://schemas.openxmlformats.org/officeDocument/2006/relationships/hyperlink" Target="https://cafrfindos.file.core.windows.net/cafr/School%20District/2020/CA%20San%20Jose%20Unified%20School%20District%202020.pdf?sv=2017-07-29&amp;ss=f&amp;srt=sco&amp;sp=r&amp;se=2122-03-17T01:14:46Z&amp;st=2022-03-17T01:14:46Z&amp;spr=https&amp;sig=d4QgExs6Kg%2BIANxU85YxcPNPOCimg4YURQTDSWIEaq8%3D" TargetMode="External"/><Relationship Id="rId289" Type="http://schemas.openxmlformats.org/officeDocument/2006/relationships/hyperlink" Target="https://cafrfindos.file.core.windows.net/cafr/General%20Purpose/2020/MI%20Detroit%202020.pdf?sv=2017-07-29&amp;ss=f&amp;srt=sco&amp;sp=r&amp;se=2122-03-17T01:14:46Z&amp;st=2022-03-17T01:14:46Z&amp;spr=https&amp;sig=d4QgExs6Kg%2BIANxU85YxcPNPOCimg4YURQTDSWIEaq8%3D" TargetMode="External"/><Relationship Id="rId167" Type="http://schemas.openxmlformats.org/officeDocument/2006/relationships/hyperlink" Target="https://cafrfindos.file.core.windows.net/cafr/School%20District/2020/CA%20Orchard%20Elementary%20School%20District%202020.pdf?sv=2017-07-29&amp;ss=f&amp;srt=sco&amp;sp=r&amp;se=2122-03-17T01:14:46Z&amp;st=2022-03-17T01:14:46Z&amp;spr=https&amp;sig=d4QgExs6Kg%2BIANxU85YxcPNPOCimg4YURQTDSWIEaq8%3D" TargetMode="External"/><Relationship Id="rId288" Type="http://schemas.openxmlformats.org/officeDocument/2006/relationships/hyperlink" Target="https://cafrfindos.file.core.windows.net/cafr/General%20Purpose/2020/MI%20State%20of%20Michigan%202020.pdf?sv=2017-07-29&amp;ss=f&amp;srt=sco&amp;sp=r&amp;se=2122-03-17T01:14:46Z&amp;st=2022-03-17T01:14:46Z&amp;spr=https&amp;sig=d4QgExs6Kg%2BIANxU85YxcPNPOCimg4YURQTDSWIEaq8%3D" TargetMode="External"/><Relationship Id="rId166" Type="http://schemas.openxmlformats.org/officeDocument/2006/relationships/hyperlink" Target="https://cafrfindos.file.core.windows.net/cafr/School%20District/2020/CA%20Oak%20Grove%20School%20District%202020.pdf?sv=2017-07-29&amp;ss=f&amp;srt=sco&amp;sp=r&amp;se=2122-03-17T01:14:46Z&amp;st=2022-03-17T01:14:46Z&amp;spr=https&amp;sig=d4QgExs6Kg%2BIANxU85YxcPNPOCimg4YURQTDSWIEaq8%3D" TargetMode="External"/><Relationship Id="rId287" Type="http://schemas.openxmlformats.org/officeDocument/2006/relationships/hyperlink" Target="https://cafrfindos.file.core.windows.net/cafr/Special%20District/2020/TN%20Metropolitan%20Nashville%20Airport%20Authority%202020.pdf?sv=2017-07-29&amp;ss=f&amp;srt=sco&amp;sp=r&amp;se=2122-03-17T01:14:46Z&amp;st=2022-03-17T01:14:46Z&amp;spr=https&amp;sig=d4QgExs6Kg%2BIANxU85YxcPNPOCimg4YURQTDSWIEaq8%3D" TargetMode="External"/><Relationship Id="rId161" Type="http://schemas.openxmlformats.org/officeDocument/2006/relationships/hyperlink" Target="https://cafrfindos.file.core.windows.net/cafr/School%20District/2020/CA%20Evergreen%20School%20District%202020.pdf?sv=2017-07-29&amp;ss=f&amp;srt=sco&amp;sp=r&amp;se=2122-03-17T01:14:46Z&amp;st=2022-03-17T01:14:46Z&amp;spr=https&amp;sig=d4QgExs6Kg%2BIANxU85YxcPNPOCimg4YURQTDSWIEaq8%3D" TargetMode="External"/><Relationship Id="rId282" Type="http://schemas.openxmlformats.org/officeDocument/2006/relationships/hyperlink" Target="https://cafrfindos.file.core.windows.net/cafr/School%20District/2020/TX%20Ysleta%20Independent%20School%20District%202020.pdf?sv=2017-07-29&amp;ss=f&amp;srt=sco&amp;sp=r&amp;se=2122-03-17T01:14:46Z&amp;st=2022-03-17T01:14:46Z&amp;spr=https&amp;sig=d4QgExs6Kg%2BIANxU85YxcPNPOCimg4YURQTDSWIEaq8%3D" TargetMode="External"/><Relationship Id="rId160" Type="http://schemas.openxmlformats.org/officeDocument/2006/relationships/hyperlink" Target="https://cafrfindos.file.core.windows.net/cafr/School%20District/2020/CA%20Eastside%20Union%20School%20District%202020.pdf?sv=2017-07-29&amp;ss=f&amp;srt=sco&amp;sp=r&amp;se=2122-03-17T01:14:46Z&amp;st=2022-03-17T01:14:46Z&amp;spr=https&amp;sig=d4QgExs6Kg%2BIANxU85YxcPNPOCimg4YURQTDSWIEaq8%3D" TargetMode="External"/><Relationship Id="rId281" Type="http://schemas.openxmlformats.org/officeDocument/2006/relationships/hyperlink" Target="https://cafrfindos.file.core.windows.net/cafr/School%20District/2020/TX%20Canutillo%20Independent%20School%20District%202020.pdf?sv=2017-07-29&amp;ss=f&amp;srt=sco&amp;sp=r&amp;se=2122-03-17T01:14:46Z&amp;st=2022-03-17T01:14:46Z&amp;spr=https&amp;sig=d4QgExs6Kg%2BIANxU85YxcPNPOCimg4YURQTDSWIEaq8%3D" TargetMode="External"/><Relationship Id="rId280" Type="http://schemas.openxmlformats.org/officeDocument/2006/relationships/hyperlink" Target="https://cafrfindos.file.core.windows.net/cafr/School%20District/2020/TX%20Socorro%20Independent%20School%20District%202020.pdf?sv=2017-07-29&amp;ss=f&amp;srt=sco&amp;sp=r&amp;se=2122-03-17T01:14:46Z&amp;st=2022-03-17T01:14:46Z&amp;spr=https&amp;sig=d4QgExs6Kg%2BIANxU85YxcPNPOCimg4YURQTDSWIEaq8%3D" TargetMode="External"/><Relationship Id="rId159" Type="http://schemas.openxmlformats.org/officeDocument/2006/relationships/hyperlink" Target="https://cafrfindos.file.core.windows.net/cafr/School%20District/2020/CA%20Cupertino%20Union%20School%20District%202020.pdf?sv=2017-07-29&amp;ss=f&amp;srt=sco&amp;sp=r&amp;se=2122-03-17T01:14:46Z&amp;st=2022-03-17T01:14:46Z&amp;spr=https&amp;sig=d4QgExs6Kg%2BIANxU85YxcPNPOCimg4YURQTDSWIEaq8%3D" TargetMode="External"/><Relationship Id="rId154" Type="http://schemas.openxmlformats.org/officeDocument/2006/relationships/hyperlink" Target="https://cafrfindos.file.core.windows.net/cafr/School%20District/2020/CA%20Alum%20Rock%20Union%20Elementary%20School%20District%202020.pdf?sv=2017-07-29&amp;ss=f&amp;srt=sco&amp;sp=r&amp;se=2122-03-17T01:14:46Z&amp;st=2022-03-17T01:14:46Z&amp;spr=https&amp;sig=d4QgExs6Kg%2BIANxU85YxcPNPOCimg4YURQTDSWIEaq8%3D" TargetMode="External"/><Relationship Id="rId275" Type="http://schemas.openxmlformats.org/officeDocument/2006/relationships/hyperlink" Target="https://cafrfindos.file.core.windows.net/cafr/General%20Purpose/2020/MA%20Boston%202020.pdf?sv=2017-07-29&amp;ss=f&amp;srt=sco&amp;sp=r&amp;se=2122-03-17T01:14:46Z&amp;st=2022-03-17T01:14:46Z&amp;spr=https&amp;sig=d4QgExs6Kg%2BIANxU85YxcPNPOCimg4YURQTDSWIEaq8%3D" TargetMode="External"/><Relationship Id="rId396" Type="http://schemas.openxmlformats.org/officeDocument/2006/relationships/hyperlink" Target="https://cafrfindos.file.core.windows.net/cafr/Special%20District/2020/GA%20Metropolitan%20Atlanta%20Rapid%20Transit%20Authority%202020.pdf?sv=2017-07-29&amp;ss=f&amp;srt=sco&amp;sp=r&amp;se=2122-03-17T01:14:46Z&amp;st=2022-03-17T01:14:46Z&amp;spr=https&amp;sig=d4QgExs6Kg%2BIANxU85YxcPNPOCimg4YURQTDSWIEaq8%3D" TargetMode="External"/><Relationship Id="rId153" Type="http://schemas.openxmlformats.org/officeDocument/2006/relationships/hyperlink" Target="https://cafrfindos.file.core.windows.net/cafr/General%20Purpose/2020/CA%20Santa%20Clara%20County%202020.pdf?sv=2017-07-29&amp;ss=f&amp;srt=sco&amp;sp=r&amp;se=2122-03-17T01:14:46Z&amp;st=2022-03-17T01:14:46Z&amp;spr=https&amp;sig=d4QgExs6Kg%2BIANxU85YxcPNPOCimg4YURQTDSWIEaq8%3D" TargetMode="External"/><Relationship Id="rId274" Type="http://schemas.openxmlformats.org/officeDocument/2006/relationships/hyperlink" Target="https://cafrfindos.file.core.windows.net/cafr/General%20Purpose/2020/MA%20Commonwealth%20of%20Massachusetts%202020.pdf?sv=2017-07-29&amp;ss=f&amp;srt=sco&amp;sp=r&amp;se=2122-03-17T01:14:46Z&amp;st=2022-03-17T01:14:46Z&amp;spr=https&amp;sig=d4QgExs6Kg%2BIANxU85YxcPNPOCimg4YURQTDSWIEaq8%3D" TargetMode="External"/><Relationship Id="rId395" Type="http://schemas.openxmlformats.org/officeDocument/2006/relationships/hyperlink" Target="https://cafrfindos.file.core.windows.net/cafr/Special%20District/2020/GA%20The%20Housing%20Authority%20of%20the%20City%20of%20Atlanta%202020.pdf?sv=2017-07-29&amp;ss=f&amp;srt=sco&amp;sp=r&amp;se=2122-03-17T01:14:46Z&amp;st=2022-03-17T01:14:46Z&amp;spr=https&amp;sig=d4QgExs6Kg%2BIANxU85YxcPNPOCimg4YURQTDSWIEaq8%3D" TargetMode="External"/><Relationship Id="rId152" Type="http://schemas.openxmlformats.org/officeDocument/2006/relationships/hyperlink" Target="https://cafrfindos.file.core.windows.net/cafr/General%20Purpose/2020/CA%20San%20Jose%202020.pdf?sv=2017-07-29&amp;ss=f&amp;srt=sco&amp;sp=r&amp;se=2122-03-17T01:14:46Z&amp;st=2022-03-17T01:14:46Z&amp;spr=https&amp;sig=d4QgExs6Kg%2BIANxU85YxcPNPOCimg4YURQTDSWIEaq8%3D" TargetMode="External"/><Relationship Id="rId273" Type="http://schemas.openxmlformats.org/officeDocument/2006/relationships/hyperlink" Target="https://cafrfindos.file.core.windows.net/cafr/Special%20District/2020/VA%20Metropolitan%20Washington%20Airports%20Authority%202020.pdf?sv=2017-07-29&amp;ss=f&amp;srt=sco&amp;sp=r&amp;se=2122-03-17T01:14:46Z&amp;st=2022-03-17T01:14:46Z&amp;spr=https&amp;sig=d4QgExs6Kg%2BIANxU85YxcPNPOCimg4YURQTDSWIEaq8%3D" TargetMode="External"/><Relationship Id="rId394" Type="http://schemas.openxmlformats.org/officeDocument/2006/relationships/hyperlink" Target="https://cafrfindos.file.core.windows.net/cafr/School%20District/2020/GA%20School%20District%20Atlanta%20Public%20Schools%202020.pdf?sv=2017-07-29&amp;ss=f&amp;srt=sco&amp;sp=r&amp;se=2122-03-17T01:14:46Z&amp;st=2022-03-17T01:14:46Z&amp;spr=https&amp;sig=d4QgExs6Kg%2BIANxU85YxcPNPOCimg4YURQTDSWIEaq8%3D" TargetMode="External"/><Relationship Id="rId151"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272" Type="http://schemas.openxmlformats.org/officeDocument/2006/relationships/hyperlink" Target="https://cafrfindos.file.core.windows.net/cafr/Special%20District/2020/VA%20Northern%20Virginia%20Transportation%20Commission%202020.pdf?sv=2017-07-29&amp;ss=f&amp;srt=sco&amp;sp=r&amp;se=2122-03-17T01:14:46Z&amp;st=2022-03-17T01:14:46Z&amp;spr=https&amp;sig=d4QgExs6Kg%2BIANxU85YxcPNPOCimg4YURQTDSWIEaq8%3D" TargetMode="External"/><Relationship Id="rId393" Type="http://schemas.openxmlformats.org/officeDocument/2006/relationships/hyperlink" Target="https://cafrfindos.file.core.windows.net/cafr/General%20Purpose/2020/GA%20Dekalb%20County%202020.pdf?sv=2017-07-29&amp;ss=f&amp;srt=sco&amp;sp=r&amp;se=2122-03-17T01:14:46Z&amp;st=2022-03-17T01:14:46Z&amp;spr=https&amp;sig=d4QgExs6Kg%2BIANxU85YxcPNPOCimg4YURQTDSWIEaq8%3D" TargetMode="External"/><Relationship Id="rId158" Type="http://schemas.openxmlformats.org/officeDocument/2006/relationships/hyperlink" Target="https://cafrfindos.file.core.windows.net/cafr/School%20District/2020/CA%20Campbell%20Union%20High%20School%20District%202020.pdf?sv=2017-07-29&amp;ss=f&amp;srt=sco&amp;sp=r&amp;se=2122-03-17T01:14:46Z&amp;st=2022-03-17T01:14:46Z&amp;spr=https&amp;sig=d4QgExs6Kg%2BIANxU85YxcPNPOCimg4YURQTDSWIEaq8%3D" TargetMode="External"/><Relationship Id="rId279" Type="http://schemas.openxmlformats.org/officeDocument/2006/relationships/hyperlink" Target="https://cafrfindos.file.core.windows.net/cafr/General%20Purpose/2020/TX%20El%20Paso%20County%202020.pdf?sv=2017-07-29&amp;ss=f&amp;srt=sco&amp;sp=r&amp;se=2122-03-17T01:14:46Z&amp;st=2022-03-17T01:14:46Z&amp;spr=https&amp;sig=d4QgExs6Kg%2BIANxU85YxcPNPOCimg4YURQTDSWIEaq8%3D" TargetMode="External"/><Relationship Id="rId157" Type="http://schemas.openxmlformats.org/officeDocument/2006/relationships/hyperlink" Target="https://cafrfindos.file.core.windows.net/cafr/School%20District/2020/CA%20Campbell%20Union%20School%20District%202020.pdf?sv=2017-07-29&amp;ss=f&amp;srt=sco&amp;sp=r&amp;se=2122-03-17T01:14:46Z&amp;st=2022-03-17T01:14:46Z&amp;spr=https&amp;sig=d4QgExs6Kg%2BIANxU85YxcPNPOCimg4YURQTDSWIEaq8%3D" TargetMode="External"/><Relationship Id="rId278" Type="http://schemas.openxmlformats.org/officeDocument/2006/relationships/hyperlink" Target="https://cafrfindos.file.core.windows.net/cafr/General%20Purpose/2020/TX%20El%20Paso%202020.pdf?sv=2017-07-29&amp;ss=f&amp;srt=sco&amp;sp=r&amp;se=2122-03-17T01:14:46Z&amp;st=2022-03-17T01:14:46Z&amp;spr=https&amp;sig=d4QgExs6Kg%2BIANxU85YxcPNPOCimg4YURQTDSWIEaq8%3D" TargetMode="External"/><Relationship Id="rId399" Type="http://schemas.openxmlformats.org/officeDocument/2006/relationships/hyperlink" Target="https://cafrfindos.file.core.windows.net/cafr/General%20Purpose/2020/MO%20Jackson%20County%202020.pdf?sv=2017-07-29&amp;ss=f&amp;srt=sco&amp;sp=r&amp;se=2122-03-17T01:14:46Z&amp;st=2022-03-17T01:14:46Z&amp;spr=https&amp;sig=d4QgExs6Kg%2BIANxU85YxcPNPOCimg4YURQTDSWIEaq8%3D" TargetMode="External"/><Relationship Id="rId156" Type="http://schemas.openxmlformats.org/officeDocument/2006/relationships/hyperlink" Target="https://cafrfindos.file.core.windows.net/cafr/School%20District/2020/CA%20Cambrian%20School%20District%202020.pdf?sv=2017-07-29&amp;ss=f&amp;srt=sco&amp;sp=r&amp;se=2122-03-17T01:14:46Z&amp;st=2022-03-17T01:14:46Z&amp;spr=https&amp;sig=d4QgExs6Kg%2BIANxU85YxcPNPOCimg4YURQTDSWIEaq8%3D" TargetMode="External"/><Relationship Id="rId277"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398" Type="http://schemas.openxmlformats.org/officeDocument/2006/relationships/hyperlink" Target="https://cafrfindos.file.core.windows.net/cafr/General%20Purpose/2020/MO%20Kansas%202020.pdf?sv=2017-07-29&amp;ss=f&amp;srt=sco&amp;sp=r&amp;se=2122-03-17T01:14:46Z&amp;st=2022-03-17T01:14:46Z&amp;spr=https&amp;sig=d4QgExs6Kg%2BIANxU85YxcPNPOCimg4YURQTDSWIEaq8%3D" TargetMode="External"/><Relationship Id="rId155" Type="http://schemas.openxmlformats.org/officeDocument/2006/relationships/hyperlink" Target="https://cafrfindos.file.core.windows.net/cafr/School%20District/2020/CA%20Berryessa%20Union%20School%20District%202020.pdf?sv=2017-07-29&amp;ss=f&amp;srt=sco&amp;sp=r&amp;se=2122-03-17T01:14:46Z&amp;st=2022-03-17T01:14:46Z&amp;spr=https&amp;sig=d4QgExs6Kg%2BIANxU85YxcPNPOCimg4YURQTDSWIEaq8%3D" TargetMode="External"/><Relationship Id="rId276" Type="http://schemas.openxmlformats.org/officeDocument/2006/relationships/hyperlink" Target="https://cafrfindos.file.core.windows.net/cafr/Special%20District/2020/MA%20Boston%20Housing%20Authority%202020.pdf?sv=2017-07-29&amp;ss=f&amp;srt=sco&amp;sp=r&amp;se=2122-03-17T01:14:46Z&amp;st=2022-03-17T01:14:46Z&amp;spr=https&amp;sig=d4QgExs6Kg%2BIANxU85YxcPNPOCimg4YURQTDSWIEaq8%3D" TargetMode="External"/><Relationship Id="rId397" Type="http://schemas.openxmlformats.org/officeDocument/2006/relationships/hyperlink" Target="https://cafrfindos.file.core.windows.net/cafr/General%20Purpose/2020/MO%20State%20of%20Missouri%202020.pdf?sv=2017-07-29&amp;ss=f&amp;srt=sco&amp;sp=r&amp;se=2122-03-17T01:14:46Z&amp;st=2022-03-17T01:14:46Z&amp;spr=https&amp;sig=d4QgExs6Kg%2BIANxU85YxcPNPOCimg4YURQTDSWIEaq8%3D" TargetMode="External"/><Relationship Id="rId40" Type="http://schemas.openxmlformats.org/officeDocument/2006/relationships/hyperlink" Target="https://cafrfindos.file.core.windows.net/cafr/School%20District/2020/TX%20Humble%20Independent%20School%20District%202020.pdf?sv=2017-07-29&amp;ss=f&amp;srt=sco&amp;sp=r&amp;se=2122-03-17T01:14:46Z&amp;st=2022-03-17T01:14:46Z&amp;spr=https&amp;sig=d4QgExs6Kg%2BIANxU85YxcPNPOCimg4YURQTDSWIEaq8%3D" TargetMode="External"/><Relationship Id="rId42" Type="http://schemas.openxmlformats.org/officeDocument/2006/relationships/hyperlink" Target="https://cafrfindos.file.core.windows.net/cafr/School%20District/2020/TX%20Klein%20Independent%20School%20District%202020.pdf?sv=2017-07-29&amp;ss=f&amp;srt=sco&amp;sp=r&amp;se=2122-03-17T01:14:46Z&amp;st=2022-03-17T01:14:46Z&amp;spr=https&amp;sig=d4QgExs6Kg%2BIANxU85YxcPNPOCimg4YURQTDSWIEaq8%3D" TargetMode="External"/><Relationship Id="rId41" Type="http://schemas.openxmlformats.org/officeDocument/2006/relationships/hyperlink" Target="https://cafrfindos.file.core.windows.net/cafr/School%20District/2020/TX%20Katy%20Independent%20School%20District%202020.pdf?sv=2017-07-29&amp;ss=f&amp;srt=sco&amp;sp=r&amp;se=2122-03-17T01:14:46Z&amp;st=2022-03-17T01:14:46Z&amp;spr=https&amp;sig=d4QgExs6Kg%2BIANxU85YxcPNPOCimg4YURQTDSWIEaq8%3D" TargetMode="External"/><Relationship Id="rId44" Type="http://schemas.openxmlformats.org/officeDocument/2006/relationships/hyperlink" Target="https://cafrfindos.file.core.windows.net/cafr/School%20District/2020/TX%20Spring%20Branch%20Independent%20School%20District%202020.pdf?sv=2017-07-29&amp;ss=f&amp;srt=sco&amp;sp=r&amp;se=2122-03-17T01:14:46Z&amp;st=2022-03-17T01:14:46Z&amp;spr=https&amp;sig=d4QgExs6Kg%2BIANxU85YxcPNPOCimg4YURQTDSWIEaq8%3D" TargetMode="External"/><Relationship Id="rId43" Type="http://schemas.openxmlformats.org/officeDocument/2006/relationships/hyperlink" Target="https://cafrfindos.file.core.windows.net/cafr/School%20District/2020/TX%20Pasadena%20Independent%20School%20District%202020.pdf?sv=2017-07-29&amp;ss=f&amp;srt=sco&amp;sp=r&amp;se=2122-03-17T01:14:46Z&amp;st=2022-03-17T01:14:46Z&amp;spr=https&amp;sig=d4QgExs6Kg%2BIANxU85YxcPNPOCimg4YURQTDSWIEaq8%3D" TargetMode="External"/><Relationship Id="rId46" Type="http://schemas.openxmlformats.org/officeDocument/2006/relationships/hyperlink" Target="https://cafrfindos.file.core.windows.net/cafr/Special%20District/2020/TX%20Port%20of%20Houston%20Authority%20of%20Harris%20County%202020.pdf?sv=2017-07-29&amp;ss=f&amp;srt=sco&amp;sp=r&amp;se=2122-03-17T01:14:46Z&amp;st=2022-03-17T01:14:46Z&amp;spr=https&amp;sig=d4QgExs6Kg%2BIANxU85YxcPNPOCimg4YURQTDSWIEaq8%3D" TargetMode="External"/><Relationship Id="rId45" Type="http://schemas.openxmlformats.org/officeDocument/2006/relationships/hyperlink" Target="https://cafrfindos.file.core.windows.net/cafr/School%20District/2020/TX%20Spring%20Independent%20School%20District%202020.pdf?sv=2017-07-29&amp;ss=f&amp;srt=sco&amp;sp=r&amp;se=2122-03-17T01:14:46Z&amp;st=2022-03-17T01:14:46Z&amp;spr=https&amp;sig=d4QgExs6Kg%2BIANxU85YxcPNPOCimg4YURQTDSWIEaq8%3D" TargetMode="External"/><Relationship Id="rId509" Type="http://schemas.openxmlformats.org/officeDocument/2006/relationships/hyperlink" Target="https://cafrfindos.file.core.windows.net/cafr/School%20District/2020/KS%20Goddard%20Unified%20School%20District%20No.%20265%202020.pdf?sv=2017-07-29&amp;ss=f&amp;srt=sco&amp;sp=r&amp;se=2122-03-17T01:14:46Z&amp;st=2022-03-17T01:14:46Z&amp;spr=https&amp;sig=d4QgExs6Kg%2BIANxU85YxcPNPOCimg4YURQTDSWIEaq8%3D" TargetMode="External"/><Relationship Id="rId508" Type="http://schemas.openxmlformats.org/officeDocument/2006/relationships/hyperlink" Target="https://cafrfindos.file.core.windows.net/cafr/School%20District/2020/KS%20Derby%20Unified%20School%20District%20No.%20260%202020.pdf?sv=2017-07-29&amp;ss=f&amp;srt=sco&amp;sp=r&amp;se=2122-03-17T01:14:46Z&amp;st=2022-03-17T01:14:46Z&amp;spr=https&amp;sig=d4QgExs6Kg%2BIANxU85YxcPNPOCimg4YURQTDSWIEaq8%3D" TargetMode="External"/><Relationship Id="rId503" Type="http://schemas.openxmlformats.org/officeDocument/2006/relationships/hyperlink" Target="https://cafrfindos.file.core.windows.net/cafr/Special%20District/2020/TX%20Tarrant%20Regional%20Water%20District%202020.pdf?sv=2017-07-29&amp;ss=f&amp;srt=sco&amp;sp=r&amp;se=2122-03-17T01:14:46Z&amp;st=2022-03-17T01:14:46Z&amp;spr=https&amp;sig=d4QgExs6Kg%2BIANxU85YxcPNPOCimg4YURQTDSWIEaq8%3D" TargetMode="External"/><Relationship Id="rId502" Type="http://schemas.openxmlformats.org/officeDocument/2006/relationships/hyperlink" Target="https://cafrfindos.file.core.windows.net/cafr/Special%20District/2020/TX%20North%20Texas%20Tollway%20Authority%202020.pdf?sv=2017-07-29&amp;ss=f&amp;srt=sco&amp;sp=r&amp;se=2122-03-17T01:14:46Z&amp;st=2022-03-17T01:14:46Z&amp;spr=https&amp;sig=d4QgExs6Kg%2BIANxU85YxcPNPOCimg4YURQTDSWIEaq8%3D" TargetMode="External"/><Relationship Id="rId501" Type="http://schemas.openxmlformats.org/officeDocument/2006/relationships/hyperlink" Target="https://cafrfindos.file.core.windows.net/cafr/School%20District/2020/TX%20Mansfield%20Independent%20School%20District%202020.pdf?sv=2017-07-29&amp;ss=f&amp;srt=sco&amp;sp=r&amp;se=2122-03-17T01:14:46Z&amp;st=2022-03-17T01:14:46Z&amp;spr=https&amp;sig=d4QgExs6Kg%2BIANxU85YxcPNPOCimg4YURQTDSWIEaq8%3D" TargetMode="External"/><Relationship Id="rId500" Type="http://schemas.openxmlformats.org/officeDocument/2006/relationships/hyperlink" Target="https://cafrfindos.file.core.windows.net/cafr/School%20District/2020/TX%20Kennedale%20Independent%20School%20District%202020.pdf?sv=2017-07-29&amp;ss=f&amp;srt=sco&amp;sp=r&amp;se=2122-03-17T01:14:46Z&amp;st=2022-03-17T01:14:46Z&amp;spr=https&amp;sig=d4QgExs6Kg%2BIANxU85YxcPNPOCimg4YURQTDSWIEaq8%3D" TargetMode="External"/><Relationship Id="rId507" Type="http://schemas.openxmlformats.org/officeDocument/2006/relationships/hyperlink" Target="https://cafrfindos.file.core.windows.net/cafr/General%20Purpose/2020/KS%20Sedgwick%20County%202020.pdf?sv=2017-07-29&amp;ss=f&amp;srt=sco&amp;sp=r&amp;se=2122-03-17T01:14:46Z&amp;st=2022-03-17T01:14:46Z&amp;spr=https&amp;sig=d4QgExs6Kg%2BIANxU85YxcPNPOCimg4YURQTDSWIEaq8%3D" TargetMode="External"/><Relationship Id="rId506" Type="http://schemas.openxmlformats.org/officeDocument/2006/relationships/hyperlink" Target="https://cafrfindos.file.core.windows.net/cafr/General%20Purpose/2020/KS%20Wichita%202020.pdf?sv=2017-07-29&amp;ss=f&amp;srt=sco&amp;sp=r&amp;se=2122-03-17T01:14:46Z&amp;st=2022-03-17T01:14:46Z&amp;spr=https&amp;sig=d4QgExs6Kg%2BIANxU85YxcPNPOCimg4YURQTDSWIEaq8%3D" TargetMode="External"/><Relationship Id="rId505" Type="http://schemas.openxmlformats.org/officeDocument/2006/relationships/hyperlink" Target="https://cafrfindos.file.core.windows.net/cafr/General%20Purpose/2020/KS%20State%20of%20Kansas%202020.pdf?sv=2017-07-29&amp;ss=f&amp;srt=sco&amp;sp=r&amp;se=2122-03-17T01:14:46Z&amp;st=2022-03-17T01:14:46Z&amp;spr=https&amp;sig=d4QgExs6Kg%2BIANxU85YxcPNPOCimg4YURQTDSWIEaq8%3D" TargetMode="External"/><Relationship Id="rId504" Type="http://schemas.openxmlformats.org/officeDocument/2006/relationships/hyperlink" Target="https://cafrfindos.file.core.windows.net/cafr/Special%20District/2020/TX%20Housing%20Authority%20of%20the%20City%20of%20Arlington%202020.pdf?sv=2017-07-29&amp;ss=f&amp;srt=sco&amp;sp=r&amp;se=2122-03-17T01:14:46Z&amp;st=2022-03-17T01:14:46Z&amp;spr=https&amp;sig=d4QgExs6Kg%2BIANxU85YxcPNPOCimg4YURQTDSWIEaq8%3D" TargetMode="External"/><Relationship Id="rId48" Type="http://schemas.openxmlformats.org/officeDocument/2006/relationships/hyperlink" Target="https://cafrfindos.file.core.windows.net/cafr/General%20Purpose/2020/AZ%20State%20of%20Arizona%202020.pdf?sv=2017-07-29&amp;ss=f&amp;srt=sco&amp;sp=r&amp;se=2122-03-17T01:14:46Z&amp;st=2022-03-17T01:14:46Z&amp;spr=https&amp;sig=d4QgExs6Kg%2BIANxU85YxcPNPOCimg4YURQTDSWIEaq8%3D" TargetMode="External"/><Relationship Id="rId47" Type="http://schemas.openxmlformats.org/officeDocument/2006/relationships/hyperlink" Target="https://cafrfindos.file.core.windows.net/cafr/Special%20District/2020/TX%20Metropolitan%20Transit%20Authority%20of%20Harris%20County%202020.pdf?sv=2017-07-29&amp;ss=f&amp;srt=sco&amp;sp=r&amp;se=2122-03-17T01:14:46Z&amp;st=2022-03-17T01:14:46Z&amp;spr=https&amp;sig=d4QgExs6Kg%2BIANxU85YxcPNPOCimg4YURQTDSWIEaq8%3D" TargetMode="External"/><Relationship Id="rId49" Type="http://schemas.openxmlformats.org/officeDocument/2006/relationships/hyperlink" Target="https://cafrfindos.file.core.windows.net/cafr/General%20Purpose/2020/AZ%20Phoenix%202020.pdf?sv=2017-07-29&amp;ss=f&amp;srt=sco&amp;sp=r&amp;se=2122-03-17T01:14:46Z&amp;st=2022-03-17T01:14:46Z&amp;spr=https&amp;sig=d4QgExs6Kg%2BIANxU85YxcPNPOCimg4YURQTDSWIEaq8%3D" TargetMode="External"/><Relationship Id="rId31" Type="http://schemas.openxmlformats.org/officeDocument/2006/relationships/hyperlink" Target="https://cafrfindos.file.core.windows.net/cafr/General%20Purpose/2020/TX%20Fort%20Bend%20County%202020.pdf?sv=2017-07-29&amp;ss=f&amp;srt=sco&amp;sp=r&amp;se=2122-03-17T01:14:46Z&amp;st=2022-03-17T01:14:46Z&amp;spr=https&amp;sig=d4QgExs6Kg%2BIANxU85YxcPNPOCimg4YURQTDSWIEaq8%3D" TargetMode="External"/><Relationship Id="rId30" Type="http://schemas.openxmlformats.org/officeDocument/2006/relationships/hyperlink" Target="https://cafrfindos.file.core.windows.net/cafr/General%20Purpose/2020/TX%20Harris%20County%202020.pdf?sv=2017-07-29&amp;ss=f&amp;srt=sco&amp;sp=r&amp;se=2122-03-17T01:14:46Z&amp;st=2022-03-17T01:14:46Z&amp;spr=https&amp;sig=d4QgExs6Kg%2BIANxU85YxcPNPOCimg4YURQTDSWIEaq8%3D" TargetMode="External"/><Relationship Id="rId33" Type="http://schemas.openxmlformats.org/officeDocument/2006/relationships/hyperlink" Target="https://cafrfindos.file.core.windows.net/cafr/School%20District/2020/TX%20Fort%20Bend%20Independent%20School%20District%202020.pdf?sv=2017-07-29&amp;ss=f&amp;srt=sco&amp;sp=r&amp;se=2122-03-17T01:14:46Z&amp;st=2022-03-17T01:14:46Z&amp;spr=https&amp;sig=d4QgExs6Kg%2BIANxU85YxcPNPOCimg4YURQTDSWIEaq8%3D" TargetMode="External"/><Relationship Id="rId32" Type="http://schemas.openxmlformats.org/officeDocument/2006/relationships/hyperlink" Target="https://cafrfindos.file.core.windows.net/cafr/General%20Purpose/2020/TX%20Montgomery%20County%202020.pdf?sv=2017-07-29&amp;ss=f&amp;srt=sco&amp;sp=r&amp;se=2122-03-17T01:14:46Z&amp;st=2022-03-17T01:14:46Z&amp;spr=https&amp;sig=d4QgExs6Kg%2BIANxU85YxcPNPOCimg4YURQTDSWIEaq8%3D" TargetMode="External"/><Relationship Id="rId35" Type="http://schemas.openxmlformats.org/officeDocument/2006/relationships/hyperlink" Target="https://cafrfindos.file.core.windows.net/cafr/School%20District/2020/TX%20Aldine%20Independent%20School%20District%202020.pdf?sv=2017-07-29&amp;ss=f&amp;srt=sco&amp;sp=r&amp;se=2122-03-17T01:14:46Z&amp;st=2022-03-17T01:14:46Z&amp;spr=https&amp;sig=d4QgExs6Kg%2BIANxU85YxcPNPOCimg4YURQTDSWIEaq8%3D" TargetMode="External"/><Relationship Id="rId34" Type="http://schemas.openxmlformats.org/officeDocument/2006/relationships/hyperlink" Target="https://cafrfindos.file.core.windows.net/cafr/School%20District/2020/TX%20Clear%20Creek%20Independent%20School%20District%202020.pdf?sv=2017-07-29&amp;ss=f&amp;srt=sco&amp;sp=r&amp;se=2122-03-17T01:14:46Z&amp;st=2022-03-17T01:14:46Z&amp;spr=https&amp;sig=d4QgExs6Kg%2BIANxU85YxcPNPOCimg4YURQTDSWIEaq8%3D" TargetMode="External"/><Relationship Id="rId37" Type="http://schemas.openxmlformats.org/officeDocument/2006/relationships/hyperlink" Target="https://cafrfindos.file.core.windows.net/cafr/School%20District/2020/TX%20Cypress-Fairbanks%20Independent%20School%20District%202020.pdf?sv=2017-07-29&amp;ss=f&amp;srt=sco&amp;sp=r&amp;se=2122-03-17T01:14:46Z&amp;st=2022-03-17T01:14:46Z&amp;spr=https&amp;sig=d4QgExs6Kg%2BIANxU85YxcPNPOCimg4YURQTDSWIEaq8%3D" TargetMode="External"/><Relationship Id="rId36" Type="http://schemas.openxmlformats.org/officeDocument/2006/relationships/hyperlink" Target="https://cafrfindos.file.core.windows.net/cafr/School%20District/2020/TX%20Alief%20Independent%20School%20District%202020.pdf?sv=2017-07-29&amp;ss=f&amp;srt=sco&amp;sp=r&amp;se=2122-03-17T01:14:46Z&amp;st=2022-03-17T01:14:46Z&amp;spr=https&amp;sig=d4QgExs6Kg%2BIANxU85YxcPNPOCimg4YURQTDSWIEaq8%3D" TargetMode="External"/><Relationship Id="rId39" Type="http://schemas.openxmlformats.org/officeDocument/2006/relationships/hyperlink" Target="https://cafrfindos.file.core.windows.net/cafr/School%20District/2020/TX%20Houston%20Independent%20School%20District%202020.pdf?sv=2017-07-29&amp;ss=f&amp;srt=sco&amp;sp=r&amp;se=2122-03-17T01:14:46Z&amp;st=2022-03-17T01:14:46Z&amp;spr=https&amp;sig=d4QgExs6Kg%2BIANxU85YxcPNPOCimg4YURQTDSWIEaq8%3D" TargetMode="External"/><Relationship Id="rId38" Type="http://schemas.openxmlformats.org/officeDocument/2006/relationships/hyperlink" Target="https://cafrfindos.file.core.windows.net/cafr/School%20District/2020/TX%20Galena%20Park%20Independent%20School%20District%202020.pdf?sv=2017-07-29&amp;ss=f&amp;srt=sco&amp;sp=r&amp;se=2122-03-17T01:14:46Z&amp;st=2022-03-17T01:14:46Z&amp;spr=https&amp;sig=d4QgExs6Kg%2BIANxU85YxcPNPOCimg4YURQTDSWIEaq8%3D" TargetMode="External"/><Relationship Id="rId20" Type="http://schemas.openxmlformats.org/officeDocument/2006/relationships/hyperlink" Target="https://cafrfindos.file.core.windows.net/cafr/School%20District/2020/IL%20Chicago%20Board%20of%20Education%202020.pdf?sv=2017-07-29&amp;ss=f&amp;srt=sco&amp;sp=r&amp;se=2122-03-17T01:14:46Z&amp;st=2022-03-17T01:14:46Z&amp;spr=https&amp;sig=d4QgExs6Kg%2BIANxU85YxcPNPOCimg4YURQTDSWIEaq8%3D" TargetMode="External"/><Relationship Id="rId22" Type="http://schemas.openxmlformats.org/officeDocument/2006/relationships/hyperlink" Target="https://cafrfindos.file.core.windows.net/cafr/Special%20District/2020/IL%20Metropolitan%20Water%20Reclamation%20District%20of%20Greater%20Chicago%202020.pdf?sv=2017-07-29&amp;ss=f&amp;srt=sco&amp;sp=r&amp;se=2122-03-17T01:14:46Z&amp;st=2022-03-17T01:14:46Z&amp;spr=https&amp;sig=d4QgExs6Kg%2BIANxU85YxcPNPOCimg4YURQTDSWIEaq8%3D" TargetMode="External"/><Relationship Id="rId21" Type="http://schemas.openxmlformats.org/officeDocument/2006/relationships/hyperlink" Target="https://cafrfindos.file.core.windows.net/cafr/Special%20District/2020/IL%20Chicago%20Park%20District%202020.pdf?sv=2017-07-29&amp;ss=f&amp;srt=sco&amp;sp=r&amp;se=2122-03-17T01:14:46Z&amp;st=2022-03-17T01:14:46Z&amp;spr=https&amp;sig=d4QgExs6Kg%2BIANxU85YxcPNPOCimg4YURQTDSWIEaq8%3D" TargetMode="External"/><Relationship Id="rId24" Type="http://schemas.openxmlformats.org/officeDocument/2006/relationships/hyperlink" Target="https://cafrfindos.file.core.windows.net/cafr/Special%20District/2020/IL%20Chicago%20Housing%20Authority%202020.pdf?sv=2017-07-29&amp;ss=f&amp;srt=sco&amp;sp=r&amp;se=2122-03-17T01:14:46Z&amp;st=2022-03-17T01:14:46Z&amp;spr=https&amp;sig=d4QgExs6Kg%2BIANxU85YxcPNPOCimg4YURQTDSWIEaq8%3D" TargetMode="External"/><Relationship Id="rId23" Type="http://schemas.openxmlformats.org/officeDocument/2006/relationships/hyperlink" Target="https://cafrfindos.file.core.windows.net/cafr/Special%20District/2020/IL%20Chicago%20Transit%20Authority%202020.pdf?sv=2017-07-29&amp;ss=f&amp;srt=sco&amp;sp=r&amp;se=2122-03-17T01:14:46Z&amp;st=2022-03-17T01:14:46Z&amp;spr=https&amp;sig=d4QgExs6Kg%2BIANxU85YxcPNPOCimg4YURQTDSWIEaq8%3D" TargetMode="External"/><Relationship Id="rId409" Type="http://schemas.openxmlformats.org/officeDocument/2006/relationships/hyperlink" Target="https://cafrfindos.file.core.windows.net/cafr/School%20District/2020/MO%20Raytown%20C-2%20School%20District%202020.pdf?sv=2017-07-29&amp;ss=f&amp;srt=sco&amp;sp=r&amp;se=2122-03-17T01:14:46Z&amp;st=2022-03-17T01:14:46Z&amp;spr=https&amp;sig=d4QgExs6Kg%2BIANxU85YxcPNPOCimg4YURQTDSWIEaq8%3D" TargetMode="External"/><Relationship Id="rId404" Type="http://schemas.openxmlformats.org/officeDocument/2006/relationships/hyperlink" Target="https://cafrfindos.file.core.windows.net/cafr/School%20District/2020/MO%20North%20Kansas%20City%20School%20District%20No.%2074%202020.pdf?sv=2017-07-29&amp;ss=f&amp;srt=sco&amp;sp=r&amp;se=2122-03-17T01:14:46Z&amp;st=2022-03-17T01:14:46Z&amp;spr=https&amp;sig=d4QgExs6Kg%2BIANxU85YxcPNPOCimg4YURQTDSWIEaq8%3D" TargetMode="External"/><Relationship Id="rId403" Type="http://schemas.openxmlformats.org/officeDocument/2006/relationships/hyperlink" Target="https://cafrfindos.file.core.windows.net/cafr/School%20District/2020/MO%20Liberty%20Public%20School%20District%20No.%2053%202020.pdf?sv=2017-07-29&amp;ss=f&amp;srt=sco&amp;sp=r&amp;se=2122-03-17T01:14:46Z&amp;st=2022-03-17T01:14:46Z&amp;spr=https&amp;sig=d4QgExs6Kg%2BIANxU85YxcPNPOCimg4YURQTDSWIEaq8%3D" TargetMode="External"/><Relationship Id="rId402" Type="http://schemas.openxmlformats.org/officeDocument/2006/relationships/hyperlink" Target="https://cafrfindos.file.core.windows.net/cafr/General%20Purpose/2020/MO%20Cass%20County%202020.pdf?sv=2017-07-29&amp;ss=f&amp;srt=sco&amp;sp=r&amp;se=2122-03-17T01:14:46Z&amp;st=2022-03-17T01:14:46Z&amp;spr=https&amp;sig=d4QgExs6Kg%2BIANxU85YxcPNPOCimg4YURQTDSWIEaq8%3D" TargetMode="External"/><Relationship Id="rId401" Type="http://schemas.openxmlformats.org/officeDocument/2006/relationships/hyperlink" Target="https://cafrfindos.file.core.windows.net/cafr/General%20Purpose/2020/MO%20Platte%20County%202020.pdf?sv=2017-07-29&amp;ss=f&amp;srt=sco&amp;sp=r&amp;se=2122-03-17T01:14:46Z&amp;st=2022-03-17T01:14:46Z&amp;spr=https&amp;sig=d4QgExs6Kg%2BIANxU85YxcPNPOCimg4YURQTDSWIEaq8%3D" TargetMode="External"/><Relationship Id="rId408" Type="http://schemas.openxmlformats.org/officeDocument/2006/relationships/hyperlink" Target="https://cafrfindos.file.core.windows.net/cafr/School%20District/2020/MO%20Lees%20Summit%20R-VII%20School%20District%202020.pdf?sv=2017-07-29&amp;ss=f&amp;srt=sco&amp;sp=r&amp;se=2122-03-17T01:14:46Z&amp;st=2022-03-17T01:14:46Z&amp;spr=https&amp;sig=d4QgExs6Kg%2BIANxU85YxcPNPOCimg4YURQTDSWIEaq8%3D" TargetMode="External"/><Relationship Id="rId407" Type="http://schemas.openxmlformats.org/officeDocument/2006/relationships/hyperlink" Target="https://cafrfindos.file.core.windows.net/cafr/School%20District/2020/MO%20Kansas%20City%20Public%20Schools%202020.pdf?sv=2017-07-29&amp;ss=f&amp;srt=sco&amp;sp=r&amp;se=2122-03-17T01:14:46Z&amp;st=2022-03-17T01:14:46Z&amp;spr=https&amp;sig=d4QgExs6Kg%2BIANxU85YxcPNPOCimg4YURQTDSWIEaq8%3D" TargetMode="External"/><Relationship Id="rId406" Type="http://schemas.openxmlformats.org/officeDocument/2006/relationships/hyperlink" Target="https://cafrfindos.file.core.windows.net/cafr/School%20District/2020/MO%20Hickman%20Mills%20C-1%20School%20District%202020.pdf?sv=2017-07-29&amp;ss=f&amp;srt=sco&amp;sp=r&amp;se=2122-03-17T01:14:46Z&amp;st=2022-03-17T01:14:46Z&amp;spr=https&amp;sig=d4QgExs6Kg%2BIANxU85YxcPNPOCimg4YURQTDSWIEaq8%3D" TargetMode="External"/><Relationship Id="rId405" Type="http://schemas.openxmlformats.org/officeDocument/2006/relationships/hyperlink" Target="https://cafrfindos.file.core.windows.net/cafr/School%20District/2020/MO%20Center%20School%20District%2058%202020.pdf?sv=2017-07-29&amp;ss=f&amp;srt=sco&amp;sp=r&amp;se=2122-03-17T01:14:46Z&amp;st=2022-03-17T01:14:46Z&amp;spr=https&amp;sig=d4QgExs6Kg%2BIANxU85YxcPNPOCimg4YURQTDSWIEaq8%3D" TargetMode="External"/><Relationship Id="rId26" Type="http://schemas.openxmlformats.org/officeDocument/2006/relationships/hyperlink" Target="https://cafrfindos.file.core.windows.net/cafr/Special%20District/2020/IL%20Metra%20-%20Commuter%20Rail%20Division%20and%20Commuter%20Railroad%20Corporation%202020.pdf?sv=2017-07-29&amp;ss=f&amp;srt=sco&amp;sp=r&amp;se=2122-03-17T01:14:46Z&amp;st=2022-03-17T01:14:46Z&amp;spr=https&amp;sig=d4QgExs6Kg%2BIANxU85YxcPNPOCimg4YURQTDSWIEaq8%3D" TargetMode="External"/><Relationship Id="rId25" Type="http://schemas.openxmlformats.org/officeDocument/2006/relationships/hyperlink" Target="https://cafrfindos.file.core.windows.net/cafr/Special%20District/2020/IL%20Metropolitan%20Pier%20and%20Exposition%20Authority%202020.pdf?sv=2017-07-29&amp;ss=f&amp;srt=sco&amp;sp=r&amp;se=2122-03-17T01:14:46Z&amp;st=2022-03-17T01:14:46Z&amp;spr=https&amp;sig=d4QgExs6Kg%2BIANxU85YxcPNPOCimg4YURQTDSWIEaq8%3D" TargetMode="External"/><Relationship Id="rId28"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27" Type="http://schemas.openxmlformats.org/officeDocument/2006/relationships/hyperlink" Target="https://cafrfindos.file.core.windows.net/cafr/Special%20District/2020/IL%20Regional%20Transportation%20Authority%202020.pdf?sv=2017-07-29&amp;ss=f&amp;srt=sco&amp;sp=r&amp;se=2122-03-17T01:14:46Z&amp;st=2022-03-17T01:14:46Z&amp;spr=https&amp;sig=d4QgExs6Kg%2BIANxU85YxcPNPOCimg4YURQTDSWIEaq8%3D" TargetMode="External"/><Relationship Id="rId400" Type="http://schemas.openxmlformats.org/officeDocument/2006/relationships/hyperlink" Target="https://cafrfindos.file.core.windows.net/cafr/General%20Purpose/2020/MO%20Clay%20County%202020.pdf?sv=2017-07-29&amp;ss=f&amp;srt=sco&amp;sp=r&amp;se=2122-03-17T01:14:46Z&amp;st=2022-03-17T01:14:46Z&amp;spr=https&amp;sig=d4QgExs6Kg%2BIANxU85YxcPNPOCimg4YURQTDSWIEaq8%3D" TargetMode="External"/><Relationship Id="rId29" Type="http://schemas.openxmlformats.org/officeDocument/2006/relationships/hyperlink" Target="https://cafrfindos.file.core.windows.net/cafr/General%20Purpose/2020/TX%20Houston%202020.pdf?sv=2017-07-29&amp;ss=f&amp;srt=sco&amp;sp=r&amp;se=2122-03-17T01:14:46Z&amp;st=2022-03-17T01:14:46Z&amp;spr=https&amp;sig=d4QgExs6Kg%2BIANxU85YxcPNPOCimg4YURQTDSWIEaq8%3D" TargetMode="External"/><Relationship Id="rId11" Type="http://schemas.openxmlformats.org/officeDocument/2006/relationships/hyperlink" Target="https://cafrfindos.file.core.windows.net/cafr/Special%20District/2020/CA%20Sanitation%20Districts%20of%20Los%20Angeles%20County%202020.pdf?sv=2017-07-29&amp;ss=f&amp;srt=sco&amp;sp=r&amp;se=2122-03-17T01:14:46Z&amp;st=2022-03-17T01:14:46Z&amp;spr=https&amp;sig=d4QgExs6Kg%2BIANxU85YxcPNPOCimg4YURQTDSWIEaq8%3D" TargetMode="External"/><Relationship Id="rId10" Type="http://schemas.openxmlformats.org/officeDocument/2006/relationships/hyperlink" Target="https://cafrfindos.file.core.windows.net/cafr/Special%20District/2020/CA%20Housing%20Authority%20of%20the%20City%20of%20Los%20Angeles%202020.pdf?sv=2017-07-29&amp;ss=f&amp;srt=sco&amp;sp=r&amp;se=2122-03-17T01:14:46Z&amp;st=2022-03-17T01:14:46Z&amp;spr=https&amp;sig=d4QgExs6Kg%2BIANxU85YxcPNPOCimg4YURQTDSWIEaq8%3D" TargetMode="External"/><Relationship Id="rId13" Type="http://schemas.openxmlformats.org/officeDocument/2006/relationships/hyperlink" Target="https://cafrfindos.file.core.windows.net/cafr/Special%20District/2020/CA%20Southern%20California%20Regional%20Rail%20Authority%202020.pdf?sv=2017-07-29&amp;ss=f&amp;srt=sco&amp;sp=r&amp;se=2122-03-17T01:14:46Z&amp;st=2022-03-17T01:14:46Z&amp;spr=https&amp;sig=d4QgExs6Kg%2BIANxU85YxcPNPOCimg4YURQTDSWIEaq8%3D" TargetMode="External"/><Relationship Id="rId12" Type="http://schemas.openxmlformats.org/officeDocument/2006/relationships/hyperlink" Target="https://cafrfindos.file.core.windows.net/cafr/Special%20District/2020/CA%20The%20Metropolitan%20Water%20District%20of%20Southern%20California%202020.pdf?sv=2017-07-29&amp;ss=f&amp;srt=sco&amp;sp=r&amp;se=2122-03-17T01:14:46Z&amp;st=2022-03-17T01:14:46Z&amp;spr=https&amp;sig=d4QgExs6Kg%2BIANxU85YxcPNPOCimg4YURQTDSWIEaq8%3D" TargetMode="External"/><Relationship Id="rId514" Type="http://schemas.openxmlformats.org/officeDocument/2006/relationships/hyperlink" Target="https://cafrfindos.file.core.windows.net/cafr/General%20Purpose/2019/LA%20New%20Orleans%202019.pdf?sv=2017-07-29&amp;ss=f&amp;srt=sco&amp;sp=r&amp;se=2122-03-17T01:14:46Z&amp;st=2022-03-17T01:14:46Z&amp;spr=https&amp;sig=d4QgExs6Kg%2BIANxU85YxcPNPOCimg4YURQTDSWIEaq8%3D" TargetMode="External"/><Relationship Id="rId513" Type="http://schemas.openxmlformats.org/officeDocument/2006/relationships/hyperlink" Target="https://cafrfindos.file.core.windows.net/cafr/General%20Purpose/2020/LA%20State%20of%20Louisiana%202020.pdf?sv=2017-07-29&amp;ss=f&amp;srt=sco&amp;sp=r&amp;se=2122-03-17T01:14:46Z&amp;st=2022-03-17T01:14:46Z&amp;spr=https&amp;sig=d4QgExs6Kg%2BIANxU85YxcPNPOCimg4YURQTDSWIEaq8%3D" TargetMode="External"/><Relationship Id="rId512" Type="http://schemas.openxmlformats.org/officeDocument/2006/relationships/hyperlink" Target="https://cafrfindos.file.core.windows.net/cafr/School%20District/2020/KS%20Wichita%20Public%20Schools%20Unified%20School%20District%20No%20259%202020.pdf?sv=2017-07-29&amp;ss=f&amp;srt=sco&amp;sp=r&amp;se=2122-03-17T01:14:46Z&amp;st=2022-03-17T01:14:46Z&amp;spr=https&amp;sig=d4QgExs6Kg%2BIANxU85YxcPNPOCimg4YURQTDSWIEaq8%3D" TargetMode="External"/><Relationship Id="rId511" Type="http://schemas.openxmlformats.org/officeDocument/2006/relationships/hyperlink" Target="https://cafrfindos.file.core.windows.net/cafr/School%20District/2020/KS%20Maize%20Unified%20School%20District%20No.%20266%202020.pdf?sv=2017-07-29&amp;ss=f&amp;srt=sco&amp;sp=r&amp;se=2122-03-17T01:14:46Z&amp;st=2022-03-17T01:14:46Z&amp;spr=https&amp;sig=d4QgExs6Kg%2BIANxU85YxcPNPOCimg4YURQTDSWIEaq8%3D" TargetMode="External"/><Relationship Id="rId517" Type="http://schemas.openxmlformats.org/officeDocument/2006/relationships/drawing" Target="../drawings/drawing1.xml"/><Relationship Id="rId516" Type="http://schemas.openxmlformats.org/officeDocument/2006/relationships/hyperlink" Target="https://cafrfindos.file.core.windows.net/cafr/Special%20District/2020/LA%20Regional%20Transit%20Authority%202020.pdf?sv=2017-07-29&amp;ss=f&amp;srt=sco&amp;sp=r&amp;se=2122-03-17T01:14:46Z&amp;st=2022-03-17T01:14:46Z&amp;spr=https&amp;sig=d4QgExs6Kg%2BIANxU85YxcPNPOCimg4YURQTDSWIEaq8%3D" TargetMode="External"/><Relationship Id="rId515" Type="http://schemas.openxmlformats.org/officeDocument/2006/relationships/hyperlink" Target="https://cafrfindos.file.core.windows.net/cafr/School%20District/2019/LA%20Orleans%20Parish%20School%20Board%202019.pdf?sv=2017-07-29&amp;ss=f&amp;srt=sco&amp;sp=r&amp;se=2122-03-17T01:14:46Z&amp;st=2022-03-17T01:14:46Z&amp;spr=https&amp;sig=d4QgExs6Kg%2BIANxU85YxcPNPOCimg4YURQTDSWIEaq8%3D" TargetMode="External"/><Relationship Id="rId15" Type="http://schemas.openxmlformats.org/officeDocument/2006/relationships/hyperlink" Target="https://cafrfindos.file.core.windows.net/cafr/Special%20District/2020/CA%20Southern%20California%20Public%20Power%20Authority%202020.pdf?sv=2017-07-29&amp;ss=f&amp;srt=sco&amp;sp=r&amp;se=2122-03-17T01:14:46Z&amp;st=2022-03-17T01:14:46Z&amp;spr=https&amp;sig=d4QgExs6Kg%2BIANxU85YxcPNPOCimg4YURQTDSWIEaq8%3D" TargetMode="External"/><Relationship Id="rId14" Type="http://schemas.openxmlformats.org/officeDocument/2006/relationships/hyperlink" Target="https://cafrfindos.file.core.windows.net/cafr/Special%20District/2020/CA%20Alameda%20Corridor%20Transportation%20Authority%202020.pdf?sv=2017-07-29&amp;ss=f&amp;srt=sco&amp;sp=r&amp;se=2122-03-17T01:14:46Z&amp;st=2022-03-17T01:14:46Z&amp;spr=https&amp;sig=d4QgExs6Kg%2BIANxU85YxcPNPOCimg4YURQTDSWIEaq8%3D" TargetMode="External"/><Relationship Id="rId17" Type="http://schemas.openxmlformats.org/officeDocument/2006/relationships/hyperlink" Target="https://cafrfindos.file.core.windows.net/cafr/General%20Purpose/2020/IL%20State%20of%20Illinois%202020.pdf?sv=2017-07-29&amp;ss=f&amp;srt=sco&amp;sp=r&amp;se=2122-03-17T01:14:46Z&amp;st=2022-03-17T01:14:46Z&amp;spr=https&amp;sig=d4QgExs6Kg%2BIANxU85YxcPNPOCimg4YURQTDSWIEaq8%3D" TargetMode="External"/><Relationship Id="rId16" Type="http://schemas.openxmlformats.org/officeDocument/2006/relationships/hyperlink" Target="https://cafrfindos.file.core.windows.net/cafr/Special%20District/2020/CA%20South%20Coast%20Air%20Quality%20Management%20District%202020.pdf?sv=2017-07-29&amp;ss=f&amp;srt=sco&amp;sp=r&amp;se=2122-03-17T01:14:46Z&amp;st=2022-03-17T01:14:46Z&amp;spr=https&amp;sig=d4QgExs6Kg%2BIANxU85YxcPNPOCimg4YURQTDSWIEaq8%3D" TargetMode="External"/><Relationship Id="rId19" Type="http://schemas.openxmlformats.org/officeDocument/2006/relationships/hyperlink" Target="https://cafrfindos.file.core.windows.net/cafr/General%20Purpose/2020/IL%20Cook%20County%202020.pdf?sv=2017-07-29&amp;ss=f&amp;srt=sco&amp;sp=r&amp;se=2122-03-17T01:14:46Z&amp;st=2022-03-17T01:14:46Z&amp;spr=https&amp;sig=d4QgExs6Kg%2BIANxU85YxcPNPOCimg4YURQTDSWIEaq8%3D" TargetMode="External"/><Relationship Id="rId510" Type="http://schemas.openxmlformats.org/officeDocument/2006/relationships/hyperlink" Target="https://cafrfindos.file.core.windows.net/cafr/School%20District/2020/KS%20Haysville%20Public%20Schools%20Unified%20School%20District%20No.%20261%202020.pdf?sv=2017-07-29&amp;ss=f&amp;srt=sco&amp;sp=r&amp;se=2122-03-17T01:14:46Z&amp;st=2022-03-17T01:14:46Z&amp;spr=https&amp;sig=d4QgExs6Kg%2BIANxU85YxcPNPOCimg4YURQTDSWIEaq8%3D" TargetMode="External"/><Relationship Id="rId18" Type="http://schemas.openxmlformats.org/officeDocument/2006/relationships/hyperlink" Target="https://cafrfindos.file.core.windows.net/cafr/General%20Purpose/2020/IL%20Chicago%202020.pdf?sv=2017-07-29&amp;ss=f&amp;srt=sco&amp;sp=r&amp;se=2122-03-17T01:14:46Z&amp;st=2022-03-17T01:14:46Z&amp;spr=https&amp;sig=d4QgExs6Kg%2BIANxU85YxcPNPOCimg4YURQTDSWIEaq8%3D" TargetMode="External"/><Relationship Id="rId84" Type="http://schemas.openxmlformats.org/officeDocument/2006/relationships/hyperlink" Target="https://cafrfindos.file.core.windows.net/cafr/School%20District/2020/PA%20School%20District%20of%20Philadelphia%202020.pdf?sv=2017-07-29&amp;ss=f&amp;srt=sco&amp;sp=r&amp;se=2122-03-17T01:14:46Z&amp;st=2022-03-17T01:14:46Z&amp;spr=https&amp;sig=d4QgExs6Kg%2BIANxU85YxcPNPOCimg4YURQTDSWIEaq8%3D" TargetMode="External"/><Relationship Id="rId83" Type="http://schemas.openxmlformats.org/officeDocument/2006/relationships/hyperlink" Target="https://cafrfindos.file.core.windows.net/cafr/General%20Purpose/2020/PA%20Philadelphia%202020.pdf?sv=2017-07-29&amp;ss=f&amp;srt=sco&amp;sp=r&amp;se=2122-03-17T01:14:46Z&amp;st=2022-03-17T01:14:46Z&amp;spr=https&amp;sig=d4QgExs6Kg%2BIANxU85YxcPNPOCimg4YURQTDSWIEaq8%3D" TargetMode="External"/><Relationship Id="rId86" Type="http://schemas.openxmlformats.org/officeDocument/2006/relationships/hyperlink" Target="https://cafrfindos.file.core.windows.net/cafr/Special%20District/2020/PA%20Philadelphia%20Housing%20Authority%202020.pdf?sv=2017-07-29&amp;ss=f&amp;srt=sco&amp;sp=r&amp;se=2122-03-17T01:14:46Z&amp;st=2022-03-17T01:14:46Z&amp;spr=https&amp;sig=d4QgExs6Kg%2BIANxU85YxcPNPOCimg4YURQTDSWIEaq8%3D" TargetMode="External"/><Relationship Id="rId85" Type="http://schemas.openxmlformats.org/officeDocument/2006/relationships/hyperlink" Target="https://cafrfindos.file.core.windows.net/cafr/Special%20District/2020/NJ%20Delaware%20River%20Port%20Authority%202020.pdf?sv=2017-07-29&amp;ss=f&amp;srt=sco&amp;sp=r&amp;se=2122-03-17T01:14:46Z&amp;st=2022-03-17T01:14:46Z&amp;spr=https&amp;sig=d4QgExs6Kg%2BIANxU85YxcPNPOCimg4YURQTDSWIEaq8%3D" TargetMode="External"/><Relationship Id="rId88" Type="http://schemas.openxmlformats.org/officeDocument/2006/relationships/hyperlink" Target="https://cafrfindos.file.core.windows.net/cafr/Special%20District/2020/PA%20Philadelphia%20Authority%20for%20Industrial%20Development%202020.pdf?sv=2017-07-29&amp;ss=f&amp;srt=sco&amp;sp=r&amp;se=2122-03-17T01:14:46Z&amp;st=2022-03-17T01:14:46Z&amp;spr=https&amp;sig=d4QgExs6Kg%2BIANxU85YxcPNPOCimg4YURQTDSWIEaq8%3D" TargetMode="External"/><Relationship Id="rId87" Type="http://schemas.openxmlformats.org/officeDocument/2006/relationships/hyperlink" Target="https://cafrfindos.file.core.windows.net/cafr/Special%20District/2020/PA%20Southeastern%20Pennsylvania%20Transportation%20Authority%202020.pdf?sv=2017-07-29&amp;ss=f&amp;srt=sco&amp;sp=r&amp;se=2122-03-17T01:14:46Z&amp;st=2022-03-17T01:14:46Z&amp;spr=https&amp;sig=d4QgExs6Kg%2BIANxU85YxcPNPOCimg4YURQTDSWIEaq8%3D" TargetMode="External"/><Relationship Id="rId89" Type="http://schemas.openxmlformats.org/officeDocument/2006/relationships/hyperlink" Target="https://cafrfindos.file.core.windows.net/cafr/General%20Purpose/2020/TX%20State%20of%20Texas%202020.pdf?sv=2017-07-29&amp;ss=f&amp;srt=sco&amp;sp=r&amp;se=2122-03-17T01:14:46Z&amp;st=2022-03-17T01:14:46Z&amp;spr=https&amp;sig=d4QgExs6Kg%2BIANxU85YxcPNPOCimg4YURQTDSWIEaq8%3D" TargetMode="External"/><Relationship Id="rId80" Type="http://schemas.openxmlformats.org/officeDocument/2006/relationships/hyperlink" Target="https://cafrfindos.file.core.windows.net/cafr/Special%20District/2020/AZ%20Maricopa%20County%20Special%20Health%20Care%20District%202020.pdf?sv=2017-07-29&amp;ss=f&amp;srt=sco&amp;sp=r&amp;se=2122-03-17T01:14:46Z&amp;st=2022-03-17T01:14:46Z&amp;spr=https&amp;sig=d4QgExs6Kg%2BIANxU85YxcPNPOCimg4YURQTDSWIEaq8%3D" TargetMode="External"/><Relationship Id="rId82" Type="http://schemas.openxmlformats.org/officeDocument/2006/relationships/hyperlink" Target="https://cafrfindos.file.core.windows.net/cafr/General%20Purpose/2020/PA%20Commonwealth%20of%20Pennsylvania%202020.pdf?sv=2017-07-29&amp;ss=f&amp;srt=sco&amp;sp=r&amp;se=2122-03-17T01:14:46Z&amp;st=2022-03-17T01:14:46Z&amp;spr=https&amp;sig=d4QgExs6Kg%2BIANxU85YxcPNPOCimg4YURQTDSWIEaq8%3D" TargetMode="External"/><Relationship Id="rId81" Type="http://schemas.openxmlformats.org/officeDocument/2006/relationships/hyperlink" Target="https://cafrfindos.file.core.windows.net/cafr/Special%20District/2020/AZ%20Valley%20Metro%20Regional%20Public%20Transportation%20Authority%202020.pdf?sv=2017-07-29&amp;ss=f&amp;srt=sco&amp;sp=r&amp;se=2122-03-17T01:14:46Z&amp;st=2022-03-17T01:14:46Z&amp;spr=https&amp;sig=d4QgExs6Kg%2BIANxU85YxcPNPOCimg4YURQTDSWIEaq8%3D" TargetMode="External"/><Relationship Id="rId73" Type="http://schemas.openxmlformats.org/officeDocument/2006/relationships/hyperlink" Target="https://cafrfindos.file.core.windows.net/cafr/School%20District/2020/AZ%20Tempe%20Union%20High%20School%20District%20No.%20213%202020.pdf?sv=2017-07-29&amp;ss=f&amp;srt=sco&amp;sp=r&amp;se=2122-03-17T01:14:46Z&amp;st=2022-03-17T01:14:46Z&amp;spr=https&amp;sig=d4QgExs6Kg%2BIANxU85YxcPNPOCimg4YURQTDSWIEaq8%3D" TargetMode="External"/><Relationship Id="rId72" Type="http://schemas.openxmlformats.org/officeDocument/2006/relationships/hyperlink" Target="https://cafrfindos.file.core.windows.net/cafr/School%20District/2020/AZ%20Tempe%20Elementary%20School%20District%20No.3%202020.pdf?sv=2017-07-29&amp;ss=f&amp;srt=sco&amp;sp=r&amp;se=2122-03-17T01:14:46Z&amp;st=2022-03-17T01:14:46Z&amp;spr=https&amp;sig=d4QgExs6Kg%2BIANxU85YxcPNPOCimg4YURQTDSWIEaq8%3D" TargetMode="External"/><Relationship Id="rId75" Type="http://schemas.openxmlformats.org/officeDocument/2006/relationships/hyperlink" Target="https://cafrfindos.file.core.windows.net/cafr/School%20District/2020/AZ%20Tolleson%20Union%20High%20School%20District%20No.%20214%202020.pdf?sv=2017-07-29&amp;ss=f&amp;srt=sco&amp;sp=r&amp;se=2122-03-17T01:14:46Z&amp;st=2022-03-17T01:14:46Z&amp;spr=https&amp;sig=d4QgExs6Kg%2BIANxU85YxcPNPOCimg4YURQTDSWIEaq8%3D" TargetMode="External"/><Relationship Id="rId74" Type="http://schemas.openxmlformats.org/officeDocument/2006/relationships/hyperlink" Target="https://cafrfindos.file.core.windows.net/cafr/School%20District/2020/AZ%20Tolleson%20Elementary%20School%20District%20No.%2017%202020.pdf?sv=2017-07-29&amp;ss=f&amp;srt=sco&amp;sp=r&amp;se=2122-03-17T01:14:46Z&amp;st=2022-03-17T01:14:46Z&amp;spr=https&amp;sig=d4QgExs6Kg%2BIANxU85YxcPNPOCimg4YURQTDSWIEaq8%3D" TargetMode="External"/><Relationship Id="rId77" Type="http://schemas.openxmlformats.org/officeDocument/2006/relationships/hyperlink" Target="https://cafrfindos.file.core.windows.net/cafr/School%20District/2020/AZ%20Washington%20Elementary%20School%20District%20No.6%202020.pdf?sv=2017-07-29&amp;ss=f&amp;srt=sco&amp;sp=r&amp;se=2122-03-17T01:14:46Z&amp;st=2022-03-17T01:14:46Z&amp;spr=https&amp;sig=d4QgExs6Kg%2BIANxU85YxcPNPOCimg4YURQTDSWIEaq8%3D" TargetMode="External"/><Relationship Id="rId76" Type="http://schemas.openxmlformats.org/officeDocument/2006/relationships/hyperlink" Target="https://cafrfindos.file.core.windows.net/cafr/School%20District/2020/AZ%20Union%20Elementary%20School%20District%20No.%2062%202020.pdf?sv=2017-07-29&amp;ss=f&amp;srt=sco&amp;sp=r&amp;se=2122-03-17T01:14:46Z&amp;st=2022-03-17T01:14:46Z&amp;spr=https&amp;sig=d4QgExs6Kg%2BIANxU85YxcPNPOCimg4YURQTDSWIEaq8%3D" TargetMode="External"/><Relationship Id="rId79" Type="http://schemas.openxmlformats.org/officeDocument/2006/relationships/hyperlink" Target="https://cafrfindos.file.core.windows.net/cafr/School%20District/2020/AZ%20Deer%20Valley%20Unified%20School%20District%20No.%2097%202020.pdf?sv=2017-07-29&amp;ss=f&amp;srt=sco&amp;sp=r&amp;se=2122-03-17T01:14:46Z&amp;st=2022-03-17T01:14:46Z&amp;spr=https&amp;sig=d4QgExs6Kg%2BIANxU85YxcPNPOCimg4YURQTDSWIEaq8%3D" TargetMode="External"/><Relationship Id="rId78" Type="http://schemas.openxmlformats.org/officeDocument/2006/relationships/hyperlink" Target="https://cafrfindos.file.core.windows.net/cafr/School%20District/2020/AZ%20Wilson%20Elementary%20School%20District%20No.7%202020.pdf?sv=2017-07-29&amp;ss=f&amp;srt=sco&amp;sp=r&amp;se=2122-03-17T01:14:46Z&amp;st=2022-03-17T01:14:46Z&amp;spr=https&amp;sig=d4QgExs6Kg%2BIANxU85YxcPNPOCimg4YURQTDSWIEaq8%3D" TargetMode="External"/><Relationship Id="rId71" Type="http://schemas.openxmlformats.org/officeDocument/2006/relationships/hyperlink" Target="https://cafrfindos.file.core.windows.net/cafr/School%20District/2020/AZ%20Paradise%20Valley%20Unified%20School%20District%20No.%2069%202020.pdf?sv=2017-07-29&amp;ss=f&amp;srt=sco&amp;sp=r&amp;se=2122-03-17T01:14:46Z&amp;st=2022-03-17T01:14:46Z&amp;spr=https&amp;sig=d4QgExs6Kg%2BIANxU85YxcPNPOCimg4YURQTDSWIEaq8%3D" TargetMode="External"/><Relationship Id="rId70" Type="http://schemas.openxmlformats.org/officeDocument/2006/relationships/hyperlink" Target="https://cafrfindos.file.core.windows.net/cafr/School%20District/2020/AZ%20Scottsdale%20Unified%20School%20District%20No.%2048%202020.pdf?sv=2017-07-29&amp;ss=f&amp;srt=sco&amp;sp=r&amp;se=2122-03-17T01:14:46Z&amp;st=2022-03-17T01:14:46Z&amp;spr=https&amp;sig=d4QgExs6Kg%2BIANxU85YxcPNPOCimg4YURQTDSWIEaq8%3D" TargetMode="External"/><Relationship Id="rId62" Type="http://schemas.openxmlformats.org/officeDocument/2006/relationships/hyperlink" Target="https://cafrfindos.file.core.windows.net/cafr/School%20District/2020/AZ%20Madison%20Elementary%20School%20District%20No.%2038%202020.pdf?sv=2017-07-29&amp;ss=f&amp;srt=sco&amp;sp=r&amp;se=2122-03-17T01:14:46Z&amp;st=2022-03-17T01:14:46Z&amp;spr=https&amp;sig=d4QgExs6Kg%2BIANxU85YxcPNPOCimg4YURQTDSWIEaq8%3D" TargetMode="External"/><Relationship Id="rId61" Type="http://schemas.openxmlformats.org/officeDocument/2006/relationships/hyperlink" Target="https://cafrfindos.file.core.windows.net/cafr/School%20District/2020/AZ%20Littleton%20Elementary%20School%20District%20No.%2065%202020.pdf?sv=2017-07-29&amp;ss=f&amp;srt=sco&amp;sp=r&amp;se=2122-03-17T01:14:46Z&amp;st=2022-03-17T01:14:46Z&amp;spr=https&amp;sig=d4QgExs6Kg%2BIANxU85YxcPNPOCimg4YURQTDSWIEaq8%3D" TargetMode="External"/><Relationship Id="rId64" Type="http://schemas.openxmlformats.org/officeDocument/2006/relationships/hyperlink" Target="https://cafrfindos.file.core.windows.net/cafr/School%20District/2020/AZ%20Osborn%20Elementary%20School%20District%20No.8%202020.pdf?sv=2017-07-29&amp;ss=f&amp;srt=sco&amp;sp=r&amp;se=2122-03-17T01:14:46Z&amp;st=2022-03-17T01:14:46Z&amp;spr=https&amp;sig=d4QgExs6Kg%2BIANxU85YxcPNPOCimg4YURQTDSWIEaq8%3D" TargetMode="External"/><Relationship Id="rId63" Type="http://schemas.openxmlformats.org/officeDocument/2006/relationships/hyperlink" Target="https://cafrfindos.file.core.windows.net/cafr/School%20District/2020/AZ%20Murphy%20Elementary%20School%20District%20No.%2021%202020.pdf?sv=2017-07-29&amp;ss=f&amp;srt=sco&amp;sp=r&amp;se=2122-03-17T01:14:46Z&amp;st=2022-03-17T01:14:46Z&amp;spr=https&amp;sig=d4QgExs6Kg%2BIANxU85YxcPNPOCimg4YURQTDSWIEaq8%3D" TargetMode="External"/><Relationship Id="rId66" Type="http://schemas.openxmlformats.org/officeDocument/2006/relationships/hyperlink" Target="https://cafrfindos.file.core.windows.net/cafr/School%20District/2020/AZ%20Phoenix%20Elementary%20School%20District%20No.1%202020.pdf?sv=2017-07-29&amp;ss=f&amp;srt=sco&amp;sp=r&amp;se=2122-03-17T01:14:46Z&amp;st=2022-03-17T01:14:46Z&amp;spr=https&amp;sig=d4QgExs6Kg%2BIANxU85YxcPNPOCimg4YURQTDSWIEaq8%3D" TargetMode="External"/><Relationship Id="rId65" Type="http://schemas.openxmlformats.org/officeDocument/2006/relationships/hyperlink" Target="https://cafrfindos.file.core.windows.net/cafr/School%20District/2020/AZ%20Pendergast%20Elementary%20School%20District%20No.%2092%202020.pdf?sv=2017-07-29&amp;ss=f&amp;srt=sco&amp;sp=r&amp;se=2122-03-17T01:14:46Z&amp;st=2022-03-17T01:14:46Z&amp;spr=https&amp;sig=d4QgExs6Kg%2BIANxU85YxcPNPOCimg4YURQTDSWIEaq8%3D" TargetMode="External"/><Relationship Id="rId68" Type="http://schemas.openxmlformats.org/officeDocument/2006/relationships/hyperlink" Target="https://cafrfindos.file.core.windows.net/cafr/School%20District/2020/AZ%20Riverside%20Elementary%20School%20District%20No.2%202020.pdf?sv=2017-07-29&amp;ss=f&amp;srt=sco&amp;sp=r&amp;se=2122-03-17T01:14:46Z&amp;st=2022-03-17T01:14:46Z&amp;spr=https&amp;sig=d4QgExs6Kg%2BIANxU85YxcPNPOCimg4YURQTDSWIEaq8%3D" TargetMode="External"/><Relationship Id="rId67" Type="http://schemas.openxmlformats.org/officeDocument/2006/relationships/hyperlink" Target="https://cafrfindos.file.core.windows.net/cafr/School%20District/2020/AZ%20Phoenix%20Union%20High%20School%20District%20No.%20210%202020.pdf?sv=2017-07-29&amp;ss=f&amp;srt=sco&amp;sp=r&amp;se=2122-03-17T01:14:46Z&amp;st=2022-03-17T01:14:46Z&amp;spr=https&amp;sig=d4QgExs6Kg%2BIANxU85YxcPNPOCimg4YURQTDSWIEaq8%3D" TargetMode="External"/><Relationship Id="rId60" Type="http://schemas.openxmlformats.org/officeDocument/2006/relationships/hyperlink" Target="https://cafrfindos.file.core.windows.net/cafr/School%20District/2020/AZ%20Laveen%20Elementary%20School%20District%20No.%2059%202020.pdf?sv=2017-07-29&amp;ss=f&amp;srt=sco&amp;sp=r&amp;se=2122-03-17T01:14:46Z&amp;st=2022-03-17T01:14:46Z&amp;spr=https&amp;sig=d4QgExs6Kg%2BIANxU85YxcPNPOCimg4YURQTDSWIEaq8%3D" TargetMode="External"/><Relationship Id="rId69" Type="http://schemas.openxmlformats.org/officeDocument/2006/relationships/hyperlink" Target="https://cafrfindos.file.core.windows.net/cafr/School%20District/2020/AZ%20Roosevelt%20Elementary%20School%20District%20No.%2066%202020.pdf?sv=2017-07-29&amp;ss=f&amp;srt=sco&amp;sp=r&amp;se=2122-03-17T01:14:46Z&amp;st=2022-03-17T01:14:46Z&amp;spr=https&amp;sig=d4QgExs6Kg%2BIANxU85YxcPNPOCimg4YURQTDSWIEaq8%3D" TargetMode="External"/><Relationship Id="rId51" Type="http://schemas.openxmlformats.org/officeDocument/2006/relationships/hyperlink" Target="https://cafrfindos.file.core.windows.net/cafr/School%20District/2020/AZ%20Alhambra%20Elementary%20School%20District%20No.%2068%202020.pdf?sv=2017-07-29&amp;ss=f&amp;srt=sco&amp;sp=r&amp;se=2122-03-17T01:14:46Z&amp;st=2022-03-17T01:14:46Z&amp;spr=https&amp;sig=d4QgExs6Kg%2BIANxU85YxcPNPOCimg4YURQTDSWIEaq8%3D" TargetMode="External"/><Relationship Id="rId50" Type="http://schemas.openxmlformats.org/officeDocument/2006/relationships/hyperlink" Target="https://cafrfindos.file.core.windows.net/cafr/General%20Purpose/2020/AZ%20Maricopa%20County%202020.pdf?sv=2017-07-29&amp;ss=f&amp;srt=sco&amp;sp=r&amp;se=2122-03-17T01:14:46Z&amp;st=2022-03-17T01:14:46Z&amp;spr=https&amp;sig=d4QgExs6Kg%2BIANxU85YxcPNPOCimg4YURQTDSWIEaq8%3D" TargetMode="External"/><Relationship Id="rId53" Type="http://schemas.openxmlformats.org/officeDocument/2006/relationships/hyperlink" Target="https://cafrfindos.file.core.windows.net/cafr/School%20District/2020/AZ%20Cartwright%20Elementary%20School%20District%20No.%2083%202020.pdf?sv=2017-07-29&amp;ss=f&amp;srt=sco&amp;sp=r&amp;se=2122-03-17T01:14:46Z&amp;st=2022-03-17T01:14:46Z&amp;spr=https&amp;sig=d4QgExs6Kg%2BIANxU85YxcPNPOCimg4YURQTDSWIEaq8%3D" TargetMode="External"/><Relationship Id="rId52" Type="http://schemas.openxmlformats.org/officeDocument/2006/relationships/hyperlink" Target="https://cafrfindos.file.core.windows.net/cafr/School%20District/2020/AZ%20Balsz%20Elementary%20School%20District%20No.%2031%202020.pdf?sv=2017-07-29&amp;ss=f&amp;srt=sco&amp;sp=r&amp;se=2122-03-17T01:14:46Z&amp;st=2022-03-17T01:14:46Z&amp;spr=https&amp;sig=d4QgExs6Kg%2BIANxU85YxcPNPOCimg4YURQTDSWIEaq8%3D" TargetMode="External"/><Relationship Id="rId55" Type="http://schemas.openxmlformats.org/officeDocument/2006/relationships/hyperlink" Target="https://cafrfindos.file.core.windows.net/cafr/School%20District/2020/AZ%20Creighton%20Elementary%20School%20District%20No.%2014%202020.pdf?sv=2017-07-29&amp;ss=f&amp;srt=sco&amp;sp=r&amp;se=2122-03-17T01:14:46Z&amp;st=2022-03-17T01:14:46Z&amp;spr=https&amp;sig=d4QgExs6Kg%2BIANxU85YxcPNPOCimg4YURQTDSWIEaq8%3D" TargetMode="External"/><Relationship Id="rId54" Type="http://schemas.openxmlformats.org/officeDocument/2006/relationships/hyperlink" Target="https://cafrfindos.file.core.windows.net/cafr/School%20District/2020/AZ%20Cave%20Creek%20Unified%20School%20District%20No.%2093%202020.pdf?sv=2017-07-29&amp;ss=f&amp;srt=sco&amp;sp=r&amp;se=2122-03-17T01:14:46Z&amp;st=2022-03-17T01:14:46Z&amp;spr=https&amp;sig=d4QgExs6Kg%2BIANxU85YxcPNPOCimg4YURQTDSWIEaq8%3D" TargetMode="External"/><Relationship Id="rId57" Type="http://schemas.openxmlformats.org/officeDocument/2006/relationships/hyperlink" Target="https://cafrfindos.file.core.windows.net/cafr/School%20District/2020/AZ%20Glendale%20Union%20High%20School%20District%20No.%20205%202020.pdf?sv=2017-07-29&amp;ss=f&amp;srt=sco&amp;sp=r&amp;se=2122-03-17T01:14:46Z&amp;st=2022-03-17T01:14:46Z&amp;spr=https&amp;sig=d4QgExs6Kg%2BIANxU85YxcPNPOCimg4YURQTDSWIEaq8%3D" TargetMode="External"/><Relationship Id="rId56" Type="http://schemas.openxmlformats.org/officeDocument/2006/relationships/hyperlink" Target="https://cafrfindos.file.core.windows.net/cafr/School%20District/2020/AZ%20Fowler%20Elementary%20School%20District%20No.%2045%202020.pdf?sv=2017-07-29&amp;ss=f&amp;srt=sco&amp;sp=r&amp;se=2122-03-17T01:14:46Z&amp;st=2022-03-17T01:14:46Z&amp;spr=https&amp;sig=d4QgExs6Kg%2BIANxU85YxcPNPOCimg4YURQTDSWIEaq8%3D" TargetMode="External"/><Relationship Id="rId59" Type="http://schemas.openxmlformats.org/officeDocument/2006/relationships/hyperlink" Target="https://cafrfindos.file.core.windows.net/cafr/School%20District/2020/AZ%20Kyrene%20Elementary%20School%20District%20No.%2028%202020.pdf?sv=2017-07-29&amp;ss=f&amp;srt=sco&amp;sp=r&amp;se=2122-03-17T01:14:46Z&amp;st=2022-03-17T01:14:46Z&amp;spr=https&amp;sig=d4QgExs6Kg%2BIANxU85YxcPNPOCimg4YURQTDSWIEaq8%3D" TargetMode="External"/><Relationship Id="rId58" Type="http://schemas.openxmlformats.org/officeDocument/2006/relationships/hyperlink" Target="https://cafrfindos.file.core.windows.net/cafr/School%20District/2020/AZ%20Isaac%20Elementary%20School%20District%20No.5%202020.pdf?sv=2017-07-29&amp;ss=f&amp;srt=sco&amp;sp=r&amp;se=2122-03-17T01:14:46Z&amp;st=2022-03-17T01:14:46Z&amp;spr=https&amp;sig=d4QgExs6Kg%2BIANxU85YxcPNPOCimg4YURQTDSWIEaq8%3D" TargetMode="External"/><Relationship Id="rId107" Type="http://schemas.openxmlformats.org/officeDocument/2006/relationships/hyperlink" Target="https://cafrfindos.file.core.windows.net/cafr/Special%20District/2020/TX%20VIA%20Metropolitan%20Transit%202020.pdf?sv=2017-07-29&amp;ss=f&amp;srt=sco&amp;sp=r&amp;se=2122-03-17T01:14:46Z&amp;st=2022-03-17T01:14:46Z&amp;spr=https&amp;sig=d4QgExs6Kg%2BIANxU85YxcPNPOCimg4YURQTDSWIEaq8%3D" TargetMode="External"/><Relationship Id="rId228" Type="http://schemas.openxmlformats.org/officeDocument/2006/relationships/hyperlink" Target="https://cafrfindos.file.core.windows.net/cafr/School%20District/2020/OH%20Reynoldsburg%20City%20School%20District%202020.pdf?sv=2017-07-29&amp;ss=f&amp;srt=sco&amp;sp=r&amp;se=2122-03-17T01:14:46Z&amp;st=2022-03-17T01:14:46Z&amp;spr=https&amp;sig=d4QgExs6Kg%2BIANxU85YxcPNPOCimg4YURQTDSWIEaq8%3D" TargetMode="External"/><Relationship Id="rId349" Type="http://schemas.openxmlformats.org/officeDocument/2006/relationships/hyperlink" Target="https://cafrfindos.file.core.windows.net/cafr/General%20Purpose/2020/MD%20Baltimore%202020.pdf?sv=2017-07-29&amp;ss=f&amp;srt=sco&amp;sp=r&amp;se=2122-03-17T01:14:46Z&amp;st=2022-03-17T01:14:46Z&amp;spr=https&amp;sig=d4QgExs6Kg%2BIANxU85YxcPNPOCimg4YURQTDSWIEaq8%3D" TargetMode="External"/><Relationship Id="rId106" Type="http://schemas.openxmlformats.org/officeDocument/2006/relationships/hyperlink" Target="https://cafrfindos.file.core.windows.net/cafr/Special%20District/2020/TX%20San%20Antonio%20River%20Authority%202020.pdf?sv=2017-07-29&amp;ss=f&amp;srt=sco&amp;sp=r&amp;se=2122-03-17T01:14:46Z&amp;st=2022-03-17T01:14:46Z&amp;spr=https&amp;sig=d4QgExs6Kg%2BIANxU85YxcPNPOCimg4YURQTDSWIEaq8%3D" TargetMode="External"/><Relationship Id="rId227" Type="http://schemas.openxmlformats.org/officeDocument/2006/relationships/hyperlink" Target="https://cafrfindos.file.core.windows.net/cafr/School%20District/2020/OH%20New%20Albany%20Plain%20Local%20School%20District%202020.pdf?sv=2017-07-29&amp;ss=f&amp;srt=sco&amp;sp=r&amp;se=2122-03-17T01:14:46Z&amp;st=2022-03-17T01:14:46Z&amp;spr=https&amp;sig=d4QgExs6Kg%2BIANxU85YxcPNPOCimg4YURQTDSWIEaq8%3D" TargetMode="External"/><Relationship Id="rId348" Type="http://schemas.openxmlformats.org/officeDocument/2006/relationships/hyperlink" Target="https://cafrfindos.file.core.windows.net/cafr/General%20Purpose/2020/MD%20State%20of%20Maryland%202020.pdf?sv=2017-07-29&amp;ss=f&amp;srt=sco&amp;sp=r&amp;se=2122-03-17T01:14:46Z&amp;st=2022-03-17T01:14:46Z&amp;spr=https&amp;sig=d4QgExs6Kg%2BIANxU85YxcPNPOCimg4YURQTDSWIEaq8%3D" TargetMode="External"/><Relationship Id="rId469" Type="http://schemas.openxmlformats.org/officeDocument/2006/relationships/hyperlink" Target="https://cafrfindos.file.core.windows.net/cafr/Special%20District/2020/CA%20Washington%20Township%20Health%20Care%20District%202020.pdf?sv=2017-07-29&amp;ss=f&amp;srt=sco&amp;sp=r&amp;se=2122-03-17T01:14:46Z&amp;st=2022-03-17T01:14:46Z&amp;spr=https&amp;sig=d4QgExs6Kg%2BIANxU85YxcPNPOCimg4YURQTDSWIEaq8%3D" TargetMode="External"/><Relationship Id="rId105" Type="http://schemas.openxmlformats.org/officeDocument/2006/relationships/hyperlink" Target="https://cafrfindos.file.core.windows.net/cafr/Special%20District/2020/TX%20Housing%20Authority%20of%20the%20City%20of%20San%20Antonio%202020.pdf?sv=2017-07-29&amp;ss=f&amp;srt=sco&amp;sp=r&amp;se=2122-03-17T01:14:46Z&amp;st=2022-03-17T01:14:46Z&amp;spr=https&amp;sig=d4QgExs6Kg%2BIANxU85YxcPNPOCimg4YURQTDSWIEaq8%3D" TargetMode="External"/><Relationship Id="rId226" Type="http://schemas.openxmlformats.org/officeDocument/2006/relationships/hyperlink" Target="https://cafrfindos.file.core.windows.net/cafr/School%20District/2020/OH%20Groveport%20Madison%20Local%20School%20District%202020.pdf?sv=2017-07-29&amp;ss=f&amp;srt=sco&amp;sp=r&amp;se=2122-03-17T01:14:46Z&amp;st=2022-03-17T01:14:46Z&amp;spr=https&amp;sig=d4QgExs6Kg%2BIANxU85YxcPNPOCimg4YURQTDSWIEaq8%3D" TargetMode="External"/><Relationship Id="rId347" Type="http://schemas.openxmlformats.org/officeDocument/2006/relationships/hyperlink" Target="https://cafrfindos.file.core.windows.net/cafr/Special%20District/2020/WI%20Milwaukee%20Metropolitan%20Sewerage%20District%202020.pdf?sv=2017-07-29&amp;ss=f&amp;srt=sco&amp;sp=r&amp;se=2122-03-17T01:14:46Z&amp;st=2022-03-17T01:14:46Z&amp;spr=https&amp;sig=d4QgExs6Kg%2BIANxU85YxcPNPOCimg4YURQTDSWIEaq8%3D" TargetMode="External"/><Relationship Id="rId468" Type="http://schemas.openxmlformats.org/officeDocument/2006/relationships/hyperlink" Target="https://cafrfindos.file.core.windows.net/cafr/Special%20District/2020/CA%20Housing%20Authority%20of%20the%20City%20of%20Oakland%202020.pdf?sv=2017-07-29&amp;ss=f&amp;srt=sco&amp;sp=r&amp;se=2122-03-17T01:14:46Z&amp;st=2022-03-17T01:14:46Z&amp;spr=https&amp;sig=d4QgExs6Kg%2BIANxU85YxcPNPOCimg4YURQTDSWIEaq8%3D" TargetMode="External"/><Relationship Id="rId104" Type="http://schemas.openxmlformats.org/officeDocument/2006/relationships/hyperlink" Target="https://cafrfindos.file.core.windows.net/cafr/School%20District/2020/TX%20Southwest%20Independent%20School%20District%202020.pdf?sv=2017-07-29&amp;ss=f&amp;srt=sco&amp;sp=r&amp;se=2122-03-17T01:14:46Z&amp;st=2022-03-17T01:14:46Z&amp;spr=https&amp;sig=d4QgExs6Kg%2BIANxU85YxcPNPOCimg4YURQTDSWIEaq8%3D" TargetMode="External"/><Relationship Id="rId225" Type="http://schemas.openxmlformats.org/officeDocument/2006/relationships/hyperlink" Target="https://cafrfindos.file.core.windows.net/cafr/School%20District/2020/OH%20Hamilton%20Local%20School%20District%202020.pdf?sv=2017-07-29&amp;ss=f&amp;srt=sco&amp;sp=r&amp;se=2122-03-17T01:14:46Z&amp;st=2022-03-17T01:14:46Z&amp;spr=https&amp;sig=d4QgExs6Kg%2BIANxU85YxcPNPOCimg4YURQTDSWIEaq8%3D" TargetMode="External"/><Relationship Id="rId346" Type="http://schemas.openxmlformats.org/officeDocument/2006/relationships/hyperlink" Target="https://cafrfindos.file.core.windows.net/cafr/School%20District/2020/WI%20Milwaukee%20Public%20Schools%202020.pdf?sv=2017-07-29&amp;ss=f&amp;srt=sco&amp;sp=r&amp;se=2122-03-17T01:14:46Z&amp;st=2022-03-17T01:14:46Z&amp;spr=https&amp;sig=d4QgExs6Kg%2BIANxU85YxcPNPOCimg4YURQTDSWIEaq8%3D" TargetMode="External"/><Relationship Id="rId467" Type="http://schemas.openxmlformats.org/officeDocument/2006/relationships/hyperlink" Target="https://cafrfindos.file.core.windows.net/cafr/Special%20District/2020/CA%20East%20Bay%20Municipal%20Utility%20District%202020.pdf?sv=2017-07-29&amp;ss=f&amp;srt=sco&amp;sp=r&amp;se=2122-03-17T01:14:46Z&amp;st=2022-03-17T01:14:46Z&amp;spr=https&amp;sig=d4QgExs6Kg%2BIANxU85YxcPNPOCimg4YURQTDSWIEaq8%3D" TargetMode="External"/><Relationship Id="rId109" Type="http://schemas.openxmlformats.org/officeDocument/2006/relationships/hyperlink" Target="https://cafrfindos.file.core.windows.net/cafr/General%20Purpose/2020/CA%20San%20Diego%202020.pdf?sv=2017-07-29&amp;ss=f&amp;srt=sco&amp;sp=r&amp;se=2122-03-17T01:14:46Z&amp;st=2022-03-17T01:14:46Z&amp;spr=https&amp;sig=d4QgExs6Kg%2BIANxU85YxcPNPOCimg4YURQTDSWIEaq8%3D" TargetMode="External"/><Relationship Id="rId108"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229" Type="http://schemas.openxmlformats.org/officeDocument/2006/relationships/hyperlink" Target="https://cafrfindos.file.core.windows.net/cafr/School%20District/2020/OH%20Hilliard%20City%20School%20District%202020.pdf?sv=2017-07-29&amp;ss=f&amp;srt=sco&amp;sp=r&amp;se=2122-03-17T01:14:46Z&amp;st=2022-03-17T01:14:46Z&amp;spr=https&amp;sig=d4QgExs6Kg%2BIANxU85YxcPNPOCimg4YURQTDSWIEaq8%3D" TargetMode="External"/><Relationship Id="rId220" Type="http://schemas.openxmlformats.org/officeDocument/2006/relationships/hyperlink" Target="https://cafrfindos.file.core.windows.net/cafr/General%20Purpose/2020/OH%20Fairfield%20County%202020.pdf?sv=2017-07-29&amp;ss=f&amp;srt=sco&amp;sp=r&amp;se=2122-03-17T01:14:46Z&amp;st=2022-03-17T01:14:46Z&amp;spr=https&amp;sig=d4QgExs6Kg%2BIANxU85YxcPNPOCimg4YURQTDSWIEaq8%3D" TargetMode="External"/><Relationship Id="rId341" Type="http://schemas.openxmlformats.org/officeDocument/2006/relationships/hyperlink" Target="https://cafrfindos.file.core.windows.net/cafr/School%20District/2020/KY%20Jefferson%20County%20Board%20of%20Education%202020.pdf?sv=2017-07-29&amp;ss=f&amp;srt=sco&amp;sp=r&amp;se=2122-03-17T01:14:46Z&amp;st=2022-03-17T01:14:46Z&amp;spr=https&amp;sig=d4QgExs6Kg%2BIANxU85YxcPNPOCimg4YURQTDSWIEaq8%3D" TargetMode="External"/><Relationship Id="rId462" Type="http://schemas.openxmlformats.org/officeDocument/2006/relationships/hyperlink" Target="https://cafrfindos.file.core.windows.net/cafr/Special%20District/2020/MN%20Minneapolis%20St.%20Paul%20Metropolitan%20Airports%20Commission%202020.pdf?sv=2017-07-29&amp;ss=f&amp;srt=sco&amp;sp=r&amp;se=2122-03-17T01:14:46Z&amp;st=2022-03-17T01:14:46Z&amp;spr=https&amp;sig=d4QgExs6Kg%2BIANxU85YxcPNPOCimg4YURQTDSWIEaq8%3D" TargetMode="External"/><Relationship Id="rId340" Type="http://schemas.openxmlformats.org/officeDocument/2006/relationships/hyperlink" Target="https://cafrfindos.file.core.windows.net/cafr/General%20Purpose/2020/KY%20Louisville-Jefferson%20County%202020.pdf?sv=2017-07-29&amp;ss=f&amp;srt=sco&amp;sp=r&amp;se=2122-03-17T01:14:46Z&amp;st=2022-03-17T01:14:46Z&amp;spr=https&amp;sig=d4QgExs6Kg%2BIANxU85YxcPNPOCimg4YURQTDSWIEaq8%3D" TargetMode="External"/><Relationship Id="rId461" Type="http://schemas.openxmlformats.org/officeDocument/2006/relationships/hyperlink" Target="https://cafrfindos.file.core.windows.net/cafr/Special%20District/2020/MN%20Minneapolis%20Public%20Housing%20Authority%202020.pdf?sv=2017-07-29&amp;ss=f&amp;srt=sco&amp;sp=r&amp;se=2122-03-17T01:14:46Z&amp;st=2022-03-17T01:14:46Z&amp;spr=https&amp;sig=d4QgExs6Kg%2BIANxU85YxcPNPOCimg4YURQTDSWIEaq8%3D" TargetMode="External"/><Relationship Id="rId460" Type="http://schemas.openxmlformats.org/officeDocument/2006/relationships/hyperlink" Target="https://cafrfindos.file.core.windows.net/cafr/School%20District/2020/MN%20Minneapolis%20Special%20School%20District%20No.1%202020.pdf?sv=2017-07-29&amp;ss=f&amp;srt=sco&amp;sp=r&amp;se=2122-03-17T01:14:46Z&amp;st=2022-03-17T01:14:46Z&amp;spr=https&amp;sig=d4QgExs6Kg%2BIANxU85YxcPNPOCimg4YURQTDSWIEaq8%3D" TargetMode="External"/><Relationship Id="rId103" Type="http://schemas.openxmlformats.org/officeDocument/2006/relationships/hyperlink" Target="https://cafrfindos.file.core.windows.net/cafr/School%20District/2020/TX%20Southside%20Independent%20School%20District%202020.pdf?sv=2017-07-29&amp;ss=f&amp;srt=sco&amp;sp=r&amp;se=2122-03-17T01:14:46Z&amp;st=2022-03-17T01:14:46Z&amp;spr=https&amp;sig=d4QgExs6Kg%2BIANxU85YxcPNPOCimg4YURQTDSWIEaq8%3D" TargetMode="External"/><Relationship Id="rId224" Type="http://schemas.openxmlformats.org/officeDocument/2006/relationships/hyperlink" Target="https://cafrfindos.file.core.windows.net/cafr/School%20District/2020/OH%20Columbus%20City%20School%20District%202020.pdf?sv=2017-07-29&amp;ss=f&amp;srt=sco&amp;sp=r&amp;se=2122-03-17T01:14:46Z&amp;st=2022-03-17T01:14:46Z&amp;spr=https&amp;sig=d4QgExs6Kg%2BIANxU85YxcPNPOCimg4YURQTDSWIEaq8%3D" TargetMode="External"/><Relationship Id="rId345" Type="http://schemas.openxmlformats.org/officeDocument/2006/relationships/hyperlink" Target="https://cafrfindos.file.core.windows.net/cafr/General%20Purpose/2020/WI%20Milwaukee%20County%202020.pdf?sv=2017-07-29&amp;ss=f&amp;srt=sco&amp;sp=r&amp;se=2122-03-17T01:14:46Z&amp;st=2022-03-17T01:14:46Z&amp;spr=https&amp;sig=d4QgExs6Kg%2BIANxU85YxcPNPOCimg4YURQTDSWIEaq8%3D" TargetMode="External"/><Relationship Id="rId466" Type="http://schemas.openxmlformats.org/officeDocument/2006/relationships/hyperlink" Target="https://cafrfindos.file.core.windows.net/cafr/School%20District/2020/CA%20Oakland%20Unified%20School%20District%202020.pdf?sv=2017-07-29&amp;ss=f&amp;srt=sco&amp;sp=r&amp;se=2122-03-17T01:14:46Z&amp;st=2022-03-17T01:14:46Z&amp;spr=https&amp;sig=d4QgExs6Kg%2BIANxU85YxcPNPOCimg4YURQTDSWIEaq8%3D" TargetMode="External"/><Relationship Id="rId102" Type="http://schemas.openxmlformats.org/officeDocument/2006/relationships/hyperlink" Target="https://cafrfindos.file.core.windows.net/cafr/School%20District/2020/TX%20South%20San%20Antonio%20Independent%20School%20District%202020.pdf?sv=2017-07-29&amp;ss=f&amp;srt=sco&amp;sp=r&amp;se=2122-03-17T01:14:46Z&amp;st=2022-03-17T01:14:46Z&amp;spr=https&amp;sig=d4QgExs6Kg%2BIANxU85YxcPNPOCimg4YURQTDSWIEaq8%3D" TargetMode="External"/><Relationship Id="rId223" Type="http://schemas.openxmlformats.org/officeDocument/2006/relationships/hyperlink" Target="https://cafrfindos.file.core.windows.net/cafr/School%20District/2020/OH%20Canal%20Winchester%20Local%20School%20District%202020.pdf?sv=2017-07-29&amp;ss=f&amp;srt=sco&amp;sp=r&amp;se=2122-03-17T01:14:46Z&amp;st=2022-03-17T01:14:46Z&amp;spr=https&amp;sig=d4QgExs6Kg%2BIANxU85YxcPNPOCimg4YURQTDSWIEaq8%3D" TargetMode="External"/><Relationship Id="rId344" Type="http://schemas.openxmlformats.org/officeDocument/2006/relationships/hyperlink" Target="https://cafrfindos.file.core.windows.net/cafr/General%20Purpose/2020/WI%20Milwaukee%202020.pdf?sv=2017-07-29&amp;ss=f&amp;srt=sco&amp;sp=r&amp;se=2122-03-17T01:14:46Z&amp;st=2022-03-17T01:14:46Z&amp;spr=https&amp;sig=d4QgExs6Kg%2BIANxU85YxcPNPOCimg4YURQTDSWIEaq8%3D" TargetMode="External"/><Relationship Id="rId465" Type="http://schemas.openxmlformats.org/officeDocument/2006/relationships/hyperlink" Target="https://cafrfindos.file.core.windows.net/cafr/General%20Purpose/2020/CA%20Alameda%20County%202020.pdf?sv=2017-07-29&amp;ss=f&amp;srt=sco&amp;sp=r&amp;se=2122-03-17T01:14:46Z&amp;st=2022-03-17T01:14:46Z&amp;spr=https&amp;sig=d4QgExs6Kg%2BIANxU85YxcPNPOCimg4YURQTDSWIEaq8%3D" TargetMode="External"/><Relationship Id="rId101" Type="http://schemas.openxmlformats.org/officeDocument/2006/relationships/hyperlink" Target="https://cafrfindos.file.core.windows.net/cafr/School%20District/2020/TX%20San%20Antonio%20Independent%20School%20District%202020.pdf?sv=2017-07-29&amp;ss=f&amp;srt=sco&amp;sp=r&amp;se=2122-03-17T01:14:46Z&amp;st=2022-03-17T01:14:46Z&amp;spr=https&amp;sig=d4QgExs6Kg%2BIANxU85YxcPNPOCimg4YURQTDSWIEaq8%3D" TargetMode="External"/><Relationship Id="rId222" Type="http://schemas.openxmlformats.org/officeDocument/2006/relationships/hyperlink" Target="https://cafrfindos.file.core.windows.net/cafr/School%20District/2020/OH%20Olentangy%20Local%20School%20District%202020.pdf?sv=2017-07-29&amp;ss=f&amp;srt=sco&amp;sp=r&amp;se=2122-03-17T01:14:46Z&amp;st=2022-03-17T01:14:46Z&amp;spr=https&amp;sig=d4QgExs6Kg%2BIANxU85YxcPNPOCimg4YURQTDSWIEaq8%3D" TargetMode="External"/><Relationship Id="rId343" Type="http://schemas.openxmlformats.org/officeDocument/2006/relationships/hyperlink" Target="https://cafrfindos.file.core.windows.net/cafr/General%20Purpose/2020/WI%20State%20of%20Wisconsin%202020.pdf?sv=2017-07-29&amp;ss=f&amp;srt=sco&amp;sp=r&amp;se=2122-03-17T01:14:46Z&amp;st=2022-03-17T01:14:46Z&amp;spr=https&amp;sig=d4QgExs6Kg%2BIANxU85YxcPNPOCimg4YURQTDSWIEaq8%3D" TargetMode="External"/><Relationship Id="rId464" Type="http://schemas.openxmlformats.org/officeDocument/2006/relationships/hyperlink" Target="https://cafrfindos.file.core.windows.net/cafr/General%20Purpose/2020/CA%20Oakland%202020.pdf?sv=2017-07-29&amp;ss=f&amp;srt=sco&amp;sp=r&amp;se=2122-03-17T01:14:46Z&amp;st=2022-03-17T01:14:46Z&amp;spr=https&amp;sig=d4QgExs6Kg%2BIANxU85YxcPNPOCimg4YURQTDSWIEaq8%3D" TargetMode="External"/><Relationship Id="rId100" Type="http://schemas.openxmlformats.org/officeDocument/2006/relationships/hyperlink" Target="https://cafrfindos.file.core.windows.net/cafr/School%20District/2020/TX%20Northside%20Independent%20School%20District%202020.pdf?sv=2017-07-29&amp;ss=f&amp;srt=sco&amp;sp=r&amp;se=2122-03-17T01:14:46Z&amp;st=2022-03-17T01:14:46Z&amp;spr=https&amp;sig=d4QgExs6Kg%2BIANxU85YxcPNPOCimg4YURQTDSWIEaq8%3D" TargetMode="External"/><Relationship Id="rId221" Type="http://schemas.openxmlformats.org/officeDocument/2006/relationships/hyperlink" Target="https://cafrfindos.file.core.windows.net/cafr/General%20Purpose/2020/OH%20Delaware%20County%202020.pdf?sv=2017-07-29&amp;ss=f&amp;srt=sco&amp;sp=r&amp;se=2122-03-17T01:14:46Z&amp;st=2022-03-17T01:14:46Z&amp;spr=https&amp;sig=d4QgExs6Kg%2BIANxU85YxcPNPOCimg4YURQTDSWIEaq8%3D" TargetMode="External"/><Relationship Id="rId342" Type="http://schemas.openxmlformats.org/officeDocument/2006/relationships/hyperlink" Target="https://cafrfindos.file.core.windows.net/cafr/Special%20District/2020/KY%20Louisville%20and%20Jefferson%20County%20Metropolitan%20Sewer%20District%202020.pdf?sv=2017-07-29&amp;ss=f&amp;srt=sco&amp;sp=r&amp;se=2122-03-17T01:14:46Z&amp;st=2022-03-17T01:14:46Z&amp;spr=https&amp;sig=d4QgExs6Kg%2BIANxU85YxcPNPOCimg4YURQTDSWIEaq8%3D" TargetMode="External"/><Relationship Id="rId463"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217" Type="http://schemas.openxmlformats.org/officeDocument/2006/relationships/hyperlink" Target="https://cafrfindos.file.core.windows.net/cafr/General%20Purpose/2020/OH%20State%20of%20Ohio%202020.pdf?sv=2017-07-29&amp;ss=f&amp;srt=sco&amp;sp=r&amp;se=2122-03-17T01:14:46Z&amp;st=2022-03-17T01:14:46Z&amp;spr=https&amp;sig=d4QgExs6Kg%2BIANxU85YxcPNPOCimg4YURQTDSWIEaq8%3D" TargetMode="External"/><Relationship Id="rId338" Type="http://schemas.openxmlformats.org/officeDocument/2006/relationships/hyperlink" Target="https://cafrfindos.file.core.windows.net/cafr/Special%20District/2020/TN%20Memphis-Shelby%20County%20Airport%20Authority%202020.pdf?sv=2017-07-29&amp;ss=f&amp;srt=sco&amp;sp=r&amp;se=2122-03-17T01:14:46Z&amp;st=2022-03-17T01:14:46Z&amp;spr=https&amp;sig=d4QgExs6Kg%2BIANxU85YxcPNPOCimg4YURQTDSWIEaq8%3D" TargetMode="External"/><Relationship Id="rId459" Type="http://schemas.openxmlformats.org/officeDocument/2006/relationships/hyperlink" Target="https://cafrfindos.file.core.windows.net/cafr/General%20Purpose/2020/MN%20Hennepin%20County%202020.pdf?sv=2017-07-29&amp;ss=f&amp;srt=sco&amp;sp=r&amp;se=2122-03-17T01:14:46Z&amp;st=2022-03-17T01:14:46Z&amp;spr=https&amp;sig=d4QgExs6Kg%2BIANxU85YxcPNPOCimg4YURQTDSWIEaq8%3D" TargetMode="External"/><Relationship Id="rId216" Type="http://schemas.openxmlformats.org/officeDocument/2006/relationships/hyperlink" Target="https://cafrfindos.file.core.windows.net/cafr/Special%20District/2020/FL%20Jacksonville%20Housing%20Authority%202020.pdf?sv=2017-07-29&amp;ss=f&amp;srt=sco&amp;sp=r&amp;se=2122-03-17T01:14:46Z&amp;st=2022-03-17T01:14:46Z&amp;spr=https&amp;sig=d4QgExs6Kg%2BIANxU85YxcPNPOCimg4YURQTDSWIEaq8%3D" TargetMode="External"/><Relationship Id="rId337" Type="http://schemas.openxmlformats.org/officeDocument/2006/relationships/hyperlink" Target="https://cafrfindos.file.core.windows.net/cafr/Special%20District/2020/TN%20Memphis%20Housing%20Authority%202020.pdf?sv=2017-07-29&amp;ss=f&amp;srt=sco&amp;sp=r&amp;se=2122-03-17T01:14:46Z&amp;st=2022-03-17T01:14:46Z&amp;spr=https&amp;sig=d4QgExs6Kg%2BIANxU85YxcPNPOCimg4YURQTDSWIEaq8%3D" TargetMode="External"/><Relationship Id="rId458" Type="http://schemas.openxmlformats.org/officeDocument/2006/relationships/hyperlink" Target="https://cafrfindos.file.core.windows.net/cafr/General%20Purpose/2020/MN%20Minneapolis%202020.pdf?sv=2017-07-29&amp;ss=f&amp;srt=sco&amp;sp=r&amp;se=2122-03-17T01:14:46Z&amp;st=2022-03-17T01:14:46Z&amp;spr=https&amp;sig=d4QgExs6Kg%2BIANxU85YxcPNPOCimg4YURQTDSWIEaq8%3D" TargetMode="External"/><Relationship Id="rId215" Type="http://schemas.openxmlformats.org/officeDocument/2006/relationships/hyperlink" Target="https://cafrfindos.file.core.windows.net/cafr/School%20District/2020/FL%20Duval%20County%20Public%20Schools%202020.pdf?sv=2017-07-29&amp;ss=f&amp;srt=sco&amp;sp=r&amp;se=2122-03-17T01:14:46Z&amp;st=2022-03-17T01:14:46Z&amp;spr=https&amp;sig=d4QgExs6Kg%2BIANxU85YxcPNPOCimg4YURQTDSWIEaq8%3D" TargetMode="External"/><Relationship Id="rId336" Type="http://schemas.openxmlformats.org/officeDocument/2006/relationships/hyperlink" Target="https://cafrfindos.file.core.windows.net/cafr/General%20Purpose/2020/TN%20Shelby%20County%202020.pdf?sv=2017-07-29&amp;ss=f&amp;srt=sco&amp;sp=r&amp;se=2122-03-17T01:14:46Z&amp;st=2022-03-17T01:14:46Z&amp;spr=https&amp;sig=d4QgExs6Kg%2BIANxU85YxcPNPOCimg4YURQTDSWIEaq8%3D" TargetMode="External"/><Relationship Id="rId457" Type="http://schemas.openxmlformats.org/officeDocument/2006/relationships/hyperlink" Target="https://cafrfindos.file.core.windows.net/cafr/General%20Purpose/2020/MN%20State%20of%20Minnesota%202020.pdf?sv=2017-07-29&amp;ss=f&amp;srt=sco&amp;sp=r&amp;se=2122-03-17T01:14:46Z&amp;st=2022-03-17T01:14:46Z&amp;spr=https&amp;sig=d4QgExs6Kg%2BIANxU85YxcPNPOCimg4YURQTDSWIEaq8%3D" TargetMode="External"/><Relationship Id="rId214" Type="http://schemas.openxmlformats.org/officeDocument/2006/relationships/hyperlink" Target="https://cafrfindos.file.core.windows.net/cafr/General%20Purpose/2020/FL%20Jacksonville%202020.pdf?sv=2017-07-29&amp;ss=f&amp;srt=sco&amp;sp=r&amp;se=2122-03-17T01:14:46Z&amp;st=2022-03-17T01:14:46Z&amp;spr=https&amp;sig=d4QgExs6Kg%2BIANxU85YxcPNPOCimg4YURQTDSWIEaq8%3D" TargetMode="External"/><Relationship Id="rId335" Type="http://schemas.openxmlformats.org/officeDocument/2006/relationships/hyperlink" Target="https://cafrfindos.file.core.windows.net/cafr/General%20Purpose/2020/TN%20Memphis%202020.pdf?sv=2017-07-29&amp;ss=f&amp;srt=sco&amp;sp=r&amp;se=2122-03-17T01:14:46Z&amp;st=2022-03-17T01:14:46Z&amp;spr=https&amp;sig=d4QgExs6Kg%2BIANxU85YxcPNPOCimg4YURQTDSWIEaq8%3D" TargetMode="External"/><Relationship Id="rId456" Type="http://schemas.openxmlformats.org/officeDocument/2006/relationships/hyperlink" Target="https://cafrfindos.file.core.windows.net/cafr/Special%20District/2020/VA%20Chesapeake%20Hospital%20Authority%202020.pdf?sv=2017-07-29&amp;ss=f&amp;srt=sco&amp;sp=r&amp;se=2122-03-17T01:14:46Z&amp;st=2022-03-17T01:14:46Z&amp;spr=https&amp;sig=d4QgExs6Kg%2BIANxU85YxcPNPOCimg4YURQTDSWIEaq8%3D" TargetMode="External"/><Relationship Id="rId219" Type="http://schemas.openxmlformats.org/officeDocument/2006/relationships/hyperlink" Target="https://cafrfindos.file.core.windows.net/cafr/General%20Purpose/2020/OH%20Franklin%20County%202020.pdf?sv=2017-07-29&amp;ss=f&amp;srt=sco&amp;sp=r&amp;se=2122-03-17T01:14:46Z&amp;st=2022-03-17T01:14:46Z&amp;spr=https&amp;sig=d4QgExs6Kg%2BIANxU85YxcPNPOCimg4YURQTDSWIEaq8%3D" TargetMode="External"/><Relationship Id="rId218" Type="http://schemas.openxmlformats.org/officeDocument/2006/relationships/hyperlink" Target="https://cafrfindos.file.core.windows.net/cafr/General%20Purpose/2020/OH%20Columbus%202020.pdf?sv=2017-07-29&amp;ss=f&amp;srt=sco&amp;sp=r&amp;se=2122-03-17T01:14:46Z&amp;st=2022-03-17T01:14:46Z&amp;spr=https&amp;sig=d4QgExs6Kg%2BIANxU85YxcPNPOCimg4YURQTDSWIEaq8%3D" TargetMode="External"/><Relationship Id="rId339" Type="http://schemas.openxmlformats.org/officeDocument/2006/relationships/hyperlink" Target="https://cafrfindos.file.core.windows.net/cafr/General%20Purpose/2020/KY%20Commonwealth%20of%20Kentucky%202020.pdf?sv=2017-07-29&amp;ss=f&amp;srt=sco&amp;sp=r&amp;se=2122-03-17T01:14:46Z&amp;st=2022-03-17T01:14:46Z&amp;spr=https&amp;sig=d4QgExs6Kg%2BIANxU85YxcPNPOCimg4YURQTDSWIEaq8%3D" TargetMode="External"/><Relationship Id="rId330" Type="http://schemas.openxmlformats.org/officeDocument/2006/relationships/hyperlink" Target="https://cafrfindos.file.core.windows.net/cafr/Special%20District/2020/OR%20Home%20Forward%202020.pdf?sv=2017-07-29&amp;ss=f&amp;srt=sco&amp;sp=r&amp;se=2122-03-17T01:14:46Z&amp;st=2022-03-17T01:14:46Z&amp;spr=https&amp;sig=d4QgExs6Kg%2BIANxU85YxcPNPOCimg4YURQTDSWIEaq8%3D" TargetMode="External"/><Relationship Id="rId451" Type="http://schemas.openxmlformats.org/officeDocument/2006/relationships/hyperlink" Target="https://cafrfindos.file.core.windows.net/cafr/Special%20District/2020/CA%20Southern%20California%20Regional%20Rail%20Authority%202020.pdf?sv=2017-07-29&amp;ss=f&amp;srt=sco&amp;sp=r&amp;se=2122-03-17T01:14:46Z&amp;st=2022-03-17T01:14:46Z&amp;spr=https&amp;sig=d4QgExs6Kg%2BIANxU85YxcPNPOCimg4YURQTDSWIEaq8%3D" TargetMode="External"/><Relationship Id="rId450" Type="http://schemas.openxmlformats.org/officeDocument/2006/relationships/hyperlink" Target="https://cafrfindos.file.core.windows.net/cafr/Special%20District/2020/CA%20The%20Metropolitan%20Water%20District%20of%20Southern%20California%202020.pdf?sv=2017-07-29&amp;ss=f&amp;srt=sco&amp;sp=r&amp;se=2122-03-17T01:14:46Z&amp;st=2022-03-17T01:14:46Z&amp;spr=https&amp;sig=d4QgExs6Kg%2BIANxU85YxcPNPOCimg4YURQTDSWIEaq8%3D" TargetMode="External"/><Relationship Id="rId213" Type="http://schemas.openxmlformats.org/officeDocument/2006/relationships/hyperlink" Target="https://cafrfindos.file.core.windows.net/cafr/General%20Purpose/2020/FL%20State%20of%20Florida%202020.pdf?sv=2017-07-29&amp;ss=f&amp;srt=sco&amp;sp=r&amp;se=2122-03-17T01:14:46Z&amp;st=2022-03-17T01:14:46Z&amp;spr=https&amp;sig=d4QgExs6Kg%2BIANxU85YxcPNPOCimg4YURQTDSWIEaq8%3D" TargetMode="External"/><Relationship Id="rId334" Type="http://schemas.openxmlformats.org/officeDocument/2006/relationships/hyperlink" Target="https://cafrfindos.file.core.windows.net/cafr/General%20Purpose/2020/TN%20State%20of%20Tennessee%202020.pdf?sv=2017-07-29&amp;ss=f&amp;srt=sco&amp;sp=r&amp;se=2122-03-17T01:14:46Z&amp;st=2022-03-17T01:14:46Z&amp;spr=https&amp;sig=d4QgExs6Kg%2BIANxU85YxcPNPOCimg4YURQTDSWIEaq8%3D" TargetMode="External"/><Relationship Id="rId455" Type="http://schemas.openxmlformats.org/officeDocument/2006/relationships/hyperlink" Target="https://cafrfindos.file.core.windows.net/cafr/General%20Purpose/2020/VA%20Virginia%20Beach%202020.pdf?sv=2017-07-29&amp;ss=f&amp;srt=sco&amp;sp=r&amp;se=2122-03-17T01:14:46Z&amp;st=2022-03-17T01:14:46Z&amp;spr=https&amp;sig=d4QgExs6Kg%2BIANxU85YxcPNPOCimg4YURQTDSWIEaq8%3D" TargetMode="External"/><Relationship Id="rId212" Type="http://schemas.openxmlformats.org/officeDocument/2006/relationships/hyperlink" Target="https://cafrfindos.file.core.windows.net/cafr/Special%20District/2020/TX%20Fort%20Worth%20Transportation%20Authority%202020.pdf?sv=2017-07-29&amp;ss=f&amp;srt=sco&amp;sp=r&amp;se=2122-03-17T01:14:46Z&amp;st=2022-03-17T01:14:46Z&amp;spr=https&amp;sig=d4QgExs6Kg%2BIANxU85YxcPNPOCimg4YURQTDSWIEaq8%3D" TargetMode="External"/><Relationship Id="rId333" Type="http://schemas.openxmlformats.org/officeDocument/2006/relationships/hyperlink" Target="https://cafrfindos.file.core.windows.net/cafr/Special%20District/2020/OR%20Metro%202020.pdf?sv=2017-07-29&amp;ss=f&amp;srt=sco&amp;sp=r&amp;se=2122-03-17T01:14:46Z&amp;st=2022-03-17T01:14:46Z&amp;spr=https&amp;sig=d4QgExs6Kg%2BIANxU85YxcPNPOCimg4YURQTDSWIEaq8%3D" TargetMode="External"/><Relationship Id="rId454" Type="http://schemas.openxmlformats.org/officeDocument/2006/relationships/hyperlink" Target="https://cafrfindos.file.core.windows.net/cafr/General%20Purpose/2020/VA%20Commonwealth%20of%20Virginia%202020.pdf?sv=2017-07-29&amp;ss=f&amp;srt=sco&amp;sp=r&amp;se=2122-03-17T01:14:46Z&amp;st=2022-03-17T01:14:46Z&amp;spr=https&amp;sig=d4QgExs6Kg%2BIANxU85YxcPNPOCimg4YURQTDSWIEaq8%3D" TargetMode="External"/><Relationship Id="rId211" Type="http://schemas.openxmlformats.org/officeDocument/2006/relationships/hyperlink" Target="https://cafrfindos.file.core.windows.net/cafr/Special%20District/2020/TX%20Tarrant%20Regional%20Water%20District%202020.pdf?sv=2017-07-29&amp;ss=f&amp;srt=sco&amp;sp=r&amp;se=2122-03-17T01:14:46Z&amp;st=2022-03-17T01:14:46Z&amp;spr=https&amp;sig=d4QgExs6Kg%2BIANxU85YxcPNPOCimg4YURQTDSWIEaq8%3D" TargetMode="External"/><Relationship Id="rId332" Type="http://schemas.openxmlformats.org/officeDocument/2006/relationships/hyperlink" Target="https://cafrfindos.file.core.windows.net/cafr/Special%20District/2020/OR%20Tri-County%20Metropolitan%20Transportation%20District%20of%20Oregon%202020.pdf?sv=2017-07-29&amp;ss=f&amp;srt=sco&amp;sp=r&amp;se=2122-03-17T01:14:46Z&amp;st=2022-03-17T01:14:46Z&amp;spr=https&amp;sig=d4QgExs6Kg%2BIANxU85YxcPNPOCimg4YURQTDSWIEaq8%3D" TargetMode="External"/><Relationship Id="rId453" Type="http://schemas.openxmlformats.org/officeDocument/2006/relationships/hyperlink" Target="https://cafrfindos.file.core.windows.net/cafr/Special%20District/2020/CA%20South%20Coast%20Air%20Quality%20Management%20District%202020.pdf?sv=2017-07-29&amp;ss=f&amp;srt=sco&amp;sp=r&amp;se=2122-03-17T01:14:46Z&amp;st=2022-03-17T01:14:46Z&amp;spr=https&amp;sig=d4QgExs6Kg%2BIANxU85YxcPNPOCimg4YURQTDSWIEaq8%3D" TargetMode="External"/><Relationship Id="rId210" Type="http://schemas.openxmlformats.org/officeDocument/2006/relationships/hyperlink" Target="https://cafrfindos.file.core.windows.net/cafr/Special%20District/2020/TX%20North%20Texas%20Tollway%20Authority%202020.pdf?sv=2017-07-29&amp;ss=f&amp;srt=sco&amp;sp=r&amp;se=2122-03-17T01:14:46Z&amp;st=2022-03-17T01:14:46Z&amp;spr=https&amp;sig=d4QgExs6Kg%2BIANxU85YxcPNPOCimg4YURQTDSWIEaq8%3D" TargetMode="External"/><Relationship Id="rId331" Type="http://schemas.openxmlformats.org/officeDocument/2006/relationships/hyperlink" Target="https://cafrfindos.file.core.windows.net/cafr/Special%20District/2020/OR%20Port%20of%20Portland%202020.pdf?sv=2017-07-29&amp;ss=f&amp;srt=sco&amp;sp=r&amp;se=2122-03-17T01:14:46Z&amp;st=2022-03-17T01:14:46Z&amp;spr=https&amp;sig=d4QgExs6Kg%2BIANxU85YxcPNPOCimg4YURQTDSWIEaq8%3D" TargetMode="External"/><Relationship Id="rId452" Type="http://schemas.openxmlformats.org/officeDocument/2006/relationships/hyperlink" Target="https://cafrfindos.file.core.windows.net/cafr/Special%20District/2020/CA%20Alameda%20Corridor%20Transportation%20Authority%202020.pdf?sv=2017-07-29&amp;ss=f&amp;srt=sco&amp;sp=r&amp;se=2122-03-17T01:14:46Z&amp;st=2022-03-17T01:14:46Z&amp;spr=https&amp;sig=d4QgExs6Kg%2BIANxU85YxcPNPOCimg4YURQTDSWIEaq8%3D" TargetMode="External"/><Relationship Id="rId370" Type="http://schemas.openxmlformats.org/officeDocument/2006/relationships/hyperlink" Target="https://cafrfindos.file.core.windows.net/cafr/General%20Purpose/2020/AZ%20Mesa%202020.pdf?sv=2017-07-29&amp;ss=f&amp;srt=sco&amp;sp=r&amp;se=2122-03-17T01:14:46Z&amp;st=2022-03-17T01:14:46Z&amp;spr=https&amp;sig=d4QgExs6Kg%2BIANxU85YxcPNPOCimg4YURQTDSWIEaq8%3D" TargetMode="External"/><Relationship Id="rId491" Type="http://schemas.openxmlformats.org/officeDocument/2006/relationships/hyperlink" Target="https://cafrfindos.file.core.windows.net/cafr/School%20District/2020/OK%20Jenks%20Public%20School%20District%20No.%20I-5%202020.pdf?sv=2017-07-29&amp;ss=f&amp;srt=sco&amp;sp=r&amp;se=2122-03-17T01:14:46Z&amp;st=2022-03-17T01:14:46Z&amp;spr=https&amp;sig=d4QgExs6Kg%2BIANxU85YxcPNPOCimg4YURQTDSWIEaq8%3D" TargetMode="External"/><Relationship Id="rId490" Type="http://schemas.openxmlformats.org/officeDocument/2006/relationships/hyperlink" Target="https://cafrfindos.file.core.windows.net/cafr/School%20District/2020/OK%20Broken%20Arrow%20Public%20School%20District%20No.I-003%202020.pdf?sv=2017-07-29&amp;ss=f&amp;srt=sco&amp;sp=r&amp;se=2122-03-17T01:14:46Z&amp;st=2022-03-17T01:14:46Z&amp;spr=https&amp;sig=d4QgExs6Kg%2BIANxU85YxcPNPOCimg4YURQTDSWIEaq8%3D" TargetMode="External"/><Relationship Id="rId129" Type="http://schemas.openxmlformats.org/officeDocument/2006/relationships/hyperlink" Target="https://cafrfindos.file.core.windows.net/cafr/Special%20District/2020/CA%20San%20Diego%20Metropolitan%20Transit%20System%202020.pdf?sv=2017-07-29&amp;ss=f&amp;srt=sco&amp;sp=r&amp;se=2122-03-17T01:14:46Z&amp;st=2022-03-17T01:14:46Z&amp;spr=https&amp;sig=d4QgExs6Kg%2BIANxU85YxcPNPOCimg4YURQTDSWIEaq8%3D" TargetMode="External"/><Relationship Id="rId128" Type="http://schemas.openxmlformats.org/officeDocument/2006/relationships/hyperlink" Target="https://cafrfindos.file.core.windows.net/cafr/Special%20District/2020/CA%20San%20Diego%20County%20Regional%20Airport%20Authority%202020.pdf?sv=2017-07-29&amp;ss=f&amp;srt=sco&amp;sp=r&amp;se=2122-03-17T01:14:46Z&amp;st=2022-03-17T01:14:46Z&amp;spr=https&amp;sig=d4QgExs6Kg%2BIANxU85YxcPNPOCimg4YURQTDSWIEaq8%3D" TargetMode="External"/><Relationship Id="rId249" Type="http://schemas.openxmlformats.org/officeDocument/2006/relationships/hyperlink" Target="https://cafrfindos.file.core.windows.net/cafr/School%20District/2020/CA%20San%20Francisco%20Unified%20School%20District%202020.pdf?sv=2017-07-29&amp;ss=f&amp;srt=sco&amp;sp=r&amp;se=2122-03-17T01:14:46Z&amp;st=2022-03-17T01:14:46Z&amp;spr=https&amp;sig=d4QgExs6Kg%2BIANxU85YxcPNPOCimg4YURQTDSWIEaq8%3D" TargetMode="External"/><Relationship Id="rId127" Type="http://schemas.openxmlformats.org/officeDocument/2006/relationships/hyperlink" Target="https://cafrfindos.file.core.windows.net/cafr/Special%20District/2020/CA%20San%20Diego%20County%20Water%20Authority%202020.pdf?sv=2017-07-29&amp;ss=f&amp;srt=sco&amp;sp=r&amp;se=2122-03-17T01:14:46Z&amp;st=2022-03-17T01:14:46Z&amp;spr=https&amp;sig=d4QgExs6Kg%2BIANxU85YxcPNPOCimg4YURQTDSWIEaq8%3D" TargetMode="External"/><Relationship Id="rId248" Type="http://schemas.openxmlformats.org/officeDocument/2006/relationships/hyperlink" Target="https://cafrfindos.file.core.windows.net/cafr/General%20Purpose/2020/CA%20San%20Francisco%202020.pdf?sv=2017-07-29&amp;ss=f&amp;srt=sco&amp;sp=r&amp;se=2122-03-17T01:14:46Z&amp;st=2022-03-17T01:14:46Z&amp;spr=https&amp;sig=d4QgExs6Kg%2BIANxU85YxcPNPOCimg4YURQTDSWIEaq8%3D" TargetMode="External"/><Relationship Id="rId369" Type="http://schemas.openxmlformats.org/officeDocument/2006/relationships/hyperlink" Target="https://cafrfindos.file.core.windows.net/cafr/General%20Purpose/2020/AZ%20State%20of%20Arizona%202020.pdf?sv=2017-07-29&amp;ss=f&amp;srt=sco&amp;sp=r&amp;se=2122-03-17T01:14:46Z&amp;st=2022-03-17T01:14:46Z&amp;spr=https&amp;sig=d4QgExs6Kg%2BIANxU85YxcPNPOCimg4YURQTDSWIEaq8%3D" TargetMode="External"/><Relationship Id="rId126" Type="http://schemas.openxmlformats.org/officeDocument/2006/relationships/hyperlink" Target="https://cafrfindos.file.core.windows.net/cafr/Special%20District/2020/CA%20Southern%20California%20Regional%20Rail%20Authority%202020.pdf?sv=2017-07-29&amp;ss=f&amp;srt=sco&amp;sp=r&amp;se=2122-03-17T01:14:46Z&amp;st=2022-03-17T01:14:46Z&amp;spr=https&amp;sig=d4QgExs6Kg%2BIANxU85YxcPNPOCimg4YURQTDSWIEaq8%3D" TargetMode="External"/><Relationship Id="rId247"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368" Type="http://schemas.openxmlformats.org/officeDocument/2006/relationships/hyperlink" Target="https://cafrfindos.file.core.windows.net/cafr/Special%20District/2020/CA%20Housing%20Authority%20of%20Fresno%20County%202020.pdf?sv=2017-07-29&amp;ss=f&amp;srt=sco&amp;sp=r&amp;se=2122-03-17T01:14:46Z&amp;st=2022-03-17T01:14:46Z&amp;spr=https&amp;sig=d4QgExs6Kg%2BIANxU85YxcPNPOCimg4YURQTDSWIEaq8%3D" TargetMode="External"/><Relationship Id="rId489" Type="http://schemas.openxmlformats.org/officeDocument/2006/relationships/hyperlink" Target="https://cafrfindos.file.core.windows.net/cafr/School%20District/2020/OK%20Catoosa%20Public%20Schools%20I-2%202020.pdf?sv=2017-07-29&amp;ss=f&amp;srt=sco&amp;sp=r&amp;se=2122-03-17T01:14:46Z&amp;st=2022-03-17T01:14:46Z&amp;spr=https&amp;sig=d4QgExs6Kg%2BIANxU85YxcPNPOCimg4YURQTDSWIEaq8%3D" TargetMode="External"/><Relationship Id="rId121" Type="http://schemas.openxmlformats.org/officeDocument/2006/relationships/hyperlink" Target="https://cafrfindos.file.core.windows.net/cafr/School%20District/2020/CA%20San%20Ysidro%20School%20District%202020.pdf?sv=2017-07-29&amp;ss=f&amp;srt=sco&amp;sp=r&amp;se=2122-03-17T01:14:46Z&amp;st=2022-03-17T01:14:46Z&amp;spr=https&amp;sig=d4QgExs6Kg%2BIANxU85YxcPNPOCimg4YURQTDSWIEaq8%3D" TargetMode="External"/><Relationship Id="rId242" Type="http://schemas.openxmlformats.org/officeDocument/2006/relationships/hyperlink" Target="https://cafrfindos.file.core.windows.net/cafr/General%20Purpose/2020/IN%20Marion%20County%202020.pdf?sv=2017-07-29&amp;ss=f&amp;srt=sco&amp;sp=r&amp;se=2122-03-17T01:14:46Z&amp;st=2022-03-17T01:14:46Z&amp;spr=https&amp;sig=d4QgExs6Kg%2BIANxU85YxcPNPOCimg4YURQTDSWIEaq8%3D" TargetMode="External"/><Relationship Id="rId363" Type="http://schemas.openxmlformats.org/officeDocument/2006/relationships/hyperlink" Target="https://cafrfindos.file.core.windows.net/cafr/School%20District/2020/CA%20Clovis%20Unified%20School%20District%202020.pdf?sv=2017-07-29&amp;ss=f&amp;srt=sco&amp;sp=r&amp;se=2122-03-17T01:14:46Z&amp;st=2022-03-17T01:14:46Z&amp;spr=https&amp;sig=d4QgExs6Kg%2BIANxU85YxcPNPOCimg4YURQTDSWIEaq8%3D" TargetMode="External"/><Relationship Id="rId484" Type="http://schemas.openxmlformats.org/officeDocument/2006/relationships/hyperlink" Target="https://cafrfindos.file.core.windows.net/cafr/Special%20District/2020/FL%20Tampa%20Bay%20Water%20A%20Regional%20Water%20Supply%20Authority%202020.pdf?sv=2017-07-29&amp;ss=f&amp;srt=sco&amp;sp=r&amp;se=2122-03-17T01:14:46Z&amp;st=2022-03-17T01:14:46Z&amp;spr=https&amp;sig=d4QgExs6Kg%2BIANxU85YxcPNPOCimg4YURQTDSWIEaq8%3D" TargetMode="External"/><Relationship Id="rId120" Type="http://schemas.openxmlformats.org/officeDocument/2006/relationships/hyperlink" Target="https://cafrfindos.file.core.windows.net/cafr/School%20District/2020/CA%20Santee%20School%20District%202020.pdf?sv=2017-07-29&amp;ss=f&amp;srt=sco&amp;sp=r&amp;se=2122-03-17T01:14:46Z&amp;st=2022-03-17T01:14:46Z&amp;spr=https&amp;sig=d4QgExs6Kg%2BIANxU85YxcPNPOCimg4YURQTDSWIEaq8%3D" TargetMode="External"/><Relationship Id="rId241" Type="http://schemas.openxmlformats.org/officeDocument/2006/relationships/hyperlink" Target="https://cafrfindos.file.core.windows.net/cafr/General%20Purpose/2020/IN%20Indianapolis%202020.pdf?sv=2017-07-29&amp;ss=f&amp;srt=sco&amp;sp=r&amp;se=2122-03-17T01:14:46Z&amp;st=2022-03-17T01:14:46Z&amp;spr=https&amp;sig=d4QgExs6Kg%2BIANxU85YxcPNPOCimg4YURQTDSWIEaq8%3D" TargetMode="External"/><Relationship Id="rId362" Type="http://schemas.openxmlformats.org/officeDocument/2006/relationships/hyperlink" Target="https://cafrfindos.file.core.windows.net/cafr/General%20Purpose/2020/CA%20Fresno%20County%202020.pdf?sv=2017-07-29&amp;ss=f&amp;srt=sco&amp;sp=r&amp;se=2122-03-17T01:14:46Z&amp;st=2022-03-17T01:14:46Z&amp;spr=https&amp;sig=d4QgExs6Kg%2BIANxU85YxcPNPOCimg4YURQTDSWIEaq8%3D" TargetMode="External"/><Relationship Id="rId483" Type="http://schemas.openxmlformats.org/officeDocument/2006/relationships/hyperlink" Target="https://cafrfindos.file.core.windows.net/cafr/Special%20District/2020/FL%20Hillsborough%20County%20Aviation%20Authority%202020.pdf?sv=2017-07-29&amp;ss=f&amp;srt=sco&amp;sp=r&amp;se=2122-03-17T01:14:46Z&amp;st=2022-03-17T01:14:46Z&amp;spr=https&amp;sig=d4QgExs6Kg%2BIANxU85YxcPNPOCimg4YURQTDSWIEaq8%3D" TargetMode="External"/><Relationship Id="rId240" Type="http://schemas.openxmlformats.org/officeDocument/2006/relationships/hyperlink" Target="https://cafrfindos.file.core.windows.net/cafr/Special%20District/2020/NC%20The%20Charlotte-Mecklenburg%20Hospital%20Authority%202020.pdf?sv=2017-07-29&amp;ss=f&amp;srt=sco&amp;sp=r&amp;se=2122-03-17T01:14:46Z&amp;st=2022-03-17T01:14:46Z&amp;spr=https&amp;sig=d4QgExs6Kg%2BIANxU85YxcPNPOCimg4YURQTDSWIEaq8%3D" TargetMode="External"/><Relationship Id="rId361" Type="http://schemas.openxmlformats.org/officeDocument/2006/relationships/hyperlink" Target="https://cafrfindos.file.core.windows.net/cafr/General%20Purpose/2020/CA%20Fresno%202020.pdf?sv=2017-07-29&amp;ss=f&amp;srt=sco&amp;sp=r&amp;se=2122-03-17T01:14:46Z&amp;st=2022-03-17T01:14:46Z&amp;spr=https&amp;sig=d4QgExs6Kg%2BIANxU85YxcPNPOCimg4YURQTDSWIEaq8%3D" TargetMode="External"/><Relationship Id="rId482" Type="http://schemas.openxmlformats.org/officeDocument/2006/relationships/hyperlink" Target="https://cafrfindos.file.core.windows.net/cafr/Special%20District/2020/FL%20Housing%20Authority%20of%20the%20City%20of%20Tampa%202020.pdf?sv=2017-07-29&amp;ss=f&amp;srt=sco&amp;sp=r&amp;se=2122-03-17T01:14:46Z&amp;st=2022-03-17T01:14:46Z&amp;spr=https&amp;sig=d4QgExs6Kg%2BIANxU85YxcPNPOCimg4YURQTDSWIEaq8%3D" TargetMode="External"/><Relationship Id="rId360"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481" Type="http://schemas.openxmlformats.org/officeDocument/2006/relationships/hyperlink" Target="https://cafrfindos.file.core.windows.net/cafr/Special%20District/2020/FL%20Southwest%20Florida%20Water%20Management%20District%202020.pdf?sv=2017-07-29&amp;ss=f&amp;srt=sco&amp;sp=r&amp;se=2122-03-17T01:14:46Z&amp;st=2022-03-17T01:14:46Z&amp;spr=https&amp;sig=d4QgExs6Kg%2BIANxU85YxcPNPOCimg4YURQTDSWIEaq8%3D" TargetMode="External"/><Relationship Id="rId125" Type="http://schemas.openxmlformats.org/officeDocument/2006/relationships/hyperlink" Target="https://cafrfindos.file.core.windows.net/cafr/Special%20District/2020/CA%20The%20Metropolitan%20Water%20District%20of%20Southern%20California%202020.pdf?sv=2017-07-29&amp;ss=f&amp;srt=sco&amp;sp=r&amp;se=2122-03-17T01:14:46Z&amp;st=2022-03-17T01:14:46Z&amp;spr=https&amp;sig=d4QgExs6Kg%2BIANxU85YxcPNPOCimg4YURQTDSWIEaq8%3D" TargetMode="External"/><Relationship Id="rId246" Type="http://schemas.openxmlformats.org/officeDocument/2006/relationships/hyperlink" Target="https://cafrfindos.file.core.windows.net/cafr/Special%20District/2020/IN%20Indianapolis-Marion%20County%20Public%20Library%202020.pdf?sv=2017-07-29&amp;ss=f&amp;srt=sco&amp;sp=r&amp;se=2122-03-17T01:14:46Z&amp;st=2022-03-17T01:14:46Z&amp;spr=https&amp;sig=d4QgExs6Kg%2BIANxU85YxcPNPOCimg4YURQTDSWIEaq8%3D" TargetMode="External"/><Relationship Id="rId367" Type="http://schemas.openxmlformats.org/officeDocument/2006/relationships/hyperlink" Target="https://cafrfindos.file.core.windows.net/cafr/School%20District/2020/CA%20Central%20Unified%20School%20District%202020.pdf?sv=2017-07-29&amp;ss=f&amp;srt=sco&amp;sp=r&amp;se=2122-03-17T01:14:46Z&amp;st=2022-03-17T01:14:46Z&amp;spr=https&amp;sig=d4QgExs6Kg%2BIANxU85YxcPNPOCimg4YURQTDSWIEaq8%3D" TargetMode="External"/><Relationship Id="rId488" Type="http://schemas.openxmlformats.org/officeDocument/2006/relationships/hyperlink" Target="https://cafrfindos.file.core.windows.net/cafr/General%20Purpose/2020/OK%20Wagoner%20County%202020.pdf?sv=2017-07-29&amp;ss=f&amp;srt=sco&amp;sp=r&amp;se=2122-03-17T01:14:46Z&amp;st=2022-03-17T01:14:46Z&amp;spr=https&amp;sig=d4QgExs6Kg%2BIANxU85YxcPNPOCimg4YURQTDSWIEaq8%3D" TargetMode="External"/><Relationship Id="rId124" Type="http://schemas.openxmlformats.org/officeDocument/2006/relationships/hyperlink" Target="https://cafrfindos.file.core.windows.net/cafr/School%20District/2020/CA%20Sweetwater%20Union%20High%20School%20District%202020.pdf?sv=2017-07-29&amp;ss=f&amp;srt=sco&amp;sp=r&amp;se=2122-03-17T01:14:46Z&amp;st=2022-03-17T01:14:46Z&amp;spr=https&amp;sig=d4QgExs6Kg%2BIANxU85YxcPNPOCimg4YURQTDSWIEaq8%3D" TargetMode="External"/><Relationship Id="rId245" Type="http://schemas.openxmlformats.org/officeDocument/2006/relationships/hyperlink" Target="https://cafrfindos.file.core.windows.net/cafr/School%20District/2020/IN%20Metropolitan%20School%20District%20of%20Wayne%20Township%202020.pdf?sv=2017-07-29&amp;ss=f&amp;srt=sco&amp;sp=r&amp;se=2122-03-17T01:14:46Z&amp;st=2022-03-17T01:14:46Z&amp;spr=https&amp;sig=d4QgExs6Kg%2BIANxU85YxcPNPOCimg4YURQTDSWIEaq8%3D" TargetMode="External"/><Relationship Id="rId366" Type="http://schemas.openxmlformats.org/officeDocument/2006/relationships/hyperlink" Target="https://cafrfindos.file.core.windows.net/cafr/School%20District/2020/CA%20West%20Park%20Elementary%20School%20District%202020.pdf?sv=2017-07-29&amp;ss=f&amp;srt=sco&amp;sp=r&amp;se=2122-03-17T01:14:46Z&amp;st=2022-03-17T01:14:46Z&amp;spr=https&amp;sig=d4QgExs6Kg%2BIANxU85YxcPNPOCimg4YURQTDSWIEaq8%3D" TargetMode="External"/><Relationship Id="rId487" Type="http://schemas.openxmlformats.org/officeDocument/2006/relationships/hyperlink" Target="https://cafrfindos.file.core.windows.net/cafr/General%20Purpose/2020/OK%20Tulsa%20County%202020.pdf?sv=2017-07-29&amp;ss=f&amp;srt=sco&amp;sp=r&amp;se=2122-03-17T01:14:46Z&amp;st=2022-03-17T01:14:46Z&amp;spr=https&amp;sig=d4QgExs6Kg%2BIANxU85YxcPNPOCimg4YURQTDSWIEaq8%3D" TargetMode="External"/><Relationship Id="rId123" Type="http://schemas.openxmlformats.org/officeDocument/2006/relationships/hyperlink" Target="https://cafrfindos.file.core.windows.net/cafr/School%20District/2020/CA%20South%20Bay%20Union%20School%20District%202020.pdf?sv=2017-07-29&amp;ss=f&amp;srt=sco&amp;sp=r&amp;se=2122-03-17T01:14:46Z&amp;st=2022-03-17T01:14:46Z&amp;spr=https&amp;sig=d4QgExs6Kg%2BIANxU85YxcPNPOCimg4YURQTDSWIEaq8%3D" TargetMode="External"/><Relationship Id="rId244" Type="http://schemas.openxmlformats.org/officeDocument/2006/relationships/hyperlink" Target="https://cafrfindos.file.core.windows.net/cafr/School%20District/2020/IN%20Metropolitan%20School%20District%20of%20Warren%20County%202020.pdf?sv=2017-07-29&amp;ss=f&amp;srt=sco&amp;sp=r&amp;se=2122-03-17T01:14:46Z&amp;st=2022-03-17T01:14:46Z&amp;spr=https&amp;sig=d4QgExs6Kg%2BIANxU85YxcPNPOCimg4YURQTDSWIEaq8%3D" TargetMode="External"/><Relationship Id="rId365" Type="http://schemas.openxmlformats.org/officeDocument/2006/relationships/hyperlink" Target="https://cafrfindos.file.core.windows.net/cafr/School%20District/2020/CA%20Sanger%20Unified%20School%20District%202020.pdf?sv=2017-07-29&amp;ss=f&amp;srt=sco&amp;sp=r&amp;se=2122-03-17T01:14:46Z&amp;st=2022-03-17T01:14:46Z&amp;spr=https&amp;sig=d4QgExs6Kg%2BIANxU85YxcPNPOCimg4YURQTDSWIEaq8%3D" TargetMode="External"/><Relationship Id="rId486" Type="http://schemas.openxmlformats.org/officeDocument/2006/relationships/hyperlink" Target="https://cafrfindos.file.core.windows.net/cafr/General%20Purpose/2020/OK%20Tulsa%202020.pdf?sv=2017-07-29&amp;ss=f&amp;srt=sco&amp;sp=r&amp;se=2122-03-17T01:14:46Z&amp;st=2022-03-17T01:14:46Z&amp;spr=https&amp;sig=d4QgExs6Kg%2BIANxU85YxcPNPOCimg4YURQTDSWIEaq8%3D" TargetMode="External"/><Relationship Id="rId122" Type="http://schemas.openxmlformats.org/officeDocument/2006/relationships/hyperlink" Target="https://cafrfindos.file.core.windows.net/cafr/School%20District/2020/CA%20Solana%20Beach%20School%20District%202020.pdf?sv=2017-07-29&amp;ss=f&amp;srt=sco&amp;sp=r&amp;se=2122-03-17T01:14:46Z&amp;st=2022-03-17T01:14:46Z&amp;spr=https&amp;sig=d4QgExs6Kg%2BIANxU85YxcPNPOCimg4YURQTDSWIEaq8%3D" TargetMode="External"/><Relationship Id="rId243" Type="http://schemas.openxmlformats.org/officeDocument/2006/relationships/hyperlink" Target="https://cafrfindos.file.core.windows.net/cafr/School%20District/2020/IN%20Indianapolis%20Public%20Schools%202020.pdf?sv=2017-07-29&amp;ss=f&amp;srt=sco&amp;sp=r&amp;se=2122-03-17T01:14:46Z&amp;st=2022-03-17T01:14:46Z&amp;spr=https&amp;sig=d4QgExs6Kg%2BIANxU85YxcPNPOCimg4YURQTDSWIEaq8%3D" TargetMode="External"/><Relationship Id="rId364" Type="http://schemas.openxmlformats.org/officeDocument/2006/relationships/hyperlink" Target="https://cafrfindos.file.core.windows.net/cafr/School%20District/2020/CA%20Fresno%20Unified%20School%20District%202020.pdf?sv=2017-07-29&amp;ss=f&amp;srt=sco&amp;sp=r&amp;se=2122-03-17T01:14:46Z&amp;st=2022-03-17T01:14:46Z&amp;spr=https&amp;sig=d4QgExs6Kg%2BIANxU85YxcPNPOCimg4YURQTDSWIEaq8%3D" TargetMode="External"/><Relationship Id="rId485" Type="http://schemas.openxmlformats.org/officeDocument/2006/relationships/hyperlink" Target="https://cafrfindos.file.core.windows.net/cafr/General%20Purpose/2020/OK%20State%20of%20Oklahoma%202020.pdf?sv=2017-07-29&amp;ss=f&amp;srt=sco&amp;sp=r&amp;se=2122-03-17T01:14:46Z&amp;st=2022-03-17T01:14:46Z&amp;spr=https&amp;sig=d4QgExs6Kg%2BIANxU85YxcPNPOCimg4YURQTDSWIEaq8%3D" TargetMode="External"/><Relationship Id="rId95" Type="http://schemas.openxmlformats.org/officeDocument/2006/relationships/hyperlink" Target="https://cafrfindos.file.core.windows.net/cafr/School%20District/2020/TX%20East%20Central%20Independent%20School%20District%202020.pdf?sv=2017-07-29&amp;ss=f&amp;srt=sco&amp;sp=r&amp;se=2122-03-17T01:14:46Z&amp;st=2022-03-17T01:14:46Z&amp;spr=https&amp;sig=d4QgExs6Kg%2BIANxU85YxcPNPOCimg4YURQTDSWIEaq8%3D" TargetMode="External"/><Relationship Id="rId94" Type="http://schemas.openxmlformats.org/officeDocument/2006/relationships/hyperlink" Target="https://cafrfindos.file.core.windows.net/cafr/School%20District/2020/TX%20Judson%20Independent%20School%20District%202020.pdf?sv=2017-07-29&amp;ss=f&amp;srt=sco&amp;sp=r&amp;se=2122-03-17T01:14:46Z&amp;st=2022-03-17T01:14:46Z&amp;spr=https&amp;sig=d4QgExs6Kg%2BIANxU85YxcPNPOCimg4YURQTDSWIEaq8%3D" TargetMode="External"/><Relationship Id="rId97" Type="http://schemas.openxmlformats.org/officeDocument/2006/relationships/hyperlink" Target="https://cafrfindos.file.core.windows.net/cafr/School%20District/2020/TX%20Fort%20Sam%20Houston%20Independent%20School%20District%202020.pdf?sv=2017-07-29&amp;ss=f&amp;srt=sco&amp;sp=r&amp;se=2122-03-17T01:14:46Z&amp;st=2022-03-17T01:14:46Z&amp;spr=https&amp;sig=d4QgExs6Kg%2BIANxU85YxcPNPOCimg4YURQTDSWIEaq8%3D" TargetMode="External"/><Relationship Id="rId96" Type="http://schemas.openxmlformats.org/officeDocument/2006/relationships/hyperlink" Target="https://cafrfindos.file.core.windows.net/cafr/School%20District/2020/TX%20Edgewood%20Independent%20School%20District%202020.pdf?sv=2017-07-29&amp;ss=f&amp;srt=sco&amp;sp=r&amp;se=2122-03-17T01:14:46Z&amp;st=2022-03-17T01:14:46Z&amp;spr=https&amp;sig=d4QgExs6Kg%2BIANxU85YxcPNPOCimg4YURQTDSWIEaq8%3D" TargetMode="External"/><Relationship Id="rId99" Type="http://schemas.openxmlformats.org/officeDocument/2006/relationships/hyperlink" Target="https://cafrfindos.file.core.windows.net/cafr/School%20District/2020/TX%20North%20East%20Independent%20School%20District%202020.pdf?sv=2017-07-29&amp;ss=f&amp;srt=sco&amp;sp=r&amp;se=2122-03-17T01:14:46Z&amp;st=2022-03-17T01:14:46Z&amp;spr=https&amp;sig=d4QgExs6Kg%2BIANxU85YxcPNPOCimg4YURQTDSWIEaq8%3D" TargetMode="External"/><Relationship Id="rId480" Type="http://schemas.openxmlformats.org/officeDocument/2006/relationships/hyperlink" Target="https://cafrfindos.file.core.windows.net/cafr/School%20District/2020/FL%20The%20School%20District%20of%20Hillsborough%20County%202020.pdf?sv=2017-07-29&amp;ss=f&amp;srt=sco&amp;sp=r&amp;se=2122-03-17T01:14:46Z&amp;st=2022-03-17T01:14:46Z&amp;spr=https&amp;sig=d4QgExs6Kg%2BIANxU85YxcPNPOCimg4YURQTDSWIEaq8%3D" TargetMode="External"/><Relationship Id="rId98" Type="http://schemas.openxmlformats.org/officeDocument/2006/relationships/hyperlink" Target="https://cafrfindos.file.core.windows.net/cafr/School%20District/2020/TX%20Harlandale%20Independent%20School%20District%202020.pdf?sv=2017-07-29&amp;ss=f&amp;srt=sco&amp;sp=r&amp;se=2122-03-17T01:14:46Z&amp;st=2022-03-17T01:14:46Z&amp;spr=https&amp;sig=d4QgExs6Kg%2BIANxU85YxcPNPOCimg4YURQTDSWIEaq8%3D" TargetMode="External"/><Relationship Id="rId91" Type="http://schemas.openxmlformats.org/officeDocument/2006/relationships/hyperlink" Target="https://cafrfindos.file.core.windows.net/cafr/General%20Purpose/2020/TX%20Bexar%20County%202020.pdf?sv=2017-07-29&amp;ss=f&amp;srt=sco&amp;sp=r&amp;se=2122-03-17T01:14:46Z&amp;st=2022-03-17T01:14:46Z&amp;spr=https&amp;sig=d4QgExs6Kg%2BIANxU85YxcPNPOCimg4YURQTDSWIEaq8%3D" TargetMode="External"/><Relationship Id="rId90" Type="http://schemas.openxmlformats.org/officeDocument/2006/relationships/hyperlink" Target="https://cafrfindos.file.core.windows.net/cafr/General%20Purpose/2020/TX%20San%20Antonio%202020.pdf?sv=2017-07-29&amp;ss=f&amp;srt=sco&amp;sp=r&amp;se=2122-03-17T01:14:46Z&amp;st=2022-03-17T01:14:46Z&amp;spr=https&amp;sig=d4QgExs6Kg%2BIANxU85YxcPNPOCimg4YURQTDSWIEaq8%3D" TargetMode="External"/><Relationship Id="rId93" Type="http://schemas.openxmlformats.org/officeDocument/2006/relationships/hyperlink" Target="https://cafrfindos.file.core.windows.net/cafr/School%20District/2020/TX%20Alamo%20Heights%20Independent%20School%20District%202020.pdf?sv=2017-07-29&amp;ss=f&amp;srt=sco&amp;sp=r&amp;se=2122-03-17T01:14:46Z&amp;st=2022-03-17T01:14:46Z&amp;spr=https&amp;sig=d4QgExs6Kg%2BIANxU85YxcPNPOCimg4YURQTDSWIEaq8%3D" TargetMode="External"/><Relationship Id="rId92" Type="http://schemas.openxmlformats.org/officeDocument/2006/relationships/hyperlink" Target="https://cafrfindos.file.core.windows.net/cafr/General%20Purpose/2020/TX%20Medina%20County%202020.pdf?sv=2017-07-29&amp;ss=f&amp;srt=sco&amp;sp=r&amp;se=2122-03-17T01:14:46Z&amp;st=2022-03-17T01:14:46Z&amp;spr=https&amp;sig=d4QgExs6Kg%2BIANxU85YxcPNPOCimg4YURQTDSWIEaq8%3D" TargetMode="External"/><Relationship Id="rId118" Type="http://schemas.openxmlformats.org/officeDocument/2006/relationships/hyperlink" Target="https://cafrfindos.file.core.windows.net/cafr/School%20District/2020/CA%20San%20Dieguito%20Union%20High%20School%20District%202020.pdf?sv=2017-07-29&amp;ss=f&amp;srt=sco&amp;sp=r&amp;se=2122-03-17T01:14:46Z&amp;st=2022-03-17T01:14:46Z&amp;spr=https&amp;sig=d4QgExs6Kg%2BIANxU85YxcPNPOCimg4YURQTDSWIEaq8%3D" TargetMode="External"/><Relationship Id="rId239" Type="http://schemas.openxmlformats.org/officeDocument/2006/relationships/hyperlink" Target="https://cafrfindos.file.core.windows.net/cafr/General%20Purpose/2020/NC%20Mecklenburg%20County%202020.pdf?sv=2017-07-29&amp;ss=f&amp;srt=sco&amp;sp=r&amp;se=2122-03-17T01:14:46Z&amp;st=2022-03-17T01:14:46Z&amp;spr=https&amp;sig=d4QgExs6Kg%2BIANxU85YxcPNPOCimg4YURQTDSWIEaq8%3D" TargetMode="External"/><Relationship Id="rId117" Type="http://schemas.openxmlformats.org/officeDocument/2006/relationships/hyperlink" Target="https://cafrfindos.file.core.windows.net/cafr/School%20District/2020/CA%20San%20Diego%20Unified%20School%20District%202020.pdf?sv=2017-07-29&amp;ss=f&amp;srt=sco&amp;sp=r&amp;se=2122-03-17T01:14:46Z&amp;st=2022-03-17T01:14:46Z&amp;spr=https&amp;sig=d4QgExs6Kg%2BIANxU85YxcPNPOCimg4YURQTDSWIEaq8%3D" TargetMode="External"/><Relationship Id="rId238" Type="http://schemas.openxmlformats.org/officeDocument/2006/relationships/hyperlink" Target="https://cafrfindos.file.core.windows.net/cafr/General%20Purpose/2020/NC%20Charlotte%202020.pdf?sv=2017-07-29&amp;ss=f&amp;srt=sco&amp;sp=r&amp;se=2122-03-17T01:14:46Z&amp;st=2022-03-17T01:14:46Z&amp;spr=https&amp;sig=d4QgExs6Kg%2BIANxU85YxcPNPOCimg4YURQTDSWIEaq8%3D" TargetMode="External"/><Relationship Id="rId359" Type="http://schemas.openxmlformats.org/officeDocument/2006/relationships/hyperlink" Target="https://cafrfindos.file.core.windows.net/cafr/School%20District/2020/AZ%20Sahuarita%20Unified%20School%20District%20No.%2030%202020.pdf?sv=2017-07-29&amp;ss=f&amp;srt=sco&amp;sp=r&amp;se=2122-03-17T01:14:46Z&amp;st=2022-03-17T01:14:46Z&amp;spr=https&amp;sig=d4QgExs6Kg%2BIANxU85YxcPNPOCimg4YURQTDSWIEaq8%3D" TargetMode="External"/><Relationship Id="rId116" Type="http://schemas.openxmlformats.org/officeDocument/2006/relationships/hyperlink" Target="https://cafrfindos.file.core.windows.net/cafr/School%20District/2020/CA%20Poway%20Unified%20School%20District%202020.pdf?sv=2017-07-29&amp;ss=f&amp;srt=sco&amp;sp=r&amp;se=2122-03-17T01:14:46Z&amp;st=2022-03-17T01:14:46Z&amp;spr=https&amp;sig=d4QgExs6Kg%2BIANxU85YxcPNPOCimg4YURQTDSWIEaq8%3D" TargetMode="External"/><Relationship Id="rId237" Type="http://schemas.openxmlformats.org/officeDocument/2006/relationships/hyperlink" Target="https://cafrfindos.file.core.windows.net/cafr/General%20Purpose/2020/NC%20State%20of%20North%20Carolina%202020.pdf?sv=2017-07-29&amp;ss=f&amp;srt=sco&amp;sp=r&amp;se=2122-03-17T01:14:46Z&amp;st=2022-03-17T01:14:46Z&amp;spr=https&amp;sig=d4QgExs6Kg%2BIANxU85YxcPNPOCimg4YURQTDSWIEaq8%3D" TargetMode="External"/><Relationship Id="rId358" Type="http://schemas.openxmlformats.org/officeDocument/2006/relationships/hyperlink" Target="https://cafrfindos.file.core.windows.net/cafr/General%20Purpose/2020/AZ%20Pima%20County%202020.pdf?sv=2017-07-29&amp;ss=f&amp;srt=sco&amp;sp=r&amp;se=2122-03-17T01:14:46Z&amp;st=2022-03-17T01:14:46Z&amp;spr=https&amp;sig=d4QgExs6Kg%2BIANxU85YxcPNPOCimg4YURQTDSWIEaq8%3D" TargetMode="External"/><Relationship Id="rId479" Type="http://schemas.openxmlformats.org/officeDocument/2006/relationships/hyperlink" Target="https://cafrfindos.file.core.windows.net/cafr/General%20Purpose/2020/FL%20Hillsborough%20County%202020.pdf?sv=2017-07-29&amp;ss=f&amp;srt=sco&amp;sp=r&amp;se=2122-03-17T01:14:46Z&amp;st=2022-03-17T01:14:46Z&amp;spr=https&amp;sig=d4QgExs6Kg%2BIANxU85YxcPNPOCimg4YURQTDSWIEaq8%3D" TargetMode="External"/><Relationship Id="rId115" Type="http://schemas.openxmlformats.org/officeDocument/2006/relationships/hyperlink" Target="https://cafrfindos.file.core.windows.net/cafr/School%20District/2020/CA%20Lemon%20Grove%20School%20District%202020.pdf?sv=2017-07-29&amp;ss=f&amp;srt=sco&amp;sp=r&amp;se=2122-03-17T01:14:46Z&amp;st=2022-03-17T01:14:46Z&amp;spr=https&amp;sig=d4QgExs6Kg%2BIANxU85YxcPNPOCimg4YURQTDSWIEaq8%3D" TargetMode="External"/><Relationship Id="rId236" Type="http://schemas.openxmlformats.org/officeDocument/2006/relationships/hyperlink" Target="https://cafrfindos.file.core.windows.net/cafr/Special%20District/2020/OH%20Central%20Ohio%20Transit%20Authority%202020.pdf?sv=2017-07-29&amp;ss=f&amp;srt=sco&amp;sp=r&amp;se=2122-03-17T01:14:46Z&amp;st=2022-03-17T01:14:46Z&amp;spr=https&amp;sig=d4QgExs6Kg%2BIANxU85YxcPNPOCimg4YURQTDSWIEaq8%3D" TargetMode="External"/><Relationship Id="rId357" Type="http://schemas.openxmlformats.org/officeDocument/2006/relationships/hyperlink" Target="https://cafrfindos.file.core.windows.net/cafr/General%20Purpose/2020/AZ%20Tucson%202020.pdf?sv=2017-07-29&amp;ss=f&amp;srt=sco&amp;sp=r&amp;se=2122-03-17T01:14:46Z&amp;st=2022-03-17T01:14:46Z&amp;spr=https&amp;sig=d4QgExs6Kg%2BIANxU85YxcPNPOCimg4YURQTDSWIEaq8%3D" TargetMode="External"/><Relationship Id="rId478" Type="http://schemas.openxmlformats.org/officeDocument/2006/relationships/hyperlink" Target="https://cafrfindos.file.core.windows.net/cafr/General%20Purpose/2020/FL%20Tampa%202020.pdf?sv=2017-07-29&amp;ss=f&amp;srt=sco&amp;sp=r&amp;se=2122-03-17T01:14:46Z&amp;st=2022-03-17T01:14:46Z&amp;spr=https&amp;sig=d4QgExs6Kg%2BIANxU85YxcPNPOCimg4YURQTDSWIEaq8%3D" TargetMode="External"/><Relationship Id="rId119" Type="http://schemas.openxmlformats.org/officeDocument/2006/relationships/hyperlink" Target="https://cafrfindos.file.core.windows.net/cafr/School%20District/2020/CA%20San%20Pasqual%20Union%20Elementary%20School%20District%202020.pdf?sv=2017-07-29&amp;ss=f&amp;srt=sco&amp;sp=r&amp;se=2122-03-17T01:14:46Z&amp;st=2022-03-17T01:14:46Z&amp;spr=https&amp;sig=d4QgExs6Kg%2BIANxU85YxcPNPOCimg4YURQTDSWIEaq8%3D" TargetMode="External"/><Relationship Id="rId110" Type="http://schemas.openxmlformats.org/officeDocument/2006/relationships/hyperlink" Target="https://cafrfindos.file.core.windows.net/cafr/General%20Purpose/2020/CA%20San%20Diego%20County%202020.pdf?sv=2017-07-29&amp;ss=f&amp;srt=sco&amp;sp=r&amp;se=2122-03-17T01:14:46Z&amp;st=2022-03-17T01:14:46Z&amp;spr=https&amp;sig=d4QgExs6Kg%2BIANxU85YxcPNPOCimg4YURQTDSWIEaq8%3D" TargetMode="External"/><Relationship Id="rId231" Type="http://schemas.openxmlformats.org/officeDocument/2006/relationships/hyperlink" Target="https://cafrfindos.file.core.windows.net/cafr/School%20District/2020/OH%20Dublin%20City%20School%20District%202020.pdf?sv=2017-07-29&amp;ss=f&amp;srt=sco&amp;sp=r&amp;se=2122-03-17T01:14:46Z&amp;st=2022-03-17T01:14:46Z&amp;spr=https&amp;sig=d4QgExs6Kg%2BIANxU85YxcPNPOCimg4YURQTDSWIEaq8%3D" TargetMode="External"/><Relationship Id="rId352" Type="http://schemas.openxmlformats.org/officeDocument/2006/relationships/hyperlink" Target="https://cafrfindos.file.core.windows.net/cafr/General%20Purpose/2020/NM%20State%20of%20New%20Mexico%202020.pdf?sv=2017-07-29&amp;ss=f&amp;srt=sco&amp;sp=r&amp;se=2122-03-17T01:14:46Z&amp;st=2022-03-17T01:14:46Z&amp;spr=https&amp;sig=d4QgExs6Kg%2BIANxU85YxcPNPOCimg4YURQTDSWIEaq8%3D" TargetMode="External"/><Relationship Id="rId473" Type="http://schemas.openxmlformats.org/officeDocument/2006/relationships/hyperlink" Target="https://cafrfindos.file.core.windows.net/cafr/Special%20District/2020/CA%20East%20Bay%20Regional%20Park%20District%202020.pdf?sv=2017-07-29&amp;ss=f&amp;srt=sco&amp;sp=r&amp;se=2122-03-17T01:14:46Z&amp;st=2022-03-17T01:14:46Z&amp;spr=https&amp;sig=d4QgExs6Kg%2BIANxU85YxcPNPOCimg4YURQTDSWIEaq8%3D" TargetMode="External"/><Relationship Id="rId230" Type="http://schemas.openxmlformats.org/officeDocument/2006/relationships/hyperlink" Target="https://cafrfindos.file.core.windows.net/cafr/School%20District/2020/OH%20South-Western%20City%20School%20District%202020.pdf?sv=2017-07-29&amp;ss=f&amp;srt=sco&amp;sp=r&amp;se=2122-03-17T01:14:46Z&amp;st=2022-03-17T01:14:46Z&amp;spr=https&amp;sig=d4QgExs6Kg%2BIANxU85YxcPNPOCimg4YURQTDSWIEaq8%3D" TargetMode="External"/><Relationship Id="rId351" Type="http://schemas.openxmlformats.org/officeDocument/2006/relationships/hyperlink" Target="https://cafrfindos.file.core.windows.net/cafr/Special%20District/2020/MD%20Housing%20Authority%20of%20Baltimore%20City%202020.pdf?sv=2017-07-29&amp;ss=f&amp;srt=sco&amp;sp=r&amp;se=2122-03-17T01:14:46Z&amp;st=2022-03-17T01:14:46Z&amp;spr=https&amp;sig=d4QgExs6Kg%2BIANxU85YxcPNPOCimg4YURQTDSWIEaq8%3D" TargetMode="External"/><Relationship Id="rId472" Type="http://schemas.openxmlformats.org/officeDocument/2006/relationships/hyperlink" Target="https://cafrfindos.file.core.windows.net/cafr/Special%20District/2020/CA%20Alameda-Contra%20Costa%20Transit%20District%202020.pdf?sv=2017-07-29&amp;ss=f&amp;srt=sco&amp;sp=r&amp;se=2122-03-17T01:14:46Z&amp;st=2022-03-17T01:14:46Z&amp;spr=https&amp;sig=d4QgExs6Kg%2BIANxU85YxcPNPOCimg4YURQTDSWIEaq8%3D" TargetMode="External"/><Relationship Id="rId350" Type="http://schemas.openxmlformats.org/officeDocument/2006/relationships/hyperlink" Target="https://cafrfindos.file.core.windows.net/cafr/General%20Purpose/2020/MD%20Baltimore%20County%202020.pdf?sv=2017-07-29&amp;ss=f&amp;srt=sco&amp;sp=r&amp;se=2122-03-17T01:14:46Z&amp;st=2022-03-17T01:14:46Z&amp;spr=https&amp;sig=d4QgExs6Kg%2BIANxU85YxcPNPOCimg4YURQTDSWIEaq8%3D" TargetMode="External"/><Relationship Id="rId471" Type="http://schemas.openxmlformats.org/officeDocument/2006/relationships/hyperlink" Target="https://cafrfindos.file.core.windows.net/cafr/Special%20District/2020/CA%20Metropolitan%20Transportation%20Commission%202020.pdf?sv=2017-07-29&amp;ss=f&amp;srt=sco&amp;sp=r&amp;se=2122-03-17T01:14:46Z&amp;st=2022-03-17T01:14:46Z&amp;spr=https&amp;sig=d4QgExs6Kg%2BIANxU85YxcPNPOCimg4YURQTDSWIEaq8%3D" TargetMode="External"/><Relationship Id="rId470" Type="http://schemas.openxmlformats.org/officeDocument/2006/relationships/hyperlink" Target="https://cafrfindos.file.core.windows.net/cafr/Special%20District/2020/CA%20Alameda%20County%20Transportation%20Commission%202020.pdf?sv=2017-07-29&amp;ss=f&amp;srt=sco&amp;sp=r&amp;se=2122-03-17T01:14:46Z&amp;st=2022-03-17T01:14:46Z&amp;spr=https&amp;sig=d4QgExs6Kg%2BIANxU85YxcPNPOCimg4YURQTDSWIEaq8%3D" TargetMode="External"/><Relationship Id="rId114" Type="http://schemas.openxmlformats.org/officeDocument/2006/relationships/hyperlink" Target="https://cafrfindos.file.core.windows.net/cafr/School%20District/2020/CA%20Grossmont%20Union%20High%20School%20District%202020.pdf?sv=2017-07-29&amp;ss=f&amp;srt=sco&amp;sp=r&amp;se=2122-03-17T01:14:46Z&amp;st=2022-03-17T01:14:46Z&amp;spr=https&amp;sig=d4QgExs6Kg%2BIANxU85YxcPNPOCimg4YURQTDSWIEaq8%3D" TargetMode="External"/><Relationship Id="rId235" Type="http://schemas.openxmlformats.org/officeDocument/2006/relationships/hyperlink" Target="https://cafrfindos.file.core.windows.net/cafr/Special%20District/2020/OH%20Columbus%20Regional%20Airport%20Authority%202020.pdf?sv=2017-07-29&amp;ss=f&amp;srt=sco&amp;sp=r&amp;se=2122-03-17T01:14:46Z&amp;st=2022-03-17T01:14:46Z&amp;spr=https&amp;sig=d4QgExs6Kg%2BIANxU85YxcPNPOCimg4YURQTDSWIEaq8%3D" TargetMode="External"/><Relationship Id="rId356" Type="http://schemas.openxmlformats.org/officeDocument/2006/relationships/hyperlink" Target="https://cafrfindos.file.core.windows.net/cafr/General%20Purpose/2020/AZ%20State%20of%20Arizona%202020.pdf?sv=2017-07-29&amp;ss=f&amp;srt=sco&amp;sp=r&amp;se=2122-03-17T01:14:46Z&amp;st=2022-03-17T01:14:46Z&amp;spr=https&amp;sig=d4QgExs6Kg%2BIANxU85YxcPNPOCimg4YURQTDSWIEaq8%3D" TargetMode="External"/><Relationship Id="rId477" Type="http://schemas.openxmlformats.org/officeDocument/2006/relationships/hyperlink" Target="https://cafrfindos.file.core.windows.net/cafr/General%20Purpose/2020/FL%20State%20of%20Florida%202020.pdf?sv=2017-07-29&amp;ss=f&amp;srt=sco&amp;sp=r&amp;se=2122-03-17T01:14:46Z&amp;st=2022-03-17T01:14:46Z&amp;spr=https&amp;sig=d4QgExs6Kg%2BIANxU85YxcPNPOCimg4YURQTDSWIEaq8%3D" TargetMode="External"/><Relationship Id="rId113" Type="http://schemas.openxmlformats.org/officeDocument/2006/relationships/hyperlink" Target="https://cafrfindos.file.core.windows.net/cafr/School%20District/2020/CA%20Escondido%20Union%20High%20School%20District%202020.pdf?sv=2017-07-29&amp;ss=f&amp;srt=sco&amp;sp=r&amp;se=2122-03-17T01:14:46Z&amp;st=2022-03-17T01:14:46Z&amp;spr=https&amp;sig=d4QgExs6Kg%2BIANxU85YxcPNPOCimg4YURQTDSWIEaq8%3D" TargetMode="External"/><Relationship Id="rId234" Type="http://schemas.openxmlformats.org/officeDocument/2006/relationships/hyperlink" Target="https://cafrfindos.file.core.windows.net/cafr/Special%20District/2020/OH%20Columbus%20Metropolitan%20Housing%20Authority%202020.pdf?sv=2017-07-29&amp;ss=f&amp;srt=sco&amp;sp=r&amp;se=2122-03-17T01:14:46Z&amp;st=2022-03-17T01:14:46Z&amp;spr=https&amp;sig=d4QgExs6Kg%2BIANxU85YxcPNPOCimg4YURQTDSWIEaq8%3D" TargetMode="External"/><Relationship Id="rId355" Type="http://schemas.openxmlformats.org/officeDocument/2006/relationships/hyperlink" Target="https://cafrfindos.file.core.windows.net/cafr/School%20District/2020/NM%20Albuquerque%20Municipal%20School%20District%20No.%2012%202020.pdf?sv=2017-07-29&amp;ss=f&amp;srt=sco&amp;sp=r&amp;se=2122-03-17T01:14:46Z&amp;st=2022-03-17T01:14:46Z&amp;spr=https&amp;sig=d4QgExs6Kg%2BIANxU85YxcPNPOCimg4YURQTDSWIEaq8%3D" TargetMode="External"/><Relationship Id="rId476" Type="http://schemas.openxmlformats.org/officeDocument/2006/relationships/hyperlink" Target="https://cafrfindos.file.core.windows.net/cafr/Special%20District/2020/CA%20Golden%20Gate%20Bridge%20Highway%20and%20Transportation%20District%202020.pdf?sv=2017-07-29&amp;ss=f&amp;srt=sco&amp;sp=r&amp;se=2122-03-17T01:14:46Z&amp;st=2022-03-17T01:14:46Z&amp;spr=https&amp;sig=d4QgExs6Kg%2BIANxU85YxcPNPOCimg4YURQTDSWIEaq8%3D" TargetMode="External"/><Relationship Id="rId112" Type="http://schemas.openxmlformats.org/officeDocument/2006/relationships/hyperlink" Target="https://cafrfindos.file.core.windows.net/cafr/School%20District/2020/CA%20Vista%20Del%20Mar%20Union%20Elementary%20School%20District%202020.pdf?sv=2017-07-29&amp;ss=f&amp;srt=sco&amp;sp=r&amp;se=2122-03-17T01:14:46Z&amp;st=2022-03-17T01:14:46Z&amp;spr=https&amp;sig=d4QgExs6Kg%2BIANxU85YxcPNPOCimg4YURQTDSWIEaq8%3D" TargetMode="External"/><Relationship Id="rId233" Type="http://schemas.openxmlformats.org/officeDocument/2006/relationships/hyperlink" Target="https://cafrfindos.file.core.windows.net/cafr/School%20District/2020/OH%20Worthington%20City%20School%20District%202020.pdf?sv=2017-07-29&amp;ss=f&amp;srt=sco&amp;sp=r&amp;se=2122-03-17T01:14:46Z&amp;st=2022-03-17T01:14:46Z&amp;spr=https&amp;sig=d4QgExs6Kg%2BIANxU85YxcPNPOCimg4YURQTDSWIEaq8%3D" TargetMode="External"/><Relationship Id="rId354" Type="http://schemas.openxmlformats.org/officeDocument/2006/relationships/hyperlink" Target="https://cafrfindos.file.core.windows.net/cafr/General%20Purpose/2020/NM%20Bernalillo%20County%202020.pdf?sv=2017-07-29&amp;ss=f&amp;srt=sco&amp;sp=r&amp;se=2122-03-17T01:14:46Z&amp;st=2022-03-17T01:14:46Z&amp;spr=https&amp;sig=d4QgExs6Kg%2BIANxU85YxcPNPOCimg4YURQTDSWIEaq8%3D" TargetMode="External"/><Relationship Id="rId475" Type="http://schemas.openxmlformats.org/officeDocument/2006/relationships/hyperlink" Target="https://cafrfindos.file.core.windows.net/cafr/Special%20District/2020/CA%20Bay%20Area%20Air%20Quality%20Management%20District%202020.pdf?sv=2017-07-29&amp;ss=f&amp;srt=sco&amp;sp=r&amp;se=2122-03-17T01:14:46Z&amp;st=2022-03-17T01:14:46Z&amp;spr=https&amp;sig=d4QgExs6Kg%2BIANxU85YxcPNPOCimg4YURQTDSWIEaq8%3D" TargetMode="External"/><Relationship Id="rId111" Type="http://schemas.openxmlformats.org/officeDocument/2006/relationships/hyperlink" Target="https://cafrfindos.file.core.windows.net/cafr/School%20District/2020/CA%20Chula%20Vista%20Elementary%20School%20District%202020.pdf?sv=2017-07-29&amp;ss=f&amp;srt=sco&amp;sp=r&amp;se=2122-03-17T01:14:46Z&amp;st=2022-03-17T01:14:46Z&amp;spr=https&amp;sig=d4QgExs6Kg%2BIANxU85YxcPNPOCimg4YURQTDSWIEaq8%3D" TargetMode="External"/><Relationship Id="rId232" Type="http://schemas.openxmlformats.org/officeDocument/2006/relationships/hyperlink" Target="https://cafrfindos.file.core.windows.net/cafr/School%20District/2020/OH%20Westerville%20City%20School%20District%202020.pdf?sv=2017-07-29&amp;ss=f&amp;srt=sco&amp;sp=r&amp;se=2122-03-17T01:14:46Z&amp;st=2022-03-17T01:14:46Z&amp;spr=https&amp;sig=d4QgExs6Kg%2BIANxU85YxcPNPOCimg4YURQTDSWIEaq8%3D" TargetMode="External"/><Relationship Id="rId353" Type="http://schemas.openxmlformats.org/officeDocument/2006/relationships/hyperlink" Target="https://cafrfindos.file.core.windows.net/cafr/General%20Purpose/2020/NM%20Albuquerque%202020.pdf?sv=2017-07-29&amp;ss=f&amp;srt=sco&amp;sp=r&amp;se=2122-03-17T01:14:46Z&amp;st=2022-03-17T01:14:46Z&amp;spr=https&amp;sig=d4QgExs6Kg%2BIANxU85YxcPNPOCimg4YURQTDSWIEaq8%3D" TargetMode="External"/><Relationship Id="rId474" Type="http://schemas.openxmlformats.org/officeDocument/2006/relationships/hyperlink" Target="https://cafrfindos.file.core.windows.net/cafr/Special%20District/2020/CA%20San%20Francisco%20Bay%20Area%20Rapid%20Transit%20District%202020.pdf?sv=2017-07-29&amp;ss=f&amp;srt=sco&amp;sp=r&amp;se=2122-03-17T01:14:46Z&amp;st=2022-03-17T01:14:46Z&amp;spr=https&amp;sig=d4QgExs6Kg%2BIANxU85YxcPNPOCimg4YURQTDSWIEaq8%3D" TargetMode="External"/><Relationship Id="rId305" Type="http://schemas.openxmlformats.org/officeDocument/2006/relationships/hyperlink" Target="https://cafrfindos.file.core.windows.net/cafr/School%20District/2020/OK%20Piedmont%20School%20District%20I-22%202020.pdf?sv=2017-07-29&amp;ss=f&amp;srt=sco&amp;sp=r&amp;se=2122-03-17T01:14:46Z&amp;st=2022-03-17T01:14:46Z&amp;spr=https&amp;sig=d4QgExs6Kg%2BIANxU85YxcPNPOCimg4YURQTDSWIEaq8%3D" TargetMode="External"/><Relationship Id="rId426" Type="http://schemas.openxmlformats.org/officeDocument/2006/relationships/hyperlink" Target="https://cafrfindos.file.core.windows.net/cafr/School%20District/2020/NE%20Omaha%20Public%20Schools%202020.pdf?sv=2017-07-29&amp;ss=f&amp;srt=sco&amp;sp=r&amp;se=2122-03-17T01:14:46Z&amp;st=2022-03-17T01:14:46Z&amp;spr=https&amp;sig=d4QgExs6Kg%2BIANxU85YxcPNPOCimg4YURQTDSWIEaq8%3D" TargetMode="External"/><Relationship Id="rId304" Type="http://schemas.openxmlformats.org/officeDocument/2006/relationships/hyperlink" Target="https://cafrfindos.file.core.windows.net/cafr/School%20District/2020/OK%20Mustang%20Independent%20School%20District%20No.I-69%202020.pdf?sv=2017-07-29&amp;ss=f&amp;srt=sco&amp;sp=r&amp;se=2122-03-17T01:14:46Z&amp;st=2022-03-17T01:14:46Z&amp;spr=https&amp;sig=d4QgExs6Kg%2BIANxU85YxcPNPOCimg4YURQTDSWIEaq8%3D" TargetMode="External"/><Relationship Id="rId425" Type="http://schemas.openxmlformats.org/officeDocument/2006/relationships/hyperlink" Target="https://cafrfindos.file.core.windows.net/cafr/School%20District/2020/NE%20School%20District%2017-Millard%20Public%20Schools%202020.pdf?sv=2017-07-29&amp;ss=f&amp;srt=sco&amp;sp=r&amp;se=2122-03-17T01:14:46Z&amp;st=2022-03-17T01:14:46Z&amp;spr=https&amp;sig=d4QgExs6Kg%2BIANxU85YxcPNPOCimg4YURQTDSWIEaq8%3D" TargetMode="External"/><Relationship Id="rId303" Type="http://schemas.openxmlformats.org/officeDocument/2006/relationships/hyperlink" Target="https://cafrfindos.file.core.windows.net/cafr/General%20Purpose/2020/OK%20Canadian%20County%202020.pdf?sv=2017-07-29&amp;ss=f&amp;srt=sco&amp;sp=r&amp;se=2122-03-17T01:14:46Z&amp;st=2022-03-17T01:14:46Z&amp;spr=https&amp;sig=d4QgExs6Kg%2BIANxU85YxcPNPOCimg4YURQTDSWIEaq8%3D" TargetMode="External"/><Relationship Id="rId424" Type="http://schemas.openxmlformats.org/officeDocument/2006/relationships/hyperlink" Target="https://cafrfindos.file.core.windows.net/cafr/School%20District/2020/NE%20Douglas%20County%20School%20District%20No.%2010%20Elkhorn%20Public%20Schools%202020.pdf?sv=2017-07-29&amp;ss=f&amp;srt=sco&amp;sp=r&amp;se=2122-03-17T01:14:46Z&amp;st=2022-03-17T01:14:46Z&amp;spr=https&amp;sig=d4QgExs6Kg%2BIANxU85YxcPNPOCimg4YURQTDSWIEaq8%3D" TargetMode="External"/><Relationship Id="rId302" Type="http://schemas.openxmlformats.org/officeDocument/2006/relationships/hyperlink" Target="https://cafrfindos.file.core.windows.net/cafr/General%20Purpose/2020/OK%20Cleveland%20County%202020.pdf?sv=2017-07-29&amp;ss=f&amp;srt=sco&amp;sp=r&amp;se=2122-03-17T01:14:46Z&amp;st=2022-03-17T01:14:46Z&amp;spr=https&amp;sig=d4QgExs6Kg%2BIANxU85YxcPNPOCimg4YURQTDSWIEaq8%3D" TargetMode="External"/><Relationship Id="rId423" Type="http://schemas.openxmlformats.org/officeDocument/2006/relationships/hyperlink" Target="https://cafrfindos.file.core.windows.net/cafr/General%20Purpose/2020/NE%20Douglas%20County%202020.pdf?sv=2017-07-29&amp;ss=f&amp;srt=sco&amp;sp=r&amp;se=2122-03-17T01:14:46Z&amp;st=2022-03-17T01:14:46Z&amp;spr=https&amp;sig=d4QgExs6Kg%2BIANxU85YxcPNPOCimg4YURQTDSWIEaq8%3D" TargetMode="External"/><Relationship Id="rId309" Type="http://schemas.openxmlformats.org/officeDocument/2006/relationships/hyperlink" Target="https://cafrfindos.file.core.windows.net/cafr/School%20District/2020/OK%20Robin%20Hill%20School%20District%20C-16%202020.pdf?sv=2017-07-29&amp;ss=f&amp;srt=sco&amp;sp=r&amp;se=2122-03-17T01:14:46Z&amp;st=2022-03-17T01:14:46Z&amp;spr=https&amp;sig=d4QgExs6Kg%2BIANxU85YxcPNPOCimg4YURQTDSWIEaq8%3D" TargetMode="External"/><Relationship Id="rId308" Type="http://schemas.openxmlformats.org/officeDocument/2006/relationships/hyperlink" Target="https://cafrfindos.file.core.windows.net/cafr/School%20District/2020/OK%20Moore%20School%20District%20I-2%202020.pdf?sv=2017-07-29&amp;ss=f&amp;srt=sco&amp;sp=r&amp;se=2122-03-17T01:14:46Z&amp;st=2022-03-17T01:14:46Z&amp;spr=https&amp;sig=d4QgExs6Kg%2BIANxU85YxcPNPOCimg4YURQTDSWIEaq8%3D" TargetMode="External"/><Relationship Id="rId429" Type="http://schemas.openxmlformats.org/officeDocument/2006/relationships/hyperlink" Target="https://cafrfindos.file.core.windows.net/cafr/Special%20District/2020/NE%20Metropolitan%20Utilities%20District%202020.pdf?sv=2017-07-29&amp;ss=f&amp;srt=sco&amp;sp=r&amp;se=2122-03-17T01:14:46Z&amp;st=2022-03-17T01:14:46Z&amp;spr=https&amp;sig=d4QgExs6Kg%2BIANxU85YxcPNPOCimg4YURQTDSWIEaq8%3D" TargetMode="External"/><Relationship Id="rId307" Type="http://schemas.openxmlformats.org/officeDocument/2006/relationships/hyperlink" Target="https://cafrfindos.file.core.windows.net/cafr/School%20District/2020/OK%20Little%20Axe%20Public%20School%20District%20I-70%202020.pdf?sv=2017-07-29&amp;ss=f&amp;srt=sco&amp;sp=r&amp;se=2122-03-17T01:14:46Z&amp;st=2022-03-17T01:14:46Z&amp;spr=https&amp;sig=d4QgExs6Kg%2BIANxU85YxcPNPOCimg4YURQTDSWIEaq8%3D" TargetMode="External"/><Relationship Id="rId428" Type="http://schemas.openxmlformats.org/officeDocument/2006/relationships/hyperlink" Target="https://cafrfindos.file.core.windows.net/cafr/School%20District/2020/NE%20Westside%20Community%20School%20District%20No.%2066%202020.pdf?sv=2017-07-29&amp;ss=f&amp;srt=sco&amp;sp=r&amp;se=2122-03-17T01:14:46Z&amp;st=2022-03-17T01:14:46Z&amp;spr=https&amp;sig=d4QgExs6Kg%2BIANxU85YxcPNPOCimg4YURQTDSWIEaq8%3D" TargetMode="External"/><Relationship Id="rId306" Type="http://schemas.openxmlformats.org/officeDocument/2006/relationships/hyperlink" Target="https://cafrfindos.file.core.windows.net/cafr/School%20District/2020/OK%20Yukon%20Public%20Schools%20I-27%202020.pdf?sv=2017-07-29&amp;ss=f&amp;srt=sco&amp;sp=r&amp;se=2122-03-17T01:14:46Z&amp;st=2022-03-17T01:14:46Z&amp;spr=https&amp;sig=d4QgExs6Kg%2BIANxU85YxcPNPOCimg4YURQTDSWIEaq8%3D" TargetMode="External"/><Relationship Id="rId427" Type="http://schemas.openxmlformats.org/officeDocument/2006/relationships/hyperlink" Target="https://cafrfindos.file.core.windows.net/cafr/School%20District/2020/NE%20Douglas%20County%20School%20District%2054%20Ralston%20Public%20Schools%202020.pdf?sv=2017-07-29&amp;ss=f&amp;srt=sco&amp;sp=r&amp;se=2122-03-17T01:14:46Z&amp;st=2022-03-17T01:14:46Z&amp;spr=https&amp;sig=d4QgExs6Kg%2BIANxU85YxcPNPOCimg4YURQTDSWIEaq8%3D" TargetMode="External"/><Relationship Id="rId301" Type="http://schemas.openxmlformats.org/officeDocument/2006/relationships/hyperlink" Target="https://cafrfindos.file.core.windows.net/cafr/General%20Purpose/2020/OK%20Oklahoma%20City%202020.pdf?sv=2017-07-29&amp;ss=f&amp;srt=sco&amp;sp=r&amp;se=2122-03-17T01:14:46Z&amp;st=2022-03-17T01:14:46Z&amp;spr=https&amp;sig=d4QgExs6Kg%2BIANxU85YxcPNPOCimg4YURQTDSWIEaq8%3D" TargetMode="External"/><Relationship Id="rId422" Type="http://schemas.openxmlformats.org/officeDocument/2006/relationships/hyperlink" Target="https://cafrfindos.file.core.windows.net/cafr/General%20Purpose/2020/NE%20Omaha%202020.pdf?sv=2017-07-29&amp;ss=f&amp;srt=sco&amp;sp=r&amp;se=2122-03-17T01:14:46Z&amp;st=2022-03-17T01:14:46Z&amp;spr=https&amp;sig=d4QgExs6Kg%2BIANxU85YxcPNPOCimg4YURQTDSWIEaq8%3D" TargetMode="External"/><Relationship Id="rId300" Type="http://schemas.openxmlformats.org/officeDocument/2006/relationships/hyperlink" Target="https://cafrfindos.file.core.windows.net/cafr/General%20Purpose/2020/OK%20State%20of%20Oklahoma%202020.pdf?sv=2017-07-29&amp;ss=f&amp;srt=sco&amp;sp=r&amp;se=2122-03-17T01:14:46Z&amp;st=2022-03-17T01:14:46Z&amp;spr=https&amp;sig=d4QgExs6Kg%2BIANxU85YxcPNPOCimg4YURQTDSWIEaq8%3D" TargetMode="External"/><Relationship Id="rId421" Type="http://schemas.openxmlformats.org/officeDocument/2006/relationships/hyperlink" Target="https://cafrfindos.file.core.windows.net/cafr/General%20Purpose/2020/NE%20State%20of%20Nebraska%202020.pdf?sv=2017-07-29&amp;ss=f&amp;srt=sco&amp;sp=r&amp;se=2122-03-17T01:14:46Z&amp;st=2022-03-17T01:14:46Z&amp;spr=https&amp;sig=d4QgExs6Kg%2BIANxU85YxcPNPOCimg4YURQTDSWIEaq8%3D" TargetMode="External"/><Relationship Id="rId420" Type="http://schemas.openxmlformats.org/officeDocument/2006/relationships/hyperlink" Target="https://cafrfindos.file.core.windows.net/cafr/Special%20District/2020/CO%20Housing%20Authority%20of%20the%20City%20of%20Colorado%20Springs%202020.pdf?sv=2017-07-29&amp;ss=f&amp;srt=sco&amp;sp=r&amp;se=2122-03-17T01:14:46Z&amp;st=2022-03-17T01:14:46Z&amp;spr=https&amp;sig=d4QgExs6Kg%2BIANxU85YxcPNPOCimg4YURQTDSWIEaq8%3D" TargetMode="External"/><Relationship Id="rId415" Type="http://schemas.openxmlformats.org/officeDocument/2006/relationships/hyperlink" Target="https://cafrfindos.file.core.windows.net/cafr/General%20Purpose/2020/CO%20El%20Paso%20County%202020.pdf?sv=2017-07-29&amp;ss=f&amp;srt=sco&amp;sp=r&amp;se=2122-03-17T01:14:46Z&amp;st=2022-03-17T01:14:46Z&amp;spr=https&amp;sig=d4QgExs6Kg%2BIANxU85YxcPNPOCimg4YURQTDSWIEaq8%3D" TargetMode="External"/><Relationship Id="rId414" Type="http://schemas.openxmlformats.org/officeDocument/2006/relationships/hyperlink" Target="https://cafrfindos.file.core.windows.net/cafr/General%20Purpose/2020/CO%20Colorado%20Springs%202020.pdf?sv=2017-07-29&amp;ss=f&amp;srt=sco&amp;sp=r&amp;se=2122-03-17T01:14:46Z&amp;st=2022-03-17T01:14:46Z&amp;spr=https&amp;sig=d4QgExs6Kg%2BIANxU85YxcPNPOCimg4YURQTDSWIEaq8%3D" TargetMode="External"/><Relationship Id="rId413" Type="http://schemas.openxmlformats.org/officeDocument/2006/relationships/hyperlink" Target="https://cafrfindos.file.core.windows.net/cafr/General%20Purpose/2020/CO%20State%20of%20Colorado%202020.pdf?sv=2017-07-29&amp;ss=f&amp;srt=sco&amp;sp=r&amp;se=2122-03-17T01:14:46Z&amp;st=2022-03-17T01:14:46Z&amp;spr=https&amp;sig=d4QgExs6Kg%2BIANxU85YxcPNPOCimg4YURQTDSWIEaq8%3D" TargetMode="External"/><Relationship Id="rId412" Type="http://schemas.openxmlformats.org/officeDocument/2006/relationships/hyperlink" Target="https://cafrfindos.file.core.windows.net/cafr/Special%20District/2020/MO%20Housing%20Authority%20of%20Kansas%20City%202020.pdf?sv=2017-07-29&amp;ss=f&amp;srt=sco&amp;sp=r&amp;se=2122-03-17T01:14:46Z&amp;st=2022-03-17T01:14:46Z&amp;spr=https&amp;sig=d4QgExs6Kg%2BIANxU85YxcPNPOCimg4YURQTDSWIEaq8%3D" TargetMode="External"/><Relationship Id="rId419" Type="http://schemas.openxmlformats.org/officeDocument/2006/relationships/hyperlink" Target="https://cafrfindos.file.core.windows.net/cafr/Charter%20School/2020/CO%20Academy%20School%20District%20Twenty%202020.pdf?sv=2017-07-29&amp;ss=f&amp;srt=sco&amp;sp=r&amp;se=2122-03-17T01:14:46Z&amp;st=2022-03-17T01:14:46Z&amp;spr=https&amp;sig=d4QgExs6Kg%2BIANxU85YxcPNPOCimg4YURQTDSWIEaq8%3D" TargetMode="External"/><Relationship Id="rId418" Type="http://schemas.openxmlformats.org/officeDocument/2006/relationships/hyperlink" Target="https://cafrfindos.file.core.windows.net/cafr/School%20District/2020/CO%20El%20Paso%20County%20School%20District%20Two-Harrison%202020.pdf?sv=2017-07-29&amp;ss=f&amp;srt=sco&amp;sp=r&amp;se=2122-03-17T01:14:46Z&amp;st=2022-03-17T01:14:46Z&amp;spr=https&amp;sig=d4QgExs6Kg%2BIANxU85YxcPNPOCimg4YURQTDSWIEaq8%3D" TargetMode="External"/><Relationship Id="rId417" Type="http://schemas.openxmlformats.org/officeDocument/2006/relationships/hyperlink" Target="https://cafrfindos.file.core.windows.net/cafr/School%20District/2020/CO%20Colorado%20Springs%20School%20District%2011%202020.pdf?sv=2017-07-29&amp;ss=f&amp;srt=sco&amp;sp=r&amp;se=2122-03-17T01:14:46Z&amp;st=2022-03-17T01:14:46Z&amp;spr=https&amp;sig=d4QgExs6Kg%2BIANxU85YxcPNPOCimg4YURQTDSWIEaq8%3D" TargetMode="External"/><Relationship Id="rId416" Type="http://schemas.openxmlformats.org/officeDocument/2006/relationships/hyperlink" Target="https://cafrfindos.file.core.windows.net/cafr/School%20District/2020/CO%20Cheyenne%20Mountain%20School%20District%2012%202020.pdf?sv=2017-07-29&amp;ss=f&amp;srt=sco&amp;sp=r&amp;se=2122-03-17T01:14:46Z&amp;st=2022-03-17T01:14:46Z&amp;spr=https&amp;sig=d4QgExs6Kg%2BIANxU85YxcPNPOCimg4YURQTDSWIEaq8%3D" TargetMode="External"/><Relationship Id="rId411" Type="http://schemas.openxmlformats.org/officeDocument/2006/relationships/hyperlink" Target="https://cafrfindos.file.core.windows.net/cafr/School%20District/2020/MO%20Platte%20County%20R-III%20School%20District%202020.pdf?sv=2017-07-29&amp;ss=f&amp;srt=sco&amp;sp=r&amp;se=2122-03-17T01:14:46Z&amp;st=2022-03-17T01:14:46Z&amp;spr=https&amp;sig=d4QgExs6Kg%2BIANxU85YxcPNPOCimg4YURQTDSWIEaq8%3D" TargetMode="External"/><Relationship Id="rId410" Type="http://schemas.openxmlformats.org/officeDocument/2006/relationships/hyperlink" Target="https://cafrfindos.file.core.windows.net/cafr/School%20District/2020/MO%20Park%20Hill%20School%20District%202020.pdf?sv=2017-07-29&amp;ss=f&amp;srt=sco&amp;sp=r&amp;se=2122-03-17T01:14:46Z&amp;st=2022-03-17T01:14:46Z&amp;spr=https&amp;sig=d4QgExs6Kg%2BIANxU85YxcPNPOCimg4YURQTDSWIEaq8%3D" TargetMode="External"/><Relationship Id="rId206" Type="http://schemas.openxmlformats.org/officeDocument/2006/relationships/hyperlink" Target="https://cafrfindos.file.core.windows.net/cafr/School%20District/2020/TX%20Keller%20Independent%20School%20District%202020.pdf?sv=2017-07-29&amp;ss=f&amp;srt=sco&amp;sp=r&amp;se=2122-03-17T01:14:46Z&amp;st=2022-03-17T01:14:46Z&amp;spr=https&amp;sig=d4QgExs6Kg%2BIANxU85YxcPNPOCimg4YURQTDSWIEaq8%3D" TargetMode="External"/><Relationship Id="rId327" Type="http://schemas.openxmlformats.org/officeDocument/2006/relationships/hyperlink" Target="https://cafrfindos.file.core.windows.net/cafr/School%20District/2020/OR%20David%20Douglas%20School%20District%202020.pdf?sv=2017-07-29&amp;ss=f&amp;srt=sco&amp;sp=r&amp;se=2122-03-17T01:14:46Z&amp;st=2022-03-17T01:14:46Z&amp;spr=https&amp;sig=d4QgExs6Kg%2BIANxU85YxcPNPOCimg4YURQTDSWIEaq8%3D" TargetMode="External"/><Relationship Id="rId448" Type="http://schemas.openxmlformats.org/officeDocument/2006/relationships/hyperlink" Target="https://cafrfindos.file.core.windows.net/cafr/Special%20District/2020/CA%20Los%20Angeles%20County%20Metropolitan%20Transportation%20Authority%202020.pdf?sv=2017-07-29&amp;ss=f&amp;srt=sco&amp;sp=r&amp;se=2122-03-17T01:14:46Z&amp;st=2022-03-17T01:14:46Z&amp;spr=https&amp;sig=d4QgExs6Kg%2BIANxU85YxcPNPOCimg4YURQTDSWIEaq8%3D" TargetMode="External"/><Relationship Id="rId205" Type="http://schemas.openxmlformats.org/officeDocument/2006/relationships/hyperlink" Target="https://cafrfindos.file.core.windows.net/cafr/School%20District/2020/TX%20Hurst-Euless-Bedford%20Independent%20School%20District%202020.pdf?sv=2017-07-29&amp;ss=f&amp;srt=sco&amp;sp=r&amp;se=2122-03-17T01:14:46Z&amp;st=2022-03-17T01:14:46Z&amp;spr=https&amp;sig=d4QgExs6Kg%2BIANxU85YxcPNPOCimg4YURQTDSWIEaq8%3D" TargetMode="External"/><Relationship Id="rId326" Type="http://schemas.openxmlformats.org/officeDocument/2006/relationships/hyperlink" Target="https://cafrfindos.file.core.windows.net/cafr/General%20Purpose/2020/OR%20Clackamas%20County%202020.pdf?sv=2017-07-29&amp;ss=f&amp;srt=sco&amp;sp=r&amp;se=2122-03-17T01:14:46Z&amp;st=2022-03-17T01:14:46Z&amp;spr=https&amp;sig=d4QgExs6Kg%2BIANxU85YxcPNPOCimg4YURQTDSWIEaq8%3D" TargetMode="External"/><Relationship Id="rId447" Type="http://schemas.openxmlformats.org/officeDocument/2006/relationships/hyperlink" Target="https://cafrfindos.file.core.windows.net/cafr/School%20District/2020/CA%20Paramount%20Unified%20School%20District%202020.pdf?sv=2017-07-29&amp;ss=f&amp;srt=sco&amp;sp=r&amp;se=2122-03-17T01:14:46Z&amp;st=2022-03-17T01:14:46Z&amp;spr=https&amp;sig=d4QgExs6Kg%2BIANxU85YxcPNPOCimg4YURQTDSWIEaq8%3D" TargetMode="External"/><Relationship Id="rId204" Type="http://schemas.openxmlformats.org/officeDocument/2006/relationships/hyperlink" Target="https://cafrfindos.file.core.windows.net/cafr/School%20District/2020/TX%20Fort%20Worth%20Independent%20School%20District%202020.pdf?sv=2017-07-29&amp;ss=f&amp;srt=sco&amp;sp=r&amp;se=2122-03-17T01:14:46Z&amp;st=2022-03-17T01:14:46Z&amp;spr=https&amp;sig=d4QgExs6Kg%2BIANxU85YxcPNPOCimg4YURQTDSWIEaq8%3D" TargetMode="External"/><Relationship Id="rId325" Type="http://schemas.openxmlformats.org/officeDocument/2006/relationships/hyperlink" Target="https://cafrfindos.file.core.windows.net/cafr/General%20Purpose/2020/OR%20Washington%20County%202020.pdf?sv=2017-07-29&amp;ss=f&amp;srt=sco&amp;sp=r&amp;se=2122-03-17T01:14:46Z&amp;st=2022-03-17T01:14:46Z&amp;spr=https&amp;sig=d4QgExs6Kg%2BIANxU85YxcPNPOCimg4YURQTDSWIEaq8%3D" TargetMode="External"/><Relationship Id="rId446" Type="http://schemas.openxmlformats.org/officeDocument/2006/relationships/hyperlink" Target="https://cafrfindos.file.core.windows.net/cafr/School%20District/2020/CA%20Long%20Beach%20Unified%20School%20District%202020.pdf?sv=2017-07-29&amp;ss=f&amp;srt=sco&amp;sp=r&amp;se=2122-03-17T01:14:46Z&amp;st=2022-03-17T01:14:46Z&amp;spr=https&amp;sig=d4QgExs6Kg%2BIANxU85YxcPNPOCimg4YURQTDSWIEaq8%3D" TargetMode="External"/><Relationship Id="rId203" Type="http://schemas.openxmlformats.org/officeDocument/2006/relationships/hyperlink" Target="https://cafrfindos.file.core.windows.net/cafr/School%20District/2020/TX%20Everman%20Independent%20School%20District%202020.pdf?sv=2017-07-29&amp;ss=f&amp;srt=sco&amp;sp=r&amp;se=2122-03-17T01:14:46Z&amp;st=2022-03-17T01:14:46Z&amp;spr=https&amp;sig=d4QgExs6Kg%2BIANxU85YxcPNPOCimg4YURQTDSWIEaq8%3D" TargetMode="External"/><Relationship Id="rId324" Type="http://schemas.openxmlformats.org/officeDocument/2006/relationships/hyperlink" Target="https://cafrfindos.file.core.windows.net/cafr/General%20Purpose/2020/OR%20Multnomah%20County%202020.pdf?sv=2017-07-29&amp;ss=f&amp;srt=sco&amp;sp=r&amp;se=2122-03-17T01:14:46Z&amp;st=2022-03-17T01:14:46Z&amp;spr=https&amp;sig=d4QgExs6Kg%2BIANxU85YxcPNPOCimg4YURQTDSWIEaq8%3D" TargetMode="External"/><Relationship Id="rId445" Type="http://schemas.openxmlformats.org/officeDocument/2006/relationships/hyperlink" Target="https://cafrfindos.file.core.windows.net/cafr/General%20Purpose/2020/CA%20Los%20Angeles%20County%202020.pdf?sv=2017-07-29&amp;ss=f&amp;srt=sco&amp;sp=r&amp;se=2122-03-17T01:14:46Z&amp;st=2022-03-17T01:14:46Z&amp;spr=https&amp;sig=d4QgExs6Kg%2BIANxU85YxcPNPOCimg4YURQTDSWIEaq8%3D" TargetMode="External"/><Relationship Id="rId209" Type="http://schemas.openxmlformats.org/officeDocument/2006/relationships/hyperlink" Target="https://cafrfindos.file.core.windows.net/cafr/School%20District/2020/TX%20White%20Settlement%20Independent%20School%20District%202020.pdf?sv=2017-07-29&amp;ss=f&amp;srt=sco&amp;sp=r&amp;se=2122-03-17T01:14:46Z&amp;st=2022-03-17T01:14:46Z&amp;spr=https&amp;sig=d4QgExs6Kg%2BIANxU85YxcPNPOCimg4YURQTDSWIEaq8%3D" TargetMode="External"/><Relationship Id="rId208" Type="http://schemas.openxmlformats.org/officeDocument/2006/relationships/hyperlink" Target="https://cafrfindos.file.core.windows.net/cafr/School%20District/2020/TX%20Eagle%20Mountain-Saginaw%20Independent%20School%20District%202020.pdf?sv=2017-07-29&amp;ss=f&amp;srt=sco&amp;sp=r&amp;se=2122-03-17T01:14:46Z&amp;st=2022-03-17T01:14:46Z&amp;spr=https&amp;sig=d4QgExs6Kg%2BIANxU85YxcPNPOCimg4YURQTDSWIEaq8%3D" TargetMode="External"/><Relationship Id="rId329" Type="http://schemas.openxmlformats.org/officeDocument/2006/relationships/hyperlink" Target="https://cafrfindos.file.core.windows.net/cafr/School%20District/2020/OR%20Reynolds%20School%20District%202020.pdf?sv=2017-07-29&amp;ss=f&amp;srt=sco&amp;sp=r&amp;se=2122-03-17T01:14:46Z&amp;st=2022-03-17T01:14:46Z&amp;spr=https&amp;sig=d4QgExs6Kg%2BIANxU85YxcPNPOCimg4YURQTDSWIEaq8%3D" TargetMode="External"/><Relationship Id="rId207" Type="http://schemas.openxmlformats.org/officeDocument/2006/relationships/hyperlink" Target="https://cafrfindos.file.core.windows.net/cafr/School%20District/2020/TX%20Lake%20Worth%20Independent%20School%20District%202020.pdf?sv=2017-07-29&amp;ss=f&amp;srt=sco&amp;sp=r&amp;se=2122-03-17T01:14:46Z&amp;st=2022-03-17T01:14:46Z&amp;spr=https&amp;sig=d4QgExs6Kg%2BIANxU85YxcPNPOCimg4YURQTDSWIEaq8%3D" TargetMode="External"/><Relationship Id="rId328" Type="http://schemas.openxmlformats.org/officeDocument/2006/relationships/hyperlink" Target="https://cafrfindos.file.core.windows.net/cafr/School%20District/2020/OR%20Centennial%20School%20District%20No.%2028jt%202020.pdf?sv=2017-07-29&amp;ss=f&amp;srt=sco&amp;sp=r&amp;se=2122-03-17T01:14:46Z&amp;st=2022-03-17T01:14:46Z&amp;spr=https&amp;sig=d4QgExs6Kg%2BIANxU85YxcPNPOCimg4YURQTDSWIEaq8%3D" TargetMode="External"/><Relationship Id="rId449" Type="http://schemas.openxmlformats.org/officeDocument/2006/relationships/hyperlink" Target="https://cafrfindos.file.core.windows.net/cafr/Special%20District/2020/CA%20Sanitation%20Districts%20of%20Los%20Angeles%20County%202020.pdf?sv=2017-07-29&amp;ss=f&amp;srt=sco&amp;sp=r&amp;se=2122-03-17T01:14:46Z&amp;st=2022-03-17T01:14:46Z&amp;spr=https&amp;sig=d4QgExs6Kg%2BIANxU85YxcPNPOCimg4YURQTDSWIEaq8%3D" TargetMode="External"/><Relationship Id="rId440" Type="http://schemas.openxmlformats.org/officeDocument/2006/relationships/hyperlink" Target="https://cafrfindos.file.core.windows.net/cafr/School%20District/2020/FL%20The%20School%20Board%20of%20Miami-Dade%20County%202020.pdf?sv=2017-07-29&amp;ss=f&amp;srt=sco&amp;sp=r&amp;se=2122-03-17T01:14:46Z&amp;st=2022-03-17T01:14:46Z&amp;spr=https&amp;sig=d4QgExs6Kg%2BIANxU85YxcPNPOCimg4YURQTDSWIEaq8%3D" TargetMode="External"/><Relationship Id="rId202" Type="http://schemas.openxmlformats.org/officeDocument/2006/relationships/hyperlink" Target="https://cafrfindos.file.core.windows.net/cafr/School%20District/2020/TX%20Crowley%20Independent%20School%20District%202020.pdf?sv=2017-07-29&amp;ss=f&amp;srt=sco&amp;sp=r&amp;se=2122-03-17T01:14:46Z&amp;st=2022-03-17T01:14:46Z&amp;spr=https&amp;sig=d4QgExs6Kg%2BIANxU85YxcPNPOCimg4YURQTDSWIEaq8%3D" TargetMode="External"/><Relationship Id="rId323" Type="http://schemas.openxmlformats.org/officeDocument/2006/relationships/hyperlink" Target="https://cafrfindos.file.core.windows.net/cafr/General%20Purpose/2020/OR%20Portland%202020.pdf?sv=2017-07-29&amp;ss=f&amp;srt=sco&amp;sp=r&amp;se=2122-03-17T01:14:46Z&amp;st=2022-03-17T01:14:46Z&amp;spr=https&amp;sig=d4QgExs6Kg%2BIANxU85YxcPNPOCimg4YURQTDSWIEaq8%3D" TargetMode="External"/><Relationship Id="rId444" Type="http://schemas.openxmlformats.org/officeDocument/2006/relationships/hyperlink" Target="https://cafrfindos.file.core.windows.net/cafr/General%20Purpose/2020/CA%20Long%20Beach%202020.pdf?sv=2017-07-29&amp;ss=f&amp;srt=sco&amp;sp=r&amp;se=2122-03-17T01:14:46Z&amp;st=2022-03-17T01:14:46Z&amp;spr=https&amp;sig=d4QgExs6Kg%2BIANxU85YxcPNPOCimg4YURQTDSWIEaq8%3D" TargetMode="External"/><Relationship Id="rId201" Type="http://schemas.openxmlformats.org/officeDocument/2006/relationships/hyperlink" Target="https://cafrfindos.file.core.windows.net/cafr/School%20District/2020/TX%20Castleberry%20Independent%20School%20District%202020.pdf?sv=2017-07-29&amp;ss=f&amp;srt=sco&amp;sp=r&amp;se=2122-03-17T01:14:46Z&amp;st=2022-03-17T01:14:46Z&amp;spr=https&amp;sig=d4QgExs6Kg%2BIANxU85YxcPNPOCimg4YURQTDSWIEaq8%3D" TargetMode="External"/><Relationship Id="rId322" Type="http://schemas.openxmlformats.org/officeDocument/2006/relationships/hyperlink" Target="https://cafrfindos.file.core.windows.net/cafr/General%20Purpose/2020/OR%20State%20of%20Oregon%202020.pdf?sv=2017-07-29&amp;ss=f&amp;srt=sco&amp;sp=r&amp;se=2122-03-17T01:14:46Z&amp;st=2022-03-17T01:14:46Z&amp;spr=https&amp;sig=d4QgExs6Kg%2BIANxU85YxcPNPOCimg4YURQTDSWIEaq8%3D" TargetMode="External"/><Relationship Id="rId443" Type="http://schemas.openxmlformats.org/officeDocument/2006/relationships/hyperlink" Target="https://cafrfindos.file.core.windows.net/cafr/General%20Purpose/2020/CA%20State%20of%20California%202020.pdf?sv=2017-07-29&amp;ss=f&amp;srt=sco&amp;sp=r&amp;se=2122-03-17T01:14:46Z&amp;st=2022-03-17T01:14:46Z&amp;spr=https&amp;sig=d4QgExs6Kg%2BIANxU85YxcPNPOCimg4YURQTDSWIEaq8%3D" TargetMode="External"/><Relationship Id="rId200" Type="http://schemas.openxmlformats.org/officeDocument/2006/relationships/hyperlink" Target="https://cafrfindos.file.core.windows.net/cafr/School%20District/2020/TX%20Birdville%20Independent%20School%20District%202020.pdf?sv=2017-07-29&amp;ss=f&amp;srt=sco&amp;sp=r&amp;se=2122-03-17T01:14:46Z&amp;st=2022-03-17T01:14:46Z&amp;spr=https&amp;sig=d4QgExs6Kg%2BIANxU85YxcPNPOCimg4YURQTDSWIEaq8%3D" TargetMode="External"/><Relationship Id="rId321" Type="http://schemas.openxmlformats.org/officeDocument/2006/relationships/hyperlink" Target="https://cafrfindos.file.core.windows.net/cafr/School%20District/2020/OK%20Western%20Heights%20School%20District%20I-41%202020.pdf?sv=2017-07-29&amp;ss=f&amp;srt=sco&amp;sp=r&amp;se=2122-03-17T01:14:46Z&amp;st=2022-03-17T01:14:46Z&amp;spr=https&amp;sig=d4QgExs6Kg%2BIANxU85YxcPNPOCimg4YURQTDSWIEaq8%3D" TargetMode="External"/><Relationship Id="rId442" Type="http://schemas.openxmlformats.org/officeDocument/2006/relationships/hyperlink" Target="https://cafrfindos.file.core.windows.net/cafr/Special%20District/2020/FL%20South%20Florida%20Water%20Management%20District%202020.pdf?sv=2017-07-29&amp;ss=f&amp;srt=sco&amp;sp=r&amp;se=2122-03-17T01:14:46Z&amp;st=2022-03-17T01:14:46Z&amp;spr=https&amp;sig=d4QgExs6Kg%2BIANxU85YxcPNPOCimg4YURQTDSWIEaq8%3D" TargetMode="External"/><Relationship Id="rId320" Type="http://schemas.openxmlformats.org/officeDocument/2006/relationships/hyperlink" Target="https://cafrfindos.file.core.windows.net/cafr/School%20District/2020/OK%20Putnam%20City%20Independent%20School%20District%20No.1%202020.pdf?sv=2017-07-29&amp;ss=f&amp;srt=sco&amp;sp=r&amp;se=2122-03-17T01:14:46Z&amp;st=2022-03-17T01:14:46Z&amp;spr=https&amp;sig=d4QgExs6Kg%2BIANxU85YxcPNPOCimg4YURQTDSWIEaq8%3D" TargetMode="External"/><Relationship Id="rId441" Type="http://schemas.openxmlformats.org/officeDocument/2006/relationships/hyperlink" Target="https://cafrfindos.file.core.windows.net/cafr/Special%20District/2020/FL%20South%20Florida%20Regional%20Transportation%20Authority%202020.pdf?sv=2017-07-29&amp;ss=f&amp;srt=sco&amp;sp=r&amp;se=2122-03-17T01:14:46Z&amp;st=2022-03-17T01:14:46Z&amp;spr=https&amp;sig=d4QgExs6Kg%2BIANxU85YxcPNPOCimg4YURQTDSWIEaq8%3D" TargetMode="External"/><Relationship Id="rId316" Type="http://schemas.openxmlformats.org/officeDocument/2006/relationships/hyperlink" Target="https://cafrfindos.file.core.windows.net/cafr/School%20District/2020/OK%20Midwest%20City-%20Del%20City%20School%20District%20No.%20I-52%202020.pdf?sv=2017-07-29&amp;ss=f&amp;srt=sco&amp;sp=r&amp;se=2122-03-17T01:14:46Z&amp;st=2022-03-17T01:14:46Z&amp;spr=https&amp;sig=d4QgExs6Kg%2BIANxU85YxcPNPOCimg4YURQTDSWIEaq8%3D" TargetMode="External"/><Relationship Id="rId437" Type="http://schemas.openxmlformats.org/officeDocument/2006/relationships/hyperlink" Target="https://cafrfindos.file.core.windows.net/cafr/General%20Purpose/2020/FL%20State%20of%20Florida%202020.pdf?sv=2017-07-29&amp;ss=f&amp;srt=sco&amp;sp=r&amp;se=2122-03-17T01:14:46Z&amp;st=2022-03-17T01:14:46Z&amp;spr=https&amp;sig=d4QgExs6Kg%2BIANxU85YxcPNPOCimg4YURQTDSWIEaq8%3D" TargetMode="External"/><Relationship Id="rId315" Type="http://schemas.openxmlformats.org/officeDocument/2006/relationships/hyperlink" Target="https://cafrfindos.file.core.windows.net/cafr/School%20District/2020/OK%20Jones%20School%20District%20I-9%202020.pdf?sv=2017-07-29&amp;ss=f&amp;srt=sco&amp;sp=r&amp;se=2122-03-17T01:14:46Z&amp;st=2022-03-17T01:14:46Z&amp;spr=https&amp;sig=d4QgExs6Kg%2BIANxU85YxcPNPOCimg4YURQTDSWIEaq8%3D" TargetMode="External"/><Relationship Id="rId436" Type="http://schemas.openxmlformats.org/officeDocument/2006/relationships/hyperlink" Target="https://cafrfindos.file.core.windows.net/cafr/Special%20District/2020/NC%20Raleigh-Durham%20Airport%20Authority%202020.pdf?sv=2017-07-29&amp;ss=f&amp;srt=sco&amp;sp=r&amp;se=2122-03-17T01:14:46Z&amp;st=2022-03-17T01:14:46Z&amp;spr=https&amp;sig=d4QgExs6Kg%2BIANxU85YxcPNPOCimg4YURQTDSWIEaq8%3D" TargetMode="External"/><Relationship Id="rId314" Type="http://schemas.openxmlformats.org/officeDocument/2006/relationships/hyperlink" Target="https://cafrfindos.file.core.windows.net/cafr/School%20District/2020/OK%20Harrah%20Public%20Schools%20I-7%202020.pdf?sv=2017-07-29&amp;ss=f&amp;srt=sco&amp;sp=r&amp;se=2122-03-17T01:14:46Z&amp;st=2022-03-17T01:14:46Z&amp;spr=https&amp;sig=d4QgExs6Kg%2BIANxU85YxcPNPOCimg4YURQTDSWIEaq8%3D" TargetMode="External"/><Relationship Id="rId435" Type="http://schemas.openxmlformats.org/officeDocument/2006/relationships/hyperlink" Target="https://cafrfindos.file.core.windows.net/cafr/Special%20District/2020/NC%20Housing%20Authority%20of%20the%20City%20of%20Raleigh%202020.pdf?sv=2017-07-29&amp;ss=f&amp;srt=sco&amp;sp=r&amp;se=2122-03-17T01:14:46Z&amp;st=2022-03-17T01:14:46Z&amp;spr=https&amp;sig=d4QgExs6Kg%2BIANxU85YxcPNPOCimg4YURQTDSWIEaq8%3D" TargetMode="External"/><Relationship Id="rId313" Type="http://schemas.openxmlformats.org/officeDocument/2006/relationships/hyperlink" Target="https://cafrfindos.file.core.windows.net/cafr/School%20District/2020/OK%20Edmond%20Independent%20School%20District%20No.%2012%202020.pdf?sv=2017-07-29&amp;ss=f&amp;srt=sco&amp;sp=r&amp;se=2122-03-17T01:14:46Z&amp;st=2022-03-17T01:14:46Z&amp;spr=https&amp;sig=d4QgExs6Kg%2BIANxU85YxcPNPOCimg4YURQTDSWIEaq8%3D" TargetMode="External"/><Relationship Id="rId434" Type="http://schemas.openxmlformats.org/officeDocument/2006/relationships/hyperlink" Target="https://cafrfindos.file.core.windows.net/cafr/General%20Purpose/2020/NC%20Durham%20County%202020.pdf?sv=2017-07-29&amp;ss=f&amp;srt=sco&amp;sp=r&amp;se=2122-03-17T01:14:46Z&amp;st=2022-03-17T01:14:46Z&amp;spr=https&amp;sig=d4QgExs6Kg%2BIANxU85YxcPNPOCimg4YURQTDSWIEaq8%3D" TargetMode="External"/><Relationship Id="rId319" Type="http://schemas.openxmlformats.org/officeDocument/2006/relationships/hyperlink" Target="https://cafrfindos.file.core.windows.net/cafr/School%20District/2020/OK%20Oklahoma%20City%20School%20District%20I-89%202020.pdf?sv=2017-07-29&amp;ss=f&amp;srt=sco&amp;sp=r&amp;se=2122-03-17T01:14:46Z&amp;st=2022-03-17T01:14:46Z&amp;spr=https&amp;sig=d4QgExs6Kg%2BIANxU85YxcPNPOCimg4YURQTDSWIEaq8%3D" TargetMode="External"/><Relationship Id="rId318" Type="http://schemas.openxmlformats.org/officeDocument/2006/relationships/hyperlink" Target="https://cafrfindos.file.core.windows.net/cafr/School%20District/2020/OK%20Oakdale%20Public%20Schools%20I-29%202020.pdf?sv=2017-07-29&amp;ss=f&amp;srt=sco&amp;sp=r&amp;se=2122-03-17T01:14:46Z&amp;st=2022-03-17T01:14:46Z&amp;spr=https&amp;sig=d4QgExs6Kg%2BIANxU85YxcPNPOCimg4YURQTDSWIEaq8%3D" TargetMode="External"/><Relationship Id="rId439" Type="http://schemas.openxmlformats.org/officeDocument/2006/relationships/hyperlink" Target="https://cafrfindos.file.core.windows.net/cafr/General%20Purpose/2020/FL%20Miami-Dade%20County%202020.pdf?sv=2017-07-29&amp;ss=f&amp;srt=sco&amp;sp=r&amp;se=2122-03-17T01:14:46Z&amp;st=2022-03-17T01:14:46Z&amp;spr=https&amp;sig=d4QgExs6Kg%2BIANxU85YxcPNPOCimg4YURQTDSWIEaq8%3D" TargetMode="External"/><Relationship Id="rId317" Type="http://schemas.openxmlformats.org/officeDocument/2006/relationships/hyperlink" Target="https://cafrfindos.file.core.windows.net/cafr/School%20District/2020/OK%20Millwood%20Public%20Schools%20I-37%202020.pdf?sv=2017-07-29&amp;ss=f&amp;srt=sco&amp;sp=r&amp;se=2122-03-17T01:14:46Z&amp;st=2022-03-17T01:14:46Z&amp;spr=https&amp;sig=d4QgExs6Kg%2BIANxU85YxcPNPOCimg4YURQTDSWIEaq8%3D" TargetMode="External"/><Relationship Id="rId438" Type="http://schemas.openxmlformats.org/officeDocument/2006/relationships/hyperlink" Target="https://cafrfindos.file.core.windows.net/cafr/General%20Purpose/2020/FL%20Miami%202020.pdf?sv=2017-07-29&amp;ss=f&amp;srt=sco&amp;sp=r&amp;se=2122-03-17T01:14:46Z&amp;st=2022-03-17T01:14:46Z&amp;spr=https&amp;sig=d4QgExs6Kg%2BIANxU85YxcPNPOCimg4YURQTDSWIEaq8%3D" TargetMode="External"/><Relationship Id="rId312" Type="http://schemas.openxmlformats.org/officeDocument/2006/relationships/hyperlink" Target="https://cafrfindos.file.core.windows.net/cafr/School%20District/2020/OK%20Deer%20Creek%20Public%20Schools%20I-6%202020.pdf?sv=2017-07-29&amp;ss=f&amp;srt=sco&amp;sp=r&amp;se=2122-03-17T01:14:46Z&amp;st=2022-03-17T01:14:46Z&amp;spr=https&amp;sig=d4QgExs6Kg%2BIANxU85YxcPNPOCimg4YURQTDSWIEaq8%3D" TargetMode="External"/><Relationship Id="rId433" Type="http://schemas.openxmlformats.org/officeDocument/2006/relationships/hyperlink" Target="https://cafrfindos.file.core.windows.net/cafr/General%20Purpose/2020/NC%20Wake%20County%202020.pdf?sv=2017-07-29&amp;ss=f&amp;srt=sco&amp;sp=r&amp;se=2122-03-17T01:14:46Z&amp;st=2022-03-17T01:14:46Z&amp;spr=https&amp;sig=d4QgExs6Kg%2BIANxU85YxcPNPOCimg4YURQTDSWIEaq8%3D" TargetMode="External"/><Relationship Id="rId311" Type="http://schemas.openxmlformats.org/officeDocument/2006/relationships/hyperlink" Target="https://cafrfindos.file.core.windows.net/cafr/School%20District/2020/OK%20Crooked%20Oak%20Public%20Schools%20I-53%202020.pdf?sv=2017-07-29&amp;ss=f&amp;srt=sco&amp;sp=r&amp;se=2122-03-17T01:14:46Z&amp;st=2022-03-17T01:14:46Z&amp;spr=https&amp;sig=d4QgExs6Kg%2BIANxU85YxcPNPOCimg4YURQTDSWIEaq8%3D" TargetMode="External"/><Relationship Id="rId432" Type="http://schemas.openxmlformats.org/officeDocument/2006/relationships/hyperlink" Target="https://cafrfindos.file.core.windows.net/cafr/General%20Purpose/2020/NC%20Raleigh%202020.pdf?sv=2017-07-29&amp;ss=f&amp;srt=sco&amp;sp=r&amp;se=2122-03-17T01:14:46Z&amp;st=2022-03-17T01:14:46Z&amp;spr=https&amp;sig=d4QgExs6Kg%2BIANxU85YxcPNPOCimg4YURQTDSWIEaq8%3D" TargetMode="External"/><Relationship Id="rId310" Type="http://schemas.openxmlformats.org/officeDocument/2006/relationships/hyperlink" Target="https://cafrfindos.file.core.windows.net/cafr/School%20District/2020/OK%20Choctaw_Nicoma%20Park%20School%20District%20No.%204%202020.pdf?sv=2017-07-29&amp;ss=f&amp;srt=sco&amp;sp=r&amp;se=2122-03-17T01:14:46Z&amp;st=2022-03-17T01:14:46Z&amp;spr=https&amp;sig=d4QgExs6Kg%2BIANxU85YxcPNPOCimg4YURQTDSWIEaq8%3D" TargetMode="External"/><Relationship Id="rId431" Type="http://schemas.openxmlformats.org/officeDocument/2006/relationships/hyperlink" Target="https://cafrfindos.file.core.windows.net/cafr/General%20Purpose/2020/NC%20State%20of%20North%20Carolina%202020.pdf?sv=2017-07-29&amp;ss=f&amp;srt=sco&amp;sp=r&amp;se=2122-03-17T01:14:46Z&amp;st=2022-03-17T01:14:46Z&amp;spr=https&amp;sig=d4QgExs6Kg%2BIANxU85YxcPNPOCimg4YURQTDSWIEaq8%3D" TargetMode="External"/><Relationship Id="rId430" Type="http://schemas.openxmlformats.org/officeDocument/2006/relationships/hyperlink" Target="https://cafrfindos.file.core.windows.net/cafr/Special%20District/2020/NE%20Omaha%20Public%20Power%20District%202020.pdf?sv=2017-07-29&amp;ss=f&amp;srt=sco&amp;sp=r&amp;se=2122-03-17T01:14:46Z&amp;st=2022-03-17T01:14:46Z&amp;spr=https&amp;sig=d4QgExs6Kg%2BIANxU85YxcPNPOCimg4YURQTDSWIEaq8%3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3.epa.gov/ttnairs1/airsaqsORIG/manuals/city_names.pdf"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tripnet.org/wp-content/uploads/2019/03/Urban_Roads_TRIP_Report_Appendices_October_2018.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reatschools.org/california/los-angeles/los-angeles-unified-school-district/" TargetMode="External"/><Relationship Id="rId2" Type="http://schemas.openxmlformats.org/officeDocument/2006/relationships/hyperlink" Target="https://www.greatschools.org/illinois/chicago/city-of-chicago-school-district-299/" TargetMode="External"/><Relationship Id="rId3" Type="http://schemas.openxmlformats.org/officeDocument/2006/relationships/hyperlink" Target="https://www.greatschools.org/texas/dallas/dallas-independent-school-distric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huduser.gov/portal/sites/default/files/xls/2007-2021-PIT-Counts-by-CoC.xlsx"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allethub.com/edu/best-run-cities/22869"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advisorsmith.com/data/coli/"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5.0"/>
    <col customWidth="1" min="2" max="2" width="5.44"/>
    <col customWidth="1" min="3" max="3" width="16.22"/>
    <col customWidth="1" min="4" max="4" width="14.33"/>
    <col customWidth="1" min="5" max="5" width="45.11"/>
    <col customWidth="1" min="6" max="6" width="13.33"/>
    <col customWidth="1" min="7" max="7" width="18.0"/>
    <col customWidth="1" min="8" max="8" width="17.11"/>
    <col customWidth="1" min="9" max="9" width="33.89"/>
    <col customWidth="1" min="10" max="11" width="25.11"/>
    <col customWidth="1" min="12" max="12" width="15.44"/>
    <col customWidth="1" min="13" max="13" width="18.0"/>
    <col customWidth="1" min="14" max="15" width="15.44"/>
    <col customWidth="1" min="16" max="16" width="19.11"/>
    <col customWidth="1" min="17" max="19" width="29.11"/>
    <col customWidth="1" min="20" max="20" width="28.11"/>
    <col customWidth="1" min="21" max="21" width="58.33"/>
    <col customWidth="1" min="22" max="22" width="10.56"/>
  </cols>
  <sheetData>
    <row r="1" ht="15.75" customHeight="1">
      <c r="A1" s="1" t="s">
        <v>0</v>
      </c>
      <c r="B1" s="1" t="s">
        <v>1</v>
      </c>
      <c r="C1" s="2" t="s">
        <v>2</v>
      </c>
      <c r="D1" s="1" t="s">
        <v>3</v>
      </c>
      <c r="E1" s="1" t="s">
        <v>4</v>
      </c>
      <c r="F1" s="1" t="s">
        <v>5</v>
      </c>
      <c r="G1" s="3" t="s">
        <v>6</v>
      </c>
      <c r="H1" s="3" t="s">
        <v>7</v>
      </c>
      <c r="I1" s="4" t="s">
        <v>8</v>
      </c>
      <c r="J1" s="3" t="s">
        <v>9</v>
      </c>
      <c r="K1" s="1" t="s">
        <v>10</v>
      </c>
      <c r="L1" s="3"/>
      <c r="M1" s="3" t="s">
        <v>11</v>
      </c>
      <c r="N1" s="3" t="s">
        <v>12</v>
      </c>
      <c r="O1" s="3" t="s">
        <v>13</v>
      </c>
      <c r="P1" s="5" t="s">
        <v>14</v>
      </c>
      <c r="Q1" s="4" t="s">
        <v>15</v>
      </c>
      <c r="R1" s="4" t="s">
        <v>16</v>
      </c>
      <c r="S1" s="3" t="s">
        <v>17</v>
      </c>
      <c r="T1" s="3" t="s">
        <v>18</v>
      </c>
      <c r="U1" s="1" t="s">
        <v>19</v>
      </c>
      <c r="V1" s="6"/>
      <c r="W1" s="6"/>
      <c r="X1" s="6"/>
      <c r="Y1" s="6"/>
      <c r="Z1" s="6"/>
      <c r="AA1" s="6"/>
      <c r="AB1" s="6"/>
      <c r="AC1" s="6"/>
      <c r="AD1" s="6"/>
      <c r="AE1" s="6"/>
      <c r="AF1" s="6"/>
      <c r="AG1" s="6"/>
      <c r="AH1" s="6"/>
    </row>
    <row r="2" ht="15.75" customHeight="1">
      <c r="A2" s="7">
        <v>1.0</v>
      </c>
      <c r="B2" s="7" t="s">
        <v>20</v>
      </c>
      <c r="C2" s="7" t="s">
        <v>21</v>
      </c>
      <c r="D2" s="6"/>
      <c r="E2" s="6"/>
      <c r="F2" s="7" t="s">
        <v>1</v>
      </c>
      <c r="G2" s="8">
        <v>3.1613E10</v>
      </c>
      <c r="H2" s="8">
        <v>8.4202E10</v>
      </c>
      <c r="I2" s="9">
        <f t="shared" ref="I2:I5" si="1">H2-J2</f>
        <v>84202000000</v>
      </c>
      <c r="J2" s="9"/>
      <c r="K2" s="6"/>
      <c r="L2" s="9"/>
      <c r="M2" s="10"/>
      <c r="N2" s="8">
        <v>6.024E9</v>
      </c>
      <c r="O2" s="9">
        <f t="shared" ref="O2:O5" si="2">G2+I2</f>
        <v>115815000000</v>
      </c>
      <c r="P2" s="11">
        <v>0.4095</v>
      </c>
      <c r="Q2" s="9">
        <f t="shared" ref="Q2:Q5" si="3">I2*P2</f>
        <v>34480719000</v>
      </c>
      <c r="R2" s="9">
        <f t="shared" ref="R2:R5" si="4">(O2-N2-M2)*P2</f>
        <v>44959414500</v>
      </c>
      <c r="S2" s="9">
        <f t="shared" ref="S2:S5" si="5">O2*P2</f>
        <v>47426242500</v>
      </c>
      <c r="T2" s="12"/>
      <c r="U2" s="13" t="s">
        <v>22</v>
      </c>
      <c r="V2" s="6"/>
      <c r="W2" s="6"/>
      <c r="X2" s="6"/>
      <c r="Y2" s="6"/>
      <c r="Z2" s="6"/>
      <c r="AA2" s="6"/>
      <c r="AB2" s="6"/>
      <c r="AC2" s="6"/>
      <c r="AD2" s="6"/>
      <c r="AE2" s="6"/>
      <c r="AF2" s="6"/>
      <c r="AG2" s="6"/>
      <c r="AH2" s="6"/>
    </row>
    <row r="3" ht="15.75" customHeight="1">
      <c r="A3" s="6"/>
      <c r="B3" s="6" t="s">
        <v>20</v>
      </c>
      <c r="C3" s="6"/>
      <c r="D3" s="6" t="s">
        <v>23</v>
      </c>
      <c r="E3" s="6" t="s">
        <v>24</v>
      </c>
      <c r="F3" s="6" t="s">
        <v>3</v>
      </c>
      <c r="G3" s="9">
        <v>5.7344E9</v>
      </c>
      <c r="H3" s="9">
        <f>63652715000</f>
        <v>63652715000</v>
      </c>
      <c r="I3" s="9">
        <f t="shared" si="1"/>
        <v>63393764000</v>
      </c>
      <c r="J3" s="9">
        <v>2.58951E8</v>
      </c>
      <c r="K3" s="6" t="s">
        <v>25</v>
      </c>
      <c r="L3" s="9"/>
      <c r="M3" s="10"/>
      <c r="N3" s="14">
        <v>1.10759E8</v>
      </c>
      <c r="O3" s="9">
        <f t="shared" si="2"/>
        <v>69128164000</v>
      </c>
      <c r="P3" s="15">
        <v>1.0</v>
      </c>
      <c r="Q3" s="9">
        <f t="shared" si="3"/>
        <v>63393764000</v>
      </c>
      <c r="R3" s="9">
        <f t="shared" si="4"/>
        <v>69017405000</v>
      </c>
      <c r="S3" s="9">
        <f t="shared" si="5"/>
        <v>69128164000</v>
      </c>
      <c r="T3" s="12"/>
      <c r="U3" s="13" t="s">
        <v>26</v>
      </c>
      <c r="V3" s="6"/>
      <c r="W3" s="6"/>
      <c r="X3" s="6"/>
      <c r="Y3" s="6"/>
      <c r="Z3" s="6"/>
      <c r="AA3" s="6"/>
      <c r="AB3" s="6"/>
      <c r="AC3" s="6"/>
      <c r="AD3" s="6"/>
      <c r="AE3" s="6"/>
      <c r="AF3" s="6"/>
      <c r="AG3" s="6"/>
      <c r="AH3" s="6"/>
    </row>
    <row r="4" ht="15.75" customHeight="1">
      <c r="A4" s="6"/>
      <c r="B4" s="6" t="s">
        <v>27</v>
      </c>
      <c r="C4" s="6"/>
      <c r="D4" s="6"/>
      <c r="E4" s="6" t="s">
        <v>28</v>
      </c>
      <c r="F4" s="6" t="s">
        <v>29</v>
      </c>
      <c r="G4" s="9"/>
      <c r="H4" s="9">
        <f>308069547+43965000+33830000+7812125</f>
        <v>393676672</v>
      </c>
      <c r="I4" s="9">
        <f t="shared" si="1"/>
        <v>270306216</v>
      </c>
      <c r="J4" s="9">
        <v>1.23370456E8</v>
      </c>
      <c r="K4" s="6" t="s">
        <v>30</v>
      </c>
      <c r="L4" s="9"/>
      <c r="M4" s="10"/>
      <c r="N4" s="10"/>
      <c r="O4" s="9">
        <f t="shared" si="2"/>
        <v>270306216</v>
      </c>
      <c r="P4" s="15">
        <v>0.4380269</v>
      </c>
      <c r="Q4" s="9">
        <f t="shared" si="3"/>
        <v>118401393.8</v>
      </c>
      <c r="R4" s="9">
        <f t="shared" si="4"/>
        <v>118401393.8</v>
      </c>
      <c r="S4" s="9">
        <f t="shared" si="5"/>
        <v>118401393.8</v>
      </c>
      <c r="T4" s="12"/>
      <c r="U4" s="16" t="s">
        <v>31</v>
      </c>
      <c r="V4" s="6"/>
      <c r="W4" s="6"/>
      <c r="X4" s="6"/>
      <c r="Y4" s="6"/>
      <c r="Z4" s="6"/>
      <c r="AA4" s="6"/>
      <c r="AB4" s="6"/>
      <c r="AC4" s="6"/>
      <c r="AD4" s="6"/>
      <c r="AE4" s="6"/>
      <c r="AF4" s="6"/>
      <c r="AG4" s="6"/>
      <c r="AH4" s="6"/>
    </row>
    <row r="5" ht="15.75" customHeight="1">
      <c r="A5" s="6"/>
      <c r="B5" s="6" t="s">
        <v>27</v>
      </c>
      <c r="C5" s="6"/>
      <c r="D5" s="6"/>
      <c r="E5" s="6" t="s">
        <v>32</v>
      </c>
      <c r="F5" s="6" t="s">
        <v>29</v>
      </c>
      <c r="G5" s="9"/>
      <c r="H5" s="9">
        <f>4334074000+4033000+63555000+18406000+65293000+489228000</f>
        <v>4974589000</v>
      </c>
      <c r="I5" s="9">
        <f t="shared" si="1"/>
        <v>4485361000</v>
      </c>
      <c r="J5" s="9">
        <v>4.89228E8</v>
      </c>
      <c r="K5" s="6" t="s">
        <v>33</v>
      </c>
      <c r="L5" s="9"/>
      <c r="M5" s="10"/>
      <c r="N5" s="10"/>
      <c r="O5" s="9">
        <f t="shared" si="2"/>
        <v>4485361000</v>
      </c>
      <c r="P5" s="15">
        <v>0.4380269</v>
      </c>
      <c r="Q5" s="9">
        <f t="shared" si="3"/>
        <v>1964708774</v>
      </c>
      <c r="R5" s="9">
        <f t="shared" si="4"/>
        <v>1964708774</v>
      </c>
      <c r="S5" s="9">
        <f t="shared" si="5"/>
        <v>1964708774</v>
      </c>
      <c r="T5" s="12"/>
      <c r="U5" s="16" t="s">
        <v>34</v>
      </c>
      <c r="V5" s="6"/>
      <c r="W5" s="6"/>
      <c r="X5" s="6"/>
      <c r="Y5" s="6"/>
      <c r="Z5" s="6"/>
      <c r="AA5" s="6"/>
      <c r="AB5" s="6"/>
      <c r="AC5" s="6"/>
      <c r="AD5" s="6"/>
      <c r="AE5" s="6"/>
      <c r="AF5" s="6"/>
      <c r="AG5" s="6"/>
      <c r="AH5" s="6"/>
    </row>
    <row r="6" ht="15.75" customHeight="1">
      <c r="A6" s="6"/>
      <c r="B6" s="6"/>
      <c r="C6" s="6"/>
      <c r="D6" s="6"/>
      <c r="E6" s="17" t="s">
        <v>35</v>
      </c>
      <c r="F6" s="6"/>
      <c r="G6" s="9"/>
      <c r="H6" s="9"/>
      <c r="I6" s="9"/>
      <c r="J6" s="9"/>
      <c r="K6" s="6"/>
      <c r="L6" s="9"/>
      <c r="M6" s="10"/>
      <c r="N6" s="10"/>
      <c r="O6" s="9"/>
      <c r="P6" s="18" t="str">
        <f>substitute(D3," City","")&amp;", "&amp;B3</f>
        <v>New York, NY</v>
      </c>
      <c r="Q6" s="19">
        <f t="shared" ref="Q6:S6" si="6">SUM(Q2:Q5)</f>
        <v>99957593168</v>
      </c>
      <c r="R6" s="19">
        <f t="shared" si="6"/>
        <v>116059929668</v>
      </c>
      <c r="S6" s="19">
        <f t="shared" si="6"/>
        <v>118637516668</v>
      </c>
      <c r="T6" s="20">
        <v>7.1430134813E10</v>
      </c>
      <c r="U6" s="6"/>
      <c r="V6" s="6"/>
      <c r="W6" s="6"/>
      <c r="X6" s="6"/>
      <c r="Y6" s="6"/>
      <c r="Z6" s="6"/>
      <c r="AA6" s="6"/>
      <c r="AB6" s="6"/>
      <c r="AC6" s="6"/>
      <c r="AD6" s="6"/>
      <c r="AE6" s="6"/>
      <c r="AF6" s="6"/>
      <c r="AG6" s="6"/>
      <c r="AH6" s="6"/>
    </row>
    <row r="7" ht="15.75" customHeight="1">
      <c r="A7" s="7">
        <v>2.0</v>
      </c>
      <c r="B7" s="7" t="s">
        <v>36</v>
      </c>
      <c r="C7" s="7" t="s">
        <v>37</v>
      </c>
      <c r="D7" s="6"/>
      <c r="E7" s="6"/>
      <c r="F7" s="7" t="s">
        <v>1</v>
      </c>
      <c r="G7" s="21">
        <v>5.8888202E10</v>
      </c>
      <c r="H7" s="22">
        <v>1.79355805E11</v>
      </c>
      <c r="I7" s="9">
        <f t="shared" ref="I7:I14" si="7">H7-J7</f>
        <v>179355805000</v>
      </c>
      <c r="J7" s="9"/>
      <c r="K7" s="6"/>
      <c r="L7" s="9"/>
      <c r="M7" s="21">
        <v>9.03E8</v>
      </c>
      <c r="N7" s="23">
        <v>1.3836881E10</v>
      </c>
      <c r="O7" s="9">
        <f t="shared" ref="O7:O20" si="8">G7+I7</f>
        <v>238244007000</v>
      </c>
      <c r="P7" s="11">
        <v>0.1005</v>
      </c>
      <c r="Q7" s="9">
        <f t="shared" ref="Q7:Q20" si="9">I7*P7</f>
        <v>18025258403</v>
      </c>
      <c r="R7" s="9">
        <f t="shared" ref="R7:R20" si="10">(O7-N7-M7)*P7</f>
        <v>22462164663</v>
      </c>
      <c r="S7" s="9">
        <f t="shared" ref="S7:S20" si="11">O7*P7</f>
        <v>23943522704</v>
      </c>
      <c r="T7" s="12"/>
      <c r="U7" s="16" t="s">
        <v>38</v>
      </c>
      <c r="V7" s="6"/>
      <c r="W7" s="6"/>
      <c r="X7" s="6"/>
      <c r="Y7" s="6"/>
      <c r="Z7" s="6"/>
      <c r="AA7" s="6"/>
      <c r="AB7" s="6"/>
      <c r="AC7" s="6"/>
      <c r="AD7" s="6"/>
      <c r="AE7" s="6"/>
      <c r="AF7" s="6"/>
      <c r="AG7" s="6"/>
      <c r="AH7" s="6"/>
    </row>
    <row r="8" ht="15.75" customHeight="1">
      <c r="A8" s="6"/>
      <c r="B8" s="6" t="s">
        <v>36</v>
      </c>
      <c r="C8" s="6"/>
      <c r="D8" s="6" t="s">
        <v>39</v>
      </c>
      <c r="E8" s="6"/>
      <c r="F8" s="6" t="s">
        <v>3</v>
      </c>
      <c r="G8" s="9">
        <f>9911858000</f>
        <v>9911858000</v>
      </c>
      <c r="H8" s="9">
        <v>5.840311E9</v>
      </c>
      <c r="I8" s="9">
        <f t="shared" si="7"/>
        <v>5815608000</v>
      </c>
      <c r="J8" s="9">
        <v>2.4703E7</v>
      </c>
      <c r="K8" s="6" t="s">
        <v>40</v>
      </c>
      <c r="L8" s="9"/>
      <c r="M8" s="10"/>
      <c r="N8" s="14">
        <v>5.06121E8</v>
      </c>
      <c r="O8" s="9">
        <f t="shared" si="8"/>
        <v>15727466000</v>
      </c>
      <c r="P8" s="15">
        <v>1.0</v>
      </c>
      <c r="Q8" s="9">
        <f t="shared" si="9"/>
        <v>5815608000</v>
      </c>
      <c r="R8" s="9">
        <f t="shared" si="10"/>
        <v>15221345000</v>
      </c>
      <c r="S8" s="9">
        <f t="shared" si="11"/>
        <v>15727466000</v>
      </c>
      <c r="T8" s="12"/>
      <c r="U8" s="16" t="s">
        <v>41</v>
      </c>
      <c r="V8" s="6"/>
      <c r="W8" s="6"/>
      <c r="X8" s="6"/>
      <c r="Y8" s="6"/>
      <c r="Z8" s="6"/>
      <c r="AA8" s="6"/>
      <c r="AB8" s="6"/>
      <c r="AC8" s="6"/>
      <c r="AD8" s="6"/>
      <c r="AE8" s="6"/>
      <c r="AF8" s="6"/>
      <c r="AG8" s="6"/>
      <c r="AH8" s="6"/>
    </row>
    <row r="9" ht="15.75" customHeight="1">
      <c r="A9" s="6"/>
      <c r="B9" s="6" t="s">
        <v>36</v>
      </c>
      <c r="C9" s="6"/>
      <c r="D9" s="6"/>
      <c r="E9" s="6" t="s">
        <v>42</v>
      </c>
      <c r="F9" s="6" t="s">
        <v>43</v>
      </c>
      <c r="G9" s="9">
        <f>8065147000</f>
        <v>8065147000</v>
      </c>
      <c r="H9" s="9">
        <f>9153396000</f>
        <v>9153396000</v>
      </c>
      <c r="I9" s="9">
        <f t="shared" si="7"/>
        <v>9067249000</v>
      </c>
      <c r="J9" s="9">
        <v>8.6147E7</v>
      </c>
      <c r="K9" s="6" t="s">
        <v>44</v>
      </c>
      <c r="L9" s="9"/>
      <c r="M9" s="10"/>
      <c r="N9" s="14">
        <f>1921273000+3744598000</f>
        <v>5665871000</v>
      </c>
      <c r="O9" s="9">
        <f t="shared" si="8"/>
        <v>17132396000</v>
      </c>
      <c r="P9" s="15">
        <v>0.3921</v>
      </c>
      <c r="Q9" s="9">
        <f t="shared" si="9"/>
        <v>3555268333</v>
      </c>
      <c r="R9" s="9">
        <f t="shared" si="10"/>
        <v>4496024453</v>
      </c>
      <c r="S9" s="9">
        <f t="shared" si="11"/>
        <v>6717612472</v>
      </c>
      <c r="T9" s="12"/>
      <c r="U9" s="16" t="s">
        <v>45</v>
      </c>
      <c r="V9" s="6"/>
      <c r="W9" s="6"/>
      <c r="X9" s="6"/>
      <c r="Y9" s="6"/>
      <c r="Z9" s="6"/>
      <c r="AA9" s="6"/>
      <c r="AB9" s="6"/>
      <c r="AC9" s="6"/>
      <c r="AD9" s="6"/>
      <c r="AE9" s="6"/>
      <c r="AF9" s="6"/>
      <c r="AG9" s="6"/>
      <c r="AH9" s="6"/>
    </row>
    <row r="10" ht="15.75" customHeight="1">
      <c r="A10" s="6"/>
      <c r="B10" s="6" t="s">
        <v>36</v>
      </c>
      <c r="C10" s="6"/>
      <c r="D10" s="24"/>
      <c r="E10" s="25" t="s">
        <v>46</v>
      </c>
      <c r="F10" s="6" t="s">
        <v>47</v>
      </c>
      <c r="G10" s="9">
        <f>152432000</f>
        <v>152432000</v>
      </c>
      <c r="H10" s="9">
        <f>6934791000</f>
        <v>6934791000</v>
      </c>
      <c r="I10" s="9">
        <f t="shared" si="7"/>
        <v>2738832000</v>
      </c>
      <c r="J10" s="9">
        <f>221640000+3974319000</f>
        <v>4195959000</v>
      </c>
      <c r="K10" s="6" t="s">
        <v>48</v>
      </c>
      <c r="L10" s="9"/>
      <c r="M10" s="10"/>
      <c r="N10" s="10"/>
      <c r="O10" s="9">
        <f t="shared" si="8"/>
        <v>2891264000</v>
      </c>
      <c r="P10" s="15">
        <v>0.8089054</v>
      </c>
      <c r="Q10" s="9">
        <f t="shared" si="9"/>
        <v>2215455994</v>
      </c>
      <c r="R10" s="9">
        <f t="shared" si="10"/>
        <v>2338759062</v>
      </c>
      <c r="S10" s="9">
        <f t="shared" si="11"/>
        <v>2338759062</v>
      </c>
      <c r="T10" s="12"/>
      <c r="U10" s="16" t="s">
        <v>49</v>
      </c>
      <c r="V10" s="6"/>
      <c r="W10" s="6"/>
      <c r="X10" s="6"/>
      <c r="Y10" s="6"/>
      <c r="Z10" s="6"/>
      <c r="AA10" s="6"/>
      <c r="AB10" s="6"/>
      <c r="AC10" s="6"/>
      <c r="AD10" s="6"/>
      <c r="AE10" s="6"/>
      <c r="AF10" s="6"/>
      <c r="AG10" s="6"/>
      <c r="AH10" s="6"/>
    </row>
    <row r="11" ht="15.75" customHeight="1">
      <c r="A11" s="6"/>
      <c r="B11" s="6" t="s">
        <v>36</v>
      </c>
      <c r="C11" s="6"/>
      <c r="D11" s="24"/>
      <c r="E11" s="6" t="s">
        <v>50</v>
      </c>
      <c r="F11" s="6" t="s">
        <v>29</v>
      </c>
      <c r="G11" s="9">
        <v>2.91047E8</v>
      </c>
      <c r="H11" s="9">
        <f>4055924000</f>
        <v>4055924000</v>
      </c>
      <c r="I11" s="9">
        <f t="shared" si="7"/>
        <v>4055924000</v>
      </c>
      <c r="J11" s="9"/>
      <c r="K11" s="6"/>
      <c r="L11" s="9"/>
      <c r="M11" s="10"/>
      <c r="N11" s="10"/>
      <c r="O11" s="9">
        <f t="shared" si="8"/>
        <v>4346971000</v>
      </c>
      <c r="P11" s="15">
        <v>0.392177</v>
      </c>
      <c r="Q11" s="9">
        <f t="shared" si="9"/>
        <v>1590640107</v>
      </c>
      <c r="R11" s="9">
        <f t="shared" si="10"/>
        <v>1704782046</v>
      </c>
      <c r="S11" s="9">
        <f t="shared" si="11"/>
        <v>1704782046</v>
      </c>
      <c r="T11" s="12"/>
      <c r="U11" s="16" t="s">
        <v>51</v>
      </c>
      <c r="V11" s="6"/>
      <c r="W11" s="6"/>
      <c r="X11" s="6"/>
      <c r="Y11" s="6"/>
      <c r="Z11" s="6"/>
      <c r="AA11" s="6"/>
      <c r="AB11" s="6"/>
      <c r="AC11" s="6"/>
      <c r="AD11" s="6"/>
      <c r="AE11" s="6"/>
      <c r="AF11" s="6"/>
      <c r="AG11" s="6"/>
      <c r="AH11" s="6"/>
    </row>
    <row r="12" ht="15.75" customHeight="1">
      <c r="A12" s="6"/>
      <c r="B12" s="6" t="s">
        <v>36</v>
      </c>
      <c r="C12" s="6"/>
      <c r="D12" s="24"/>
      <c r="E12" s="6" t="s">
        <v>52</v>
      </c>
      <c r="F12" s="6" t="s">
        <v>29</v>
      </c>
      <c r="G12" s="9"/>
      <c r="H12" s="9">
        <f>54386981+14383758+3537877+21434586+1435480255+143910438</f>
        <v>1673133895</v>
      </c>
      <c r="I12" s="9">
        <f t="shared" si="7"/>
        <v>93743202</v>
      </c>
      <c r="J12" s="9">
        <f>1435480255+143910438</f>
        <v>1579390693</v>
      </c>
      <c r="K12" s="6" t="s">
        <v>53</v>
      </c>
      <c r="L12" s="9"/>
      <c r="M12" s="10"/>
      <c r="N12" s="10"/>
      <c r="O12" s="9">
        <f t="shared" si="8"/>
        <v>93743202</v>
      </c>
      <c r="P12" s="15">
        <v>1.0</v>
      </c>
      <c r="Q12" s="9">
        <f t="shared" si="9"/>
        <v>93743202</v>
      </c>
      <c r="R12" s="9">
        <f t="shared" si="10"/>
        <v>93743202</v>
      </c>
      <c r="S12" s="9">
        <f t="shared" si="11"/>
        <v>93743202</v>
      </c>
      <c r="T12" s="12"/>
      <c r="U12" s="16" t="s">
        <v>54</v>
      </c>
      <c r="V12" s="6"/>
      <c r="W12" s="6"/>
      <c r="X12" s="6"/>
      <c r="Y12" s="6"/>
      <c r="Z12" s="6"/>
      <c r="AA12" s="6"/>
      <c r="AB12" s="6"/>
      <c r="AC12" s="6"/>
      <c r="AD12" s="6"/>
      <c r="AE12" s="6"/>
      <c r="AF12" s="6"/>
      <c r="AG12" s="6"/>
      <c r="AH12" s="6"/>
    </row>
    <row r="13" ht="15.75" customHeight="1">
      <c r="A13" s="6"/>
      <c r="B13" s="6" t="s">
        <v>36</v>
      </c>
      <c r="C13" s="6"/>
      <c r="D13" s="24"/>
      <c r="E13" s="25" t="s">
        <v>55</v>
      </c>
      <c r="F13" s="6" t="s">
        <v>29</v>
      </c>
      <c r="G13" s="9"/>
      <c r="H13" s="9">
        <f>633772000+43568428+88364794+4830168+4188702+20618227</f>
        <v>795342319</v>
      </c>
      <c r="I13" s="9">
        <f t="shared" si="7"/>
        <v>795342319</v>
      </c>
      <c r="J13" s="9"/>
      <c r="K13" s="6"/>
      <c r="L13" s="9"/>
      <c r="M13" s="10"/>
      <c r="N13" s="10"/>
      <c r="O13" s="9">
        <f t="shared" si="8"/>
        <v>795342319</v>
      </c>
      <c r="P13" s="15">
        <v>0.392177</v>
      </c>
      <c r="Q13" s="9">
        <f t="shared" si="9"/>
        <v>311914964.6</v>
      </c>
      <c r="R13" s="9">
        <f t="shared" si="10"/>
        <v>311914964.6</v>
      </c>
      <c r="S13" s="9">
        <f t="shared" si="11"/>
        <v>311914964.6</v>
      </c>
      <c r="T13" s="12"/>
      <c r="U13" s="16" t="s">
        <v>56</v>
      </c>
      <c r="V13" s="6"/>
      <c r="W13" s="6"/>
      <c r="X13" s="6"/>
      <c r="Y13" s="6"/>
      <c r="Z13" s="6"/>
      <c r="AA13" s="6"/>
      <c r="AB13" s="6"/>
      <c r="AC13" s="6"/>
      <c r="AD13" s="6"/>
      <c r="AE13" s="6"/>
      <c r="AF13" s="6"/>
      <c r="AG13" s="6"/>
      <c r="AH13" s="6"/>
    </row>
    <row r="14" ht="15.75" customHeight="1">
      <c r="A14" s="6"/>
      <c r="B14" s="6" t="s">
        <v>36</v>
      </c>
      <c r="C14" s="6"/>
      <c r="D14" s="24"/>
      <c r="E14" s="25" t="s">
        <v>57</v>
      </c>
      <c r="F14" s="6" t="s">
        <v>29</v>
      </c>
      <c r="G14" s="9"/>
      <c r="H14" s="9">
        <f>1368910000+146902000+28868000+18573000</f>
        <v>1563253000</v>
      </c>
      <c r="I14" s="9">
        <f t="shared" si="7"/>
        <v>1563253000</v>
      </c>
      <c r="J14" s="9"/>
      <c r="K14" s="6"/>
      <c r="L14" s="9"/>
      <c r="M14" s="10"/>
      <c r="N14" s="10"/>
      <c r="O14" s="9">
        <f t="shared" si="8"/>
        <v>1563253000</v>
      </c>
      <c r="P14" s="15">
        <v>0.2103482</v>
      </c>
      <c r="Q14" s="9">
        <f t="shared" si="9"/>
        <v>328827454.7</v>
      </c>
      <c r="R14" s="9">
        <f t="shared" si="10"/>
        <v>328827454.7</v>
      </c>
      <c r="S14" s="9">
        <f t="shared" si="11"/>
        <v>328827454.7</v>
      </c>
      <c r="T14" s="12"/>
      <c r="U14" s="16" t="s">
        <v>58</v>
      </c>
      <c r="V14" s="6"/>
      <c r="W14" s="6"/>
      <c r="X14" s="6"/>
      <c r="Y14" s="6"/>
      <c r="Z14" s="6"/>
      <c r="AA14" s="6"/>
      <c r="AB14" s="6"/>
      <c r="AC14" s="6"/>
      <c r="AD14" s="6"/>
      <c r="AE14" s="6"/>
      <c r="AF14" s="6"/>
      <c r="AG14" s="6"/>
      <c r="AH14" s="6"/>
    </row>
    <row r="15" ht="15.75" customHeight="1">
      <c r="A15" s="6"/>
      <c r="B15" s="6" t="s">
        <v>36</v>
      </c>
      <c r="C15" s="6"/>
      <c r="D15" s="24"/>
      <c r="E15" s="6" t="s">
        <v>59</v>
      </c>
      <c r="F15" s="6" t="s">
        <v>29</v>
      </c>
      <c r="G15" s="9"/>
      <c r="H15" s="9"/>
      <c r="I15" s="9"/>
      <c r="J15" s="9"/>
      <c r="K15" s="6"/>
      <c r="L15" s="9"/>
      <c r="M15" s="10"/>
      <c r="N15" s="10"/>
      <c r="O15" s="9">
        <f t="shared" si="8"/>
        <v>0</v>
      </c>
      <c r="P15" s="15">
        <v>0.392177</v>
      </c>
      <c r="Q15" s="9">
        <f t="shared" si="9"/>
        <v>0</v>
      </c>
      <c r="R15" s="9">
        <f t="shared" si="10"/>
        <v>0</v>
      </c>
      <c r="S15" s="9">
        <f t="shared" si="11"/>
        <v>0</v>
      </c>
      <c r="T15" s="9"/>
      <c r="U15" s="6" t="s">
        <v>60</v>
      </c>
      <c r="V15" s="6"/>
      <c r="W15" s="6"/>
      <c r="X15" s="6"/>
      <c r="Y15" s="6"/>
      <c r="Z15" s="6"/>
      <c r="AA15" s="6"/>
      <c r="AB15" s="6"/>
      <c r="AC15" s="6"/>
      <c r="AD15" s="6"/>
      <c r="AE15" s="6"/>
      <c r="AF15" s="6"/>
      <c r="AG15" s="6"/>
      <c r="AH15" s="6"/>
    </row>
    <row r="16" ht="15.75" customHeight="1">
      <c r="A16" s="6"/>
      <c r="B16" s="6" t="s">
        <v>36</v>
      </c>
      <c r="C16" s="6"/>
      <c r="D16" s="24"/>
      <c r="E16" s="6" t="s">
        <v>61</v>
      </c>
      <c r="F16" s="6" t="s">
        <v>29</v>
      </c>
      <c r="G16" s="9"/>
      <c r="H16" s="9">
        <f>104040000+119000+110000+148237000+14158000</f>
        <v>266664000</v>
      </c>
      <c r="I16" s="9">
        <f t="shared" ref="I16:I17" si="12">H16-J16</f>
        <v>104269000</v>
      </c>
      <c r="J16" s="9">
        <f>148237000+14158000</f>
        <v>162395000</v>
      </c>
      <c r="K16" s="6" t="s">
        <v>62</v>
      </c>
      <c r="L16" s="9"/>
      <c r="M16" s="10"/>
      <c r="N16" s="10"/>
      <c r="O16" s="9">
        <f t="shared" si="8"/>
        <v>104269000</v>
      </c>
      <c r="P16" s="15">
        <v>0.180166</v>
      </c>
      <c r="Q16" s="9">
        <f t="shared" si="9"/>
        <v>18785728.65</v>
      </c>
      <c r="R16" s="9">
        <f t="shared" si="10"/>
        <v>18785728.65</v>
      </c>
      <c r="S16" s="9">
        <f t="shared" si="11"/>
        <v>18785728.65</v>
      </c>
      <c r="T16" s="12"/>
      <c r="U16" s="16" t="s">
        <v>63</v>
      </c>
      <c r="V16" s="6"/>
      <c r="W16" s="6"/>
      <c r="X16" s="6"/>
      <c r="Y16" s="6"/>
      <c r="Z16" s="6"/>
      <c r="AA16" s="6"/>
      <c r="AB16" s="6"/>
      <c r="AC16" s="6"/>
      <c r="AD16" s="6"/>
      <c r="AE16" s="6"/>
      <c r="AF16" s="6"/>
      <c r="AG16" s="6"/>
      <c r="AH16" s="6"/>
    </row>
    <row r="17" ht="15.75" customHeight="1">
      <c r="A17" s="6"/>
      <c r="B17" s="6" t="s">
        <v>36</v>
      </c>
      <c r="C17" s="6"/>
      <c r="D17" s="24"/>
      <c r="E17" s="6" t="s">
        <v>64</v>
      </c>
      <c r="F17" s="6" t="s">
        <v>29</v>
      </c>
      <c r="G17" s="9"/>
      <c r="H17" s="9">
        <f>108667797+7572659+242335+896530</f>
        <v>117379321</v>
      </c>
      <c r="I17" s="9">
        <f t="shared" si="12"/>
        <v>116482791</v>
      </c>
      <c r="J17" s="9">
        <v>896530.0</v>
      </c>
      <c r="K17" s="6" t="s">
        <v>65</v>
      </c>
      <c r="L17" s="9"/>
      <c r="M17" s="10"/>
      <c r="N17" s="10"/>
      <c r="O17" s="9">
        <f t="shared" si="8"/>
        <v>116482791</v>
      </c>
      <c r="P17" s="15">
        <v>0.298645</v>
      </c>
      <c r="Q17" s="9">
        <f t="shared" si="9"/>
        <v>34787003.12</v>
      </c>
      <c r="R17" s="9">
        <f t="shared" si="10"/>
        <v>34787003.12</v>
      </c>
      <c r="S17" s="9">
        <f t="shared" si="11"/>
        <v>34787003.12</v>
      </c>
      <c r="T17" s="12"/>
      <c r="U17" s="16" t="s">
        <v>66</v>
      </c>
      <c r="V17" s="6"/>
      <c r="W17" s="6"/>
      <c r="X17" s="6"/>
      <c r="Y17" s="6"/>
      <c r="Z17" s="6"/>
      <c r="AA17" s="6"/>
      <c r="AB17" s="6"/>
      <c r="AC17" s="6"/>
      <c r="AD17" s="6"/>
      <c r="AE17" s="6"/>
      <c r="AF17" s="6"/>
      <c r="AG17" s="6"/>
      <c r="AH17" s="6"/>
    </row>
    <row r="18" ht="15.75" customHeight="1">
      <c r="A18" s="6"/>
      <c r="B18" s="6" t="s">
        <v>36</v>
      </c>
      <c r="C18" s="6"/>
      <c r="D18" s="24"/>
      <c r="E18" s="6" t="s">
        <v>67</v>
      </c>
      <c r="F18" s="6" t="s">
        <v>29</v>
      </c>
      <c r="G18" s="9"/>
      <c r="H18" s="9"/>
      <c r="I18" s="9"/>
      <c r="J18" s="9"/>
      <c r="K18" s="6"/>
      <c r="L18" s="9"/>
      <c r="M18" s="10"/>
      <c r="N18" s="10"/>
      <c r="O18" s="9">
        <f t="shared" si="8"/>
        <v>0</v>
      </c>
      <c r="P18" s="15">
        <v>0.392177</v>
      </c>
      <c r="Q18" s="9">
        <f t="shared" si="9"/>
        <v>0</v>
      </c>
      <c r="R18" s="9">
        <f t="shared" si="10"/>
        <v>0</v>
      </c>
      <c r="S18" s="9">
        <f t="shared" si="11"/>
        <v>0</v>
      </c>
      <c r="T18" s="9"/>
      <c r="U18" s="6" t="s">
        <v>60</v>
      </c>
      <c r="V18" s="6"/>
      <c r="W18" s="6"/>
      <c r="X18" s="6"/>
      <c r="Y18" s="6"/>
      <c r="Z18" s="6"/>
      <c r="AA18" s="6"/>
      <c r="AB18" s="6"/>
      <c r="AC18" s="6"/>
      <c r="AD18" s="6"/>
      <c r="AE18" s="6"/>
      <c r="AF18" s="6"/>
      <c r="AG18" s="6"/>
      <c r="AH18" s="6"/>
    </row>
    <row r="19" ht="15.75" customHeight="1">
      <c r="A19" s="6"/>
      <c r="B19" s="6" t="s">
        <v>36</v>
      </c>
      <c r="C19" s="6"/>
      <c r="D19" s="24"/>
      <c r="E19" s="6" t="s">
        <v>68</v>
      </c>
      <c r="F19" s="6" t="s">
        <v>29</v>
      </c>
      <c r="G19" s="9"/>
      <c r="H19" s="9">
        <f>969163000+25989000</f>
        <v>995152000</v>
      </c>
      <c r="I19" s="9">
        <f t="shared" ref="I19:I20" si="13">H19-J19</f>
        <v>995152000</v>
      </c>
      <c r="J19" s="9"/>
      <c r="K19" s="6"/>
      <c r="L19" s="9"/>
      <c r="M19" s="14">
        <v>7.84816E8</v>
      </c>
      <c r="N19" s="10"/>
      <c r="O19" s="9">
        <f t="shared" si="8"/>
        <v>995152000</v>
      </c>
      <c r="P19" s="15">
        <v>0.7706487</v>
      </c>
      <c r="Q19" s="9">
        <f t="shared" si="9"/>
        <v>766912595.1</v>
      </c>
      <c r="R19" s="9">
        <f t="shared" si="10"/>
        <v>162095165</v>
      </c>
      <c r="S19" s="9">
        <f t="shared" si="11"/>
        <v>766912595.1</v>
      </c>
      <c r="T19" s="12"/>
      <c r="U19" s="16" t="s">
        <v>69</v>
      </c>
      <c r="V19" s="6"/>
      <c r="W19" s="6"/>
      <c r="X19" s="6"/>
      <c r="Y19" s="6"/>
      <c r="Z19" s="6"/>
      <c r="AA19" s="6"/>
      <c r="AB19" s="6"/>
      <c r="AC19" s="6"/>
      <c r="AD19" s="6"/>
      <c r="AE19" s="6"/>
      <c r="AF19" s="6"/>
      <c r="AG19" s="6"/>
      <c r="AH19" s="6"/>
    </row>
    <row r="20" ht="15.75" customHeight="1">
      <c r="A20" s="6"/>
      <c r="B20" s="6" t="s">
        <v>36</v>
      </c>
      <c r="C20" s="6"/>
      <c r="D20" s="24"/>
      <c r="E20" s="6" t="s">
        <v>70</v>
      </c>
      <c r="F20" s="6" t="s">
        <v>29</v>
      </c>
      <c r="G20" s="9">
        <f>106450095+29214922</f>
        <v>135665017</v>
      </c>
      <c r="H20" s="9">
        <f>18272157</f>
        <v>18272157</v>
      </c>
      <c r="I20" s="9">
        <f t="shared" si="13"/>
        <v>15392493</v>
      </c>
      <c r="J20" s="9">
        <v>2879664.0</v>
      </c>
      <c r="K20" s="6" t="s">
        <v>71</v>
      </c>
      <c r="L20" s="9"/>
      <c r="M20" s="10"/>
      <c r="N20" s="10"/>
      <c r="O20" s="9">
        <f t="shared" si="8"/>
        <v>151057510</v>
      </c>
      <c r="P20" s="15">
        <v>0.2205669</v>
      </c>
      <c r="Q20" s="9">
        <f t="shared" si="9"/>
        <v>3395074.464</v>
      </c>
      <c r="R20" s="9">
        <f t="shared" si="10"/>
        <v>33318286.7</v>
      </c>
      <c r="S20" s="9">
        <f t="shared" si="11"/>
        <v>33318286.7</v>
      </c>
      <c r="T20" s="12"/>
      <c r="U20" s="16" t="s">
        <v>72</v>
      </c>
      <c r="V20" s="6"/>
      <c r="W20" s="6"/>
      <c r="X20" s="6"/>
      <c r="Y20" s="6"/>
      <c r="Z20" s="6"/>
      <c r="AA20" s="6"/>
      <c r="AB20" s="6"/>
      <c r="AC20" s="6"/>
      <c r="AD20" s="6"/>
      <c r="AE20" s="6"/>
      <c r="AF20" s="6"/>
      <c r="AG20" s="6"/>
      <c r="AH20" s="6"/>
    </row>
    <row r="21" ht="15.75" customHeight="1">
      <c r="A21" s="6"/>
      <c r="B21" s="6"/>
      <c r="C21" s="6"/>
      <c r="D21" s="6"/>
      <c r="E21" s="17" t="s">
        <v>35</v>
      </c>
      <c r="F21" s="6"/>
      <c r="G21" s="9"/>
      <c r="H21" s="9"/>
      <c r="I21" s="9"/>
      <c r="J21" s="9"/>
      <c r="K21" s="6"/>
      <c r="L21" s="9"/>
      <c r="M21" s="10"/>
      <c r="N21" s="10"/>
      <c r="O21" s="9"/>
      <c r="P21" s="26" t="s">
        <v>73</v>
      </c>
      <c r="Q21" s="19">
        <f t="shared" ref="Q21:S21" si="14">SUM(Q7:Q20)</f>
        <v>32760596859</v>
      </c>
      <c r="R21" s="19">
        <f t="shared" si="14"/>
        <v>47206547029</v>
      </c>
      <c r="S21" s="19">
        <f t="shared" si="14"/>
        <v>52020431518</v>
      </c>
      <c r="T21" s="20">
        <v>1.8624482387E10</v>
      </c>
      <c r="U21" s="6"/>
      <c r="V21" s="6"/>
      <c r="W21" s="6"/>
      <c r="X21" s="6"/>
      <c r="Y21" s="6"/>
      <c r="Z21" s="6"/>
      <c r="AA21" s="6"/>
      <c r="AB21" s="6"/>
      <c r="AC21" s="6"/>
      <c r="AD21" s="6"/>
      <c r="AE21" s="6"/>
      <c r="AF21" s="6"/>
      <c r="AG21" s="6"/>
      <c r="AH21" s="6"/>
    </row>
    <row r="22" ht="15.75" customHeight="1">
      <c r="A22" s="7">
        <v>3.0</v>
      </c>
      <c r="B22" s="7" t="s">
        <v>74</v>
      </c>
      <c r="C22" s="7" t="s">
        <v>75</v>
      </c>
      <c r="D22" s="6"/>
      <c r="E22" s="6"/>
      <c r="F22" s="7" t="s">
        <v>1</v>
      </c>
      <c r="G22" s="8">
        <v>8.18657E9</v>
      </c>
      <c r="H22" s="8">
        <v>4.8964374E10</v>
      </c>
      <c r="I22" s="9">
        <f t="shared" ref="I22:I31" si="15">H22-J22</f>
        <v>48964374000</v>
      </c>
      <c r="J22" s="9"/>
      <c r="K22" s="6"/>
      <c r="L22" s="9"/>
      <c r="M22" s="10"/>
      <c r="N22" s="8">
        <v>4.59695E8</v>
      </c>
      <c r="O22" s="9">
        <f t="shared" ref="O22:O33" si="16">G22+I22</f>
        <v>57150944000</v>
      </c>
      <c r="P22" s="11">
        <v>0.2094</v>
      </c>
      <c r="Q22" s="9">
        <f t="shared" ref="Q22:Q33" si="17">I22*P22</f>
        <v>10253139916</v>
      </c>
      <c r="R22" s="9">
        <f t="shared" ref="R22:R33" si="18">(O22-N22-M22)*P22</f>
        <v>11871147541</v>
      </c>
      <c r="S22" s="9">
        <f t="shared" ref="S22:S33" si="19">O22*P22</f>
        <v>11967407674</v>
      </c>
      <c r="T22" s="12"/>
      <c r="U22" s="16" t="s">
        <v>76</v>
      </c>
      <c r="V22" s="6"/>
      <c r="W22" s="6"/>
      <c r="X22" s="6"/>
      <c r="Y22" s="6"/>
      <c r="Z22" s="6"/>
      <c r="AA22" s="6"/>
      <c r="AB22" s="6"/>
      <c r="AC22" s="6"/>
      <c r="AD22" s="6"/>
      <c r="AE22" s="6"/>
      <c r="AF22" s="6"/>
      <c r="AG22" s="6"/>
      <c r="AH22" s="6"/>
    </row>
    <row r="23" ht="15.75" customHeight="1">
      <c r="A23" s="6"/>
      <c r="B23" s="6" t="s">
        <v>74</v>
      </c>
      <c r="C23" s="6"/>
      <c r="D23" s="6" t="s">
        <v>77</v>
      </c>
      <c r="E23" s="6"/>
      <c r="F23" s="6" t="s">
        <v>3</v>
      </c>
      <c r="G23" s="9">
        <f>3483684000</f>
        <v>3483684000</v>
      </c>
      <c r="H23" s="9">
        <f>6272658000</f>
        <v>6272658000</v>
      </c>
      <c r="I23" s="9">
        <f t="shared" si="15"/>
        <v>5402417000</v>
      </c>
      <c r="J23" s="9">
        <v>8.70241E8</v>
      </c>
      <c r="K23" s="6" t="s">
        <v>78</v>
      </c>
      <c r="L23" s="9"/>
      <c r="M23" s="10"/>
      <c r="N23" s="14">
        <v>5845000.0</v>
      </c>
      <c r="O23" s="9">
        <f t="shared" si="16"/>
        <v>8886101000</v>
      </c>
      <c r="P23" s="15">
        <v>1.0</v>
      </c>
      <c r="Q23" s="9">
        <f t="shared" si="17"/>
        <v>5402417000</v>
      </c>
      <c r="R23" s="9">
        <f t="shared" si="18"/>
        <v>8880256000</v>
      </c>
      <c r="S23" s="9">
        <f t="shared" si="19"/>
        <v>8886101000</v>
      </c>
      <c r="T23" s="12"/>
      <c r="U23" s="16" t="s">
        <v>79</v>
      </c>
      <c r="V23" s="6"/>
      <c r="W23" s="6"/>
      <c r="X23" s="6"/>
      <c r="Y23" s="6"/>
      <c r="Z23" s="6"/>
      <c r="AA23" s="6"/>
      <c r="AB23" s="6"/>
      <c r="AC23" s="6"/>
      <c r="AD23" s="6"/>
      <c r="AE23" s="6"/>
      <c r="AF23" s="6"/>
      <c r="AG23" s="6"/>
      <c r="AH23" s="6"/>
    </row>
    <row r="24" ht="15.75" customHeight="1">
      <c r="A24" s="6"/>
      <c r="B24" s="6" t="s">
        <v>74</v>
      </c>
      <c r="C24" s="6"/>
      <c r="D24" s="24"/>
      <c r="E24" s="24" t="s">
        <v>80</v>
      </c>
      <c r="F24" s="6" t="s">
        <v>43</v>
      </c>
      <c r="G24" s="9">
        <f>3118370000</f>
        <v>3118370000</v>
      </c>
      <c r="H24" s="9">
        <f>2065761372</f>
        <v>2065761372</v>
      </c>
      <c r="I24" s="9">
        <f t="shared" si="15"/>
        <v>2065761372</v>
      </c>
      <c r="J24" s="9"/>
      <c r="K24" s="6"/>
      <c r="L24" s="9"/>
      <c r="M24" s="27"/>
      <c r="N24" s="10"/>
      <c r="O24" s="9">
        <f t="shared" si="16"/>
        <v>5184131372</v>
      </c>
      <c r="P24" s="15">
        <v>0.5376</v>
      </c>
      <c r="Q24" s="9">
        <f t="shared" si="17"/>
        <v>1110553314</v>
      </c>
      <c r="R24" s="9">
        <f t="shared" si="18"/>
        <v>2786989026</v>
      </c>
      <c r="S24" s="9">
        <f t="shared" si="19"/>
        <v>2786989026</v>
      </c>
      <c r="T24" s="12"/>
      <c r="U24" s="16" t="s">
        <v>81</v>
      </c>
      <c r="V24" s="6"/>
      <c r="W24" s="6"/>
      <c r="X24" s="6"/>
      <c r="Y24" s="6"/>
      <c r="Z24" s="6"/>
      <c r="AA24" s="6"/>
      <c r="AB24" s="6"/>
      <c r="AC24" s="6"/>
      <c r="AD24" s="6"/>
      <c r="AE24" s="6"/>
      <c r="AF24" s="6"/>
      <c r="AG24" s="6"/>
      <c r="AH24" s="6"/>
    </row>
    <row r="25" ht="15.75" customHeight="1">
      <c r="A25" s="6"/>
      <c r="B25" s="6" t="s">
        <v>74</v>
      </c>
      <c r="C25" s="6"/>
      <c r="D25" s="24"/>
      <c r="E25" s="6" t="s">
        <v>82</v>
      </c>
      <c r="F25" s="6" t="s">
        <v>47</v>
      </c>
      <c r="G25" s="9">
        <v>2260000.0</v>
      </c>
      <c r="H25" s="9">
        <v>5.320734E9</v>
      </c>
      <c r="I25" s="9">
        <f t="shared" si="15"/>
        <v>3654581000</v>
      </c>
      <c r="J25" s="9">
        <v>1.666153E9</v>
      </c>
      <c r="K25" s="6" t="s">
        <v>83</v>
      </c>
      <c r="L25" s="9"/>
      <c r="M25" s="10"/>
      <c r="N25" s="10"/>
      <c r="O25" s="9">
        <f t="shared" si="16"/>
        <v>3656841000</v>
      </c>
      <c r="P25" s="15">
        <v>1.0</v>
      </c>
      <c r="Q25" s="9">
        <f t="shared" si="17"/>
        <v>3654581000</v>
      </c>
      <c r="R25" s="9">
        <f t="shared" si="18"/>
        <v>3656841000</v>
      </c>
      <c r="S25" s="9">
        <f t="shared" si="19"/>
        <v>3656841000</v>
      </c>
      <c r="T25" s="9"/>
      <c r="U25" s="16" t="s">
        <v>84</v>
      </c>
      <c r="V25" s="6"/>
      <c r="W25" s="6"/>
      <c r="X25" s="6"/>
      <c r="Y25" s="6"/>
      <c r="Z25" s="6"/>
      <c r="AA25" s="6"/>
      <c r="AB25" s="6"/>
      <c r="AC25" s="6"/>
      <c r="AD25" s="6"/>
      <c r="AE25" s="6"/>
      <c r="AF25" s="6"/>
      <c r="AG25" s="6"/>
      <c r="AH25" s="6"/>
    </row>
    <row r="26" ht="15.75" customHeight="1">
      <c r="A26" s="6"/>
      <c r="B26" s="6" t="s">
        <v>74</v>
      </c>
      <c r="C26" s="6"/>
      <c r="D26" s="24"/>
      <c r="E26" s="6" t="s">
        <v>85</v>
      </c>
      <c r="F26" s="6" t="s">
        <v>29</v>
      </c>
      <c r="G26" s="9">
        <f>62010000</f>
        <v>62010000</v>
      </c>
      <c r="H26" s="9">
        <f>347047000</f>
        <v>347047000</v>
      </c>
      <c r="I26" s="9">
        <f t="shared" si="15"/>
        <v>347047000</v>
      </c>
      <c r="J26" s="9"/>
      <c r="K26" s="6"/>
      <c r="L26" s="9"/>
      <c r="M26" s="10"/>
      <c r="N26" s="10"/>
      <c r="O26" s="9">
        <f t="shared" si="16"/>
        <v>409057000</v>
      </c>
      <c r="P26" s="15">
        <v>1.0</v>
      </c>
      <c r="Q26" s="9">
        <f t="shared" si="17"/>
        <v>347047000</v>
      </c>
      <c r="R26" s="9">
        <f t="shared" si="18"/>
        <v>409057000</v>
      </c>
      <c r="S26" s="9">
        <f t="shared" si="19"/>
        <v>409057000</v>
      </c>
      <c r="T26" s="12"/>
      <c r="U26" s="16" t="s">
        <v>86</v>
      </c>
      <c r="V26" s="6"/>
      <c r="W26" s="6"/>
      <c r="X26" s="6"/>
      <c r="Y26" s="6"/>
      <c r="Z26" s="6"/>
      <c r="AA26" s="6"/>
      <c r="AB26" s="6"/>
      <c r="AC26" s="6"/>
      <c r="AD26" s="6"/>
      <c r="AE26" s="6"/>
      <c r="AF26" s="6"/>
      <c r="AG26" s="6"/>
      <c r="AH26" s="6"/>
    </row>
    <row r="27" ht="15.75" customHeight="1">
      <c r="A27" s="6"/>
      <c r="B27" s="6" t="s">
        <v>74</v>
      </c>
      <c r="C27" s="6"/>
      <c r="D27" s="24"/>
      <c r="E27" s="6" t="s">
        <v>87</v>
      </c>
      <c r="F27" s="6" t="s">
        <v>29</v>
      </c>
      <c r="G27" s="9">
        <f>47216000+25044000+3499000</f>
        <v>75759000</v>
      </c>
      <c r="H27" s="9">
        <f>618130000+41130000+7972000+18520000+1163000+5976000+13623000</f>
        <v>706514000</v>
      </c>
      <c r="I27" s="9">
        <f t="shared" si="15"/>
        <v>692891000</v>
      </c>
      <c r="J27" s="9">
        <v>1.3623E7</v>
      </c>
      <c r="K27" s="6" t="s">
        <v>88</v>
      </c>
      <c r="L27" s="9"/>
      <c r="M27" s="10"/>
      <c r="N27" s="10"/>
      <c r="O27" s="9">
        <f t="shared" si="16"/>
        <v>768650000</v>
      </c>
      <c r="P27" s="15">
        <v>0.5200194</v>
      </c>
      <c r="Q27" s="9">
        <f t="shared" si="17"/>
        <v>360316762.1</v>
      </c>
      <c r="R27" s="9">
        <f t="shared" si="18"/>
        <v>399712911.8</v>
      </c>
      <c r="S27" s="9">
        <f t="shared" si="19"/>
        <v>399712911.8</v>
      </c>
      <c r="T27" s="12"/>
      <c r="U27" s="16" t="s">
        <v>89</v>
      </c>
      <c r="V27" s="6"/>
      <c r="W27" s="6"/>
      <c r="X27" s="6"/>
      <c r="Y27" s="6"/>
      <c r="Z27" s="6"/>
      <c r="AA27" s="6"/>
      <c r="AB27" s="6"/>
      <c r="AC27" s="6"/>
      <c r="AD27" s="6"/>
      <c r="AE27" s="6"/>
      <c r="AF27" s="6"/>
      <c r="AG27" s="6"/>
      <c r="AH27" s="6"/>
    </row>
    <row r="28" ht="15.75" customHeight="1">
      <c r="A28" s="6"/>
      <c r="B28" s="6" t="s">
        <v>74</v>
      </c>
      <c r="C28" s="6"/>
      <c r="D28" s="24"/>
      <c r="E28" s="6" t="s">
        <v>90</v>
      </c>
      <c r="F28" s="6" t="s">
        <v>29</v>
      </c>
      <c r="G28" s="9"/>
      <c r="H28" s="9">
        <f>278469000+739933000+483829000+14829000+10176000+4274000+5000000+3993000+95000</f>
        <v>1540598000</v>
      </c>
      <c r="I28" s="9">
        <f t="shared" si="15"/>
        <v>1531324000</v>
      </c>
      <c r="J28" s="9">
        <f>4274000+5000000</f>
        <v>9274000</v>
      </c>
      <c r="K28" s="6" t="s">
        <v>91</v>
      </c>
      <c r="L28" s="9"/>
      <c r="M28" s="10"/>
      <c r="N28" s="10"/>
      <c r="O28" s="9">
        <f t="shared" si="16"/>
        <v>1531324000</v>
      </c>
      <c r="P28" s="15">
        <v>0.5200194</v>
      </c>
      <c r="Q28" s="9">
        <f t="shared" si="17"/>
        <v>796318187.7</v>
      </c>
      <c r="R28" s="9">
        <f t="shared" si="18"/>
        <v>796318187.7</v>
      </c>
      <c r="S28" s="9">
        <f t="shared" si="19"/>
        <v>796318187.7</v>
      </c>
      <c r="T28" s="12"/>
      <c r="U28" s="16" t="s">
        <v>92</v>
      </c>
      <c r="V28" s="6"/>
      <c r="W28" s="6"/>
      <c r="X28" s="6"/>
      <c r="Y28" s="6"/>
      <c r="Z28" s="6"/>
      <c r="AA28" s="6"/>
      <c r="AB28" s="6"/>
      <c r="AC28" s="6"/>
      <c r="AD28" s="6"/>
      <c r="AE28" s="6"/>
      <c r="AF28" s="6"/>
      <c r="AG28" s="6"/>
      <c r="AH28" s="6"/>
    </row>
    <row r="29" ht="15.75" customHeight="1">
      <c r="A29" s="6"/>
      <c r="B29" s="6" t="s">
        <v>74</v>
      </c>
      <c r="C29" s="6"/>
      <c r="D29" s="24"/>
      <c r="E29" s="6" t="s">
        <v>93</v>
      </c>
      <c r="F29" s="6" t="s">
        <v>29</v>
      </c>
      <c r="G29" s="9"/>
      <c r="H29" s="9">
        <f>113983409+7879012+8509388+799639073+308888</f>
        <v>930319770</v>
      </c>
      <c r="I29" s="9">
        <f t="shared" si="15"/>
        <v>130371809</v>
      </c>
      <c r="J29" s="9">
        <f>799639073+308888</f>
        <v>799947961</v>
      </c>
      <c r="K29" s="6" t="s">
        <v>94</v>
      </c>
      <c r="L29" s="9"/>
      <c r="M29" s="10"/>
      <c r="N29" s="10"/>
      <c r="O29" s="9">
        <f t="shared" si="16"/>
        <v>130371809</v>
      </c>
      <c r="P29" s="15">
        <v>1.0</v>
      </c>
      <c r="Q29" s="9">
        <f t="shared" si="17"/>
        <v>130371809</v>
      </c>
      <c r="R29" s="9">
        <f t="shared" si="18"/>
        <v>130371809</v>
      </c>
      <c r="S29" s="9">
        <f t="shared" si="19"/>
        <v>130371809</v>
      </c>
      <c r="T29" s="12"/>
      <c r="U29" s="16" t="s">
        <v>95</v>
      </c>
      <c r="V29" s="6"/>
      <c r="W29" s="6"/>
      <c r="X29" s="6"/>
      <c r="Y29" s="6"/>
      <c r="Z29" s="6"/>
      <c r="AA29" s="6"/>
      <c r="AB29" s="6"/>
      <c r="AC29" s="6"/>
      <c r="AD29" s="6"/>
      <c r="AE29" s="6"/>
      <c r="AF29" s="6"/>
      <c r="AG29" s="6"/>
      <c r="AH29" s="6"/>
    </row>
    <row r="30" ht="15.75" customHeight="1">
      <c r="A30" s="6"/>
      <c r="B30" s="6" t="s">
        <v>74</v>
      </c>
      <c r="C30" s="6"/>
      <c r="D30" s="24"/>
      <c r="E30" s="6" t="s">
        <v>96</v>
      </c>
      <c r="F30" s="6" t="s">
        <v>29</v>
      </c>
      <c r="G30" s="9"/>
      <c r="H30" s="9">
        <f>225310000+3462000+118851000+2087000+31700000</f>
        <v>381410000</v>
      </c>
      <c r="I30" s="9">
        <f t="shared" si="15"/>
        <v>349710000</v>
      </c>
      <c r="J30" s="9">
        <v>3.17E7</v>
      </c>
      <c r="K30" s="6" t="s">
        <v>97</v>
      </c>
      <c r="L30" s="9"/>
      <c r="M30" s="10"/>
      <c r="N30" s="14">
        <v>7.9749E7</v>
      </c>
      <c r="O30" s="9">
        <f t="shared" si="16"/>
        <v>349710000</v>
      </c>
      <c r="P30" s="15">
        <v>1.0</v>
      </c>
      <c r="Q30" s="9">
        <f t="shared" si="17"/>
        <v>349710000</v>
      </c>
      <c r="R30" s="9">
        <f t="shared" si="18"/>
        <v>269961000</v>
      </c>
      <c r="S30" s="9">
        <f t="shared" si="19"/>
        <v>349710000</v>
      </c>
      <c r="T30" s="12"/>
      <c r="U30" s="16" t="s">
        <v>98</v>
      </c>
      <c r="V30" s="6"/>
      <c r="W30" s="6"/>
      <c r="X30" s="6"/>
      <c r="Y30" s="6"/>
      <c r="Z30" s="6"/>
      <c r="AA30" s="6"/>
      <c r="AB30" s="6"/>
      <c r="AC30" s="6"/>
      <c r="AD30" s="6"/>
      <c r="AE30" s="6"/>
      <c r="AF30" s="6"/>
      <c r="AG30" s="6"/>
      <c r="AH30" s="6"/>
    </row>
    <row r="31" ht="15.75" customHeight="1">
      <c r="A31" s="6"/>
      <c r="B31" s="6" t="s">
        <v>74</v>
      </c>
      <c r="C31" s="6"/>
      <c r="D31" s="24"/>
      <c r="E31" s="6" t="s">
        <v>99</v>
      </c>
      <c r="F31" s="6" t="s">
        <v>29</v>
      </c>
      <c r="G31" s="9"/>
      <c r="H31" s="9">
        <f>144030247+485568785</f>
        <v>629599032</v>
      </c>
      <c r="I31" s="9">
        <f t="shared" si="15"/>
        <v>629599032</v>
      </c>
      <c r="J31" s="9"/>
      <c r="K31" s="6"/>
      <c r="L31" s="9"/>
      <c r="M31" s="10"/>
      <c r="N31" s="10"/>
      <c r="O31" s="9">
        <f t="shared" si="16"/>
        <v>629599032</v>
      </c>
      <c r="P31" s="15">
        <v>0.2849611</v>
      </c>
      <c r="Q31" s="9">
        <f t="shared" si="17"/>
        <v>179411232.7</v>
      </c>
      <c r="R31" s="9">
        <f t="shared" si="18"/>
        <v>179411232.7</v>
      </c>
      <c r="S31" s="9">
        <f t="shared" si="19"/>
        <v>179411232.7</v>
      </c>
      <c r="T31" s="12"/>
      <c r="U31" s="16" t="s">
        <v>100</v>
      </c>
      <c r="V31" s="6"/>
      <c r="W31" s="6"/>
      <c r="X31" s="6"/>
      <c r="Y31" s="6"/>
      <c r="Z31" s="6"/>
      <c r="AA31" s="6"/>
      <c r="AB31" s="6"/>
      <c r="AC31" s="6"/>
      <c r="AD31" s="6"/>
      <c r="AE31" s="6"/>
      <c r="AF31" s="6"/>
      <c r="AG31" s="6"/>
      <c r="AH31" s="6"/>
    </row>
    <row r="32" ht="15.75" customHeight="1">
      <c r="A32" s="6"/>
      <c r="B32" s="6" t="s">
        <v>74</v>
      </c>
      <c r="C32" s="6"/>
      <c r="D32" s="24"/>
      <c r="E32" s="6" t="s">
        <v>101</v>
      </c>
      <c r="F32" s="6" t="s">
        <v>29</v>
      </c>
      <c r="G32" s="9"/>
      <c r="H32" s="9"/>
      <c r="I32" s="9"/>
      <c r="J32" s="9"/>
      <c r="K32" s="6"/>
      <c r="L32" s="9"/>
      <c r="M32" s="10"/>
      <c r="N32" s="10"/>
      <c r="O32" s="9">
        <f t="shared" si="16"/>
        <v>0</v>
      </c>
      <c r="P32" s="15">
        <v>0.5200194</v>
      </c>
      <c r="Q32" s="9">
        <f t="shared" si="17"/>
        <v>0</v>
      </c>
      <c r="R32" s="9">
        <f t="shared" si="18"/>
        <v>0</v>
      </c>
      <c r="S32" s="9">
        <f t="shared" si="19"/>
        <v>0</v>
      </c>
      <c r="T32" s="9"/>
      <c r="U32" s="6" t="s">
        <v>60</v>
      </c>
      <c r="V32" s="6"/>
      <c r="W32" s="6"/>
      <c r="X32" s="6"/>
      <c r="Y32" s="6"/>
      <c r="Z32" s="6"/>
      <c r="AA32" s="6"/>
      <c r="AB32" s="6"/>
      <c r="AC32" s="6"/>
      <c r="AD32" s="6"/>
      <c r="AE32" s="6"/>
      <c r="AF32" s="6"/>
      <c r="AG32" s="6"/>
      <c r="AH32" s="6"/>
    </row>
    <row r="33" ht="15.75" customHeight="1">
      <c r="A33" s="6"/>
      <c r="B33" s="6" t="s">
        <v>74</v>
      </c>
      <c r="C33" s="6"/>
      <c r="D33" s="6"/>
      <c r="E33" s="6" t="s">
        <v>102</v>
      </c>
      <c r="F33" s="6" t="s">
        <v>29</v>
      </c>
      <c r="G33" s="9"/>
      <c r="H33" s="9">
        <f>555813000</f>
        <v>555813000</v>
      </c>
      <c r="I33" s="9">
        <f>H33-J33</f>
        <v>358484000</v>
      </c>
      <c r="J33" s="9">
        <f>70304000+127025000</f>
        <v>197329000</v>
      </c>
      <c r="K33" s="9" t="s">
        <v>103</v>
      </c>
      <c r="L33" s="9"/>
      <c r="M33" s="10"/>
      <c r="N33" s="10"/>
      <c r="O33" s="9">
        <f t="shared" si="16"/>
        <v>358484000</v>
      </c>
      <c r="P33" s="15">
        <v>0.2849611</v>
      </c>
      <c r="Q33" s="9">
        <f t="shared" si="17"/>
        <v>102153995</v>
      </c>
      <c r="R33" s="9">
        <f t="shared" si="18"/>
        <v>102153995</v>
      </c>
      <c r="S33" s="9">
        <f t="shared" si="19"/>
        <v>102153995</v>
      </c>
      <c r="T33" s="12"/>
      <c r="U33" s="16" t="s">
        <v>104</v>
      </c>
      <c r="V33" s="6"/>
      <c r="W33" s="6"/>
      <c r="X33" s="6"/>
      <c r="Y33" s="6"/>
      <c r="Z33" s="6"/>
      <c r="AA33" s="6"/>
      <c r="AB33" s="6"/>
      <c r="AC33" s="6"/>
      <c r="AD33" s="6"/>
      <c r="AE33" s="6"/>
      <c r="AF33" s="6"/>
      <c r="AG33" s="6"/>
      <c r="AH33" s="6"/>
    </row>
    <row r="34" ht="15.75" customHeight="1">
      <c r="A34" s="6"/>
      <c r="B34" s="6"/>
      <c r="C34" s="6"/>
      <c r="D34" s="6"/>
      <c r="E34" s="17" t="s">
        <v>35</v>
      </c>
      <c r="F34" s="6"/>
      <c r="G34" s="9"/>
      <c r="H34" s="9"/>
      <c r="I34" s="9"/>
      <c r="J34" s="9"/>
      <c r="K34" s="6"/>
      <c r="L34" s="9"/>
      <c r="M34" s="10"/>
      <c r="N34" s="10"/>
      <c r="O34" s="9"/>
      <c r="P34" s="26" t="s">
        <v>105</v>
      </c>
      <c r="Q34" s="19">
        <f t="shared" ref="Q34:S34" si="20">SUM(Q22:Q33)</f>
        <v>22686020216</v>
      </c>
      <c r="R34" s="19">
        <f t="shared" si="20"/>
        <v>29482219702</v>
      </c>
      <c r="S34" s="19">
        <f t="shared" si="20"/>
        <v>29664073835</v>
      </c>
      <c r="T34" s="19">
        <f>12691650758</f>
        <v>12691650758</v>
      </c>
      <c r="U34" s="6"/>
      <c r="V34" s="6"/>
      <c r="W34" s="6"/>
      <c r="X34" s="6"/>
      <c r="Y34" s="6"/>
      <c r="Z34" s="6"/>
      <c r="AA34" s="6"/>
      <c r="AB34" s="6"/>
      <c r="AC34" s="6"/>
      <c r="AD34" s="6"/>
      <c r="AE34" s="6"/>
      <c r="AF34" s="6"/>
      <c r="AG34" s="6"/>
      <c r="AH34" s="6"/>
    </row>
    <row r="35" ht="15.75" customHeight="1">
      <c r="A35" s="7">
        <v>4.0</v>
      </c>
      <c r="B35" s="7" t="s">
        <v>106</v>
      </c>
      <c r="C35" s="7" t="s">
        <v>107</v>
      </c>
      <c r="D35" s="6"/>
      <c r="E35" s="6"/>
      <c r="F35" s="7" t="s">
        <v>1</v>
      </c>
      <c r="G35" s="8">
        <v>3.9005005E10</v>
      </c>
      <c r="H35" s="8">
        <v>6.3331858E10</v>
      </c>
      <c r="I35" s="9">
        <f t="shared" ref="I35:I59" si="21">H35-J35</f>
        <v>63099627000</v>
      </c>
      <c r="J35" s="9">
        <f>23645000+207888000+698000</f>
        <v>232231000</v>
      </c>
      <c r="K35" s="28" t="s">
        <v>108</v>
      </c>
      <c r="L35" s="9"/>
      <c r="M35" s="10"/>
      <c r="N35" s="10">
        <f>5193922000+1989916000</f>
        <v>7183838000</v>
      </c>
      <c r="O35" s="9">
        <f t="shared" ref="O35:O59" si="22">G35+I35</f>
        <v>102104632000</v>
      </c>
      <c r="P35" s="11">
        <v>0.0793</v>
      </c>
      <c r="Q35" s="9">
        <f t="shared" ref="Q35:Q59" si="23">I35*P35</f>
        <v>5003800421</v>
      </c>
      <c r="R35" s="9">
        <f t="shared" ref="R35:R59" si="24">(O35-N35-M35)*P35</f>
        <v>7527218964</v>
      </c>
      <c r="S35" s="9">
        <f t="shared" ref="S35:S59" si="25">O35*P35</f>
        <v>8096897318</v>
      </c>
      <c r="T35" s="9"/>
      <c r="U35" s="16" t="s">
        <v>109</v>
      </c>
      <c r="V35" s="6"/>
      <c r="W35" s="6"/>
      <c r="X35" s="6"/>
      <c r="Y35" s="6"/>
      <c r="Z35" s="6"/>
      <c r="AA35" s="6"/>
      <c r="AB35" s="6"/>
      <c r="AC35" s="6"/>
      <c r="AD35" s="6"/>
      <c r="AE35" s="6"/>
      <c r="AF35" s="6"/>
      <c r="AG35" s="6"/>
      <c r="AH35" s="6"/>
    </row>
    <row r="36" ht="15.75" customHeight="1">
      <c r="A36" s="6"/>
      <c r="B36" s="6" t="s">
        <v>106</v>
      </c>
      <c r="C36" s="6"/>
      <c r="D36" s="6" t="s">
        <v>110</v>
      </c>
      <c r="E36" s="6"/>
      <c r="F36" s="6" t="s">
        <v>3</v>
      </c>
      <c r="G36" s="9">
        <f>2151299000</f>
        <v>2151299000</v>
      </c>
      <c r="H36" s="9">
        <f>2495081000</f>
        <v>2495081000</v>
      </c>
      <c r="I36" s="9">
        <f t="shared" si="21"/>
        <v>2495081000</v>
      </c>
      <c r="J36" s="9"/>
      <c r="K36" s="29"/>
      <c r="L36" s="9"/>
      <c r="M36" s="10"/>
      <c r="N36" s="14">
        <v>2.1062E7</v>
      </c>
      <c r="O36" s="9">
        <f t="shared" si="22"/>
        <v>4646380000</v>
      </c>
      <c r="P36" s="15">
        <v>1.0</v>
      </c>
      <c r="Q36" s="9">
        <f t="shared" si="23"/>
        <v>2495081000</v>
      </c>
      <c r="R36" s="9">
        <f t="shared" si="24"/>
        <v>4625318000</v>
      </c>
      <c r="S36" s="9">
        <f t="shared" si="25"/>
        <v>4646380000</v>
      </c>
      <c r="T36" s="9"/>
      <c r="U36" s="16" t="s">
        <v>111</v>
      </c>
      <c r="V36" s="6"/>
      <c r="W36" s="6"/>
      <c r="X36" s="6"/>
      <c r="Y36" s="6"/>
      <c r="Z36" s="6"/>
      <c r="AA36" s="6"/>
      <c r="AB36" s="6"/>
      <c r="AC36" s="6"/>
      <c r="AD36" s="6"/>
      <c r="AE36" s="6"/>
      <c r="AF36" s="6"/>
      <c r="AG36" s="6"/>
      <c r="AH36" s="6"/>
    </row>
    <row r="37" ht="15.75" customHeight="1">
      <c r="A37" s="6"/>
      <c r="B37" s="6" t="s">
        <v>106</v>
      </c>
      <c r="C37" s="6"/>
      <c r="D37" s="6"/>
      <c r="E37" s="6" t="s">
        <v>112</v>
      </c>
      <c r="F37" s="6" t="s">
        <v>43</v>
      </c>
      <c r="G37" s="9">
        <f>1153495162</f>
        <v>1153495162</v>
      </c>
      <c r="H37" s="9">
        <f>2304193903</f>
        <v>2304193903</v>
      </c>
      <c r="I37" s="9">
        <f t="shared" si="21"/>
        <v>2304193903</v>
      </c>
      <c r="J37" s="9"/>
      <c r="K37" s="6"/>
      <c r="L37" s="9"/>
      <c r="M37" s="10"/>
      <c r="N37" s="14">
        <v>1.0623852E7</v>
      </c>
      <c r="O37" s="9">
        <f t="shared" si="22"/>
        <v>3457689065</v>
      </c>
      <c r="P37" s="15">
        <v>0.476</v>
      </c>
      <c r="Q37" s="9">
        <f t="shared" si="23"/>
        <v>1096796298</v>
      </c>
      <c r="R37" s="9">
        <f t="shared" si="24"/>
        <v>1640803041</v>
      </c>
      <c r="S37" s="9">
        <f t="shared" si="25"/>
        <v>1645859995</v>
      </c>
      <c r="T37" s="9"/>
      <c r="U37" s="16" t="s">
        <v>113</v>
      </c>
      <c r="V37" s="6"/>
      <c r="W37" s="6"/>
      <c r="X37" s="6"/>
      <c r="Y37" s="6"/>
      <c r="Z37" s="6"/>
      <c r="AA37" s="6"/>
      <c r="AB37" s="6"/>
      <c r="AC37" s="6"/>
      <c r="AD37" s="6"/>
      <c r="AE37" s="6"/>
      <c r="AF37" s="6"/>
      <c r="AG37" s="6"/>
      <c r="AH37" s="6"/>
    </row>
    <row r="38" ht="15.75" customHeight="1">
      <c r="A38" s="6"/>
      <c r="B38" s="6" t="s">
        <v>106</v>
      </c>
      <c r="C38" s="6"/>
      <c r="D38" s="6"/>
      <c r="E38" s="25" t="s">
        <v>114</v>
      </c>
      <c r="F38" s="6" t="s">
        <v>43</v>
      </c>
      <c r="G38" s="9">
        <v>5.7318426E7</v>
      </c>
      <c r="H38" s="9">
        <v>3.47722213E8</v>
      </c>
      <c r="I38" s="9">
        <f t="shared" si="21"/>
        <v>347722213</v>
      </c>
      <c r="J38" s="9"/>
      <c r="K38" s="6"/>
      <c r="L38" s="9"/>
      <c r="M38" s="10"/>
      <c r="N38" s="14">
        <v>1.0317987E7</v>
      </c>
      <c r="O38" s="9">
        <f t="shared" si="22"/>
        <v>405040639</v>
      </c>
      <c r="P38" s="15">
        <v>0.0505</v>
      </c>
      <c r="Q38" s="9">
        <f t="shared" si="23"/>
        <v>17559971.76</v>
      </c>
      <c r="R38" s="9">
        <f t="shared" si="24"/>
        <v>19933493.93</v>
      </c>
      <c r="S38" s="9">
        <f t="shared" si="25"/>
        <v>20454552.27</v>
      </c>
      <c r="T38" s="9"/>
      <c r="U38" s="16" t="s">
        <v>115</v>
      </c>
      <c r="V38" s="6"/>
      <c r="W38" s="6"/>
      <c r="X38" s="6"/>
      <c r="Y38" s="6"/>
      <c r="Z38" s="6"/>
      <c r="AA38" s="6"/>
      <c r="AB38" s="6"/>
      <c r="AC38" s="6"/>
      <c r="AD38" s="6"/>
      <c r="AE38" s="6"/>
      <c r="AF38" s="6"/>
      <c r="AG38" s="6"/>
      <c r="AH38" s="6"/>
    </row>
    <row r="39" ht="15.75" customHeight="1">
      <c r="A39" s="6"/>
      <c r="B39" s="6" t="s">
        <v>106</v>
      </c>
      <c r="C39" s="6"/>
      <c r="D39" s="6"/>
      <c r="E39" s="25" t="s">
        <v>116</v>
      </c>
      <c r="F39" s="6" t="s">
        <v>43</v>
      </c>
      <c r="G39" s="9">
        <f>138273553+5097422</f>
        <v>143370975</v>
      </c>
      <c r="H39" s="9">
        <v>2.65488545E8</v>
      </c>
      <c r="I39" s="9">
        <f t="shared" si="21"/>
        <v>265488545</v>
      </c>
      <c r="J39" s="9"/>
      <c r="K39" s="6"/>
      <c r="L39" s="9"/>
      <c r="M39" s="10"/>
      <c r="N39" s="14">
        <v>3055498.0</v>
      </c>
      <c r="O39" s="9">
        <f t="shared" si="22"/>
        <v>408859520</v>
      </c>
      <c r="P39" s="15">
        <v>0.0108</v>
      </c>
      <c r="Q39" s="9">
        <f t="shared" si="23"/>
        <v>2867276.286</v>
      </c>
      <c r="R39" s="9">
        <f t="shared" si="24"/>
        <v>4382683.438</v>
      </c>
      <c r="S39" s="9">
        <f t="shared" si="25"/>
        <v>4415682.816</v>
      </c>
      <c r="T39" s="9"/>
      <c r="U39" s="16" t="s">
        <v>117</v>
      </c>
      <c r="V39" s="6"/>
      <c r="W39" s="6"/>
      <c r="X39" s="6"/>
      <c r="Y39" s="6"/>
      <c r="Z39" s="6"/>
      <c r="AA39" s="6"/>
      <c r="AB39" s="6"/>
      <c r="AC39" s="6"/>
      <c r="AD39" s="6"/>
      <c r="AE39" s="6"/>
      <c r="AF39" s="6"/>
      <c r="AG39" s="6"/>
      <c r="AH39" s="6"/>
    </row>
    <row r="40" ht="15.75" customHeight="1">
      <c r="A40" s="6"/>
      <c r="B40" s="6" t="s">
        <v>106</v>
      </c>
      <c r="C40" s="6"/>
      <c r="D40" s="6"/>
      <c r="E40" s="25" t="s">
        <v>118</v>
      </c>
      <c r="F40" s="6" t="s">
        <v>47</v>
      </c>
      <c r="G40" s="9">
        <v>3.2229778E7</v>
      </c>
      <c r="H40" s="9">
        <v>7.65027201E8</v>
      </c>
      <c r="I40" s="9">
        <f t="shared" si="21"/>
        <v>526787197</v>
      </c>
      <c r="J40" s="9">
        <v>2.38240004E8</v>
      </c>
      <c r="K40" s="6" t="s">
        <v>119</v>
      </c>
      <c r="L40" s="9"/>
      <c r="M40" s="10"/>
      <c r="N40" s="14">
        <v>366.0</v>
      </c>
      <c r="O40" s="9">
        <f t="shared" si="22"/>
        <v>559016975</v>
      </c>
      <c r="P40" s="15">
        <v>0.1163176</v>
      </c>
      <c r="Q40" s="9">
        <f t="shared" si="23"/>
        <v>61274622.47</v>
      </c>
      <c r="R40" s="9">
        <f t="shared" si="24"/>
        <v>65023470.32</v>
      </c>
      <c r="S40" s="9">
        <f t="shared" si="25"/>
        <v>65023512.89</v>
      </c>
      <c r="T40" s="9"/>
      <c r="U40" s="16" t="s">
        <v>120</v>
      </c>
      <c r="V40" s="6"/>
      <c r="W40" s="6"/>
      <c r="X40" s="6"/>
      <c r="Y40" s="6"/>
      <c r="Z40" s="6"/>
      <c r="AA40" s="6"/>
      <c r="AB40" s="6"/>
      <c r="AC40" s="6"/>
      <c r="AD40" s="6"/>
      <c r="AE40" s="6"/>
      <c r="AF40" s="6"/>
      <c r="AG40" s="6"/>
      <c r="AH40" s="6"/>
    </row>
    <row r="41" ht="15.75" customHeight="1">
      <c r="A41" s="6"/>
      <c r="B41" s="6" t="s">
        <v>106</v>
      </c>
      <c r="C41" s="6"/>
      <c r="D41" s="6"/>
      <c r="E41" s="25" t="s">
        <v>121</v>
      </c>
      <c r="F41" s="6" t="s">
        <v>47</v>
      </c>
      <c r="G41" s="9">
        <f>18672978</f>
        <v>18672978</v>
      </c>
      <c r="H41" s="9">
        <v>4.25024622E8</v>
      </c>
      <c r="I41" s="9">
        <f t="shared" si="21"/>
        <v>328384480</v>
      </c>
      <c r="J41" s="9">
        <v>9.6640142E7</v>
      </c>
      <c r="K41" s="6" t="s">
        <v>122</v>
      </c>
      <c r="L41" s="9"/>
      <c r="M41" s="10"/>
      <c r="N41" s="14">
        <v>4535.0</v>
      </c>
      <c r="O41" s="9">
        <f t="shared" si="22"/>
        <v>347057458</v>
      </c>
      <c r="P41" s="15">
        <v>0.3419361</v>
      </c>
      <c r="Q41" s="9">
        <f t="shared" si="23"/>
        <v>112286508.4</v>
      </c>
      <c r="R41" s="9">
        <f t="shared" si="24"/>
        <v>118669923</v>
      </c>
      <c r="S41" s="9">
        <f t="shared" si="25"/>
        <v>118671473.7</v>
      </c>
      <c r="T41" s="9"/>
      <c r="U41" s="16" t="s">
        <v>123</v>
      </c>
      <c r="V41" s="6"/>
      <c r="W41" s="6"/>
      <c r="X41" s="6"/>
      <c r="Y41" s="6"/>
      <c r="Z41" s="6"/>
      <c r="AA41" s="6"/>
      <c r="AB41" s="6"/>
      <c r="AC41" s="6"/>
      <c r="AD41" s="6"/>
      <c r="AE41" s="6"/>
      <c r="AF41" s="6"/>
      <c r="AG41" s="6"/>
      <c r="AH41" s="6"/>
    </row>
    <row r="42" ht="15.75" customHeight="1">
      <c r="A42" s="6"/>
      <c r="B42" s="6" t="s">
        <v>106</v>
      </c>
      <c r="C42" s="6"/>
      <c r="D42" s="6"/>
      <c r="E42" s="25" t="s">
        <v>124</v>
      </c>
      <c r="F42" s="6" t="s">
        <v>47</v>
      </c>
      <c r="G42" s="9">
        <v>8122635.0</v>
      </c>
      <c r="H42" s="9">
        <v>6.82017604E8</v>
      </c>
      <c r="I42" s="9">
        <f t="shared" si="21"/>
        <v>292571203</v>
      </c>
      <c r="J42" s="9">
        <v>3.89446401E8</v>
      </c>
      <c r="K42" s="6" t="s">
        <v>119</v>
      </c>
      <c r="L42" s="9"/>
      <c r="M42" s="10"/>
      <c r="N42" s="14">
        <v>0.0</v>
      </c>
      <c r="O42" s="9">
        <f t="shared" si="22"/>
        <v>300693838</v>
      </c>
      <c r="P42" s="15">
        <v>0.3729795</v>
      </c>
      <c r="Q42" s="9">
        <f t="shared" si="23"/>
        <v>109123061</v>
      </c>
      <c r="R42" s="9">
        <f t="shared" si="24"/>
        <v>112152637.4</v>
      </c>
      <c r="S42" s="9">
        <f t="shared" si="25"/>
        <v>112152637.4</v>
      </c>
      <c r="T42" s="9"/>
      <c r="U42" s="16" t="s">
        <v>125</v>
      </c>
      <c r="V42" s="6"/>
      <c r="W42" s="6"/>
      <c r="X42" s="6"/>
      <c r="Y42" s="6"/>
      <c r="Z42" s="6"/>
      <c r="AA42" s="6"/>
      <c r="AB42" s="6"/>
      <c r="AC42" s="6"/>
      <c r="AD42" s="6"/>
      <c r="AE42" s="6"/>
      <c r="AF42" s="6"/>
      <c r="AG42" s="6"/>
      <c r="AH42" s="6"/>
    </row>
    <row r="43" ht="15.75" customHeight="1">
      <c r="A43" s="6"/>
      <c r="B43" s="6" t="s">
        <v>106</v>
      </c>
      <c r="C43" s="6"/>
      <c r="D43" s="6"/>
      <c r="E43" s="25" t="s">
        <v>126</v>
      </c>
      <c r="F43" s="6" t="s">
        <v>47</v>
      </c>
      <c r="G43" s="9">
        <v>6498551.0</v>
      </c>
      <c r="H43" s="9">
        <v>4.38466478E8</v>
      </c>
      <c r="I43" s="9">
        <f t="shared" si="21"/>
        <v>201964829</v>
      </c>
      <c r="J43" s="9">
        <v>2.36501649E8</v>
      </c>
      <c r="K43" s="6" t="s">
        <v>127</v>
      </c>
      <c r="L43" s="9"/>
      <c r="M43" s="10"/>
      <c r="N43" s="14">
        <v>0.0</v>
      </c>
      <c r="O43" s="9">
        <f t="shared" si="22"/>
        <v>208463380</v>
      </c>
      <c r="P43" s="15">
        <v>0.7390457</v>
      </c>
      <c r="Q43" s="9">
        <f t="shared" si="23"/>
        <v>149261238.4</v>
      </c>
      <c r="R43" s="9">
        <f t="shared" si="24"/>
        <v>154063964.6</v>
      </c>
      <c r="S43" s="9">
        <f t="shared" si="25"/>
        <v>154063964.6</v>
      </c>
      <c r="T43" s="9"/>
      <c r="U43" s="16" t="s">
        <v>128</v>
      </c>
      <c r="V43" s="6"/>
      <c r="W43" s="6"/>
      <c r="X43" s="6"/>
      <c r="Y43" s="6"/>
      <c r="Z43" s="6"/>
      <c r="AA43" s="6"/>
      <c r="AB43" s="6"/>
      <c r="AC43" s="6"/>
      <c r="AD43" s="6"/>
      <c r="AE43" s="6"/>
      <c r="AF43" s="6"/>
      <c r="AG43" s="6"/>
      <c r="AH43" s="6"/>
    </row>
    <row r="44" ht="15.75" customHeight="1">
      <c r="A44" s="6"/>
      <c r="B44" s="6" t="s">
        <v>106</v>
      </c>
      <c r="C44" s="6"/>
      <c r="D44" s="6"/>
      <c r="E44" s="25" t="s">
        <v>129</v>
      </c>
      <c r="F44" s="6" t="s">
        <v>47</v>
      </c>
      <c r="G44" s="9">
        <v>3.7094567E7</v>
      </c>
      <c r="H44" s="9">
        <v>1.127340287E9</v>
      </c>
      <c r="I44" s="9">
        <f t="shared" si="21"/>
        <v>758525082</v>
      </c>
      <c r="J44" s="9">
        <v>3.68815205E8</v>
      </c>
      <c r="K44" s="6" t="s">
        <v>40</v>
      </c>
      <c r="L44" s="9"/>
      <c r="M44" s="10"/>
      <c r="N44" s="14">
        <v>0.0</v>
      </c>
      <c r="O44" s="9">
        <f t="shared" si="22"/>
        <v>795619649</v>
      </c>
      <c r="P44" s="15">
        <v>0.038464</v>
      </c>
      <c r="Q44" s="9">
        <f t="shared" si="23"/>
        <v>29175908.75</v>
      </c>
      <c r="R44" s="9">
        <f t="shared" si="24"/>
        <v>30602714.18</v>
      </c>
      <c r="S44" s="9">
        <f t="shared" si="25"/>
        <v>30602714.18</v>
      </c>
      <c r="T44" s="9"/>
      <c r="U44" s="16" t="s">
        <v>130</v>
      </c>
      <c r="V44" s="6"/>
      <c r="W44" s="6"/>
      <c r="X44" s="6"/>
      <c r="Y44" s="6"/>
      <c r="Z44" s="6"/>
      <c r="AA44" s="6"/>
      <c r="AB44" s="6"/>
      <c r="AC44" s="6"/>
      <c r="AD44" s="6"/>
      <c r="AE44" s="6"/>
      <c r="AF44" s="6"/>
      <c r="AG44" s="6"/>
      <c r="AH44" s="6"/>
    </row>
    <row r="45" ht="15.75" customHeight="1">
      <c r="A45" s="6"/>
      <c r="B45" s="6" t="s">
        <v>106</v>
      </c>
      <c r="C45" s="6"/>
      <c r="D45" s="6"/>
      <c r="E45" s="25" t="s">
        <v>131</v>
      </c>
      <c r="F45" s="6" t="s">
        <v>47</v>
      </c>
      <c r="G45" s="9"/>
      <c r="H45" s="9"/>
      <c r="I45" s="9">
        <f t="shared" si="21"/>
        <v>0</v>
      </c>
      <c r="J45" s="9"/>
      <c r="K45" s="6"/>
      <c r="L45" s="9"/>
      <c r="M45" s="10"/>
      <c r="N45" s="10"/>
      <c r="O45" s="9">
        <f t="shared" si="22"/>
        <v>0</v>
      </c>
      <c r="P45" s="15">
        <v>0.6450053</v>
      </c>
      <c r="Q45" s="9">
        <f t="shared" si="23"/>
        <v>0</v>
      </c>
      <c r="R45" s="9">
        <f t="shared" si="24"/>
        <v>0</v>
      </c>
      <c r="S45" s="9">
        <f t="shared" si="25"/>
        <v>0</v>
      </c>
      <c r="T45" s="9"/>
      <c r="U45" s="6" t="s">
        <v>60</v>
      </c>
      <c r="V45" s="6"/>
      <c r="W45" s="6"/>
      <c r="X45" s="6"/>
      <c r="Y45" s="6"/>
      <c r="Z45" s="6"/>
      <c r="AA45" s="6"/>
      <c r="AB45" s="6"/>
      <c r="AC45" s="6"/>
      <c r="AD45" s="6"/>
      <c r="AE45" s="6"/>
      <c r="AF45" s="6"/>
      <c r="AG45" s="6"/>
      <c r="AH45" s="6"/>
    </row>
    <row r="46" ht="15.75" customHeight="1">
      <c r="A46" s="6"/>
      <c r="B46" s="6" t="s">
        <v>106</v>
      </c>
      <c r="C46" s="6"/>
      <c r="D46" s="6"/>
      <c r="E46" s="25" t="s">
        <v>132</v>
      </c>
      <c r="F46" s="6" t="s">
        <v>47</v>
      </c>
      <c r="G46" s="9">
        <v>3473226.0</v>
      </c>
      <c r="H46" s="9">
        <v>2.58483044E8</v>
      </c>
      <c r="I46" s="9">
        <f t="shared" si="21"/>
        <v>148168989</v>
      </c>
      <c r="J46" s="9">
        <v>1.10314055E8</v>
      </c>
      <c r="K46" s="6" t="s">
        <v>119</v>
      </c>
      <c r="L46" s="9"/>
      <c r="M46" s="10"/>
      <c r="N46" s="14">
        <v>4365.0</v>
      </c>
      <c r="O46" s="9">
        <f t="shared" si="22"/>
        <v>151642215</v>
      </c>
      <c r="P46" s="15">
        <v>0.0692323</v>
      </c>
      <c r="Q46" s="9">
        <f t="shared" si="23"/>
        <v>10258079.9</v>
      </c>
      <c r="R46" s="9">
        <f t="shared" si="24"/>
        <v>10498237.12</v>
      </c>
      <c r="S46" s="9">
        <f t="shared" si="25"/>
        <v>10498539.32</v>
      </c>
      <c r="T46" s="9"/>
      <c r="U46" s="16" t="s">
        <v>133</v>
      </c>
      <c r="V46" s="6"/>
      <c r="W46" s="6"/>
      <c r="X46" s="6"/>
      <c r="Y46" s="6"/>
      <c r="Z46" s="6"/>
      <c r="AA46" s="6"/>
      <c r="AB46" s="6"/>
      <c r="AC46" s="6"/>
      <c r="AD46" s="6"/>
      <c r="AE46" s="6"/>
      <c r="AF46" s="6"/>
      <c r="AG46" s="6"/>
      <c r="AH46" s="6"/>
    </row>
    <row r="47" ht="15.75" customHeight="1">
      <c r="A47" s="6"/>
      <c r="B47" s="6" t="s">
        <v>106</v>
      </c>
      <c r="C47" s="6"/>
      <c r="D47" s="6"/>
      <c r="E47" s="25" t="s">
        <v>134</v>
      </c>
      <c r="F47" s="6" t="s">
        <v>47</v>
      </c>
      <c r="G47" s="9">
        <v>7801272.0</v>
      </c>
      <c r="H47" s="9">
        <v>2.216415982E9</v>
      </c>
      <c r="I47" s="9">
        <f t="shared" si="21"/>
        <v>2088170626</v>
      </c>
      <c r="J47" s="9">
        <v>1.28245356E8</v>
      </c>
      <c r="K47" s="6" t="s">
        <v>127</v>
      </c>
      <c r="L47" s="9"/>
      <c r="M47" s="10"/>
      <c r="N47" s="14">
        <f>2004850+0</f>
        <v>2004850</v>
      </c>
      <c r="O47" s="9">
        <f t="shared" si="22"/>
        <v>2095971898</v>
      </c>
      <c r="P47" s="15">
        <v>0.9109173</v>
      </c>
      <c r="Q47" s="9">
        <f t="shared" si="23"/>
        <v>1902150749</v>
      </c>
      <c r="R47" s="9">
        <f t="shared" si="24"/>
        <v>1907430810</v>
      </c>
      <c r="S47" s="9">
        <f t="shared" si="25"/>
        <v>1909257062</v>
      </c>
      <c r="T47" s="9"/>
      <c r="U47" s="16" t="s">
        <v>135</v>
      </c>
      <c r="V47" s="6"/>
      <c r="W47" s="6"/>
      <c r="X47" s="6"/>
      <c r="Y47" s="6"/>
      <c r="Z47" s="6"/>
      <c r="AA47" s="6"/>
      <c r="AB47" s="6"/>
      <c r="AC47" s="6"/>
      <c r="AD47" s="6"/>
      <c r="AE47" s="6"/>
      <c r="AF47" s="6"/>
      <c r="AG47" s="6"/>
      <c r="AH47" s="6"/>
    </row>
    <row r="48" ht="15.75" customHeight="1">
      <c r="A48" s="6"/>
      <c r="B48" s="6" t="s">
        <v>106</v>
      </c>
      <c r="C48" s="6"/>
      <c r="D48" s="6"/>
      <c r="E48" s="25" t="s">
        <v>136</v>
      </c>
      <c r="F48" s="6" t="s">
        <v>47</v>
      </c>
      <c r="G48" s="9">
        <v>1.3765367E7</v>
      </c>
      <c r="H48" s="9">
        <v>4.86083924E8</v>
      </c>
      <c r="I48" s="9">
        <f t="shared" si="21"/>
        <v>261940220</v>
      </c>
      <c r="J48" s="9">
        <v>2.24143704E8</v>
      </c>
      <c r="K48" s="6" t="s">
        <v>137</v>
      </c>
      <c r="L48" s="9"/>
      <c r="M48" s="10"/>
      <c r="N48" s="14">
        <v>1080.0</v>
      </c>
      <c r="O48" s="9">
        <f t="shared" si="22"/>
        <v>275705587</v>
      </c>
      <c r="P48" s="15">
        <v>0.4450898</v>
      </c>
      <c r="Q48" s="9">
        <f t="shared" si="23"/>
        <v>116586920.1</v>
      </c>
      <c r="R48" s="9">
        <f t="shared" si="24"/>
        <v>122713263.9</v>
      </c>
      <c r="S48" s="9">
        <f t="shared" si="25"/>
        <v>122713744.6</v>
      </c>
      <c r="T48" s="9"/>
      <c r="U48" s="16" t="s">
        <v>138</v>
      </c>
      <c r="V48" s="6"/>
      <c r="W48" s="6"/>
      <c r="X48" s="6"/>
      <c r="Y48" s="6"/>
      <c r="Z48" s="6"/>
      <c r="AA48" s="6"/>
      <c r="AB48" s="6"/>
      <c r="AC48" s="6"/>
      <c r="AD48" s="6"/>
      <c r="AE48" s="6"/>
      <c r="AF48" s="6"/>
      <c r="AG48" s="6"/>
      <c r="AH48" s="6"/>
    </row>
    <row r="49" ht="15.75" customHeight="1">
      <c r="A49" s="6"/>
      <c r="B49" s="6" t="s">
        <v>106</v>
      </c>
      <c r="C49" s="6"/>
      <c r="D49" s="6"/>
      <c r="E49" s="25" t="s">
        <v>139</v>
      </c>
      <c r="F49" s="6" t="s">
        <v>47</v>
      </c>
      <c r="G49" s="9">
        <v>1.8618039E7</v>
      </c>
      <c r="H49" s="9">
        <v>9.26599772E8</v>
      </c>
      <c r="I49" s="9">
        <f t="shared" si="21"/>
        <v>599604154</v>
      </c>
      <c r="J49" s="9">
        <v>3.26995618E8</v>
      </c>
      <c r="K49" s="6" t="s">
        <v>140</v>
      </c>
      <c r="L49" s="9"/>
      <c r="M49" s="10"/>
      <c r="N49" s="14">
        <v>0.0</v>
      </c>
      <c r="O49" s="9">
        <f t="shared" si="22"/>
        <v>618222193</v>
      </c>
      <c r="P49" s="15">
        <v>0.120324</v>
      </c>
      <c r="Q49" s="9">
        <f t="shared" si="23"/>
        <v>72146770.23</v>
      </c>
      <c r="R49" s="9">
        <f t="shared" si="24"/>
        <v>74386967.15</v>
      </c>
      <c r="S49" s="9">
        <f t="shared" si="25"/>
        <v>74386967.15</v>
      </c>
      <c r="T49" s="9"/>
      <c r="U49" s="16" t="s">
        <v>141</v>
      </c>
      <c r="V49" s="6"/>
      <c r="W49" s="6"/>
      <c r="X49" s="6"/>
      <c r="Y49" s="6"/>
      <c r="Z49" s="6"/>
      <c r="AA49" s="6"/>
      <c r="AB49" s="6"/>
      <c r="AC49" s="6"/>
      <c r="AD49" s="6"/>
      <c r="AE49" s="6"/>
      <c r="AF49" s="6"/>
      <c r="AG49" s="6"/>
      <c r="AH49" s="6"/>
    </row>
    <row r="50" ht="15.75" customHeight="1">
      <c r="A50" s="6"/>
      <c r="B50" s="6" t="s">
        <v>106</v>
      </c>
      <c r="C50" s="6"/>
      <c r="D50" s="6"/>
      <c r="E50" s="25" t="s">
        <v>142</v>
      </c>
      <c r="F50" s="6" t="s">
        <v>47</v>
      </c>
      <c r="G50" s="9">
        <v>1.1189299E7</v>
      </c>
      <c r="H50" s="9">
        <v>5.18687116E8</v>
      </c>
      <c r="I50" s="9">
        <f t="shared" si="21"/>
        <v>311344939</v>
      </c>
      <c r="J50" s="9">
        <v>2.07342177E8</v>
      </c>
      <c r="K50" s="6" t="s">
        <v>40</v>
      </c>
      <c r="L50" s="9"/>
      <c r="M50" s="10"/>
      <c r="N50" s="14">
        <v>0.0</v>
      </c>
      <c r="O50" s="9">
        <f t="shared" si="22"/>
        <v>322534238</v>
      </c>
      <c r="P50" s="15">
        <v>0.0802921</v>
      </c>
      <c r="Q50" s="9">
        <f t="shared" si="23"/>
        <v>24998538.98</v>
      </c>
      <c r="R50" s="9">
        <f t="shared" si="24"/>
        <v>25896951.29</v>
      </c>
      <c r="S50" s="9">
        <f t="shared" si="25"/>
        <v>25896951.29</v>
      </c>
      <c r="T50" s="9"/>
      <c r="U50" s="16" t="s">
        <v>143</v>
      </c>
      <c r="V50" s="6"/>
      <c r="W50" s="6"/>
      <c r="X50" s="6"/>
      <c r="Y50" s="6"/>
      <c r="Z50" s="6"/>
      <c r="AA50" s="6"/>
      <c r="AB50" s="6"/>
      <c r="AC50" s="6"/>
      <c r="AD50" s="6"/>
      <c r="AE50" s="6"/>
      <c r="AF50" s="6"/>
      <c r="AG50" s="6"/>
      <c r="AH50" s="6"/>
    </row>
    <row r="51" ht="15.75" customHeight="1">
      <c r="A51" s="6"/>
      <c r="B51" s="6" t="s">
        <v>106</v>
      </c>
      <c r="C51" s="6"/>
      <c r="D51" s="6"/>
      <c r="E51" s="25" t="s">
        <v>144</v>
      </c>
      <c r="F51" s="6" t="s">
        <v>47</v>
      </c>
      <c r="G51" s="9">
        <v>9177615.0</v>
      </c>
      <c r="H51" s="9">
        <v>5.1767108E8</v>
      </c>
      <c r="I51" s="9">
        <f t="shared" si="21"/>
        <v>216967650</v>
      </c>
      <c r="J51" s="9">
        <v>3.0070343E8</v>
      </c>
      <c r="K51" s="6" t="s">
        <v>119</v>
      </c>
      <c r="L51" s="9"/>
      <c r="M51" s="10"/>
      <c r="N51" s="14">
        <v>2469.0</v>
      </c>
      <c r="O51" s="9">
        <f t="shared" si="22"/>
        <v>226145265</v>
      </c>
      <c r="P51" s="15">
        <v>0.3364805</v>
      </c>
      <c r="Q51" s="9">
        <f t="shared" si="23"/>
        <v>73005383.36</v>
      </c>
      <c r="R51" s="9">
        <f t="shared" si="24"/>
        <v>76092641.07</v>
      </c>
      <c r="S51" s="9">
        <f t="shared" si="25"/>
        <v>76093471.84</v>
      </c>
      <c r="T51" s="9"/>
      <c r="U51" s="16" t="s">
        <v>145</v>
      </c>
      <c r="V51" s="6"/>
      <c r="W51" s="6"/>
      <c r="X51" s="6"/>
      <c r="Y51" s="6"/>
      <c r="Z51" s="6"/>
      <c r="AA51" s="6"/>
      <c r="AB51" s="6"/>
      <c r="AC51" s="6"/>
      <c r="AD51" s="6"/>
      <c r="AE51" s="6"/>
      <c r="AF51" s="6"/>
      <c r="AG51" s="6"/>
      <c r="AH51" s="6"/>
    </row>
    <row r="52" ht="15.75" customHeight="1">
      <c r="A52" s="6"/>
      <c r="B52" s="6" t="s">
        <v>106</v>
      </c>
      <c r="C52" s="6"/>
      <c r="D52" s="6"/>
      <c r="E52" s="25" t="s">
        <v>146</v>
      </c>
      <c r="F52" s="6" t="s">
        <v>47</v>
      </c>
      <c r="G52" s="9">
        <v>6810011.0</v>
      </c>
      <c r="H52" s="9">
        <v>4.62461113E8</v>
      </c>
      <c r="I52" s="9">
        <f t="shared" si="21"/>
        <v>438505292</v>
      </c>
      <c r="J52" s="9">
        <v>2.3955821E7</v>
      </c>
      <c r="K52" s="6" t="s">
        <v>119</v>
      </c>
      <c r="L52" s="9"/>
      <c r="M52" s="10"/>
      <c r="N52" s="14">
        <v>0.0</v>
      </c>
      <c r="O52" s="9">
        <f t="shared" si="22"/>
        <v>445315303</v>
      </c>
      <c r="P52" s="15">
        <v>0.8842604</v>
      </c>
      <c r="Q52" s="9">
        <f t="shared" si="23"/>
        <v>387752864.9</v>
      </c>
      <c r="R52" s="9">
        <f t="shared" si="24"/>
        <v>393774688</v>
      </c>
      <c r="S52" s="9">
        <f t="shared" si="25"/>
        <v>393774688</v>
      </c>
      <c r="T52" s="9"/>
      <c r="U52" s="16" t="s">
        <v>147</v>
      </c>
      <c r="V52" s="6"/>
      <c r="W52" s="6"/>
      <c r="X52" s="6"/>
      <c r="Y52" s="6"/>
      <c r="Z52" s="6"/>
      <c r="AA52" s="6"/>
      <c r="AB52" s="6"/>
      <c r="AC52" s="6"/>
      <c r="AD52" s="6"/>
      <c r="AE52" s="6"/>
      <c r="AF52" s="6"/>
      <c r="AG52" s="6"/>
      <c r="AH52" s="6"/>
    </row>
    <row r="53" ht="15.75" customHeight="1">
      <c r="A53" s="6"/>
      <c r="B53" s="6" t="s">
        <v>106</v>
      </c>
      <c r="C53" s="6"/>
      <c r="D53" s="6"/>
      <c r="E53" s="25" t="s">
        <v>148</v>
      </c>
      <c r="F53" s="6" t="s">
        <v>47</v>
      </c>
      <c r="G53" s="9">
        <v>3455499.0</v>
      </c>
      <c r="H53" s="9">
        <v>3.68207786E8</v>
      </c>
      <c r="I53" s="9">
        <f t="shared" si="21"/>
        <v>207250790</v>
      </c>
      <c r="J53" s="9">
        <f>154977374+5979622</f>
        <v>160956996</v>
      </c>
      <c r="K53" s="6" t="s">
        <v>149</v>
      </c>
      <c r="L53" s="9"/>
      <c r="M53" s="10"/>
      <c r="N53" s="14">
        <v>0.0</v>
      </c>
      <c r="O53" s="9">
        <f t="shared" si="22"/>
        <v>210706289</v>
      </c>
      <c r="P53" s="15">
        <v>0.0305555</v>
      </c>
      <c r="Q53" s="9">
        <f t="shared" si="23"/>
        <v>6332651.514</v>
      </c>
      <c r="R53" s="9">
        <f t="shared" si="24"/>
        <v>6438236.014</v>
      </c>
      <c r="S53" s="9">
        <f t="shared" si="25"/>
        <v>6438236.014</v>
      </c>
      <c r="T53" s="9"/>
      <c r="U53" s="16" t="s">
        <v>150</v>
      </c>
      <c r="V53" s="6"/>
      <c r="W53" s="6"/>
      <c r="X53" s="6"/>
      <c r="Y53" s="6"/>
      <c r="Z53" s="6"/>
      <c r="AA53" s="6"/>
      <c r="AB53" s="6"/>
      <c r="AC53" s="6"/>
      <c r="AD53" s="6"/>
      <c r="AE53" s="6"/>
      <c r="AF53" s="6"/>
      <c r="AG53" s="6"/>
      <c r="AH53" s="6"/>
    </row>
    <row r="54" ht="15.75" customHeight="1">
      <c r="A54" s="6"/>
      <c r="B54" s="6" t="s">
        <v>106</v>
      </c>
      <c r="C54" s="6"/>
      <c r="D54" s="6"/>
      <c r="E54" s="25" t="s">
        <v>151</v>
      </c>
      <c r="F54" s="6" t="s">
        <v>29</v>
      </c>
      <c r="G54" s="9"/>
      <c r="H54" s="9"/>
      <c r="I54" s="9">
        <f t="shared" si="21"/>
        <v>0</v>
      </c>
      <c r="J54" s="9"/>
      <c r="K54" s="6"/>
      <c r="L54" s="9"/>
      <c r="M54" s="10"/>
      <c r="N54" s="10"/>
      <c r="O54" s="9">
        <f t="shared" si="22"/>
        <v>0</v>
      </c>
      <c r="P54" s="15">
        <v>0.3379374</v>
      </c>
      <c r="Q54" s="9">
        <f t="shared" si="23"/>
        <v>0</v>
      </c>
      <c r="R54" s="9">
        <f t="shared" si="24"/>
        <v>0</v>
      </c>
      <c r="S54" s="9">
        <f t="shared" si="25"/>
        <v>0</v>
      </c>
      <c r="T54" s="9"/>
      <c r="U54" s="6" t="s">
        <v>60</v>
      </c>
      <c r="V54" s="6"/>
      <c r="W54" s="6"/>
      <c r="X54" s="6"/>
      <c r="Y54" s="6"/>
      <c r="Z54" s="6"/>
      <c r="AA54" s="6"/>
      <c r="AB54" s="6"/>
      <c r="AC54" s="6"/>
      <c r="AD54" s="6"/>
      <c r="AE54" s="6"/>
      <c r="AF54" s="6"/>
      <c r="AG54" s="6"/>
      <c r="AH54" s="6"/>
    </row>
    <row r="55" ht="15.75" customHeight="1">
      <c r="A55" s="6"/>
      <c r="B55" s="6" t="s">
        <v>106</v>
      </c>
      <c r="C55" s="6"/>
      <c r="D55" s="6"/>
      <c r="E55" s="25" t="s">
        <v>152</v>
      </c>
      <c r="F55" s="6" t="s">
        <v>29</v>
      </c>
      <c r="G55" s="9"/>
      <c r="H55" s="9">
        <f>390732000+9810000+833000+48965000+349000</f>
        <v>450689000</v>
      </c>
      <c r="I55" s="9">
        <f t="shared" si="21"/>
        <v>450689000</v>
      </c>
      <c r="J55" s="9"/>
      <c r="K55" s="6"/>
      <c r="L55" s="9"/>
      <c r="M55" s="10"/>
      <c r="N55" s="10"/>
      <c r="O55" s="9">
        <f t="shared" si="22"/>
        <v>450689000</v>
      </c>
      <c r="P55" s="15">
        <v>0.3379374</v>
      </c>
      <c r="Q55" s="9">
        <f t="shared" si="23"/>
        <v>152304668.9</v>
      </c>
      <c r="R55" s="9">
        <f t="shared" si="24"/>
        <v>152304668.9</v>
      </c>
      <c r="S55" s="9">
        <f t="shared" si="25"/>
        <v>152304668.9</v>
      </c>
      <c r="T55" s="9"/>
      <c r="U55" s="16" t="s">
        <v>153</v>
      </c>
      <c r="V55" s="6"/>
      <c r="W55" s="6"/>
      <c r="X55" s="6"/>
      <c r="Y55" s="6"/>
      <c r="Z55" s="6"/>
      <c r="AA55" s="6"/>
      <c r="AB55" s="6"/>
      <c r="AC55" s="6"/>
      <c r="AD55" s="6"/>
      <c r="AE55" s="6"/>
      <c r="AF55" s="6"/>
      <c r="AG55" s="6"/>
      <c r="AH55" s="6"/>
    </row>
    <row r="56" ht="15.75" customHeight="1">
      <c r="A56" s="6"/>
      <c r="B56" s="6" t="s">
        <v>106</v>
      </c>
      <c r="C56" s="6"/>
      <c r="D56" s="6"/>
      <c r="E56" s="25" t="s">
        <v>154</v>
      </c>
      <c r="F56" s="6" t="s">
        <v>29</v>
      </c>
      <c r="G56" s="9"/>
      <c r="H56" s="9"/>
      <c r="I56" s="9">
        <f t="shared" si="21"/>
        <v>0</v>
      </c>
      <c r="J56" s="9"/>
      <c r="K56" s="6"/>
      <c r="L56" s="9"/>
      <c r="M56" s="10"/>
      <c r="N56" s="10"/>
      <c r="O56" s="9">
        <f t="shared" si="22"/>
        <v>0</v>
      </c>
      <c r="P56" s="15">
        <v>1.0</v>
      </c>
      <c r="Q56" s="9">
        <f t="shared" si="23"/>
        <v>0</v>
      </c>
      <c r="R56" s="9">
        <f t="shared" si="24"/>
        <v>0</v>
      </c>
      <c r="S56" s="9">
        <f t="shared" si="25"/>
        <v>0</v>
      </c>
      <c r="T56" s="9"/>
      <c r="U56" s="6" t="s">
        <v>60</v>
      </c>
      <c r="V56" s="6"/>
      <c r="W56" s="6"/>
      <c r="X56" s="6"/>
      <c r="Y56" s="6"/>
      <c r="Z56" s="6"/>
      <c r="AA56" s="6"/>
      <c r="AB56" s="6"/>
      <c r="AC56" s="6"/>
      <c r="AD56" s="6"/>
      <c r="AE56" s="6"/>
      <c r="AF56" s="6"/>
      <c r="AG56" s="6"/>
      <c r="AH56" s="6"/>
    </row>
    <row r="57" ht="15.75" customHeight="1">
      <c r="A57" s="6"/>
      <c r="B57" s="6" t="s">
        <v>106</v>
      </c>
      <c r="C57" s="6"/>
      <c r="D57" s="6"/>
      <c r="E57" s="25" t="s">
        <v>155</v>
      </c>
      <c r="F57" s="6" t="s">
        <v>29</v>
      </c>
      <c r="G57" s="9"/>
      <c r="H57" s="9"/>
      <c r="I57" s="9">
        <f t="shared" si="21"/>
        <v>0</v>
      </c>
      <c r="J57" s="9"/>
      <c r="K57" s="6"/>
      <c r="L57" s="9"/>
      <c r="M57" s="10"/>
      <c r="N57" s="10"/>
      <c r="O57" s="9">
        <f t="shared" si="22"/>
        <v>0</v>
      </c>
      <c r="P57" s="15">
        <v>0.3379374</v>
      </c>
      <c r="Q57" s="9">
        <f t="shared" si="23"/>
        <v>0</v>
      </c>
      <c r="R57" s="9">
        <f t="shared" si="24"/>
        <v>0</v>
      </c>
      <c r="S57" s="9">
        <f t="shared" si="25"/>
        <v>0</v>
      </c>
      <c r="T57" s="9"/>
      <c r="U57" s="6" t="s">
        <v>60</v>
      </c>
      <c r="V57" s="6"/>
      <c r="W57" s="6"/>
      <c r="X57" s="6"/>
      <c r="Y57" s="6"/>
      <c r="Z57" s="6"/>
      <c r="AA57" s="6"/>
      <c r="AB57" s="6"/>
      <c r="AC57" s="6"/>
      <c r="AD57" s="6"/>
      <c r="AE57" s="6"/>
      <c r="AF57" s="6"/>
      <c r="AG57" s="6"/>
      <c r="AH57" s="6"/>
    </row>
    <row r="58" ht="15.75" customHeight="1">
      <c r="A58" s="6"/>
      <c r="B58" s="6" t="s">
        <v>106</v>
      </c>
      <c r="C58" s="6"/>
      <c r="D58" s="6"/>
      <c r="E58" s="25" t="s">
        <v>156</v>
      </c>
      <c r="F58" s="6" t="s">
        <v>29</v>
      </c>
      <c r="G58" s="9"/>
      <c r="H58" s="9">
        <f>42790171+764679590+6750760+2333071+305648022</f>
        <v>1122201614</v>
      </c>
      <c r="I58" s="9">
        <f t="shared" si="21"/>
        <v>816553592</v>
      </c>
      <c r="J58" s="9">
        <v>3.05648022E8</v>
      </c>
      <c r="K58" s="6" t="s">
        <v>157</v>
      </c>
      <c r="L58" s="9"/>
      <c r="M58" s="10"/>
      <c r="N58" s="10"/>
      <c r="O58" s="9">
        <f t="shared" si="22"/>
        <v>816553592</v>
      </c>
      <c r="P58" s="15">
        <v>0.4994732</v>
      </c>
      <c r="Q58" s="9">
        <f t="shared" si="23"/>
        <v>407846635.6</v>
      </c>
      <c r="R58" s="9">
        <f t="shared" si="24"/>
        <v>407846635.6</v>
      </c>
      <c r="S58" s="9">
        <f t="shared" si="25"/>
        <v>407846635.6</v>
      </c>
      <c r="T58" s="9"/>
      <c r="U58" s="16" t="s">
        <v>158</v>
      </c>
      <c r="V58" s="6"/>
      <c r="W58" s="6"/>
      <c r="X58" s="6"/>
      <c r="Y58" s="6"/>
      <c r="Z58" s="6"/>
      <c r="AA58" s="6"/>
      <c r="AB58" s="6"/>
      <c r="AC58" s="6"/>
      <c r="AD58" s="6"/>
      <c r="AE58" s="6"/>
      <c r="AF58" s="6"/>
      <c r="AG58" s="6"/>
      <c r="AH58" s="6"/>
    </row>
    <row r="59" ht="15.75" customHeight="1">
      <c r="A59" s="6"/>
      <c r="B59" s="6" t="s">
        <v>106</v>
      </c>
      <c r="C59" s="6"/>
      <c r="D59" s="6"/>
      <c r="E59" s="25" t="s">
        <v>159</v>
      </c>
      <c r="F59" s="6" t="s">
        <v>29</v>
      </c>
      <c r="G59" s="9"/>
      <c r="H59" s="9"/>
      <c r="I59" s="9">
        <f t="shared" si="21"/>
        <v>0</v>
      </c>
      <c r="J59" s="9"/>
      <c r="K59" s="6"/>
      <c r="L59" s="9"/>
      <c r="M59" s="10"/>
      <c r="N59" s="10"/>
      <c r="O59" s="9">
        <f t="shared" si="22"/>
        <v>0</v>
      </c>
      <c r="P59" s="15">
        <v>0.3379374</v>
      </c>
      <c r="Q59" s="9">
        <f t="shared" si="23"/>
        <v>0</v>
      </c>
      <c r="R59" s="9">
        <f t="shared" si="24"/>
        <v>0</v>
      </c>
      <c r="S59" s="9">
        <f t="shared" si="25"/>
        <v>0</v>
      </c>
      <c r="T59" s="9"/>
      <c r="U59" s="6" t="s">
        <v>60</v>
      </c>
      <c r="V59" s="6"/>
      <c r="W59" s="6"/>
      <c r="X59" s="6"/>
      <c r="Y59" s="6"/>
      <c r="Z59" s="6"/>
      <c r="AA59" s="6"/>
      <c r="AB59" s="6"/>
      <c r="AC59" s="6"/>
      <c r="AD59" s="6"/>
      <c r="AE59" s="6"/>
      <c r="AF59" s="6"/>
      <c r="AG59" s="6"/>
      <c r="AH59" s="6"/>
    </row>
    <row r="60" ht="15.75" customHeight="1">
      <c r="A60" s="6"/>
      <c r="B60" s="6"/>
      <c r="C60" s="6"/>
      <c r="D60" s="6"/>
      <c r="E60" s="17" t="s">
        <v>35</v>
      </c>
      <c r="F60" s="6"/>
      <c r="G60" s="9"/>
      <c r="H60" s="9"/>
      <c r="I60" s="9"/>
      <c r="J60" s="9"/>
      <c r="K60" s="6"/>
      <c r="L60" s="9"/>
      <c r="M60" s="10"/>
      <c r="N60" s="10"/>
      <c r="O60" s="9"/>
      <c r="P60" s="26" t="s">
        <v>160</v>
      </c>
      <c r="Q60" s="19">
        <f t="shared" ref="Q60:S60" si="26">SUM(Q35:Q59)</f>
        <v>12230609568</v>
      </c>
      <c r="R60" s="19">
        <f t="shared" si="26"/>
        <v>17475551991</v>
      </c>
      <c r="S60" s="19">
        <f t="shared" si="26"/>
        <v>18073732815</v>
      </c>
      <c r="T60" s="20">
        <v>9.974678473E9</v>
      </c>
      <c r="U60" s="6"/>
      <c r="V60" s="6"/>
      <c r="W60" s="6"/>
      <c r="X60" s="6"/>
      <c r="Y60" s="6"/>
      <c r="Z60" s="6"/>
      <c r="AA60" s="6"/>
      <c r="AB60" s="6"/>
      <c r="AC60" s="6"/>
      <c r="AD60" s="6"/>
      <c r="AE60" s="6"/>
      <c r="AF60" s="6"/>
      <c r="AG60" s="6"/>
      <c r="AH60" s="6"/>
    </row>
    <row r="61" ht="15.75" customHeight="1">
      <c r="A61" s="7">
        <v>5.0</v>
      </c>
      <c r="B61" s="6" t="s">
        <v>161</v>
      </c>
      <c r="C61" s="7" t="s">
        <v>162</v>
      </c>
      <c r="D61" s="6"/>
      <c r="E61" s="6"/>
      <c r="F61" s="7" t="s">
        <v>1</v>
      </c>
      <c r="G61" s="8">
        <v>6.02333E9</v>
      </c>
      <c r="H61" s="8">
        <v>1.8109069E10</v>
      </c>
      <c r="I61" s="9">
        <f t="shared" ref="I61:I92" si="27">H61-J61</f>
        <v>18077647000</v>
      </c>
      <c r="J61" s="9">
        <f>28549000+2873000</f>
        <v>31422000</v>
      </c>
      <c r="K61" s="30" t="s">
        <v>163</v>
      </c>
      <c r="L61" s="9"/>
      <c r="M61" s="10"/>
      <c r="N61" s="8">
        <v>5.63157E8</v>
      </c>
      <c r="O61" s="9">
        <f t="shared" ref="O61:O92" si="28">G61+I61</f>
        <v>24100977000</v>
      </c>
      <c r="P61" s="31">
        <v>0.238</v>
      </c>
      <c r="Q61" s="9">
        <f t="shared" ref="Q61:Q96" si="29">I61*P61</f>
        <v>4302479986</v>
      </c>
      <c r="R61" s="9">
        <f t="shared" ref="R61:R96" si="30">(O61-N61-M61)*P61</f>
        <v>5602001160</v>
      </c>
      <c r="S61" s="9">
        <f t="shared" ref="S61:S96" si="31">O61*P61</f>
        <v>5736032526</v>
      </c>
      <c r="T61" s="9"/>
      <c r="U61" s="32" t="s">
        <v>164</v>
      </c>
      <c r="V61" s="6"/>
      <c r="W61" s="6"/>
      <c r="X61" s="6"/>
      <c r="Y61" s="6"/>
      <c r="Z61" s="6"/>
      <c r="AA61" s="6"/>
      <c r="AB61" s="6"/>
      <c r="AC61" s="6"/>
      <c r="AD61" s="6"/>
      <c r="AE61" s="6"/>
      <c r="AF61" s="6"/>
      <c r="AG61" s="6"/>
      <c r="AH61" s="6"/>
    </row>
    <row r="62" ht="15.75" customHeight="1">
      <c r="A62" s="6"/>
      <c r="B62" s="6" t="s">
        <v>161</v>
      </c>
      <c r="C62" s="6"/>
      <c r="D62" s="24" t="s">
        <v>165</v>
      </c>
      <c r="E62" s="25"/>
      <c r="F62" s="25" t="s">
        <v>3</v>
      </c>
      <c r="G62" s="9">
        <v>1.52516E9</v>
      </c>
      <c r="H62" s="9">
        <v>1.972439E9</v>
      </c>
      <c r="I62" s="9">
        <f t="shared" si="27"/>
        <v>1489403000</v>
      </c>
      <c r="J62" s="9">
        <v>4.83036E8</v>
      </c>
      <c r="K62" s="9" t="s">
        <v>40</v>
      </c>
      <c r="L62" s="9"/>
      <c r="M62" s="10"/>
      <c r="N62" s="10"/>
      <c r="O62" s="9">
        <f t="shared" si="28"/>
        <v>3014563000</v>
      </c>
      <c r="P62" s="15">
        <v>1.0</v>
      </c>
      <c r="Q62" s="9">
        <f t="shared" si="29"/>
        <v>1489403000</v>
      </c>
      <c r="R62" s="9">
        <f t="shared" si="30"/>
        <v>3014563000</v>
      </c>
      <c r="S62" s="9">
        <f t="shared" si="31"/>
        <v>3014563000</v>
      </c>
      <c r="T62" s="9"/>
      <c r="U62" s="32" t="s">
        <v>166</v>
      </c>
      <c r="V62" s="6"/>
      <c r="W62" s="6"/>
      <c r="X62" s="6"/>
      <c r="Y62" s="6"/>
      <c r="Z62" s="6"/>
      <c r="AA62" s="6"/>
      <c r="AB62" s="6"/>
      <c r="AC62" s="6"/>
      <c r="AD62" s="6"/>
      <c r="AE62" s="6"/>
      <c r="AF62" s="6"/>
      <c r="AG62" s="6"/>
      <c r="AH62" s="6"/>
    </row>
    <row r="63" ht="15.75" customHeight="1">
      <c r="A63" s="6"/>
      <c r="B63" s="6" t="s">
        <v>161</v>
      </c>
      <c r="C63" s="6"/>
      <c r="D63" s="6"/>
      <c r="E63" s="25" t="s">
        <v>167</v>
      </c>
      <c r="F63" s="25" t="s">
        <v>43</v>
      </c>
      <c r="G63" s="9">
        <v>2.94561793E8</v>
      </c>
      <c r="H63" s="9">
        <v>1.770899097E9</v>
      </c>
      <c r="I63" s="9">
        <f t="shared" si="27"/>
        <v>1769189614</v>
      </c>
      <c r="J63" s="9">
        <v>1709483.0</v>
      </c>
      <c r="K63" s="6" t="s">
        <v>168</v>
      </c>
      <c r="L63" s="9"/>
      <c r="M63" s="10"/>
      <c r="N63" s="14">
        <v>5.592738E7</v>
      </c>
      <c r="O63" s="9">
        <f t="shared" si="28"/>
        <v>2063751407</v>
      </c>
      <c r="P63" s="15">
        <v>0.3512</v>
      </c>
      <c r="Q63" s="9">
        <f t="shared" si="29"/>
        <v>621339392.4</v>
      </c>
      <c r="R63" s="9">
        <f t="shared" si="30"/>
        <v>705147798.3</v>
      </c>
      <c r="S63" s="9">
        <f t="shared" si="31"/>
        <v>724789494.1</v>
      </c>
      <c r="T63" s="9"/>
      <c r="U63" s="33" t="s">
        <v>169</v>
      </c>
      <c r="V63" s="6"/>
      <c r="W63" s="6"/>
      <c r="X63" s="6"/>
      <c r="Y63" s="6"/>
      <c r="Z63" s="6"/>
      <c r="AA63" s="6"/>
      <c r="AB63" s="6"/>
      <c r="AC63" s="6"/>
      <c r="AD63" s="6"/>
      <c r="AE63" s="6"/>
      <c r="AF63" s="6"/>
      <c r="AG63" s="6"/>
      <c r="AH63" s="6"/>
    </row>
    <row r="64" ht="15.75" customHeight="1">
      <c r="A64" s="6"/>
      <c r="B64" s="6" t="s">
        <v>161</v>
      </c>
      <c r="C64" s="6"/>
      <c r="D64" s="6"/>
      <c r="E64" s="25" t="s">
        <v>170</v>
      </c>
      <c r="F64" s="25" t="s">
        <v>47</v>
      </c>
      <c r="G64" s="9">
        <v>2091305.0</v>
      </c>
      <c r="H64" s="9">
        <v>9.1361942E7</v>
      </c>
      <c r="I64" s="9">
        <f t="shared" si="27"/>
        <v>23186950</v>
      </c>
      <c r="J64" s="9">
        <f>5349053+61903482+922457</f>
        <v>68174992</v>
      </c>
      <c r="K64" s="6" t="s">
        <v>171</v>
      </c>
      <c r="L64" s="9"/>
      <c r="M64" s="10"/>
      <c r="N64" s="10"/>
      <c r="O64" s="9">
        <f t="shared" si="28"/>
        <v>25278255</v>
      </c>
      <c r="P64" s="15">
        <v>0.866705</v>
      </c>
      <c r="Q64" s="9">
        <f t="shared" si="29"/>
        <v>20096245.5</v>
      </c>
      <c r="R64" s="9">
        <f t="shared" si="30"/>
        <v>21908790</v>
      </c>
      <c r="S64" s="9">
        <f t="shared" si="31"/>
        <v>21908790</v>
      </c>
      <c r="T64" s="9"/>
      <c r="U64" s="32" t="s">
        <v>172</v>
      </c>
      <c r="V64" s="6"/>
      <c r="W64" s="6"/>
      <c r="X64" s="6"/>
      <c r="Y64" s="6"/>
      <c r="Z64" s="6"/>
      <c r="AA64" s="6"/>
      <c r="AB64" s="6"/>
      <c r="AC64" s="6"/>
      <c r="AD64" s="6"/>
      <c r="AE64" s="6"/>
      <c r="AF64" s="6"/>
      <c r="AG64" s="6"/>
      <c r="AH64" s="6"/>
    </row>
    <row r="65" ht="15.75" customHeight="1">
      <c r="A65" s="6"/>
      <c r="B65" s="6" t="s">
        <v>161</v>
      </c>
      <c r="C65" s="6"/>
      <c r="D65" s="6"/>
      <c r="E65" s="25" t="s">
        <v>173</v>
      </c>
      <c r="F65" s="25" t="s">
        <v>47</v>
      </c>
      <c r="G65" s="9">
        <v>660483.0</v>
      </c>
      <c r="H65" s="9">
        <v>2.3065278E7</v>
      </c>
      <c r="I65" s="9">
        <f t="shared" si="27"/>
        <v>13662869</v>
      </c>
      <c r="J65" s="9">
        <f>663773+8580137+158499</f>
        <v>9402409</v>
      </c>
      <c r="K65" s="6" t="s">
        <v>171</v>
      </c>
      <c r="L65" s="9"/>
      <c r="M65" s="10"/>
      <c r="N65" s="10"/>
      <c r="O65" s="9">
        <f t="shared" si="28"/>
        <v>14323352</v>
      </c>
      <c r="P65" s="15">
        <v>0.9687887</v>
      </c>
      <c r="Q65" s="9">
        <f t="shared" si="29"/>
        <v>13236433.1</v>
      </c>
      <c r="R65" s="9">
        <f t="shared" si="30"/>
        <v>13876301.56</v>
      </c>
      <c r="S65" s="9">
        <f t="shared" si="31"/>
        <v>13876301.56</v>
      </c>
      <c r="T65" s="9"/>
      <c r="U65" s="32" t="s">
        <v>174</v>
      </c>
      <c r="V65" s="6"/>
      <c r="W65" s="6"/>
      <c r="X65" s="6"/>
      <c r="Y65" s="6"/>
      <c r="Z65" s="6"/>
      <c r="AA65" s="6"/>
      <c r="AB65" s="6"/>
      <c r="AC65" s="6"/>
      <c r="AD65" s="6"/>
      <c r="AE65" s="6"/>
      <c r="AF65" s="6"/>
      <c r="AG65" s="6"/>
      <c r="AH65" s="6"/>
    </row>
    <row r="66" ht="15.75" customHeight="1">
      <c r="A66" s="6"/>
      <c r="B66" s="6" t="s">
        <v>161</v>
      </c>
      <c r="C66" s="6"/>
      <c r="D66" s="6"/>
      <c r="E66" s="25" t="s">
        <v>175</v>
      </c>
      <c r="F66" s="25" t="s">
        <v>47</v>
      </c>
      <c r="G66" s="9">
        <v>797330.0</v>
      </c>
      <c r="H66" s="9">
        <v>1.15938149E8</v>
      </c>
      <c r="I66" s="9">
        <f t="shared" si="27"/>
        <v>24040180</v>
      </c>
      <c r="J66" s="9">
        <f>7249961+83747655+900353</f>
        <v>91897969</v>
      </c>
      <c r="K66" s="6" t="s">
        <v>171</v>
      </c>
      <c r="L66" s="9"/>
      <c r="M66" s="10"/>
      <c r="N66" s="10"/>
      <c r="O66" s="9">
        <f t="shared" si="28"/>
        <v>24837510</v>
      </c>
      <c r="P66" s="15">
        <v>1.0</v>
      </c>
      <c r="Q66" s="9">
        <f t="shared" si="29"/>
        <v>24040180</v>
      </c>
      <c r="R66" s="9">
        <f t="shared" si="30"/>
        <v>24837510</v>
      </c>
      <c r="S66" s="9">
        <f t="shared" si="31"/>
        <v>24837510</v>
      </c>
      <c r="T66" s="9"/>
      <c r="U66" s="32" t="s">
        <v>176</v>
      </c>
      <c r="V66" s="6"/>
      <c r="W66" s="6"/>
      <c r="X66" s="6"/>
      <c r="Y66" s="6"/>
      <c r="Z66" s="6"/>
      <c r="AA66" s="6"/>
      <c r="AB66" s="6"/>
      <c r="AC66" s="6"/>
      <c r="AD66" s="6"/>
      <c r="AE66" s="6"/>
      <c r="AF66" s="6"/>
      <c r="AG66" s="6"/>
      <c r="AH66" s="6"/>
    </row>
    <row r="67" ht="15.75" customHeight="1">
      <c r="A67" s="6"/>
      <c r="B67" s="6" t="s">
        <v>161</v>
      </c>
      <c r="C67" s="6"/>
      <c r="D67" s="6"/>
      <c r="E67" s="25" t="s">
        <v>177</v>
      </c>
      <c r="F67" s="25" t="s">
        <v>47</v>
      </c>
      <c r="G67" s="9">
        <v>4957904.0</v>
      </c>
      <c r="H67" s="9">
        <v>4.1754367E7</v>
      </c>
      <c r="I67" s="9">
        <f t="shared" si="27"/>
        <v>30518540</v>
      </c>
      <c r="J67" s="9">
        <f>10945203+290624</f>
        <v>11235827</v>
      </c>
      <c r="K67" s="6" t="s">
        <v>178</v>
      </c>
      <c r="L67" s="9"/>
      <c r="M67" s="10"/>
      <c r="N67" s="10"/>
      <c r="O67" s="9">
        <f t="shared" si="28"/>
        <v>35476444</v>
      </c>
      <c r="P67" s="15">
        <v>0.4041696</v>
      </c>
      <c r="Q67" s="9">
        <f t="shared" si="29"/>
        <v>12334666.1</v>
      </c>
      <c r="R67" s="9">
        <f t="shared" si="30"/>
        <v>14338500.18</v>
      </c>
      <c r="S67" s="9">
        <f t="shared" si="31"/>
        <v>14338500.18</v>
      </c>
      <c r="T67" s="9"/>
      <c r="U67" s="32" t="s">
        <v>179</v>
      </c>
      <c r="V67" s="6"/>
      <c r="W67" s="6"/>
      <c r="X67" s="6"/>
      <c r="Y67" s="6"/>
      <c r="Z67" s="6"/>
      <c r="AA67" s="6"/>
      <c r="AB67" s="6"/>
      <c r="AC67" s="6"/>
      <c r="AD67" s="6"/>
      <c r="AE67" s="6"/>
      <c r="AF67" s="6"/>
      <c r="AG67" s="6"/>
      <c r="AH67" s="6"/>
    </row>
    <row r="68" ht="15.75" customHeight="1">
      <c r="A68" s="6"/>
      <c r="B68" s="6" t="s">
        <v>161</v>
      </c>
      <c r="C68" s="6"/>
      <c r="D68" s="6"/>
      <c r="E68" s="25" t="s">
        <v>180</v>
      </c>
      <c r="F68" s="25" t="s">
        <v>47</v>
      </c>
      <c r="G68" s="9">
        <v>770863.0</v>
      </c>
      <c r="H68" s="9">
        <v>5.1960589E7</v>
      </c>
      <c r="I68" s="9">
        <f t="shared" si="27"/>
        <v>23471312</v>
      </c>
      <c r="J68" s="9">
        <f>2103029+25872838+513410</f>
        <v>28489277</v>
      </c>
      <c r="K68" s="6" t="s">
        <v>171</v>
      </c>
      <c r="L68" s="9"/>
      <c r="M68" s="10"/>
      <c r="N68" s="10"/>
      <c r="O68" s="9">
        <f t="shared" si="28"/>
        <v>24242175</v>
      </c>
      <c r="P68" s="15">
        <v>0.9525456</v>
      </c>
      <c r="Q68" s="9">
        <f t="shared" si="29"/>
        <v>22357494.97</v>
      </c>
      <c r="R68" s="9">
        <f t="shared" si="30"/>
        <v>23091777.13</v>
      </c>
      <c r="S68" s="9">
        <f t="shared" si="31"/>
        <v>23091777.13</v>
      </c>
      <c r="T68" s="9"/>
      <c r="U68" s="32" t="s">
        <v>181</v>
      </c>
      <c r="V68" s="6"/>
      <c r="W68" s="6"/>
      <c r="X68" s="6"/>
      <c r="Y68" s="6"/>
      <c r="Z68" s="6"/>
      <c r="AA68" s="6"/>
      <c r="AB68" s="6"/>
      <c r="AC68" s="6"/>
      <c r="AD68" s="6"/>
      <c r="AE68" s="6"/>
      <c r="AF68" s="6"/>
      <c r="AG68" s="6"/>
      <c r="AH68" s="6"/>
    </row>
    <row r="69" ht="15.75" customHeight="1">
      <c r="A69" s="6"/>
      <c r="B69" s="6" t="s">
        <v>161</v>
      </c>
      <c r="C69" s="6"/>
      <c r="D69" s="6"/>
      <c r="E69" s="25" t="s">
        <v>182</v>
      </c>
      <c r="F69" s="25" t="s">
        <v>47</v>
      </c>
      <c r="G69" s="9">
        <v>454058.0</v>
      </c>
      <c r="H69" s="9">
        <v>3.0400917E7</v>
      </c>
      <c r="I69" s="9">
        <f t="shared" si="27"/>
        <v>13221449</v>
      </c>
      <c r="J69" s="9">
        <f>1467439+15528043+183986</f>
        <v>17179468</v>
      </c>
      <c r="K69" s="6" t="s">
        <v>183</v>
      </c>
      <c r="L69" s="9"/>
      <c r="M69" s="10"/>
      <c r="N69" s="10"/>
      <c r="O69" s="9">
        <f t="shared" si="28"/>
        <v>13675507</v>
      </c>
      <c r="P69" s="15">
        <v>0.7039152</v>
      </c>
      <c r="Q69" s="9">
        <f t="shared" si="29"/>
        <v>9306778.917</v>
      </c>
      <c r="R69" s="9">
        <f t="shared" si="30"/>
        <v>9626397.245</v>
      </c>
      <c r="S69" s="9">
        <f t="shared" si="31"/>
        <v>9626397.245</v>
      </c>
      <c r="T69" s="9"/>
      <c r="U69" s="32" t="s">
        <v>184</v>
      </c>
      <c r="V69" s="6"/>
      <c r="W69" s="6"/>
      <c r="X69" s="6"/>
      <c r="Y69" s="6"/>
      <c r="Z69" s="6"/>
      <c r="AA69" s="6"/>
      <c r="AB69" s="6"/>
      <c r="AC69" s="6"/>
      <c r="AD69" s="6"/>
      <c r="AE69" s="6"/>
      <c r="AF69" s="6"/>
      <c r="AG69" s="6"/>
      <c r="AH69" s="6"/>
    </row>
    <row r="70" ht="15.75" customHeight="1">
      <c r="A70" s="6"/>
      <c r="B70" s="6" t="s">
        <v>161</v>
      </c>
      <c r="C70" s="6"/>
      <c r="D70" s="6"/>
      <c r="E70" s="25" t="s">
        <v>185</v>
      </c>
      <c r="F70" s="25" t="s">
        <v>47</v>
      </c>
      <c r="G70" s="9">
        <v>8989898.0</v>
      </c>
      <c r="H70" s="9">
        <v>1.51787768E8</v>
      </c>
      <c r="I70" s="9">
        <f t="shared" si="27"/>
        <v>58242596</v>
      </c>
      <c r="J70" s="9">
        <f>6761554+85956908+826710</f>
        <v>93545172</v>
      </c>
      <c r="K70" s="6" t="s">
        <v>171</v>
      </c>
      <c r="L70" s="9"/>
      <c r="M70" s="10"/>
      <c r="N70" s="10"/>
      <c r="O70" s="9">
        <f t="shared" si="28"/>
        <v>67232494</v>
      </c>
      <c r="P70" s="15">
        <v>0.6483676</v>
      </c>
      <c r="Q70" s="9">
        <f t="shared" si="29"/>
        <v>37762612.19</v>
      </c>
      <c r="R70" s="9">
        <f t="shared" si="30"/>
        <v>43591370.78</v>
      </c>
      <c r="S70" s="9">
        <f t="shared" si="31"/>
        <v>43591370.78</v>
      </c>
      <c r="T70" s="9"/>
      <c r="U70" s="32" t="s">
        <v>186</v>
      </c>
      <c r="V70" s="6"/>
      <c r="W70" s="6"/>
      <c r="X70" s="6"/>
      <c r="Y70" s="6"/>
      <c r="Z70" s="6"/>
      <c r="AA70" s="6"/>
      <c r="AB70" s="6"/>
      <c r="AC70" s="6"/>
      <c r="AD70" s="6"/>
      <c r="AE70" s="6"/>
      <c r="AF70" s="6"/>
      <c r="AG70" s="6"/>
      <c r="AH70" s="6"/>
    </row>
    <row r="71" ht="15.75" customHeight="1">
      <c r="A71" s="6"/>
      <c r="B71" s="6" t="s">
        <v>161</v>
      </c>
      <c r="C71" s="6"/>
      <c r="D71" s="6"/>
      <c r="E71" s="25" t="s">
        <v>187</v>
      </c>
      <c r="F71" s="25" t="s">
        <v>47</v>
      </c>
      <c r="G71" s="9">
        <v>950141.0</v>
      </c>
      <c r="H71" s="9">
        <v>4.7991734E7</v>
      </c>
      <c r="I71" s="9">
        <f t="shared" si="27"/>
        <v>12767914</v>
      </c>
      <c r="J71" s="9">
        <f>2687100+31792330+744390</f>
        <v>35223820</v>
      </c>
      <c r="K71" s="6" t="s">
        <v>171</v>
      </c>
      <c r="L71" s="9"/>
      <c r="M71" s="10"/>
      <c r="N71" s="10"/>
      <c r="O71" s="9">
        <f t="shared" si="28"/>
        <v>13718055</v>
      </c>
      <c r="P71" s="15">
        <v>1.0</v>
      </c>
      <c r="Q71" s="9">
        <f t="shared" si="29"/>
        <v>12767914</v>
      </c>
      <c r="R71" s="9">
        <f t="shared" si="30"/>
        <v>13718055</v>
      </c>
      <c r="S71" s="9">
        <f t="shared" si="31"/>
        <v>13718055</v>
      </c>
      <c r="T71" s="9"/>
      <c r="U71" s="32" t="s">
        <v>188</v>
      </c>
      <c r="V71" s="6"/>
      <c r="W71" s="6"/>
      <c r="X71" s="6"/>
      <c r="Y71" s="6"/>
      <c r="Z71" s="6"/>
      <c r="AA71" s="6"/>
      <c r="AB71" s="6"/>
      <c r="AC71" s="6"/>
      <c r="AD71" s="6"/>
      <c r="AE71" s="6"/>
      <c r="AF71" s="6"/>
      <c r="AG71" s="6"/>
      <c r="AH71" s="6"/>
    </row>
    <row r="72" ht="15.75" customHeight="1">
      <c r="A72" s="6"/>
      <c r="B72" s="6" t="s">
        <v>161</v>
      </c>
      <c r="C72" s="6"/>
      <c r="D72" s="6"/>
      <c r="E72" s="25" t="s">
        <v>189</v>
      </c>
      <c r="F72" s="25" t="s">
        <v>47</v>
      </c>
      <c r="G72" s="9">
        <v>1.1145538E7</v>
      </c>
      <c r="H72" s="9">
        <v>1.52347758E8</v>
      </c>
      <c r="I72" s="9">
        <f t="shared" si="27"/>
        <v>81299368</v>
      </c>
      <c r="J72" s="9">
        <f>4741273+65453346+853771</f>
        <v>71048390</v>
      </c>
      <c r="K72" s="6" t="s">
        <v>171</v>
      </c>
      <c r="L72" s="9"/>
      <c r="M72" s="10"/>
      <c r="N72" s="10"/>
      <c r="O72" s="9">
        <f t="shared" si="28"/>
        <v>92444906</v>
      </c>
      <c r="P72" s="15">
        <v>0.5523519</v>
      </c>
      <c r="Q72" s="9">
        <f t="shared" si="29"/>
        <v>44905860.38</v>
      </c>
      <c r="R72" s="9">
        <f t="shared" si="30"/>
        <v>51062119.47</v>
      </c>
      <c r="S72" s="9">
        <f t="shared" si="31"/>
        <v>51062119.47</v>
      </c>
      <c r="T72" s="9"/>
      <c r="U72" s="32" t="s">
        <v>190</v>
      </c>
      <c r="V72" s="6"/>
      <c r="W72" s="6"/>
      <c r="X72" s="6"/>
      <c r="Y72" s="6"/>
      <c r="Z72" s="6"/>
      <c r="AA72" s="6"/>
      <c r="AB72" s="6"/>
      <c r="AC72" s="6"/>
      <c r="AD72" s="6"/>
      <c r="AE72" s="6"/>
      <c r="AF72" s="6"/>
      <c r="AG72" s="6"/>
      <c r="AH72" s="6"/>
    </row>
    <row r="73" ht="15.75" customHeight="1">
      <c r="A73" s="6"/>
      <c r="B73" s="6" t="s">
        <v>161</v>
      </c>
      <c r="C73" s="6"/>
      <c r="D73" s="6"/>
      <c r="E73" s="25" t="s">
        <v>191</v>
      </c>
      <c r="F73" s="25" t="s">
        <v>47</v>
      </c>
      <c r="G73" s="9">
        <v>1.0910551E7</v>
      </c>
      <c r="H73" s="9">
        <v>5.8326014E7</v>
      </c>
      <c r="I73" s="9">
        <f t="shared" si="27"/>
        <v>19274558</v>
      </c>
      <c r="J73" s="9">
        <f>32134564+3286740+312244+3317908</f>
        <v>39051456</v>
      </c>
      <c r="K73" s="6" t="s">
        <v>183</v>
      </c>
      <c r="L73" s="9"/>
      <c r="M73" s="10"/>
      <c r="N73" s="10"/>
      <c r="O73" s="9">
        <f t="shared" si="28"/>
        <v>30185109</v>
      </c>
      <c r="P73" s="15">
        <v>0.7065371</v>
      </c>
      <c r="Q73" s="9">
        <f t="shared" si="29"/>
        <v>13618190.31</v>
      </c>
      <c r="R73" s="9">
        <f t="shared" si="30"/>
        <v>21326899.38</v>
      </c>
      <c r="S73" s="9">
        <f t="shared" si="31"/>
        <v>21326899.38</v>
      </c>
      <c r="T73" s="9"/>
      <c r="U73" s="32" t="s">
        <v>192</v>
      </c>
      <c r="V73" s="6"/>
      <c r="W73" s="6"/>
      <c r="X73" s="6"/>
      <c r="Y73" s="6"/>
      <c r="Z73" s="6"/>
      <c r="AA73" s="6"/>
      <c r="AB73" s="6"/>
      <c r="AC73" s="6"/>
      <c r="AD73" s="6"/>
      <c r="AE73" s="6"/>
      <c r="AF73" s="6"/>
      <c r="AG73" s="6"/>
      <c r="AH73" s="6"/>
    </row>
    <row r="74" ht="15.75" customHeight="1">
      <c r="A74" s="6"/>
      <c r="B74" s="6" t="s">
        <v>161</v>
      </c>
      <c r="C74" s="6"/>
      <c r="D74" s="6"/>
      <c r="E74" s="25" t="s">
        <v>193</v>
      </c>
      <c r="F74" s="25" t="s">
        <v>47</v>
      </c>
      <c r="G74" s="9">
        <v>1081851.0</v>
      </c>
      <c r="H74" s="9">
        <v>4.903232E7</v>
      </c>
      <c r="I74" s="9">
        <f t="shared" si="27"/>
        <v>14905886</v>
      </c>
      <c r="J74" s="9">
        <f>2621782+31194024+310628</f>
        <v>34126434</v>
      </c>
      <c r="K74" s="6" t="s">
        <v>171</v>
      </c>
      <c r="L74" s="9"/>
      <c r="M74" s="10"/>
      <c r="N74" s="10"/>
      <c r="O74" s="9">
        <f t="shared" si="28"/>
        <v>15987737</v>
      </c>
      <c r="P74" s="15">
        <v>0.2034245</v>
      </c>
      <c r="Q74" s="9">
        <f t="shared" si="29"/>
        <v>3032222.407</v>
      </c>
      <c r="R74" s="9">
        <f t="shared" si="30"/>
        <v>3252297.405</v>
      </c>
      <c r="S74" s="9">
        <f t="shared" si="31"/>
        <v>3252297.405</v>
      </c>
      <c r="T74" s="9"/>
      <c r="U74" s="32" t="s">
        <v>194</v>
      </c>
      <c r="V74" s="6"/>
      <c r="W74" s="6"/>
      <c r="X74" s="6"/>
      <c r="Y74" s="6"/>
      <c r="Z74" s="6"/>
      <c r="AA74" s="6"/>
      <c r="AB74" s="6"/>
      <c r="AC74" s="6"/>
      <c r="AD74" s="6"/>
      <c r="AE74" s="6"/>
      <c r="AF74" s="6"/>
      <c r="AG74" s="6"/>
      <c r="AH74" s="6"/>
    </row>
    <row r="75" ht="15.75" customHeight="1">
      <c r="A75" s="6"/>
      <c r="B75" s="6" t="s">
        <v>161</v>
      </c>
      <c r="C75" s="6"/>
      <c r="D75" s="6"/>
      <c r="E75" s="25" t="s">
        <v>195</v>
      </c>
      <c r="F75" s="25" t="s">
        <v>47</v>
      </c>
      <c r="G75" s="9">
        <v>6427349.0</v>
      </c>
      <c r="H75" s="9">
        <v>6.0264876E7</v>
      </c>
      <c r="I75" s="9">
        <f t="shared" si="27"/>
        <v>44637672</v>
      </c>
      <c r="J75" s="9">
        <f>315555+1115123+14196526</f>
        <v>15627204</v>
      </c>
      <c r="K75" s="6" t="s">
        <v>171</v>
      </c>
      <c r="L75" s="9"/>
      <c r="M75" s="10"/>
      <c r="N75" s="10"/>
      <c r="O75" s="9">
        <f t="shared" si="28"/>
        <v>51065021</v>
      </c>
      <c r="P75" s="15">
        <v>1.0</v>
      </c>
      <c r="Q75" s="9">
        <f t="shared" si="29"/>
        <v>44637672</v>
      </c>
      <c r="R75" s="9">
        <f t="shared" si="30"/>
        <v>51065021</v>
      </c>
      <c r="S75" s="9">
        <f t="shared" si="31"/>
        <v>51065021</v>
      </c>
      <c r="T75" s="9"/>
      <c r="U75" s="32" t="s">
        <v>196</v>
      </c>
      <c r="V75" s="6"/>
      <c r="W75" s="6"/>
      <c r="X75" s="6"/>
      <c r="Y75" s="6"/>
      <c r="Z75" s="6"/>
      <c r="AA75" s="6"/>
      <c r="AB75" s="6"/>
      <c r="AC75" s="6"/>
      <c r="AD75" s="6"/>
      <c r="AE75" s="6"/>
      <c r="AF75" s="6"/>
      <c r="AG75" s="6"/>
      <c r="AH75" s="6"/>
    </row>
    <row r="76" ht="15.75" customHeight="1">
      <c r="A76" s="6"/>
      <c r="B76" s="6" t="s">
        <v>161</v>
      </c>
      <c r="C76" s="6"/>
      <c r="D76" s="6"/>
      <c r="E76" s="25" t="s">
        <v>197</v>
      </c>
      <c r="F76" s="25" t="s">
        <v>47</v>
      </c>
      <c r="G76" s="9">
        <v>150180.0</v>
      </c>
      <c r="H76" s="9">
        <v>1.1805864E7</v>
      </c>
      <c r="I76" s="9">
        <f t="shared" si="27"/>
        <v>5099471</v>
      </c>
      <c r="J76" s="9">
        <f>6291667+414726</f>
        <v>6706393</v>
      </c>
      <c r="K76" s="6" t="s">
        <v>183</v>
      </c>
      <c r="L76" s="9"/>
      <c r="M76" s="10"/>
      <c r="N76" s="10"/>
      <c r="O76" s="9">
        <f t="shared" si="28"/>
        <v>5249651</v>
      </c>
      <c r="P76" s="15">
        <v>1.0</v>
      </c>
      <c r="Q76" s="9">
        <f t="shared" si="29"/>
        <v>5099471</v>
      </c>
      <c r="R76" s="9">
        <f t="shared" si="30"/>
        <v>5249651</v>
      </c>
      <c r="S76" s="9">
        <f t="shared" si="31"/>
        <v>5249651</v>
      </c>
      <c r="T76" s="9"/>
      <c r="U76" s="32" t="s">
        <v>198</v>
      </c>
      <c r="V76" s="6"/>
      <c r="W76" s="6"/>
      <c r="X76" s="6"/>
      <c r="Y76" s="6"/>
      <c r="Z76" s="6"/>
      <c r="AA76" s="6"/>
      <c r="AB76" s="6"/>
      <c r="AC76" s="6"/>
      <c r="AD76" s="6"/>
      <c r="AE76" s="6"/>
      <c r="AF76" s="6"/>
      <c r="AG76" s="6"/>
      <c r="AH76" s="6"/>
    </row>
    <row r="77" ht="15.75" customHeight="1">
      <c r="A77" s="6"/>
      <c r="B77" s="6" t="s">
        <v>161</v>
      </c>
      <c r="C77" s="6"/>
      <c r="D77" s="6"/>
      <c r="E77" s="25" t="s">
        <v>199</v>
      </c>
      <c r="F77" s="25" t="s">
        <v>47</v>
      </c>
      <c r="G77" s="9">
        <v>190645.0</v>
      </c>
      <c r="H77" s="9">
        <v>1.8061511E7</v>
      </c>
      <c r="I77" s="9">
        <f t="shared" si="27"/>
        <v>19365896</v>
      </c>
      <c r="J77" s="9">
        <f>601091+8293790-10199266</f>
        <v>-1304385</v>
      </c>
      <c r="K77" s="6" t="s">
        <v>200</v>
      </c>
      <c r="L77" s="9"/>
      <c r="M77" s="10"/>
      <c r="N77" s="10"/>
      <c r="O77" s="9">
        <f t="shared" si="28"/>
        <v>19556541</v>
      </c>
      <c r="P77" s="15">
        <v>1.0</v>
      </c>
      <c r="Q77" s="9">
        <f t="shared" si="29"/>
        <v>19365896</v>
      </c>
      <c r="R77" s="9">
        <f t="shared" si="30"/>
        <v>19556541</v>
      </c>
      <c r="S77" s="9">
        <f t="shared" si="31"/>
        <v>19556541</v>
      </c>
      <c r="T77" s="9"/>
      <c r="U77" s="32" t="s">
        <v>201</v>
      </c>
      <c r="V77" s="6"/>
      <c r="W77" s="6"/>
      <c r="X77" s="6"/>
      <c r="Y77" s="6"/>
      <c r="Z77" s="6"/>
      <c r="AA77" s="6"/>
      <c r="AB77" s="6"/>
      <c r="AC77" s="6"/>
      <c r="AD77" s="6"/>
      <c r="AE77" s="6"/>
      <c r="AF77" s="6"/>
      <c r="AG77" s="6"/>
      <c r="AH77" s="6"/>
    </row>
    <row r="78" ht="15.75" customHeight="1">
      <c r="A78" s="6"/>
      <c r="B78" s="6" t="s">
        <v>161</v>
      </c>
      <c r="C78" s="6"/>
      <c r="D78" s="6"/>
      <c r="E78" s="25" t="s">
        <v>202</v>
      </c>
      <c r="F78" s="25" t="s">
        <v>47</v>
      </c>
      <c r="G78" s="9">
        <v>1124893.0</v>
      </c>
      <c r="H78" s="9">
        <v>7.3126932E7</v>
      </c>
      <c r="I78" s="9">
        <f t="shared" si="27"/>
        <v>21193020</v>
      </c>
      <c r="J78" s="9">
        <f>4002494+47309304+622114</f>
        <v>51933912</v>
      </c>
      <c r="K78" s="6" t="s">
        <v>171</v>
      </c>
      <c r="L78" s="9"/>
      <c r="M78" s="10"/>
      <c r="N78" s="10"/>
      <c r="O78" s="9">
        <f t="shared" si="28"/>
        <v>22317913</v>
      </c>
      <c r="P78" s="15">
        <v>0.5415636</v>
      </c>
      <c r="Q78" s="9">
        <f t="shared" si="29"/>
        <v>11477368.21</v>
      </c>
      <c r="R78" s="9">
        <f t="shared" si="30"/>
        <v>12086569.31</v>
      </c>
      <c r="S78" s="9">
        <f t="shared" si="31"/>
        <v>12086569.31</v>
      </c>
      <c r="T78" s="9"/>
      <c r="U78" s="34" t="s">
        <v>203</v>
      </c>
      <c r="V78" s="6"/>
      <c r="W78" s="6"/>
      <c r="X78" s="6"/>
      <c r="Y78" s="6"/>
      <c r="Z78" s="6"/>
      <c r="AA78" s="6"/>
      <c r="AB78" s="6"/>
      <c r="AC78" s="6"/>
      <c r="AD78" s="6"/>
      <c r="AE78" s="6"/>
      <c r="AF78" s="6"/>
      <c r="AG78" s="6"/>
      <c r="AH78" s="6"/>
    </row>
    <row r="79" ht="15.75" customHeight="1">
      <c r="A79" s="6"/>
      <c r="B79" s="6" t="s">
        <v>161</v>
      </c>
      <c r="C79" s="6"/>
      <c r="D79" s="6"/>
      <c r="E79" s="25" t="s">
        <v>204</v>
      </c>
      <c r="F79" s="25" t="s">
        <v>47</v>
      </c>
      <c r="G79" s="9">
        <v>1151016.0</v>
      </c>
      <c r="H79" s="9">
        <v>6.6123142E7</v>
      </c>
      <c r="I79" s="9">
        <f t="shared" si="27"/>
        <v>48156076</v>
      </c>
      <c r="J79" s="9">
        <f>15093057+943093+270855+1660061</f>
        <v>17967066</v>
      </c>
      <c r="K79" s="6" t="s">
        <v>205</v>
      </c>
      <c r="L79" s="9"/>
      <c r="M79" s="10"/>
      <c r="N79" s="10"/>
      <c r="O79" s="9">
        <f t="shared" si="28"/>
        <v>49307092</v>
      </c>
      <c r="P79" s="15">
        <v>1.0</v>
      </c>
      <c r="Q79" s="9">
        <f t="shared" si="29"/>
        <v>48156076</v>
      </c>
      <c r="R79" s="9">
        <f t="shared" si="30"/>
        <v>49307092</v>
      </c>
      <c r="S79" s="9">
        <f t="shared" si="31"/>
        <v>49307092</v>
      </c>
      <c r="T79" s="9"/>
      <c r="U79" s="32" t="s">
        <v>206</v>
      </c>
      <c r="V79" s="6"/>
      <c r="W79" s="6"/>
      <c r="X79" s="6"/>
      <c r="Y79" s="6"/>
      <c r="Z79" s="6"/>
      <c r="AA79" s="6"/>
      <c r="AB79" s="6"/>
      <c r="AC79" s="6"/>
      <c r="AD79" s="6"/>
      <c r="AE79" s="6"/>
      <c r="AF79" s="6"/>
      <c r="AG79" s="6"/>
      <c r="AH79" s="6"/>
    </row>
    <row r="80" ht="15.75" customHeight="1">
      <c r="A80" s="6"/>
      <c r="B80" s="6" t="s">
        <v>161</v>
      </c>
      <c r="C80" s="6"/>
      <c r="D80" s="6"/>
      <c r="E80" s="25" t="s">
        <v>207</v>
      </c>
      <c r="F80" s="25" t="s">
        <v>47</v>
      </c>
      <c r="G80" s="9">
        <v>2798391.0</v>
      </c>
      <c r="H80" s="9">
        <v>3.52136394E8</v>
      </c>
      <c r="I80" s="9">
        <f t="shared" si="27"/>
        <v>262140403</v>
      </c>
      <c r="J80" s="9">
        <v>8.9995991E7</v>
      </c>
      <c r="K80" s="6" t="s">
        <v>208</v>
      </c>
      <c r="L80" s="9"/>
      <c r="M80" s="10"/>
      <c r="N80" s="10"/>
      <c r="O80" s="9">
        <f t="shared" si="28"/>
        <v>264938794</v>
      </c>
      <c r="P80" s="15">
        <v>0.9430882</v>
      </c>
      <c r="Q80" s="9">
        <f t="shared" si="29"/>
        <v>247221520.8</v>
      </c>
      <c r="R80" s="9">
        <f t="shared" si="30"/>
        <v>249860650.3</v>
      </c>
      <c r="S80" s="9">
        <f t="shared" si="31"/>
        <v>249860650.3</v>
      </c>
      <c r="T80" s="9"/>
      <c r="U80" s="32" t="s">
        <v>209</v>
      </c>
      <c r="V80" s="6"/>
      <c r="W80" s="6"/>
      <c r="X80" s="6"/>
      <c r="Y80" s="6"/>
      <c r="Z80" s="6"/>
      <c r="AA80" s="6"/>
      <c r="AB80" s="6"/>
      <c r="AC80" s="6"/>
      <c r="AD80" s="6"/>
      <c r="AE80" s="6"/>
      <c r="AF80" s="6"/>
      <c r="AG80" s="6"/>
      <c r="AH80" s="6"/>
    </row>
    <row r="81" ht="15.75" customHeight="1">
      <c r="A81" s="6"/>
      <c r="B81" s="6" t="s">
        <v>161</v>
      </c>
      <c r="C81" s="6"/>
      <c r="D81" s="6"/>
      <c r="E81" s="25" t="s">
        <v>210</v>
      </c>
      <c r="F81" s="25" t="s">
        <v>47</v>
      </c>
      <c r="G81" s="9">
        <v>962211.0</v>
      </c>
      <c r="H81" s="9">
        <v>1.5000254E7</v>
      </c>
      <c r="I81" s="9">
        <f t="shared" si="27"/>
        <v>14450537</v>
      </c>
      <c r="J81" s="9">
        <v>549717.0</v>
      </c>
      <c r="K81" s="6" t="s">
        <v>211</v>
      </c>
      <c r="L81" s="9"/>
      <c r="M81" s="10"/>
      <c r="N81" s="10"/>
      <c r="O81" s="9">
        <f t="shared" si="28"/>
        <v>15412748</v>
      </c>
      <c r="P81" s="15">
        <v>1.0</v>
      </c>
      <c r="Q81" s="9">
        <f t="shared" si="29"/>
        <v>14450537</v>
      </c>
      <c r="R81" s="9">
        <f t="shared" si="30"/>
        <v>15412748</v>
      </c>
      <c r="S81" s="9">
        <f t="shared" si="31"/>
        <v>15412748</v>
      </c>
      <c r="T81" s="9"/>
      <c r="U81" s="32" t="s">
        <v>212</v>
      </c>
      <c r="V81" s="6"/>
      <c r="W81" s="6"/>
      <c r="X81" s="6"/>
      <c r="Y81" s="6"/>
      <c r="Z81" s="6"/>
      <c r="AA81" s="6"/>
      <c r="AB81" s="6"/>
      <c r="AC81" s="6"/>
      <c r="AD81" s="6"/>
      <c r="AE81" s="6"/>
      <c r="AF81" s="6"/>
      <c r="AG81" s="6"/>
      <c r="AH81" s="6"/>
    </row>
    <row r="82" ht="15.75" customHeight="1">
      <c r="A82" s="6"/>
      <c r="B82" s="6" t="s">
        <v>161</v>
      </c>
      <c r="C82" s="6"/>
      <c r="D82" s="6"/>
      <c r="E82" s="25" t="s">
        <v>213</v>
      </c>
      <c r="F82" s="25" t="s">
        <v>47</v>
      </c>
      <c r="G82" s="9">
        <v>1648453.0</v>
      </c>
      <c r="H82" s="9">
        <v>8.8138497E7</v>
      </c>
      <c r="I82" s="9">
        <f t="shared" si="27"/>
        <v>43665250</v>
      </c>
      <c r="J82" s="9">
        <f>3257355+39989397+1226495</f>
        <v>44473247</v>
      </c>
      <c r="K82" s="6" t="s">
        <v>171</v>
      </c>
      <c r="L82" s="9"/>
      <c r="M82" s="10"/>
      <c r="N82" s="10"/>
      <c r="O82" s="9">
        <f t="shared" si="28"/>
        <v>45313703</v>
      </c>
      <c r="P82" s="15">
        <v>0.9572555</v>
      </c>
      <c r="Q82" s="9">
        <f t="shared" si="29"/>
        <v>41798800.72</v>
      </c>
      <c r="R82" s="9">
        <f t="shared" si="30"/>
        <v>43376791.42</v>
      </c>
      <c r="S82" s="9">
        <f t="shared" si="31"/>
        <v>43376791.42</v>
      </c>
      <c r="T82" s="9"/>
      <c r="U82" s="32" t="s">
        <v>214</v>
      </c>
      <c r="V82" s="6"/>
      <c r="W82" s="6"/>
      <c r="X82" s="6"/>
      <c r="Y82" s="6"/>
      <c r="Z82" s="6"/>
      <c r="AA82" s="6"/>
      <c r="AB82" s="6"/>
      <c r="AC82" s="6"/>
      <c r="AD82" s="6"/>
      <c r="AE82" s="6"/>
      <c r="AF82" s="6"/>
      <c r="AG82" s="6"/>
      <c r="AH82" s="6"/>
    </row>
    <row r="83" ht="15.75" customHeight="1">
      <c r="A83" s="6"/>
      <c r="B83" s="6" t="s">
        <v>161</v>
      </c>
      <c r="C83" s="6"/>
      <c r="D83" s="6"/>
      <c r="E83" s="25" t="s">
        <v>215</v>
      </c>
      <c r="F83" s="25" t="s">
        <v>47</v>
      </c>
      <c r="G83" s="9">
        <v>9758514.0</v>
      </c>
      <c r="H83" s="9">
        <v>2.10893643E8</v>
      </c>
      <c r="I83" s="9">
        <f t="shared" si="27"/>
        <v>185254539</v>
      </c>
      <c r="J83" s="9">
        <v>2.5639104E7</v>
      </c>
      <c r="K83" s="6" t="s">
        <v>208</v>
      </c>
      <c r="L83" s="9"/>
      <c r="M83" s="10"/>
      <c r="N83" s="10"/>
      <c r="O83" s="9">
        <f t="shared" si="28"/>
        <v>195013053</v>
      </c>
      <c r="P83" s="15">
        <v>0.1687453</v>
      </c>
      <c r="Q83" s="9">
        <f t="shared" si="29"/>
        <v>31260832.76</v>
      </c>
      <c r="R83" s="9">
        <f t="shared" si="30"/>
        <v>32907536.13</v>
      </c>
      <c r="S83" s="9">
        <f t="shared" si="31"/>
        <v>32907536.13</v>
      </c>
      <c r="T83" s="9"/>
      <c r="U83" s="32" t="s">
        <v>216</v>
      </c>
      <c r="V83" s="6"/>
      <c r="W83" s="6"/>
      <c r="X83" s="6"/>
      <c r="Y83" s="6"/>
      <c r="Z83" s="6"/>
      <c r="AA83" s="6"/>
      <c r="AB83" s="6"/>
      <c r="AC83" s="6"/>
      <c r="AD83" s="6"/>
      <c r="AE83" s="6"/>
      <c r="AF83" s="6"/>
      <c r="AG83" s="6"/>
      <c r="AH83" s="6"/>
    </row>
    <row r="84" ht="15.75" customHeight="1">
      <c r="A84" s="6"/>
      <c r="B84" s="6" t="s">
        <v>161</v>
      </c>
      <c r="C84" s="6"/>
      <c r="D84" s="6"/>
      <c r="E84" s="25" t="s">
        <v>217</v>
      </c>
      <c r="F84" s="25" t="s">
        <v>47</v>
      </c>
      <c r="G84" s="9">
        <v>1.7262454E7</v>
      </c>
      <c r="H84" s="9">
        <v>3.06045695E8</v>
      </c>
      <c r="I84" s="9">
        <f t="shared" si="27"/>
        <v>201887364</v>
      </c>
      <c r="J84" s="9">
        <f>5044056+96142538+2971737</f>
        <v>104158331</v>
      </c>
      <c r="K84" s="6" t="s">
        <v>171</v>
      </c>
      <c r="L84" s="9"/>
      <c r="M84" s="10"/>
      <c r="N84" s="10"/>
      <c r="O84" s="9">
        <f t="shared" si="28"/>
        <v>219149818</v>
      </c>
      <c r="P84" s="15">
        <v>0.8999469</v>
      </c>
      <c r="Q84" s="9">
        <f t="shared" si="29"/>
        <v>181687907.4</v>
      </c>
      <c r="R84" s="9">
        <f t="shared" si="30"/>
        <v>197223199.3</v>
      </c>
      <c r="S84" s="9">
        <f t="shared" si="31"/>
        <v>197223199.3</v>
      </c>
      <c r="T84" s="9"/>
      <c r="U84" s="32" t="s">
        <v>218</v>
      </c>
      <c r="V84" s="6"/>
      <c r="W84" s="6"/>
      <c r="X84" s="6"/>
      <c r="Y84" s="6"/>
      <c r="Z84" s="6"/>
      <c r="AA84" s="6"/>
      <c r="AB84" s="6"/>
      <c r="AC84" s="6"/>
      <c r="AD84" s="6"/>
      <c r="AE84" s="6"/>
      <c r="AF84" s="6"/>
      <c r="AG84" s="6"/>
      <c r="AH84" s="6"/>
    </row>
    <row r="85" ht="15.75" customHeight="1">
      <c r="A85" s="6"/>
      <c r="B85" s="6" t="s">
        <v>161</v>
      </c>
      <c r="C85" s="6"/>
      <c r="D85" s="6"/>
      <c r="E85" s="25" t="s">
        <v>219</v>
      </c>
      <c r="F85" s="25" t="s">
        <v>47</v>
      </c>
      <c r="G85" s="9">
        <v>3368610.0</v>
      </c>
      <c r="H85" s="9">
        <v>1.21424158E8</v>
      </c>
      <c r="I85" s="9">
        <f t="shared" si="27"/>
        <v>76287217</v>
      </c>
      <c r="J85" s="9">
        <f>3115998+40783587+1237356</f>
        <v>45136941</v>
      </c>
      <c r="K85" s="6" t="s">
        <v>171</v>
      </c>
      <c r="L85" s="9"/>
      <c r="M85" s="10"/>
      <c r="N85" s="10"/>
      <c r="O85" s="9">
        <f t="shared" si="28"/>
        <v>79655827</v>
      </c>
      <c r="P85" s="15">
        <v>0.165061</v>
      </c>
      <c r="Q85" s="9">
        <f t="shared" si="29"/>
        <v>12592044.33</v>
      </c>
      <c r="R85" s="9">
        <f t="shared" si="30"/>
        <v>13148070.46</v>
      </c>
      <c r="S85" s="9">
        <f t="shared" si="31"/>
        <v>13148070.46</v>
      </c>
      <c r="T85" s="9"/>
      <c r="U85" s="32" t="s">
        <v>220</v>
      </c>
      <c r="V85" s="6"/>
      <c r="W85" s="6"/>
      <c r="X85" s="6"/>
      <c r="Y85" s="6"/>
      <c r="Z85" s="6"/>
      <c r="AA85" s="6"/>
      <c r="AB85" s="6"/>
      <c r="AC85" s="6"/>
      <c r="AD85" s="6"/>
      <c r="AE85" s="6"/>
      <c r="AF85" s="6"/>
      <c r="AG85" s="6"/>
      <c r="AH85" s="6"/>
    </row>
    <row r="86" ht="15.75" customHeight="1">
      <c r="A86" s="6"/>
      <c r="B86" s="6" t="s">
        <v>161</v>
      </c>
      <c r="C86" s="6"/>
      <c r="D86" s="6"/>
      <c r="E86" s="25" t="s">
        <v>221</v>
      </c>
      <c r="F86" s="25" t="s">
        <v>47</v>
      </c>
      <c r="G86" s="9">
        <v>1.4184661E7</v>
      </c>
      <c r="H86" s="9">
        <v>1.22086909E8</v>
      </c>
      <c r="I86" s="9">
        <f t="shared" si="27"/>
        <v>88275813</v>
      </c>
      <c r="J86" s="9">
        <f>1181973+32172085+457038</f>
        <v>33811096</v>
      </c>
      <c r="K86" s="6" t="s">
        <v>171</v>
      </c>
      <c r="L86" s="9"/>
      <c r="M86" s="10"/>
      <c r="N86" s="10"/>
      <c r="O86" s="9">
        <f t="shared" si="28"/>
        <v>102460474</v>
      </c>
      <c r="P86" s="15">
        <v>0.4008829</v>
      </c>
      <c r="Q86" s="9">
        <f t="shared" si="29"/>
        <v>35388263.92</v>
      </c>
      <c r="R86" s="9">
        <f t="shared" si="30"/>
        <v>41074651.95</v>
      </c>
      <c r="S86" s="9">
        <f t="shared" si="31"/>
        <v>41074651.95</v>
      </c>
      <c r="T86" s="9"/>
      <c r="U86" s="32" t="s">
        <v>222</v>
      </c>
      <c r="V86" s="6"/>
      <c r="W86" s="6"/>
      <c r="X86" s="6"/>
      <c r="Y86" s="6"/>
      <c r="Z86" s="6"/>
      <c r="AA86" s="6"/>
      <c r="AB86" s="6"/>
      <c r="AC86" s="6"/>
      <c r="AD86" s="6"/>
      <c r="AE86" s="6"/>
      <c r="AF86" s="6"/>
      <c r="AG86" s="6"/>
      <c r="AH86" s="6"/>
    </row>
    <row r="87" ht="15.75" customHeight="1">
      <c r="A87" s="6"/>
      <c r="B87" s="6" t="s">
        <v>161</v>
      </c>
      <c r="C87" s="6"/>
      <c r="D87" s="6"/>
      <c r="E87" s="25" t="s">
        <v>223</v>
      </c>
      <c r="F87" s="25" t="s">
        <v>47</v>
      </c>
      <c r="G87" s="9">
        <v>1130775.0</v>
      </c>
      <c r="H87" s="9">
        <v>2.5252826E7</v>
      </c>
      <c r="I87" s="9">
        <f t="shared" si="27"/>
        <v>10120782</v>
      </c>
      <c r="J87" s="9">
        <f>1169623+13792206+170215</f>
        <v>15132044</v>
      </c>
      <c r="K87" s="6" t="s">
        <v>171</v>
      </c>
      <c r="L87" s="9"/>
      <c r="M87" s="10"/>
      <c r="N87" s="10"/>
      <c r="O87" s="9">
        <f t="shared" si="28"/>
        <v>11251557</v>
      </c>
      <c r="P87" s="15">
        <v>0.5534703</v>
      </c>
      <c r="Q87" s="9">
        <f t="shared" si="29"/>
        <v>5601552.25</v>
      </c>
      <c r="R87" s="9">
        <f t="shared" si="30"/>
        <v>6227402.628</v>
      </c>
      <c r="S87" s="9">
        <f t="shared" si="31"/>
        <v>6227402.628</v>
      </c>
      <c r="T87" s="9"/>
      <c r="U87" s="32" t="s">
        <v>224</v>
      </c>
      <c r="V87" s="6"/>
      <c r="W87" s="6"/>
      <c r="X87" s="6"/>
      <c r="Y87" s="6"/>
      <c r="Z87" s="6"/>
      <c r="AA87" s="6"/>
      <c r="AB87" s="6"/>
      <c r="AC87" s="6"/>
      <c r="AD87" s="6"/>
      <c r="AE87" s="6"/>
      <c r="AF87" s="6"/>
      <c r="AG87" s="6"/>
      <c r="AH87" s="6"/>
    </row>
    <row r="88" ht="15.75" customHeight="1">
      <c r="A88" s="6"/>
      <c r="B88" s="6" t="s">
        <v>161</v>
      </c>
      <c r="C88" s="6"/>
      <c r="D88" s="6"/>
      <c r="E88" s="25" t="s">
        <v>225</v>
      </c>
      <c r="F88" s="25" t="s">
        <v>47</v>
      </c>
      <c r="G88" s="9">
        <v>5312376.0</v>
      </c>
      <c r="H88" s="9">
        <v>1.28464259E8</v>
      </c>
      <c r="I88" s="9">
        <f t="shared" si="27"/>
        <v>62742811</v>
      </c>
      <c r="J88" s="9">
        <f>4956891+60764557</f>
        <v>65721448</v>
      </c>
      <c r="K88" s="6" t="s">
        <v>205</v>
      </c>
      <c r="L88" s="9"/>
      <c r="M88" s="10"/>
      <c r="N88" s="10"/>
      <c r="O88" s="9">
        <f t="shared" si="28"/>
        <v>68055187</v>
      </c>
      <c r="P88" s="15">
        <v>0.4796948</v>
      </c>
      <c r="Q88" s="9">
        <f t="shared" si="29"/>
        <v>30097400.17</v>
      </c>
      <c r="R88" s="9">
        <f t="shared" si="30"/>
        <v>32645719.32</v>
      </c>
      <c r="S88" s="9">
        <f t="shared" si="31"/>
        <v>32645719.32</v>
      </c>
      <c r="T88" s="9"/>
      <c r="U88" s="32" t="s">
        <v>226</v>
      </c>
      <c r="V88" s="6"/>
      <c r="W88" s="6"/>
      <c r="X88" s="6"/>
      <c r="Y88" s="6"/>
      <c r="Z88" s="6"/>
      <c r="AA88" s="6"/>
      <c r="AB88" s="6"/>
      <c r="AC88" s="6"/>
      <c r="AD88" s="6"/>
      <c r="AE88" s="6"/>
      <c r="AF88" s="6"/>
      <c r="AG88" s="6"/>
      <c r="AH88" s="6"/>
    </row>
    <row r="89" ht="15.75" customHeight="1">
      <c r="A89" s="6"/>
      <c r="B89" s="6" t="s">
        <v>161</v>
      </c>
      <c r="C89" s="6"/>
      <c r="D89" s="6"/>
      <c r="E89" s="25" t="s">
        <v>227</v>
      </c>
      <c r="F89" s="25" t="s">
        <v>47</v>
      </c>
      <c r="G89" s="9">
        <v>104498.0</v>
      </c>
      <c r="H89" s="9">
        <v>1.4105864E7</v>
      </c>
      <c r="I89" s="9">
        <f t="shared" si="27"/>
        <v>3303021</v>
      </c>
      <c r="J89" s="9">
        <f>833605+9969238</f>
        <v>10802843</v>
      </c>
      <c r="K89" s="6" t="s">
        <v>205</v>
      </c>
      <c r="L89" s="9"/>
      <c r="M89" s="10"/>
      <c r="N89" s="10"/>
      <c r="O89" s="9">
        <f t="shared" si="28"/>
        <v>3407519</v>
      </c>
      <c r="P89" s="15">
        <v>0.7886994</v>
      </c>
      <c r="Q89" s="9">
        <f t="shared" si="29"/>
        <v>2605090.681</v>
      </c>
      <c r="R89" s="9">
        <f t="shared" si="30"/>
        <v>2687508.191</v>
      </c>
      <c r="S89" s="9">
        <f t="shared" si="31"/>
        <v>2687508.191</v>
      </c>
      <c r="T89" s="9"/>
      <c r="U89" s="32" t="s">
        <v>228</v>
      </c>
      <c r="V89" s="6"/>
      <c r="W89" s="6"/>
      <c r="X89" s="6"/>
      <c r="Y89" s="6"/>
      <c r="Z89" s="6"/>
      <c r="AA89" s="6"/>
      <c r="AB89" s="6"/>
      <c r="AC89" s="6"/>
      <c r="AD89" s="6"/>
      <c r="AE89" s="6"/>
      <c r="AF89" s="6"/>
      <c r="AG89" s="6"/>
      <c r="AH89" s="6"/>
    </row>
    <row r="90" ht="15.75" customHeight="1">
      <c r="A90" s="6"/>
      <c r="B90" s="6" t="s">
        <v>161</v>
      </c>
      <c r="C90" s="6"/>
      <c r="D90" s="6"/>
      <c r="E90" s="25" t="s">
        <v>229</v>
      </c>
      <c r="F90" s="25" t="s">
        <v>47</v>
      </c>
      <c r="G90" s="9">
        <v>4349866.0</v>
      </c>
      <c r="H90" s="9">
        <v>1.88134836E8</v>
      </c>
      <c r="I90" s="9">
        <f t="shared" si="27"/>
        <v>61088381</v>
      </c>
      <c r="J90" s="9">
        <f>9688387+115461000+1897068</f>
        <v>127046455</v>
      </c>
      <c r="K90" s="6" t="s">
        <v>171</v>
      </c>
      <c r="L90" s="9"/>
      <c r="M90" s="10"/>
      <c r="N90" s="10"/>
      <c r="O90" s="9">
        <f t="shared" si="28"/>
        <v>65438247</v>
      </c>
      <c r="P90" s="15">
        <v>0.9625971</v>
      </c>
      <c r="Q90" s="9">
        <f t="shared" si="29"/>
        <v>58803498.39</v>
      </c>
      <c r="R90" s="9">
        <f t="shared" si="30"/>
        <v>62990666.79</v>
      </c>
      <c r="S90" s="9">
        <f t="shared" si="31"/>
        <v>62990666.79</v>
      </c>
      <c r="T90" s="9"/>
      <c r="U90" s="32" t="s">
        <v>230</v>
      </c>
      <c r="V90" s="6"/>
      <c r="W90" s="6"/>
      <c r="X90" s="6"/>
      <c r="Y90" s="6"/>
      <c r="Z90" s="6"/>
      <c r="AA90" s="6"/>
      <c r="AB90" s="6"/>
      <c r="AC90" s="6"/>
      <c r="AD90" s="6"/>
      <c r="AE90" s="6"/>
      <c r="AF90" s="6"/>
      <c r="AG90" s="6"/>
      <c r="AH90" s="6"/>
    </row>
    <row r="91" ht="15.75" customHeight="1">
      <c r="A91" s="6"/>
      <c r="B91" s="6" t="s">
        <v>161</v>
      </c>
      <c r="C91" s="6"/>
      <c r="D91" s="6"/>
      <c r="E91" s="25" t="s">
        <v>231</v>
      </c>
      <c r="F91" s="25" t="s">
        <v>47</v>
      </c>
      <c r="G91" s="9">
        <v>720693.0</v>
      </c>
      <c r="H91" s="9">
        <v>1.1381914E7</v>
      </c>
      <c r="I91" s="9">
        <f t="shared" si="27"/>
        <v>6655892</v>
      </c>
      <c r="J91" s="9">
        <f>362085+4363937</f>
        <v>4726022</v>
      </c>
      <c r="K91" s="6" t="s">
        <v>205</v>
      </c>
      <c r="L91" s="9"/>
      <c r="M91" s="10"/>
      <c r="N91" s="10"/>
      <c r="O91" s="9">
        <f t="shared" si="28"/>
        <v>7376585</v>
      </c>
      <c r="P91" s="15">
        <v>1.0</v>
      </c>
      <c r="Q91" s="9">
        <f t="shared" si="29"/>
        <v>6655892</v>
      </c>
      <c r="R91" s="9">
        <f t="shared" si="30"/>
        <v>7376585</v>
      </c>
      <c r="S91" s="9">
        <f t="shared" si="31"/>
        <v>7376585</v>
      </c>
      <c r="T91" s="9"/>
      <c r="U91" s="32" t="s">
        <v>232</v>
      </c>
      <c r="V91" s="6"/>
      <c r="W91" s="6"/>
      <c r="X91" s="6"/>
      <c r="Y91" s="6"/>
      <c r="Z91" s="6"/>
      <c r="AA91" s="6"/>
      <c r="AB91" s="6"/>
      <c r="AC91" s="6"/>
      <c r="AD91" s="6"/>
      <c r="AE91" s="6"/>
      <c r="AF91" s="6"/>
      <c r="AG91" s="6"/>
      <c r="AH91" s="6"/>
    </row>
    <row r="92" ht="15.75" customHeight="1">
      <c r="A92" s="6"/>
      <c r="B92" s="6" t="s">
        <v>161</v>
      </c>
      <c r="C92" s="6"/>
      <c r="D92" s="6"/>
      <c r="E92" s="25" t="s">
        <v>233</v>
      </c>
      <c r="F92" s="25" t="s">
        <v>47</v>
      </c>
      <c r="G92" s="9">
        <v>2.0593683E7</v>
      </c>
      <c r="H92" s="9">
        <v>2.88980705E8</v>
      </c>
      <c r="I92" s="9">
        <f t="shared" si="27"/>
        <v>145818876</v>
      </c>
      <c r="J92" s="9">
        <f>9629836+130929138+2602855</f>
        <v>143161829</v>
      </c>
      <c r="K92" s="6" t="s">
        <v>171</v>
      </c>
      <c r="L92" s="9"/>
      <c r="M92" s="10"/>
      <c r="N92" s="10"/>
      <c r="O92" s="9">
        <f t="shared" si="28"/>
        <v>166412559</v>
      </c>
      <c r="P92" s="15">
        <v>0.5453466</v>
      </c>
      <c r="Q92" s="9">
        <f t="shared" si="29"/>
        <v>79521828.24</v>
      </c>
      <c r="R92" s="9">
        <f t="shared" si="30"/>
        <v>90752523.25</v>
      </c>
      <c r="S92" s="9">
        <f t="shared" si="31"/>
        <v>90752523.25</v>
      </c>
      <c r="T92" s="9"/>
      <c r="U92" s="32" t="s">
        <v>234</v>
      </c>
      <c r="V92" s="6"/>
      <c r="W92" s="6"/>
      <c r="X92" s="6"/>
      <c r="Y92" s="6"/>
      <c r="Z92" s="6"/>
      <c r="AA92" s="6"/>
      <c r="AB92" s="6"/>
      <c r="AC92" s="6"/>
      <c r="AD92" s="6"/>
      <c r="AE92" s="6"/>
      <c r="AF92" s="6"/>
      <c r="AG92" s="6"/>
      <c r="AH92" s="6"/>
    </row>
    <row r="93" ht="15.75" customHeight="1">
      <c r="A93" s="6"/>
      <c r="B93" s="6" t="s">
        <v>161</v>
      </c>
      <c r="C93" s="6"/>
      <c r="D93" s="6"/>
      <c r="E93" s="25" t="s">
        <v>235</v>
      </c>
      <c r="F93" s="25" t="s">
        <v>29</v>
      </c>
      <c r="G93" s="9"/>
      <c r="H93" s="9"/>
      <c r="I93" s="9"/>
      <c r="J93" s="9"/>
      <c r="K93" s="6"/>
      <c r="L93" s="9"/>
      <c r="M93" s="10"/>
      <c r="N93" s="10"/>
      <c r="O93" s="9"/>
      <c r="P93" s="15">
        <v>0.3449782</v>
      </c>
      <c r="Q93" s="9">
        <f t="shared" si="29"/>
        <v>0</v>
      </c>
      <c r="R93" s="9">
        <f t="shared" si="30"/>
        <v>0</v>
      </c>
      <c r="S93" s="9">
        <f t="shared" si="31"/>
        <v>0</v>
      </c>
      <c r="T93" s="9"/>
      <c r="U93" s="6" t="s">
        <v>60</v>
      </c>
      <c r="V93" s="6"/>
      <c r="W93" s="6"/>
      <c r="X93" s="6"/>
      <c r="Y93" s="6"/>
      <c r="Z93" s="6"/>
      <c r="AA93" s="6"/>
      <c r="AB93" s="6"/>
      <c r="AC93" s="6"/>
      <c r="AD93" s="6"/>
      <c r="AE93" s="6"/>
      <c r="AF93" s="6"/>
      <c r="AG93" s="6"/>
      <c r="AH93" s="6"/>
    </row>
    <row r="94" ht="15.75" customHeight="1">
      <c r="A94" s="6"/>
      <c r="B94" s="6" t="s">
        <v>161</v>
      </c>
      <c r="C94" s="6"/>
      <c r="D94" s="6"/>
      <c r="E94" s="25" t="s">
        <v>236</v>
      </c>
      <c r="F94" s="25" t="s">
        <v>29</v>
      </c>
      <c r="G94" s="9"/>
      <c r="H94" s="9">
        <f>548956484+143303021+11915514+3547896+8344261</f>
        <v>716067176</v>
      </c>
      <c r="I94" s="9">
        <f t="shared" ref="I94:I95" si="32">H94-J94</f>
        <v>704151662</v>
      </c>
      <c r="J94" s="9">
        <f>11915514</f>
        <v>11915514</v>
      </c>
      <c r="K94" s="6" t="s">
        <v>237</v>
      </c>
      <c r="L94" s="9"/>
      <c r="M94" s="10"/>
      <c r="N94" s="14">
        <v>4.54144793E8</v>
      </c>
      <c r="O94" s="9">
        <f t="shared" ref="O94:O95" si="33">G94+I94</f>
        <v>704151662</v>
      </c>
      <c r="P94" s="15">
        <v>0.3787934</v>
      </c>
      <c r="Q94" s="9">
        <f t="shared" si="29"/>
        <v>266728002.2</v>
      </c>
      <c r="R94" s="9">
        <f t="shared" si="30"/>
        <v>94700951.93</v>
      </c>
      <c r="S94" s="9">
        <f t="shared" si="31"/>
        <v>266728002.2</v>
      </c>
      <c r="T94" s="9"/>
      <c r="U94" s="32" t="s">
        <v>238</v>
      </c>
      <c r="V94" s="6"/>
      <c r="W94" s="6"/>
      <c r="X94" s="6"/>
      <c r="Y94" s="6"/>
      <c r="Z94" s="6"/>
      <c r="AA94" s="6"/>
      <c r="AB94" s="6"/>
      <c r="AC94" s="6"/>
      <c r="AD94" s="6"/>
      <c r="AE94" s="6"/>
      <c r="AF94" s="6"/>
      <c r="AG94" s="6"/>
      <c r="AH94" s="6"/>
    </row>
    <row r="95" ht="15.75" customHeight="1">
      <c r="A95" s="6"/>
      <c r="B95" s="6" t="s">
        <v>161</v>
      </c>
      <c r="C95" s="6"/>
      <c r="D95" s="6"/>
      <c r="E95" s="25" t="s">
        <v>239</v>
      </c>
      <c r="F95" s="25" t="s">
        <v>29</v>
      </c>
      <c r="G95" s="9">
        <v>7.4194E7</v>
      </c>
      <c r="H95" s="9">
        <v>1.70527E8</v>
      </c>
      <c r="I95" s="9">
        <f t="shared" si="32"/>
        <v>170527000</v>
      </c>
      <c r="J95" s="9"/>
      <c r="K95" s="6"/>
      <c r="L95" s="9"/>
      <c r="M95" s="10"/>
      <c r="N95" s="10"/>
      <c r="O95" s="9">
        <f t="shared" si="33"/>
        <v>244721000</v>
      </c>
      <c r="P95" s="15">
        <v>0.3449782</v>
      </c>
      <c r="Q95" s="9">
        <f t="shared" si="29"/>
        <v>58828097.51</v>
      </c>
      <c r="R95" s="9">
        <f t="shared" si="30"/>
        <v>84423410.08</v>
      </c>
      <c r="S95" s="9">
        <f t="shared" si="31"/>
        <v>84423410.08</v>
      </c>
      <c r="T95" s="9"/>
      <c r="U95" s="32" t="s">
        <v>240</v>
      </c>
      <c r="V95" s="6"/>
      <c r="W95" s="6"/>
      <c r="X95" s="6"/>
      <c r="Y95" s="6"/>
      <c r="Z95" s="6"/>
      <c r="AA95" s="6"/>
      <c r="AB95" s="6"/>
      <c r="AC95" s="6"/>
      <c r="AD95" s="6"/>
      <c r="AE95" s="6"/>
      <c r="AF95" s="6"/>
      <c r="AG95" s="6"/>
      <c r="AH95" s="6"/>
    </row>
    <row r="96" ht="15.75" customHeight="1">
      <c r="A96" s="6"/>
      <c r="B96" s="6" t="s">
        <v>161</v>
      </c>
      <c r="C96" s="6"/>
      <c r="D96" s="6"/>
      <c r="E96" s="25" t="s">
        <v>241</v>
      </c>
      <c r="F96" s="25" t="s">
        <v>29</v>
      </c>
      <c r="G96" s="9"/>
      <c r="H96" s="9"/>
      <c r="I96" s="9"/>
      <c r="J96" s="9"/>
      <c r="K96" s="6"/>
      <c r="L96" s="9"/>
      <c r="M96" s="10"/>
      <c r="N96" s="10"/>
      <c r="O96" s="9"/>
      <c r="P96" s="15">
        <v>0.2804643</v>
      </c>
      <c r="Q96" s="9">
        <f t="shared" si="29"/>
        <v>0</v>
      </c>
      <c r="R96" s="9">
        <f t="shared" si="30"/>
        <v>0</v>
      </c>
      <c r="S96" s="9">
        <f t="shared" si="31"/>
        <v>0</v>
      </c>
      <c r="T96" s="9"/>
      <c r="U96" s="6" t="s">
        <v>60</v>
      </c>
      <c r="V96" s="6"/>
      <c r="W96" s="6"/>
      <c r="X96" s="6"/>
      <c r="Y96" s="6"/>
      <c r="Z96" s="6"/>
      <c r="AA96" s="6"/>
      <c r="AB96" s="6"/>
      <c r="AC96" s="6"/>
      <c r="AD96" s="6"/>
      <c r="AE96" s="6"/>
      <c r="AF96" s="6"/>
      <c r="AG96" s="6"/>
      <c r="AH96" s="6"/>
    </row>
    <row r="97" ht="15.75" customHeight="1">
      <c r="A97" s="6"/>
      <c r="B97" s="6"/>
      <c r="C97" s="6"/>
      <c r="D97" s="6"/>
      <c r="E97" s="17" t="s">
        <v>35</v>
      </c>
      <c r="F97" s="6"/>
      <c r="G97" s="9"/>
      <c r="H97" s="9"/>
      <c r="I97" s="9"/>
      <c r="J97" s="9"/>
      <c r="K97" s="6"/>
      <c r="L97" s="9"/>
      <c r="M97" s="10"/>
      <c r="N97" s="10"/>
      <c r="O97" s="9"/>
      <c r="P97" s="26" t="s">
        <v>242</v>
      </c>
      <c r="Q97" s="19">
        <f t="shared" ref="Q97:S97" si="34">SUM(Q61:Q96)</f>
        <v>7828658728</v>
      </c>
      <c r="R97" s="19">
        <f t="shared" si="34"/>
        <v>10674415266</v>
      </c>
      <c r="S97" s="19">
        <f t="shared" si="34"/>
        <v>11000115378</v>
      </c>
      <c r="T97" s="20">
        <v>4.170458868E9</v>
      </c>
      <c r="U97" s="6"/>
      <c r="V97" s="6"/>
      <c r="W97" s="6"/>
      <c r="X97" s="6"/>
      <c r="Y97" s="6"/>
      <c r="Z97" s="6"/>
      <c r="AA97" s="6"/>
      <c r="AB97" s="6"/>
      <c r="AC97" s="6"/>
      <c r="AD97" s="6"/>
      <c r="AE97" s="6"/>
      <c r="AF97" s="6"/>
      <c r="AG97" s="6"/>
      <c r="AH97" s="6"/>
    </row>
    <row r="98" ht="15.75" customHeight="1">
      <c r="A98" s="7">
        <v>6.0</v>
      </c>
      <c r="B98" s="7" t="s">
        <v>243</v>
      </c>
      <c r="C98" s="7" t="s">
        <v>244</v>
      </c>
      <c r="D98" s="6"/>
      <c r="E98" s="6"/>
      <c r="F98" s="7" t="s">
        <v>1</v>
      </c>
      <c r="G98" s="8">
        <v>1.7556604E10</v>
      </c>
      <c r="H98" s="8">
        <v>3.8680731E10</v>
      </c>
      <c r="I98" s="9">
        <f t="shared" ref="I98:I99" si="35">H98-J98</f>
        <v>38680731000</v>
      </c>
      <c r="J98" s="9"/>
      <c r="K98" s="6"/>
      <c r="L98" s="9"/>
      <c r="M98" s="10"/>
      <c r="N98" s="8">
        <v>3.725122E9</v>
      </c>
      <c r="O98" s="9">
        <f t="shared" ref="O98:O99" si="36">G98+I98</f>
        <v>56237335000</v>
      </c>
      <c r="P98" s="31">
        <v>0.1215</v>
      </c>
      <c r="Q98" s="9">
        <f t="shared" ref="Q98:Q108" si="37">I98*P98</f>
        <v>4699708817</v>
      </c>
      <c r="R98" s="9">
        <f t="shared" ref="R98:R108" si="38">(O98-N98-M98)*P98</f>
        <v>6380233880</v>
      </c>
      <c r="S98" s="9">
        <f t="shared" ref="S98:S99" si="39">O98*P98</f>
        <v>6832836203</v>
      </c>
      <c r="T98" s="9"/>
      <c r="U98" s="16" t="s">
        <v>245</v>
      </c>
      <c r="V98" s="6"/>
      <c r="W98" s="6"/>
      <c r="X98" s="6"/>
      <c r="Y98" s="6"/>
      <c r="Z98" s="6"/>
      <c r="AA98" s="6"/>
      <c r="AB98" s="6"/>
      <c r="AC98" s="6"/>
      <c r="AD98" s="6"/>
      <c r="AE98" s="6"/>
      <c r="AF98" s="6"/>
      <c r="AG98" s="6"/>
      <c r="AH98" s="6"/>
    </row>
    <row r="99" ht="15.75" customHeight="1">
      <c r="A99" s="6"/>
      <c r="B99" s="6" t="s">
        <v>243</v>
      </c>
      <c r="C99" s="6"/>
      <c r="D99" s="6" t="s">
        <v>246</v>
      </c>
      <c r="E99" s="6"/>
      <c r="F99" s="6" t="s">
        <v>3</v>
      </c>
      <c r="G99" s="9">
        <v>1.542631E9</v>
      </c>
      <c r="H99" s="9">
        <v>4.717976E9</v>
      </c>
      <c r="I99" s="9">
        <f t="shared" si="35"/>
        <v>4462451000</v>
      </c>
      <c r="J99" s="9">
        <v>2.55525E8</v>
      </c>
      <c r="K99" s="6" t="s">
        <v>247</v>
      </c>
      <c r="L99" s="9"/>
      <c r="M99" s="10"/>
      <c r="N99" s="14">
        <f>11240000+63531000</f>
        <v>74771000</v>
      </c>
      <c r="O99" s="9">
        <f t="shared" si="36"/>
        <v>6005082000</v>
      </c>
      <c r="P99" s="15">
        <v>1.0</v>
      </c>
      <c r="Q99" s="9">
        <f t="shared" si="37"/>
        <v>4462451000</v>
      </c>
      <c r="R99" s="9">
        <f t="shared" si="38"/>
        <v>5930311000</v>
      </c>
      <c r="S99" s="9">
        <f t="shared" si="39"/>
        <v>6005082000</v>
      </c>
      <c r="T99" s="9"/>
      <c r="U99" s="16" t="s">
        <v>248</v>
      </c>
      <c r="V99" s="6"/>
      <c r="W99" s="6"/>
      <c r="X99" s="6"/>
      <c r="Y99" s="6"/>
      <c r="Z99" s="6"/>
      <c r="AA99" s="6"/>
      <c r="AB99" s="6"/>
      <c r="AC99" s="6"/>
      <c r="AD99" s="6"/>
      <c r="AE99" s="6"/>
      <c r="AF99" s="6"/>
      <c r="AG99" s="6"/>
      <c r="AH99" s="6"/>
    </row>
    <row r="100" ht="15.75" customHeight="1">
      <c r="A100" s="6"/>
      <c r="B100" s="6" t="s">
        <v>243</v>
      </c>
      <c r="C100" s="6"/>
      <c r="D100" s="6"/>
      <c r="E100" s="6" t="s">
        <v>249</v>
      </c>
      <c r="F100" s="6" t="s">
        <v>43</v>
      </c>
      <c r="G100" s="9"/>
      <c r="H100" s="9"/>
      <c r="I100" s="9"/>
      <c r="J100" s="9"/>
      <c r="K100" s="6"/>
      <c r="L100" s="9"/>
      <c r="M100" s="10"/>
      <c r="N100" s="10"/>
      <c r="O100" s="9"/>
      <c r="P100" s="15">
        <v>1.0</v>
      </c>
      <c r="Q100" s="9">
        <f t="shared" si="37"/>
        <v>0</v>
      </c>
      <c r="R100" s="9">
        <f t="shared" si="38"/>
        <v>0</v>
      </c>
      <c r="S100" s="9"/>
      <c r="T100" s="9"/>
      <c r="U100" s="6" t="s">
        <v>60</v>
      </c>
      <c r="V100" s="6"/>
      <c r="W100" s="6"/>
      <c r="X100" s="6"/>
      <c r="Y100" s="6"/>
      <c r="Z100" s="6"/>
      <c r="AA100" s="6"/>
      <c r="AB100" s="6"/>
      <c r="AC100" s="6"/>
      <c r="AD100" s="6"/>
      <c r="AE100" s="6"/>
      <c r="AF100" s="6"/>
      <c r="AG100" s="6"/>
      <c r="AH100" s="6"/>
    </row>
    <row r="101" ht="15.75" customHeight="1">
      <c r="A101" s="6"/>
      <c r="B101" s="6" t="s">
        <v>243</v>
      </c>
      <c r="C101" s="6"/>
      <c r="D101" s="6"/>
      <c r="E101" s="25" t="s">
        <v>250</v>
      </c>
      <c r="F101" s="6" t="s">
        <v>47</v>
      </c>
      <c r="G101" s="9">
        <v>5410393.0</v>
      </c>
      <c r="H101" s="9">
        <v>2.672409828E9</v>
      </c>
      <c r="I101" s="9">
        <f t="shared" ref="I101:I108" si="40">H101-J101</f>
        <v>1304362294</v>
      </c>
      <c r="J101" s="9">
        <f>266869323+1101178211</f>
        <v>1368047534</v>
      </c>
      <c r="K101" s="6" t="s">
        <v>251</v>
      </c>
      <c r="L101" s="9"/>
      <c r="M101" s="10"/>
      <c r="N101" s="10"/>
      <c r="O101" s="9">
        <f t="shared" ref="O101:O108" si="41">G101+I101</f>
        <v>1309772687</v>
      </c>
      <c r="P101" s="15">
        <v>1.0</v>
      </c>
      <c r="Q101" s="9">
        <f t="shared" si="37"/>
        <v>1304362294</v>
      </c>
      <c r="R101" s="9">
        <f t="shared" si="38"/>
        <v>1309772687</v>
      </c>
      <c r="S101" s="9">
        <f t="shared" ref="S101:S108" si="42">O101*P101</f>
        <v>1309772687</v>
      </c>
      <c r="T101" s="9"/>
      <c r="U101" s="16" t="s">
        <v>252</v>
      </c>
      <c r="V101" s="6"/>
      <c r="W101" s="6"/>
      <c r="X101" s="6"/>
      <c r="Y101" s="6"/>
      <c r="Z101" s="6"/>
      <c r="AA101" s="6"/>
      <c r="AB101" s="6"/>
      <c r="AC101" s="6"/>
      <c r="AD101" s="6"/>
      <c r="AE101" s="6"/>
      <c r="AF101" s="6"/>
      <c r="AG101" s="6"/>
      <c r="AH101" s="6"/>
    </row>
    <row r="102" ht="15.75" customHeight="1">
      <c r="A102" s="6"/>
      <c r="B102" s="6" t="s">
        <v>27</v>
      </c>
      <c r="C102" s="6"/>
      <c r="D102" s="6"/>
      <c r="E102" s="25" t="s">
        <v>253</v>
      </c>
      <c r="F102" s="6" t="s">
        <v>29</v>
      </c>
      <c r="G102" s="9"/>
      <c r="H102" s="9">
        <f>287205000+10732000+7000+235000+34529000</f>
        <v>332708000</v>
      </c>
      <c r="I102" s="9">
        <f t="shared" si="40"/>
        <v>298179000</v>
      </c>
      <c r="J102" s="9">
        <v>3.4529E7</v>
      </c>
      <c r="K102" s="6" t="s">
        <v>254</v>
      </c>
      <c r="L102" s="9"/>
      <c r="M102" s="10"/>
      <c r="N102" s="10"/>
      <c r="O102" s="9">
        <f t="shared" si="41"/>
        <v>298179000</v>
      </c>
      <c r="P102" s="15">
        <v>0.2597889</v>
      </c>
      <c r="Q102" s="9">
        <f t="shared" si="37"/>
        <v>77463594.41</v>
      </c>
      <c r="R102" s="9">
        <f t="shared" si="38"/>
        <v>77463594.41</v>
      </c>
      <c r="S102" s="9">
        <f t="shared" si="42"/>
        <v>77463594.41</v>
      </c>
      <c r="T102" s="9"/>
      <c r="U102" s="16" t="s">
        <v>255</v>
      </c>
      <c r="V102" s="6"/>
      <c r="W102" s="6"/>
      <c r="X102" s="6"/>
      <c r="Y102" s="6"/>
      <c r="Z102" s="6"/>
      <c r="AA102" s="6"/>
      <c r="AB102" s="6"/>
      <c r="AC102" s="6"/>
      <c r="AD102" s="6"/>
      <c r="AE102" s="6"/>
      <c r="AF102" s="6"/>
      <c r="AG102" s="6"/>
      <c r="AH102" s="6"/>
    </row>
    <row r="103" ht="15.75" customHeight="1">
      <c r="A103" s="6"/>
      <c r="B103" s="6" t="s">
        <v>243</v>
      </c>
      <c r="C103" s="6"/>
      <c r="D103" s="6"/>
      <c r="E103" s="25" t="s">
        <v>256</v>
      </c>
      <c r="F103" s="6" t="s">
        <v>29</v>
      </c>
      <c r="G103" s="9"/>
      <c r="H103" s="9"/>
      <c r="I103" s="9">
        <f t="shared" si="40"/>
        <v>0</v>
      </c>
      <c r="J103" s="9"/>
      <c r="K103" s="6"/>
      <c r="L103" s="9"/>
      <c r="M103" s="10"/>
      <c r="N103" s="10"/>
      <c r="O103" s="9">
        <f t="shared" si="41"/>
        <v>0</v>
      </c>
      <c r="P103" s="15">
        <v>0.2597889</v>
      </c>
      <c r="Q103" s="9">
        <f t="shared" si="37"/>
        <v>0</v>
      </c>
      <c r="R103" s="9">
        <f t="shared" si="38"/>
        <v>0</v>
      </c>
      <c r="S103" s="9">
        <f t="shared" si="42"/>
        <v>0</v>
      </c>
      <c r="T103" s="9"/>
      <c r="U103" s="6" t="s">
        <v>60</v>
      </c>
      <c r="V103" s="6"/>
      <c r="W103" s="6"/>
      <c r="X103" s="6"/>
      <c r="Y103" s="6"/>
      <c r="Z103" s="6"/>
      <c r="AA103" s="6"/>
      <c r="AB103" s="6"/>
      <c r="AC103" s="6"/>
      <c r="AD103" s="6"/>
      <c r="AE103" s="6"/>
      <c r="AF103" s="6"/>
      <c r="AG103" s="6"/>
      <c r="AH103" s="6"/>
    </row>
    <row r="104" ht="15.75" customHeight="1">
      <c r="A104" s="6"/>
      <c r="B104" s="6" t="s">
        <v>243</v>
      </c>
      <c r="C104" s="6"/>
      <c r="D104" s="6"/>
      <c r="E104" s="25" t="s">
        <v>257</v>
      </c>
      <c r="F104" s="6" t="s">
        <v>29</v>
      </c>
      <c r="G104" s="9"/>
      <c r="H104" s="9">
        <f>463861987+9930270 +10424283</f>
        <v>484216540</v>
      </c>
      <c r="I104" s="9">
        <f t="shared" si="40"/>
        <v>484216540</v>
      </c>
      <c r="J104" s="9"/>
      <c r="K104" s="6"/>
      <c r="L104" s="9"/>
      <c r="M104" s="10"/>
      <c r="N104" s="10"/>
      <c r="O104" s="9">
        <f t="shared" si="41"/>
        <v>484216540</v>
      </c>
      <c r="P104" s="15">
        <v>1.0</v>
      </c>
      <c r="Q104" s="9">
        <f t="shared" si="37"/>
        <v>484216540</v>
      </c>
      <c r="R104" s="9">
        <f t="shared" si="38"/>
        <v>484216540</v>
      </c>
      <c r="S104" s="9">
        <f t="shared" si="42"/>
        <v>484216540</v>
      </c>
      <c r="T104" s="9"/>
      <c r="U104" s="16" t="s">
        <v>258</v>
      </c>
      <c r="V104" s="6"/>
      <c r="W104" s="6"/>
      <c r="X104" s="6"/>
      <c r="Y104" s="6"/>
      <c r="Z104" s="6"/>
      <c r="AA104" s="6"/>
      <c r="AB104" s="6"/>
      <c r="AC104" s="6"/>
      <c r="AD104" s="6"/>
      <c r="AE104" s="6"/>
      <c r="AF104" s="6"/>
      <c r="AG104" s="6"/>
      <c r="AH104" s="6"/>
    </row>
    <row r="105" ht="15.75" customHeight="1">
      <c r="A105" s="6"/>
      <c r="B105" s="6" t="s">
        <v>243</v>
      </c>
      <c r="C105" s="6"/>
      <c r="D105" s="6"/>
      <c r="E105" s="25" t="s">
        <v>259</v>
      </c>
      <c r="F105" s="6" t="s">
        <v>29</v>
      </c>
      <c r="G105" s="9"/>
      <c r="H105" s="9"/>
      <c r="I105" s="9">
        <f t="shared" si="40"/>
        <v>0</v>
      </c>
      <c r="J105" s="9"/>
      <c r="K105" s="6"/>
      <c r="L105" s="9"/>
      <c r="M105" s="10"/>
      <c r="N105" s="10"/>
      <c r="O105" s="9">
        <f t="shared" si="41"/>
        <v>0</v>
      </c>
      <c r="P105" s="15">
        <v>1.0</v>
      </c>
      <c r="Q105" s="9">
        <f t="shared" si="37"/>
        <v>0</v>
      </c>
      <c r="R105" s="9">
        <f t="shared" si="38"/>
        <v>0</v>
      </c>
      <c r="S105" s="9">
        <f t="shared" si="42"/>
        <v>0</v>
      </c>
      <c r="T105" s="9"/>
      <c r="U105" s="6" t="s">
        <v>260</v>
      </c>
      <c r="V105" s="6"/>
      <c r="W105" s="6"/>
      <c r="X105" s="6"/>
      <c r="Y105" s="6"/>
      <c r="Z105" s="6"/>
      <c r="AA105" s="6"/>
      <c r="AB105" s="6"/>
      <c r="AC105" s="6"/>
      <c r="AD105" s="6"/>
      <c r="AE105" s="6"/>
      <c r="AF105" s="6"/>
      <c r="AG105" s="6"/>
      <c r="AH105" s="6"/>
    </row>
    <row r="106" ht="15.75" customHeight="1">
      <c r="A106" s="6"/>
      <c r="B106" s="6" t="s">
        <v>243</v>
      </c>
      <c r="C106" s="6"/>
      <c r="D106" s="6"/>
      <c r="E106" s="25" t="s">
        <v>261</v>
      </c>
      <c r="F106" s="6" t="s">
        <v>29</v>
      </c>
      <c r="G106" s="9"/>
      <c r="H106" s="9">
        <f>404553000+996105000+3997000</f>
        <v>1404655000</v>
      </c>
      <c r="I106" s="9">
        <f t="shared" si="40"/>
        <v>408550000</v>
      </c>
      <c r="J106" s="9">
        <v>9.96105E8</v>
      </c>
      <c r="K106" s="6" t="s">
        <v>262</v>
      </c>
      <c r="L106" s="9"/>
      <c r="M106" s="10"/>
      <c r="N106" s="10"/>
      <c r="O106" s="9">
        <f t="shared" si="41"/>
        <v>408550000</v>
      </c>
      <c r="P106" s="15">
        <v>0.2597889</v>
      </c>
      <c r="Q106" s="9">
        <f t="shared" si="37"/>
        <v>106136755.1</v>
      </c>
      <c r="R106" s="9">
        <f t="shared" si="38"/>
        <v>106136755.1</v>
      </c>
      <c r="S106" s="9">
        <f t="shared" si="42"/>
        <v>106136755.1</v>
      </c>
      <c r="T106" s="9"/>
      <c r="U106" s="16" t="s">
        <v>263</v>
      </c>
      <c r="V106" s="6"/>
      <c r="W106" s="6"/>
      <c r="X106" s="6"/>
      <c r="Y106" s="6"/>
      <c r="Z106" s="6"/>
      <c r="AA106" s="6"/>
      <c r="AB106" s="6"/>
      <c r="AC106" s="6"/>
      <c r="AD106" s="6"/>
      <c r="AE106" s="6"/>
      <c r="AF106" s="6"/>
      <c r="AG106" s="6"/>
      <c r="AH106" s="6"/>
    </row>
    <row r="107" ht="15.75" customHeight="1">
      <c r="A107" s="6"/>
      <c r="B107" s="6" t="s">
        <v>243</v>
      </c>
      <c r="C107" s="6"/>
      <c r="D107" s="6"/>
      <c r="E107" s="25" t="s">
        <v>264</v>
      </c>
      <c r="F107" s="6" t="s">
        <v>29</v>
      </c>
      <c r="G107" s="9">
        <v>1600732.0</v>
      </c>
      <c r="H107" s="9">
        <f>29560956+51742007+368039+4768233+65931665</f>
        <v>152370900</v>
      </c>
      <c r="I107" s="9">
        <f t="shared" si="40"/>
        <v>34697228</v>
      </c>
      <c r="J107" s="9">
        <f>51742007+65931665</f>
        <v>117673672</v>
      </c>
      <c r="K107" s="6" t="s">
        <v>265</v>
      </c>
      <c r="L107" s="9"/>
      <c r="M107" s="10"/>
      <c r="N107" s="10"/>
      <c r="O107" s="9">
        <f t="shared" si="41"/>
        <v>36297960</v>
      </c>
      <c r="P107" s="15">
        <v>1.0</v>
      </c>
      <c r="Q107" s="9">
        <f t="shared" si="37"/>
        <v>34697228</v>
      </c>
      <c r="R107" s="9">
        <f t="shared" si="38"/>
        <v>36297960</v>
      </c>
      <c r="S107" s="9">
        <f t="shared" si="42"/>
        <v>36297960</v>
      </c>
      <c r="T107" s="9"/>
      <c r="U107" s="16" t="s">
        <v>266</v>
      </c>
      <c r="V107" s="6"/>
      <c r="W107" s="6"/>
      <c r="X107" s="6"/>
      <c r="Y107" s="6"/>
      <c r="Z107" s="6"/>
      <c r="AA107" s="6"/>
      <c r="AB107" s="6"/>
      <c r="AC107" s="6"/>
      <c r="AD107" s="6"/>
      <c r="AE107" s="6"/>
      <c r="AF107" s="6"/>
      <c r="AG107" s="6"/>
      <c r="AH107" s="6"/>
    </row>
    <row r="108" ht="15.75" customHeight="1">
      <c r="A108" s="6"/>
      <c r="B108" s="6" t="s">
        <v>243</v>
      </c>
      <c r="C108" s="6"/>
      <c r="D108" s="6"/>
      <c r="E108" s="25" t="s">
        <v>267</v>
      </c>
      <c r="F108" s="6" t="s">
        <v>29</v>
      </c>
      <c r="G108" s="9"/>
      <c r="H108" s="9"/>
      <c r="I108" s="9">
        <f t="shared" si="40"/>
        <v>0</v>
      </c>
      <c r="J108" s="9"/>
      <c r="K108" s="6"/>
      <c r="L108" s="9"/>
      <c r="M108" s="10"/>
      <c r="N108" s="10"/>
      <c r="O108" s="9">
        <f t="shared" si="41"/>
        <v>0</v>
      </c>
      <c r="P108" s="15">
        <v>1.0</v>
      </c>
      <c r="Q108" s="9">
        <f t="shared" si="37"/>
        <v>0</v>
      </c>
      <c r="R108" s="9">
        <f t="shared" si="38"/>
        <v>0</v>
      </c>
      <c r="S108" s="9">
        <f t="shared" si="42"/>
        <v>0</v>
      </c>
      <c r="T108" s="9"/>
      <c r="U108" s="6" t="s">
        <v>60</v>
      </c>
      <c r="V108" s="6"/>
      <c r="W108" s="6"/>
      <c r="X108" s="6"/>
      <c r="Y108" s="6"/>
      <c r="Z108" s="6"/>
      <c r="AA108" s="6"/>
      <c r="AB108" s="6"/>
      <c r="AC108" s="6"/>
      <c r="AD108" s="6"/>
      <c r="AE108" s="6"/>
      <c r="AF108" s="6"/>
      <c r="AG108" s="6"/>
      <c r="AH108" s="6"/>
    </row>
    <row r="109" ht="15.75" customHeight="1">
      <c r="A109" s="6"/>
      <c r="B109" s="6"/>
      <c r="C109" s="6"/>
      <c r="D109" s="6"/>
      <c r="E109" s="17" t="s">
        <v>35</v>
      </c>
      <c r="F109" s="6"/>
      <c r="G109" s="9"/>
      <c r="H109" s="9"/>
      <c r="I109" s="9"/>
      <c r="J109" s="9"/>
      <c r="K109" s="6"/>
      <c r="L109" s="9"/>
      <c r="M109" s="10"/>
      <c r="N109" s="10"/>
      <c r="O109" s="9"/>
      <c r="P109" s="26" t="s">
        <v>268</v>
      </c>
      <c r="Q109" s="19">
        <f t="shared" ref="Q109:S109" si="43">SUM(Q98:Q108)</f>
        <v>11169036228</v>
      </c>
      <c r="R109" s="19">
        <f t="shared" si="43"/>
        <v>14324432416</v>
      </c>
      <c r="S109" s="19">
        <f t="shared" si="43"/>
        <v>14851805739</v>
      </c>
      <c r="T109" s="20">
        <v>6.781677072E9</v>
      </c>
      <c r="U109" s="6"/>
      <c r="V109" s="6"/>
      <c r="W109" s="6"/>
      <c r="X109" s="6"/>
      <c r="Y109" s="6"/>
      <c r="Z109" s="6"/>
      <c r="AA109" s="6"/>
      <c r="AB109" s="6"/>
      <c r="AC109" s="6"/>
      <c r="AD109" s="6"/>
      <c r="AE109" s="6"/>
      <c r="AF109" s="6"/>
      <c r="AG109" s="6"/>
      <c r="AH109" s="6"/>
    </row>
    <row r="110" ht="15.75" customHeight="1">
      <c r="A110" s="7">
        <v>7.0</v>
      </c>
      <c r="B110" s="7" t="s">
        <v>106</v>
      </c>
      <c r="C110" s="7" t="s">
        <v>107</v>
      </c>
      <c r="D110" s="6"/>
      <c r="E110" s="6"/>
      <c r="F110" s="7" t="s">
        <v>1</v>
      </c>
      <c r="G110" s="8">
        <v>3.9005005E10</v>
      </c>
      <c r="H110" s="8">
        <v>6.3331858E10</v>
      </c>
      <c r="I110" s="9">
        <f t="shared" ref="I110:I128" si="44">H110-J110</f>
        <v>63099627000</v>
      </c>
      <c r="J110" s="9">
        <f>23645000+207888000+698000</f>
        <v>232231000</v>
      </c>
      <c r="K110" s="28" t="s">
        <v>108</v>
      </c>
      <c r="L110" s="9"/>
      <c r="M110" s="10"/>
      <c r="N110" s="10">
        <f>5193922000+1989916000</f>
        <v>7183838000</v>
      </c>
      <c r="O110" s="9">
        <f t="shared" ref="O110:O128" si="45">G110+I110</f>
        <v>102104632000</v>
      </c>
      <c r="P110" s="31">
        <v>0.0536</v>
      </c>
      <c r="Q110" s="9">
        <f t="shared" ref="Q110:Q128" si="46">I110*P110</f>
        <v>3382140007</v>
      </c>
      <c r="R110" s="9">
        <f t="shared" ref="R110:R128" si="47">(O110-N110-M110)*P110</f>
        <v>5087754558</v>
      </c>
      <c r="S110" s="9">
        <f t="shared" ref="S110:S128" si="48">O110*P110</f>
        <v>5472808275</v>
      </c>
      <c r="T110" s="9"/>
      <c r="U110" s="16" t="s">
        <v>109</v>
      </c>
      <c r="V110" s="6"/>
      <c r="W110" s="6"/>
      <c r="X110" s="6"/>
      <c r="Y110" s="6"/>
      <c r="Z110" s="6"/>
      <c r="AA110" s="6"/>
      <c r="AB110" s="6"/>
      <c r="AC110" s="6"/>
      <c r="AD110" s="6"/>
      <c r="AE110" s="6"/>
      <c r="AF110" s="6"/>
      <c r="AG110" s="6"/>
      <c r="AH110" s="6"/>
    </row>
    <row r="111" ht="15.75" customHeight="1">
      <c r="A111" s="7"/>
      <c r="B111" s="6" t="s">
        <v>106</v>
      </c>
      <c r="C111" s="6"/>
      <c r="D111" s="6" t="s">
        <v>269</v>
      </c>
      <c r="E111" s="6"/>
      <c r="F111" s="6" t="s">
        <v>3</v>
      </c>
      <c r="G111" s="9">
        <v>5.57124E8</v>
      </c>
      <c r="H111" s="9">
        <v>1.664123E9</v>
      </c>
      <c r="I111" s="9">
        <f t="shared" si="44"/>
        <v>1663307000</v>
      </c>
      <c r="J111" s="9">
        <v>816000.0</v>
      </c>
      <c r="K111" s="6" t="s">
        <v>270</v>
      </c>
      <c r="L111" s="9"/>
      <c r="M111" s="10"/>
      <c r="N111" s="14">
        <v>1.3822E7</v>
      </c>
      <c r="O111" s="9">
        <f t="shared" si="45"/>
        <v>2220431000</v>
      </c>
      <c r="P111" s="15">
        <v>1.0</v>
      </c>
      <c r="Q111" s="9">
        <f t="shared" si="46"/>
        <v>1663307000</v>
      </c>
      <c r="R111" s="9">
        <f t="shared" si="47"/>
        <v>2206609000</v>
      </c>
      <c r="S111" s="9">
        <f t="shared" si="48"/>
        <v>2220431000</v>
      </c>
      <c r="T111" s="9"/>
      <c r="U111" s="16" t="s">
        <v>271</v>
      </c>
      <c r="V111" s="6"/>
      <c r="W111" s="6"/>
      <c r="X111" s="6"/>
      <c r="Y111" s="6"/>
      <c r="Z111" s="6"/>
      <c r="AA111" s="6"/>
      <c r="AB111" s="6"/>
      <c r="AC111" s="6"/>
      <c r="AD111" s="6"/>
      <c r="AE111" s="6"/>
      <c r="AF111" s="6"/>
      <c r="AG111" s="6"/>
      <c r="AH111" s="6"/>
    </row>
    <row r="112" ht="15.75" customHeight="1">
      <c r="A112" s="6"/>
      <c r="B112" s="6" t="s">
        <v>106</v>
      </c>
      <c r="C112" s="6"/>
      <c r="D112" s="6"/>
      <c r="E112" s="6" t="s">
        <v>272</v>
      </c>
      <c r="F112" s="6" t="s">
        <v>43</v>
      </c>
      <c r="G112" s="9">
        <v>8.9067688E7</v>
      </c>
      <c r="H112" s="9">
        <v>5.83862696E8</v>
      </c>
      <c r="I112" s="9">
        <f t="shared" si="44"/>
        <v>583862696</v>
      </c>
      <c r="J112" s="9"/>
      <c r="K112" s="6"/>
      <c r="L112" s="9"/>
      <c r="M112" s="10"/>
      <c r="N112" s="14">
        <v>871573.0</v>
      </c>
      <c r="O112" s="9">
        <f t="shared" si="45"/>
        <v>672930384</v>
      </c>
      <c r="P112" s="15">
        <v>0.7078</v>
      </c>
      <c r="Q112" s="9">
        <f t="shared" si="46"/>
        <v>413258016.2</v>
      </c>
      <c r="R112" s="9">
        <f t="shared" si="47"/>
        <v>475683226.4</v>
      </c>
      <c r="S112" s="9">
        <f t="shared" si="48"/>
        <v>476300125.8</v>
      </c>
      <c r="T112" s="9"/>
      <c r="U112" s="16" t="s">
        <v>273</v>
      </c>
      <c r="V112" s="6"/>
      <c r="W112" s="6"/>
      <c r="X112" s="6"/>
      <c r="Y112" s="6"/>
      <c r="Z112" s="6"/>
      <c r="AA112" s="6"/>
      <c r="AB112" s="6"/>
      <c r="AC112" s="6"/>
      <c r="AD112" s="6"/>
      <c r="AE112" s="6"/>
      <c r="AF112" s="6"/>
      <c r="AG112" s="6"/>
      <c r="AH112" s="6"/>
    </row>
    <row r="113" ht="15.75" customHeight="1">
      <c r="A113" s="6"/>
      <c r="B113" s="6" t="s">
        <v>106</v>
      </c>
      <c r="C113" s="6"/>
      <c r="D113" s="6"/>
      <c r="E113" s="6" t="s">
        <v>274</v>
      </c>
      <c r="F113" s="6" t="s">
        <v>43</v>
      </c>
      <c r="G113" s="9">
        <v>3654619.0</v>
      </c>
      <c r="H113" s="9">
        <v>2.4592171E7</v>
      </c>
      <c r="I113" s="9">
        <f t="shared" si="44"/>
        <v>24592171</v>
      </c>
      <c r="J113" s="9"/>
      <c r="K113" s="6"/>
      <c r="L113" s="9"/>
      <c r="M113" s="10"/>
      <c r="N113" s="14">
        <v>2730.0</v>
      </c>
      <c r="O113" s="9">
        <f t="shared" si="45"/>
        <v>28246790</v>
      </c>
      <c r="P113" s="15">
        <v>1.0E-4</v>
      </c>
      <c r="Q113" s="9">
        <f t="shared" si="46"/>
        <v>2459.2171</v>
      </c>
      <c r="R113" s="9">
        <f t="shared" si="47"/>
        <v>2824.406</v>
      </c>
      <c r="S113" s="9">
        <f t="shared" si="48"/>
        <v>2824.679</v>
      </c>
      <c r="T113" s="9"/>
      <c r="U113" s="16" t="s">
        <v>275</v>
      </c>
      <c r="V113" s="6"/>
      <c r="W113" s="6"/>
      <c r="X113" s="6"/>
      <c r="Y113" s="6"/>
      <c r="Z113" s="6"/>
      <c r="AA113" s="6"/>
      <c r="AB113" s="6"/>
      <c r="AC113" s="6"/>
      <c r="AD113" s="6"/>
      <c r="AE113" s="6"/>
      <c r="AF113" s="6"/>
      <c r="AG113" s="6"/>
      <c r="AH113" s="6"/>
    </row>
    <row r="114" ht="15.75" customHeight="1">
      <c r="A114" s="6"/>
      <c r="B114" s="6" t="s">
        <v>106</v>
      </c>
      <c r="C114" s="6"/>
      <c r="D114" s="6"/>
      <c r="E114" s="25" t="s">
        <v>276</v>
      </c>
      <c r="F114" s="6" t="s">
        <v>47</v>
      </c>
      <c r="G114" s="9">
        <v>3374294.0</v>
      </c>
      <c r="H114" s="9">
        <v>9.1075726E7</v>
      </c>
      <c r="I114" s="9">
        <f t="shared" si="44"/>
        <v>84703257</v>
      </c>
      <c r="J114" s="9">
        <v>6372469.0</v>
      </c>
      <c r="K114" s="6" t="s">
        <v>277</v>
      </c>
      <c r="L114" s="9"/>
      <c r="M114" s="10"/>
      <c r="N114" s="14">
        <v>0.0</v>
      </c>
      <c r="O114" s="9">
        <f t="shared" si="45"/>
        <v>88077551</v>
      </c>
      <c r="P114" s="15">
        <v>0.5192018</v>
      </c>
      <c r="Q114" s="9">
        <f t="shared" si="46"/>
        <v>43978083.5</v>
      </c>
      <c r="R114" s="9">
        <f t="shared" si="47"/>
        <v>45730023.02</v>
      </c>
      <c r="S114" s="9">
        <f t="shared" si="48"/>
        <v>45730023.02</v>
      </c>
      <c r="T114" s="9"/>
      <c r="U114" s="16" t="s">
        <v>278</v>
      </c>
      <c r="V114" s="6"/>
      <c r="W114" s="6"/>
      <c r="X114" s="6"/>
      <c r="Y114" s="6"/>
      <c r="Z114" s="6"/>
      <c r="AA114" s="6"/>
      <c r="AB114" s="6"/>
      <c r="AC114" s="6"/>
      <c r="AD114" s="6"/>
      <c r="AE114" s="6"/>
      <c r="AF114" s="6"/>
      <c r="AG114" s="6"/>
      <c r="AH114" s="6"/>
    </row>
    <row r="115" ht="15.75" customHeight="1">
      <c r="A115" s="6"/>
      <c r="B115" s="6" t="s">
        <v>106</v>
      </c>
      <c r="C115" s="6"/>
      <c r="D115" s="6"/>
      <c r="E115" s="25" t="s">
        <v>279</v>
      </c>
      <c r="F115" s="6" t="s">
        <v>47</v>
      </c>
      <c r="G115" s="9">
        <v>7692013.0</v>
      </c>
      <c r="H115" s="9">
        <v>2.49643578E8</v>
      </c>
      <c r="I115" s="9">
        <f t="shared" si="44"/>
        <v>145357045</v>
      </c>
      <c r="J115" s="9">
        <v>1.04286533E8</v>
      </c>
      <c r="K115" s="6" t="s">
        <v>168</v>
      </c>
      <c r="L115" s="9"/>
      <c r="M115" s="10"/>
      <c r="N115" s="14">
        <v>0.0</v>
      </c>
      <c r="O115" s="9">
        <f t="shared" si="45"/>
        <v>153049058</v>
      </c>
      <c r="P115" s="15">
        <v>0.291931</v>
      </c>
      <c r="Q115" s="9">
        <f t="shared" si="46"/>
        <v>42434227.5</v>
      </c>
      <c r="R115" s="9">
        <f t="shared" si="47"/>
        <v>44679764.55</v>
      </c>
      <c r="S115" s="9">
        <f t="shared" si="48"/>
        <v>44679764.55</v>
      </c>
      <c r="T115" s="9"/>
      <c r="U115" s="16" t="s">
        <v>280</v>
      </c>
      <c r="V115" s="6"/>
      <c r="W115" s="6"/>
      <c r="X115" s="6"/>
      <c r="Y115" s="6"/>
      <c r="Z115" s="6"/>
      <c r="AA115" s="6"/>
      <c r="AB115" s="6"/>
      <c r="AC115" s="6"/>
      <c r="AD115" s="6"/>
      <c r="AE115" s="6"/>
      <c r="AF115" s="6"/>
      <c r="AG115" s="6"/>
      <c r="AH115" s="6"/>
    </row>
    <row r="116" ht="15.75" customHeight="1">
      <c r="A116" s="6"/>
      <c r="B116" s="6" t="s">
        <v>106</v>
      </c>
      <c r="C116" s="6"/>
      <c r="D116" s="6"/>
      <c r="E116" s="25" t="s">
        <v>281</v>
      </c>
      <c r="F116" s="6" t="s">
        <v>47</v>
      </c>
      <c r="G116" s="9">
        <v>2855805.0</v>
      </c>
      <c r="H116" s="9">
        <v>1.05124093E8</v>
      </c>
      <c r="I116" s="9">
        <f t="shared" si="44"/>
        <v>54119561</v>
      </c>
      <c r="J116" s="9">
        <f>41250273+9754259</f>
        <v>51004532</v>
      </c>
      <c r="K116" s="6" t="s">
        <v>282</v>
      </c>
      <c r="L116" s="9"/>
      <c r="M116" s="10"/>
      <c r="N116" s="14">
        <v>0.0</v>
      </c>
      <c r="O116" s="9">
        <f t="shared" si="45"/>
        <v>56975366</v>
      </c>
      <c r="P116" s="15">
        <v>0.6183198</v>
      </c>
      <c r="Q116" s="9">
        <f t="shared" si="46"/>
        <v>33463196.13</v>
      </c>
      <c r="R116" s="9">
        <f t="shared" si="47"/>
        <v>35228996.91</v>
      </c>
      <c r="S116" s="9">
        <f t="shared" si="48"/>
        <v>35228996.91</v>
      </c>
      <c r="T116" s="9"/>
      <c r="U116" s="16" t="s">
        <v>283</v>
      </c>
      <c r="V116" s="6"/>
      <c r="W116" s="6"/>
      <c r="X116" s="6"/>
      <c r="Y116" s="6"/>
      <c r="Z116" s="6"/>
      <c r="AA116" s="6"/>
      <c r="AB116" s="6"/>
      <c r="AC116" s="6"/>
      <c r="AD116" s="6"/>
      <c r="AE116" s="6"/>
      <c r="AF116" s="6"/>
      <c r="AG116" s="6"/>
      <c r="AH116" s="6"/>
    </row>
    <row r="117" ht="15.75" customHeight="1">
      <c r="A117" s="6"/>
      <c r="B117" s="6" t="s">
        <v>106</v>
      </c>
      <c r="C117" s="6"/>
      <c r="D117" s="6"/>
      <c r="E117" s="25" t="s">
        <v>284</v>
      </c>
      <c r="F117" s="6" t="s">
        <v>47</v>
      </c>
      <c r="G117" s="9">
        <v>1618969.0</v>
      </c>
      <c r="H117" s="9">
        <v>9.420449E7</v>
      </c>
      <c r="I117" s="9">
        <f t="shared" si="44"/>
        <v>19640914</v>
      </c>
      <c r="J117" s="9">
        <f>73977371+586205</f>
        <v>74563576</v>
      </c>
      <c r="K117" s="6" t="s">
        <v>285</v>
      </c>
      <c r="L117" s="9"/>
      <c r="M117" s="10"/>
      <c r="N117" s="14">
        <v>0.0</v>
      </c>
      <c r="O117" s="9">
        <f t="shared" si="45"/>
        <v>21259883</v>
      </c>
      <c r="P117" s="15">
        <v>1.0</v>
      </c>
      <c r="Q117" s="9">
        <f t="shared" si="46"/>
        <v>19640914</v>
      </c>
      <c r="R117" s="9">
        <f t="shared" si="47"/>
        <v>21259883</v>
      </c>
      <c r="S117" s="9">
        <f t="shared" si="48"/>
        <v>21259883</v>
      </c>
      <c r="T117" s="9"/>
      <c r="U117" s="16" t="s">
        <v>286</v>
      </c>
      <c r="V117" s="6"/>
      <c r="W117" s="6"/>
      <c r="X117" s="6"/>
      <c r="Y117" s="6"/>
      <c r="Z117" s="6"/>
      <c r="AA117" s="6"/>
      <c r="AB117" s="6"/>
      <c r="AC117" s="6"/>
      <c r="AD117" s="6"/>
      <c r="AE117" s="6"/>
      <c r="AF117" s="6"/>
      <c r="AG117" s="6"/>
      <c r="AH117" s="6"/>
    </row>
    <row r="118" ht="15.75" customHeight="1">
      <c r="A118" s="6"/>
      <c r="B118" s="6" t="s">
        <v>106</v>
      </c>
      <c r="C118" s="6"/>
      <c r="D118" s="6"/>
      <c r="E118" s="25" t="s">
        <v>287</v>
      </c>
      <c r="F118" s="6" t="s">
        <v>47</v>
      </c>
      <c r="G118" s="9">
        <v>2431996.0</v>
      </c>
      <c r="H118" s="9">
        <v>2.791246E7</v>
      </c>
      <c r="I118" s="9">
        <f t="shared" si="44"/>
        <v>188434</v>
      </c>
      <c r="J118" s="9">
        <f>12506754+15217272</f>
        <v>27724026</v>
      </c>
      <c r="K118" s="6" t="s">
        <v>282</v>
      </c>
      <c r="L118" s="9"/>
      <c r="M118" s="10"/>
      <c r="N118" s="14">
        <v>0.0</v>
      </c>
      <c r="O118" s="9">
        <f t="shared" si="45"/>
        <v>2620430</v>
      </c>
      <c r="P118" s="15">
        <v>1.0</v>
      </c>
      <c r="Q118" s="9">
        <f t="shared" si="46"/>
        <v>188434</v>
      </c>
      <c r="R118" s="9">
        <f t="shared" si="47"/>
        <v>2620430</v>
      </c>
      <c r="S118" s="9">
        <f t="shared" si="48"/>
        <v>2620430</v>
      </c>
      <c r="T118" s="9"/>
      <c r="U118" s="16" t="s">
        <v>288</v>
      </c>
      <c r="V118" s="6"/>
      <c r="W118" s="6"/>
      <c r="X118" s="6"/>
      <c r="Y118" s="6"/>
      <c r="Z118" s="6"/>
      <c r="AA118" s="6"/>
      <c r="AB118" s="6"/>
      <c r="AC118" s="6"/>
      <c r="AD118" s="6"/>
      <c r="AE118" s="6"/>
      <c r="AF118" s="6"/>
      <c r="AG118" s="6"/>
      <c r="AH118" s="6"/>
    </row>
    <row r="119" ht="15.75" customHeight="1">
      <c r="A119" s="6"/>
      <c r="B119" s="6" t="s">
        <v>106</v>
      </c>
      <c r="C119" s="6"/>
      <c r="D119" s="6"/>
      <c r="E119" s="25" t="s">
        <v>289</v>
      </c>
      <c r="F119" s="6" t="s">
        <v>47</v>
      </c>
      <c r="G119" s="9">
        <v>1993382.0</v>
      </c>
      <c r="H119" s="9">
        <v>1.36206222E8</v>
      </c>
      <c r="I119" s="9">
        <f t="shared" si="44"/>
        <v>30295010</v>
      </c>
      <c r="J119" s="9">
        <f>105160920+750292</f>
        <v>105911212</v>
      </c>
      <c r="K119" s="6" t="s">
        <v>282</v>
      </c>
      <c r="L119" s="9"/>
      <c r="M119" s="10"/>
      <c r="N119" s="14">
        <v>0.0</v>
      </c>
      <c r="O119" s="9">
        <f t="shared" si="45"/>
        <v>32288392</v>
      </c>
      <c r="P119" s="15">
        <v>1.0</v>
      </c>
      <c r="Q119" s="9">
        <f t="shared" si="46"/>
        <v>30295010</v>
      </c>
      <c r="R119" s="9">
        <f t="shared" si="47"/>
        <v>32288392</v>
      </c>
      <c r="S119" s="9">
        <f t="shared" si="48"/>
        <v>32288392</v>
      </c>
      <c r="T119" s="9"/>
      <c r="U119" s="16" t="s">
        <v>290</v>
      </c>
      <c r="V119" s="6"/>
      <c r="W119" s="6"/>
      <c r="X119" s="6"/>
      <c r="Y119" s="6"/>
      <c r="Z119" s="6"/>
      <c r="AA119" s="6"/>
      <c r="AB119" s="6"/>
      <c r="AC119" s="6"/>
      <c r="AD119" s="6"/>
      <c r="AE119" s="6"/>
      <c r="AF119" s="6"/>
      <c r="AG119" s="6"/>
      <c r="AH119" s="6"/>
    </row>
    <row r="120" ht="15.75" customHeight="1">
      <c r="A120" s="6"/>
      <c r="B120" s="6" t="s">
        <v>106</v>
      </c>
      <c r="C120" s="6"/>
      <c r="D120" s="6"/>
      <c r="E120" s="25" t="s">
        <v>291</v>
      </c>
      <c r="F120" s="6" t="s">
        <v>47</v>
      </c>
      <c r="G120" s="9">
        <v>2.5019262E7</v>
      </c>
      <c r="H120" s="9">
        <v>6.57944666E8</v>
      </c>
      <c r="I120" s="9">
        <f t="shared" si="44"/>
        <v>543085443</v>
      </c>
      <c r="J120" s="9">
        <f>100141565+14717658</f>
        <v>114859223</v>
      </c>
      <c r="K120" s="6" t="s">
        <v>282</v>
      </c>
      <c r="L120" s="9"/>
      <c r="M120" s="10"/>
      <c r="N120" s="14">
        <v>0.0</v>
      </c>
      <c r="O120" s="9">
        <f t="shared" si="45"/>
        <v>568104705</v>
      </c>
      <c r="P120" s="15">
        <v>0.84455</v>
      </c>
      <c r="Q120" s="9">
        <f t="shared" si="46"/>
        <v>458662810.9</v>
      </c>
      <c r="R120" s="9">
        <f t="shared" si="47"/>
        <v>479792828.6</v>
      </c>
      <c r="S120" s="9">
        <f t="shared" si="48"/>
        <v>479792828.6</v>
      </c>
      <c r="T120" s="9"/>
      <c r="U120" s="16" t="s">
        <v>292</v>
      </c>
      <c r="V120" s="6"/>
      <c r="W120" s="6"/>
      <c r="X120" s="6"/>
      <c r="Y120" s="6"/>
      <c r="Z120" s="6"/>
      <c r="AA120" s="6"/>
      <c r="AB120" s="6"/>
      <c r="AC120" s="6"/>
      <c r="AD120" s="6"/>
      <c r="AE120" s="6"/>
      <c r="AF120" s="6"/>
      <c r="AG120" s="6"/>
      <c r="AH120" s="6"/>
    </row>
    <row r="121" ht="15.75" customHeight="1">
      <c r="A121" s="6"/>
      <c r="B121" s="6" t="s">
        <v>106</v>
      </c>
      <c r="C121" s="6"/>
      <c r="D121" s="6"/>
      <c r="E121" s="25" t="s">
        <v>293</v>
      </c>
      <c r="F121" s="6" t="s">
        <v>47</v>
      </c>
      <c r="G121" s="9">
        <v>2.5232767E7</v>
      </c>
      <c r="H121" s="9">
        <v>1.073945416E9</v>
      </c>
      <c r="I121" s="9">
        <f t="shared" si="44"/>
        <v>769457931</v>
      </c>
      <c r="J121" s="9">
        <f>294111565+10375920</f>
        <v>304487485</v>
      </c>
      <c r="K121" s="6" t="s">
        <v>294</v>
      </c>
      <c r="L121" s="9"/>
      <c r="M121" s="10"/>
      <c r="N121" s="14">
        <v>0.0</v>
      </c>
      <c r="O121" s="9">
        <f t="shared" si="45"/>
        <v>794690698</v>
      </c>
      <c r="P121" s="15">
        <v>0.8091241</v>
      </c>
      <c r="Q121" s="9">
        <f t="shared" si="46"/>
        <v>622586955.9</v>
      </c>
      <c r="R121" s="9">
        <f t="shared" si="47"/>
        <v>643003395.8</v>
      </c>
      <c r="S121" s="9">
        <f t="shared" si="48"/>
        <v>643003395.8</v>
      </c>
      <c r="T121" s="9"/>
      <c r="U121" s="16" t="s">
        <v>295</v>
      </c>
      <c r="V121" s="6"/>
      <c r="W121" s="6"/>
      <c r="X121" s="6"/>
      <c r="Y121" s="6"/>
      <c r="Z121" s="6"/>
      <c r="AA121" s="6"/>
      <c r="AB121" s="6"/>
      <c r="AC121" s="6"/>
      <c r="AD121" s="6"/>
      <c r="AE121" s="6"/>
      <c r="AF121" s="6"/>
      <c r="AG121" s="6"/>
      <c r="AH121" s="6"/>
    </row>
    <row r="122" ht="15.75" customHeight="1">
      <c r="A122" s="6"/>
      <c r="B122" s="6" t="s">
        <v>106</v>
      </c>
      <c r="C122" s="6"/>
      <c r="D122" s="6"/>
      <c r="E122" s="25" t="s">
        <v>296</v>
      </c>
      <c r="F122" s="6" t="s">
        <v>47</v>
      </c>
      <c r="G122" s="9">
        <v>4821377.0</v>
      </c>
      <c r="H122" s="9">
        <v>5.55971921E8</v>
      </c>
      <c r="I122" s="9">
        <f t="shared" si="44"/>
        <v>314333917</v>
      </c>
      <c r="J122" s="9">
        <v>2.41638004E8</v>
      </c>
      <c r="K122" s="6" t="s">
        <v>297</v>
      </c>
      <c r="L122" s="9"/>
      <c r="M122" s="10"/>
      <c r="N122" s="14">
        <v>0.0</v>
      </c>
      <c r="O122" s="9">
        <f t="shared" si="45"/>
        <v>319155294</v>
      </c>
      <c r="P122" s="15">
        <v>0.9939162</v>
      </c>
      <c r="Q122" s="9">
        <f t="shared" si="46"/>
        <v>312421572.3</v>
      </c>
      <c r="R122" s="9">
        <f t="shared" si="47"/>
        <v>317213617</v>
      </c>
      <c r="S122" s="9">
        <f t="shared" si="48"/>
        <v>317213617</v>
      </c>
      <c r="T122" s="9"/>
      <c r="U122" s="16" t="s">
        <v>298</v>
      </c>
      <c r="V122" s="6"/>
      <c r="W122" s="6"/>
      <c r="X122" s="6"/>
      <c r="Y122" s="6"/>
      <c r="Z122" s="6"/>
      <c r="AA122" s="6"/>
      <c r="AB122" s="6"/>
      <c r="AC122" s="6"/>
      <c r="AD122" s="6"/>
      <c r="AE122" s="6"/>
      <c r="AF122" s="6"/>
      <c r="AG122" s="6"/>
      <c r="AH122" s="6"/>
    </row>
    <row r="123" ht="15.75" customHeight="1">
      <c r="A123" s="6"/>
      <c r="B123" s="6" t="s">
        <v>106</v>
      </c>
      <c r="C123" s="6"/>
      <c r="D123" s="6"/>
      <c r="E123" s="25" t="s">
        <v>299</v>
      </c>
      <c r="F123" s="6" t="s">
        <v>47</v>
      </c>
      <c r="G123" s="9">
        <v>693183.0</v>
      </c>
      <c r="H123" s="9">
        <v>8.3275735E7</v>
      </c>
      <c r="I123" s="9">
        <f t="shared" si="44"/>
        <v>27706104</v>
      </c>
      <c r="J123" s="9">
        <v>5.5569631E7</v>
      </c>
      <c r="K123" s="6" t="s">
        <v>297</v>
      </c>
      <c r="L123" s="9"/>
      <c r="M123" s="10"/>
      <c r="N123" s="14">
        <v>0.0</v>
      </c>
      <c r="O123" s="9">
        <f t="shared" si="45"/>
        <v>28399287</v>
      </c>
      <c r="P123" s="15">
        <v>1.0</v>
      </c>
      <c r="Q123" s="9">
        <f t="shared" si="46"/>
        <v>27706104</v>
      </c>
      <c r="R123" s="9">
        <f t="shared" si="47"/>
        <v>28399287</v>
      </c>
      <c r="S123" s="9">
        <f t="shared" si="48"/>
        <v>28399287</v>
      </c>
      <c r="T123" s="9"/>
      <c r="U123" s="16" t="s">
        <v>300</v>
      </c>
      <c r="V123" s="6"/>
      <c r="W123" s="6"/>
      <c r="X123" s="6"/>
      <c r="Y123" s="6"/>
      <c r="Z123" s="6"/>
      <c r="AA123" s="6"/>
      <c r="AB123" s="6"/>
      <c r="AC123" s="6"/>
      <c r="AD123" s="6"/>
      <c r="AE123" s="6"/>
      <c r="AF123" s="6"/>
      <c r="AG123" s="6"/>
      <c r="AH123" s="6"/>
    </row>
    <row r="124" ht="15.75" customHeight="1">
      <c r="A124" s="6"/>
      <c r="B124" s="6" t="s">
        <v>106</v>
      </c>
      <c r="C124" s="6"/>
      <c r="D124" s="6"/>
      <c r="E124" s="25" t="s">
        <v>301</v>
      </c>
      <c r="F124" s="6" t="s">
        <v>47</v>
      </c>
      <c r="G124" s="9">
        <v>354292.0</v>
      </c>
      <c r="H124" s="9">
        <v>7.1085582E7</v>
      </c>
      <c r="I124" s="9">
        <f t="shared" si="44"/>
        <v>24670782</v>
      </c>
      <c r="J124" s="9">
        <v>4.64148E7</v>
      </c>
      <c r="K124" s="6" t="s">
        <v>168</v>
      </c>
      <c r="L124" s="9"/>
      <c r="M124" s="10"/>
      <c r="N124" s="14">
        <v>0.0</v>
      </c>
      <c r="O124" s="9">
        <f t="shared" si="45"/>
        <v>25025074</v>
      </c>
      <c r="P124" s="15">
        <v>0.2931291</v>
      </c>
      <c r="Q124" s="9">
        <f t="shared" si="46"/>
        <v>7231724.124</v>
      </c>
      <c r="R124" s="9">
        <f t="shared" si="47"/>
        <v>7335577.419</v>
      </c>
      <c r="S124" s="9">
        <f t="shared" si="48"/>
        <v>7335577.419</v>
      </c>
      <c r="T124" s="9"/>
      <c r="U124" s="16" t="s">
        <v>302</v>
      </c>
      <c r="V124" s="6"/>
      <c r="W124" s="6"/>
      <c r="X124" s="6"/>
      <c r="Y124" s="6"/>
      <c r="Z124" s="6"/>
      <c r="AA124" s="6"/>
      <c r="AB124" s="6"/>
      <c r="AC124" s="6"/>
      <c r="AD124" s="6"/>
      <c r="AE124" s="6"/>
      <c r="AF124" s="6"/>
      <c r="AG124" s="6"/>
      <c r="AH124" s="6"/>
    </row>
    <row r="125" ht="15.75" customHeight="1">
      <c r="A125" s="6"/>
      <c r="B125" s="6" t="s">
        <v>106</v>
      </c>
      <c r="C125" s="6"/>
      <c r="D125" s="6"/>
      <c r="E125" s="25" t="s">
        <v>303</v>
      </c>
      <c r="F125" s="6" t="s">
        <v>47</v>
      </c>
      <c r="G125" s="9">
        <v>2182180.0</v>
      </c>
      <c r="H125" s="9">
        <v>1.6905527E8</v>
      </c>
      <c r="I125" s="9">
        <f t="shared" si="44"/>
        <v>58909888</v>
      </c>
      <c r="J125" s="9">
        <f>89943884+20201498</f>
        <v>110145382</v>
      </c>
      <c r="K125" s="6" t="s">
        <v>282</v>
      </c>
      <c r="L125" s="9"/>
      <c r="M125" s="10"/>
      <c r="N125" s="14">
        <v>0.0</v>
      </c>
      <c r="O125" s="9">
        <f t="shared" si="45"/>
        <v>61092068</v>
      </c>
      <c r="P125" s="15">
        <v>0.6482753</v>
      </c>
      <c r="Q125" s="9">
        <f t="shared" si="46"/>
        <v>38189825.32</v>
      </c>
      <c r="R125" s="9">
        <f t="shared" si="47"/>
        <v>39604478.71</v>
      </c>
      <c r="S125" s="9">
        <f t="shared" si="48"/>
        <v>39604478.71</v>
      </c>
      <c r="T125" s="9"/>
      <c r="U125" s="16" t="s">
        <v>304</v>
      </c>
      <c r="V125" s="6"/>
      <c r="W125" s="6"/>
      <c r="X125" s="6"/>
      <c r="Y125" s="6"/>
      <c r="Z125" s="6"/>
      <c r="AA125" s="6"/>
      <c r="AB125" s="6"/>
      <c r="AC125" s="6"/>
      <c r="AD125" s="6"/>
      <c r="AE125" s="6"/>
      <c r="AF125" s="6"/>
      <c r="AG125" s="6"/>
      <c r="AH125" s="6"/>
    </row>
    <row r="126" ht="15.75" customHeight="1">
      <c r="A126" s="6"/>
      <c r="B126" s="6" t="s">
        <v>106</v>
      </c>
      <c r="C126" s="6"/>
      <c r="D126" s="6"/>
      <c r="E126" s="25" t="s">
        <v>305</v>
      </c>
      <c r="F126" s="6" t="s">
        <v>29</v>
      </c>
      <c r="G126" s="9"/>
      <c r="H126" s="9">
        <f>191718146+561252+215377+1673882+60796+4514560+9865382+604324</f>
        <v>209213719</v>
      </c>
      <c r="I126" s="9">
        <f t="shared" si="44"/>
        <v>58335229</v>
      </c>
      <c r="J126" s="9">
        <f>150811239+67251</f>
        <v>150878490</v>
      </c>
      <c r="K126" s="6" t="s">
        <v>306</v>
      </c>
      <c r="L126" s="9"/>
      <c r="M126" s="10"/>
      <c r="N126" s="10"/>
      <c r="O126" s="9">
        <f t="shared" si="45"/>
        <v>58335229</v>
      </c>
      <c r="P126" s="15">
        <v>1.0</v>
      </c>
      <c r="Q126" s="9">
        <f t="shared" si="46"/>
        <v>58335229</v>
      </c>
      <c r="R126" s="9">
        <f t="shared" si="47"/>
        <v>58335229</v>
      </c>
      <c r="S126" s="9">
        <f t="shared" si="48"/>
        <v>58335229</v>
      </c>
      <c r="T126" s="9"/>
      <c r="U126" s="16" t="s">
        <v>307</v>
      </c>
      <c r="V126" s="6"/>
      <c r="W126" s="6"/>
      <c r="X126" s="6"/>
      <c r="Y126" s="6"/>
      <c r="Z126" s="6"/>
      <c r="AA126" s="6"/>
      <c r="AB126" s="6"/>
      <c r="AC126" s="6"/>
      <c r="AD126" s="6"/>
      <c r="AE126" s="6"/>
      <c r="AF126" s="6"/>
      <c r="AG126" s="6"/>
      <c r="AH126" s="6"/>
    </row>
    <row r="127" ht="15.75" customHeight="1">
      <c r="A127" s="6"/>
      <c r="B127" s="6" t="s">
        <v>106</v>
      </c>
      <c r="C127" s="6"/>
      <c r="D127" s="6"/>
      <c r="E127" s="6" t="s">
        <v>308</v>
      </c>
      <c r="F127" s="6" t="s">
        <v>29</v>
      </c>
      <c r="G127" s="9">
        <v>9.1712074E7</v>
      </c>
      <c r="H127" s="9">
        <v>3.6039233E7</v>
      </c>
      <c r="I127" s="9">
        <f t="shared" si="44"/>
        <v>36039233</v>
      </c>
      <c r="J127" s="9"/>
      <c r="K127" s="6"/>
      <c r="L127" s="9"/>
      <c r="M127" s="10"/>
      <c r="N127" s="10"/>
      <c r="O127" s="9">
        <f t="shared" si="45"/>
        <v>127751307</v>
      </c>
      <c r="P127" s="15">
        <v>0.6132208</v>
      </c>
      <c r="Q127" s="9">
        <f t="shared" si="46"/>
        <v>22100007.29</v>
      </c>
      <c r="R127" s="9">
        <f t="shared" si="47"/>
        <v>78339758.68</v>
      </c>
      <c r="S127" s="9">
        <f t="shared" si="48"/>
        <v>78339758.68</v>
      </c>
      <c r="T127" s="9"/>
      <c r="U127" s="16" t="s">
        <v>309</v>
      </c>
      <c r="V127" s="6"/>
      <c r="W127" s="6"/>
      <c r="X127" s="6"/>
      <c r="Y127" s="6"/>
      <c r="Z127" s="6"/>
      <c r="AA127" s="6"/>
      <c r="AB127" s="6"/>
      <c r="AC127" s="6"/>
      <c r="AD127" s="6"/>
      <c r="AE127" s="6"/>
      <c r="AF127" s="6"/>
      <c r="AG127" s="6"/>
      <c r="AH127" s="6"/>
    </row>
    <row r="128" ht="15.75" customHeight="1">
      <c r="A128" s="6"/>
      <c r="B128" s="6" t="s">
        <v>106</v>
      </c>
      <c r="C128" s="6"/>
      <c r="D128" s="6"/>
      <c r="E128" s="25" t="s">
        <v>310</v>
      </c>
      <c r="F128" s="6" t="s">
        <v>29</v>
      </c>
      <c r="G128" s="9"/>
      <c r="H128" s="9">
        <f>14910833+230619498+7000000+90724045+25794461+1282599+2919432+4412</f>
        <v>373255280</v>
      </c>
      <c r="I128" s="9">
        <f t="shared" si="44"/>
        <v>339178220</v>
      </c>
      <c r="J128" s="9">
        <f>25794461+1282599+7000000</f>
        <v>34077060</v>
      </c>
      <c r="K128" s="6" t="s">
        <v>311</v>
      </c>
      <c r="L128" s="9"/>
      <c r="M128" s="10"/>
      <c r="N128" s="10"/>
      <c r="O128" s="9">
        <f t="shared" si="45"/>
        <v>339178220</v>
      </c>
      <c r="P128" s="15">
        <v>0.7718425</v>
      </c>
      <c r="Q128" s="9">
        <f t="shared" si="46"/>
        <v>261792165.3</v>
      </c>
      <c r="R128" s="9">
        <f t="shared" si="47"/>
        <v>261792165.3</v>
      </c>
      <c r="S128" s="9">
        <f t="shared" si="48"/>
        <v>261792165.3</v>
      </c>
      <c r="T128" s="9"/>
      <c r="U128" s="16" t="s">
        <v>312</v>
      </c>
      <c r="V128" s="6"/>
      <c r="W128" s="6"/>
      <c r="X128" s="6"/>
      <c r="Y128" s="6"/>
      <c r="Z128" s="6"/>
      <c r="AA128" s="6"/>
      <c r="AB128" s="6"/>
      <c r="AC128" s="6"/>
      <c r="AD128" s="6"/>
      <c r="AE128" s="6"/>
      <c r="AF128" s="6"/>
      <c r="AG128" s="6"/>
      <c r="AH128" s="6"/>
    </row>
    <row r="129" ht="15.75" customHeight="1">
      <c r="A129" s="6"/>
      <c r="B129" s="6"/>
      <c r="C129" s="6"/>
      <c r="D129" s="6"/>
      <c r="E129" s="17" t="s">
        <v>35</v>
      </c>
      <c r="F129" s="6"/>
      <c r="G129" s="9"/>
      <c r="H129" s="9"/>
      <c r="I129" s="9"/>
      <c r="J129" s="9"/>
      <c r="K129" s="6"/>
      <c r="L129" s="9"/>
      <c r="M129" s="10"/>
      <c r="N129" s="10"/>
      <c r="O129" s="9"/>
      <c r="P129" s="26" t="s">
        <v>313</v>
      </c>
      <c r="Q129" s="19">
        <f t="shared" ref="Q129:S129" si="49">SUM(Q110:Q128)</f>
        <v>7437733742</v>
      </c>
      <c r="R129" s="19">
        <f t="shared" si="49"/>
        <v>9865673436</v>
      </c>
      <c r="S129" s="19">
        <f t="shared" si="49"/>
        <v>10265166053</v>
      </c>
      <c r="T129" s="20">
        <v>4.996526172E9</v>
      </c>
      <c r="U129" s="6"/>
      <c r="V129" s="6"/>
      <c r="W129" s="6"/>
      <c r="X129" s="6"/>
      <c r="Y129" s="6"/>
      <c r="Z129" s="6"/>
      <c r="AA129" s="6"/>
      <c r="AB129" s="6"/>
      <c r="AC129" s="6"/>
      <c r="AD129" s="6"/>
      <c r="AE129" s="6"/>
      <c r="AF129" s="6"/>
      <c r="AG129" s="6"/>
      <c r="AH129" s="6"/>
    </row>
    <row r="130" ht="15.75" customHeight="1">
      <c r="A130" s="7">
        <v>8.0</v>
      </c>
      <c r="B130" s="7" t="s">
        <v>36</v>
      </c>
      <c r="C130" s="7" t="s">
        <v>37</v>
      </c>
      <c r="D130" s="6"/>
      <c r="E130" s="6"/>
      <c r="F130" s="7" t="s">
        <v>1</v>
      </c>
      <c r="G130" s="21">
        <v>5.8888202E10</v>
      </c>
      <c r="H130" s="22">
        <v>1.79355805E11</v>
      </c>
      <c r="I130" s="9">
        <f t="shared" ref="I130:I153" si="50">H130-J130</f>
        <v>179355805000</v>
      </c>
      <c r="J130" s="9"/>
      <c r="K130" s="6"/>
      <c r="L130" s="9"/>
      <c r="M130" s="21">
        <v>9.03E8</v>
      </c>
      <c r="N130" s="23">
        <v>1.3836881E10</v>
      </c>
      <c r="O130" s="9">
        <f t="shared" ref="O130:O153" si="51">G130+I130</f>
        <v>238244007000</v>
      </c>
      <c r="P130" s="31">
        <v>0.036</v>
      </c>
      <c r="Q130" s="9">
        <f t="shared" ref="Q130:Q153" si="52">I130*P130</f>
        <v>6456808980</v>
      </c>
      <c r="R130" s="9">
        <f t="shared" ref="R130:R153" si="53">(O130-N130-M130)*P130</f>
        <v>8046148536</v>
      </c>
      <c r="S130" s="9">
        <f t="shared" ref="S130:S153" si="54">O130*P130</f>
        <v>8576784252</v>
      </c>
      <c r="T130" s="12"/>
      <c r="U130" s="16" t="s">
        <v>38</v>
      </c>
      <c r="V130" s="6"/>
      <c r="W130" s="6"/>
      <c r="X130" s="6"/>
      <c r="Y130" s="6"/>
      <c r="Z130" s="6"/>
      <c r="AA130" s="6"/>
      <c r="AB130" s="6"/>
      <c r="AC130" s="6"/>
      <c r="AD130" s="6"/>
      <c r="AE130" s="6"/>
      <c r="AF130" s="6"/>
      <c r="AG130" s="6"/>
      <c r="AH130" s="6"/>
    </row>
    <row r="131" ht="15.75" customHeight="1">
      <c r="A131" s="6"/>
      <c r="B131" s="6" t="s">
        <v>36</v>
      </c>
      <c r="C131" s="6"/>
      <c r="D131" s="6" t="s">
        <v>314</v>
      </c>
      <c r="E131" s="6"/>
      <c r="F131" s="6" t="s">
        <v>3</v>
      </c>
      <c r="G131" s="9">
        <v>1.601654E9</v>
      </c>
      <c r="H131" s="9">
        <v>1.464424E9</v>
      </c>
      <c r="I131" s="9">
        <f t="shared" si="50"/>
        <v>1462442000</v>
      </c>
      <c r="J131" s="9">
        <v>1982000.0</v>
      </c>
      <c r="K131" s="6" t="s">
        <v>315</v>
      </c>
      <c r="L131" s="9"/>
      <c r="M131" s="10"/>
      <c r="N131" s="14">
        <v>1.5531E7</v>
      </c>
      <c r="O131" s="9">
        <f t="shared" si="51"/>
        <v>3064096000</v>
      </c>
      <c r="P131" s="15">
        <v>1.0</v>
      </c>
      <c r="Q131" s="9">
        <f t="shared" si="52"/>
        <v>1462442000</v>
      </c>
      <c r="R131" s="9">
        <f t="shared" si="53"/>
        <v>3048565000</v>
      </c>
      <c r="S131" s="9">
        <f t="shared" si="54"/>
        <v>3064096000</v>
      </c>
      <c r="T131" s="9"/>
      <c r="U131" s="16" t="s">
        <v>316</v>
      </c>
      <c r="V131" s="6"/>
      <c r="W131" s="6"/>
      <c r="X131" s="6"/>
      <c r="Y131" s="6"/>
      <c r="Z131" s="6"/>
      <c r="AA131" s="6"/>
      <c r="AB131" s="6"/>
      <c r="AC131" s="6"/>
      <c r="AD131" s="6"/>
      <c r="AE131" s="6"/>
      <c r="AF131" s="6"/>
      <c r="AG131" s="6"/>
      <c r="AH131" s="6"/>
    </row>
    <row r="132" ht="15.75" customHeight="1">
      <c r="A132" s="6"/>
      <c r="B132" s="6" t="s">
        <v>36</v>
      </c>
      <c r="C132" s="6"/>
      <c r="D132" s="6"/>
      <c r="E132" s="35" t="s">
        <v>317</v>
      </c>
      <c r="F132" s="6" t="s">
        <v>43</v>
      </c>
      <c r="G132" s="9">
        <v>6.46844E8</v>
      </c>
      <c r="H132" s="9">
        <v>1.562782E9</v>
      </c>
      <c r="I132" s="9">
        <f t="shared" si="50"/>
        <v>1562782000</v>
      </c>
      <c r="J132" s="9"/>
      <c r="K132" s="6"/>
      <c r="L132" s="9"/>
      <c r="M132" s="10"/>
      <c r="N132" s="14">
        <v>1.28841E8</v>
      </c>
      <c r="O132" s="9">
        <f t="shared" si="51"/>
        <v>2209626000</v>
      </c>
      <c r="P132" s="15">
        <v>0.4162</v>
      </c>
      <c r="Q132" s="9">
        <f t="shared" si="52"/>
        <v>650429868.4</v>
      </c>
      <c r="R132" s="9">
        <f t="shared" si="53"/>
        <v>866022717</v>
      </c>
      <c r="S132" s="9">
        <f t="shared" si="54"/>
        <v>919646341.2</v>
      </c>
      <c r="T132" s="9"/>
      <c r="U132" s="16" t="s">
        <v>318</v>
      </c>
      <c r="V132" s="6"/>
      <c r="W132" s="6"/>
      <c r="X132" s="6"/>
      <c r="Y132" s="6"/>
      <c r="Z132" s="6"/>
      <c r="AA132" s="6"/>
      <c r="AB132" s="6"/>
      <c r="AC132" s="6"/>
      <c r="AD132" s="6"/>
      <c r="AE132" s="6"/>
      <c r="AF132" s="6"/>
      <c r="AG132" s="6"/>
      <c r="AH132" s="6"/>
    </row>
    <row r="133" ht="16.5" customHeight="1">
      <c r="A133" s="6"/>
      <c r="B133" s="6" t="s">
        <v>36</v>
      </c>
      <c r="C133" s="6"/>
      <c r="D133" s="6"/>
      <c r="E133" s="35" t="s">
        <v>319</v>
      </c>
      <c r="F133" s="6" t="s">
        <v>47</v>
      </c>
      <c r="G133" s="9">
        <v>5260986.0</v>
      </c>
      <c r="H133" s="9">
        <v>3.34521878E8</v>
      </c>
      <c r="I133" s="9">
        <f t="shared" si="50"/>
        <v>150192588</v>
      </c>
      <c r="J133" s="9">
        <f>173494981+10834309</f>
        <v>184329290</v>
      </c>
      <c r="K133" s="6" t="s">
        <v>320</v>
      </c>
      <c r="L133" s="9"/>
      <c r="M133" s="10"/>
      <c r="N133" s="10"/>
      <c r="O133" s="9">
        <f t="shared" si="51"/>
        <v>155453574</v>
      </c>
      <c r="P133" s="15">
        <v>0.0795765</v>
      </c>
      <c r="Q133" s="9">
        <f t="shared" si="52"/>
        <v>11951800.48</v>
      </c>
      <c r="R133" s="9">
        <f t="shared" si="53"/>
        <v>12370451.33</v>
      </c>
      <c r="S133" s="9">
        <f t="shared" si="54"/>
        <v>12370451.33</v>
      </c>
      <c r="T133" s="9"/>
      <c r="U133" s="16" t="s">
        <v>321</v>
      </c>
      <c r="V133" s="6"/>
      <c r="W133" s="6"/>
      <c r="X133" s="6"/>
      <c r="Y133" s="6"/>
      <c r="Z133" s="6"/>
      <c r="AA133" s="6"/>
      <c r="AB133" s="6"/>
      <c r="AC133" s="6"/>
      <c r="AD133" s="6"/>
      <c r="AE133" s="6"/>
      <c r="AF133" s="6"/>
      <c r="AG133" s="6"/>
      <c r="AH133" s="6"/>
    </row>
    <row r="134" ht="15.75" customHeight="1">
      <c r="A134" s="6"/>
      <c r="B134" s="6" t="s">
        <v>36</v>
      </c>
      <c r="C134" s="6"/>
      <c r="D134" s="6"/>
      <c r="E134" s="35" t="s">
        <v>322</v>
      </c>
      <c r="F134" s="6" t="s">
        <v>47</v>
      </c>
      <c r="G134" s="9">
        <f>13518</f>
        <v>13518</v>
      </c>
      <c r="H134" s="9">
        <v>1299894.0</v>
      </c>
      <c r="I134" s="9">
        <f t="shared" si="50"/>
        <v>1144078</v>
      </c>
      <c r="J134" s="9">
        <v>155816.0</v>
      </c>
      <c r="K134" s="6" t="s">
        <v>323</v>
      </c>
      <c r="L134" s="9"/>
      <c r="M134" s="10"/>
      <c r="N134" s="10"/>
      <c r="O134" s="9">
        <f t="shared" si="51"/>
        <v>1157596</v>
      </c>
      <c r="P134" s="15">
        <v>0.951326</v>
      </c>
      <c r="Q134" s="9">
        <f t="shared" si="52"/>
        <v>1088391.147</v>
      </c>
      <c r="R134" s="9">
        <f t="shared" si="53"/>
        <v>1101251.172</v>
      </c>
      <c r="S134" s="9">
        <f t="shared" si="54"/>
        <v>1101251.172</v>
      </c>
      <c r="T134" s="9"/>
      <c r="U134" s="16" t="s">
        <v>324</v>
      </c>
      <c r="V134" s="6"/>
      <c r="W134" s="6"/>
      <c r="X134" s="6"/>
      <c r="Y134" s="6"/>
      <c r="Z134" s="6"/>
      <c r="AA134" s="6"/>
      <c r="AB134" s="6"/>
      <c r="AC134" s="6"/>
      <c r="AD134" s="6"/>
      <c r="AE134" s="6"/>
      <c r="AF134" s="6"/>
      <c r="AG134" s="6"/>
      <c r="AH134" s="6"/>
    </row>
    <row r="135" ht="15.75" customHeight="1">
      <c r="A135" s="6"/>
      <c r="B135" s="6" t="s">
        <v>36</v>
      </c>
      <c r="C135" s="6"/>
      <c r="D135" s="6"/>
      <c r="E135" s="35" t="s">
        <v>325</v>
      </c>
      <c r="F135" s="6" t="s">
        <v>47</v>
      </c>
      <c r="G135" s="9">
        <v>847862.0</v>
      </c>
      <c r="H135" s="9">
        <v>9.7303404E7</v>
      </c>
      <c r="I135" s="9">
        <f t="shared" si="50"/>
        <v>58778469</v>
      </c>
      <c r="J135" s="9">
        <v>3.8524935E7</v>
      </c>
      <c r="K135" s="6" t="s">
        <v>326</v>
      </c>
      <c r="L135" s="9"/>
      <c r="M135" s="10"/>
      <c r="N135" s="10"/>
      <c r="O135" s="9">
        <f t="shared" si="51"/>
        <v>59626331</v>
      </c>
      <c r="P135" s="15">
        <v>0.0045333</v>
      </c>
      <c r="Q135" s="9">
        <f t="shared" si="52"/>
        <v>266460.4335</v>
      </c>
      <c r="R135" s="9">
        <f t="shared" si="53"/>
        <v>270304.0463</v>
      </c>
      <c r="S135" s="9">
        <f t="shared" si="54"/>
        <v>270304.0463</v>
      </c>
      <c r="T135" s="9"/>
      <c r="U135" s="16" t="s">
        <v>327</v>
      </c>
      <c r="V135" s="6"/>
      <c r="W135" s="6"/>
      <c r="X135" s="6"/>
      <c r="Y135" s="6"/>
      <c r="Z135" s="6"/>
      <c r="AA135" s="6"/>
      <c r="AB135" s="6"/>
      <c r="AC135" s="6"/>
      <c r="AD135" s="6"/>
      <c r="AE135" s="6"/>
      <c r="AF135" s="6"/>
      <c r="AG135" s="6"/>
      <c r="AH135" s="6"/>
    </row>
    <row r="136" ht="15.75" customHeight="1">
      <c r="A136" s="6"/>
      <c r="B136" s="6" t="s">
        <v>36</v>
      </c>
      <c r="C136" s="6"/>
      <c r="D136" s="6"/>
      <c r="E136" s="35" t="s">
        <v>328</v>
      </c>
      <c r="F136" s="6" t="s">
        <v>47</v>
      </c>
      <c r="G136" s="9">
        <v>3188966.0</v>
      </c>
      <c r="H136" s="9">
        <v>2.47110071E8</v>
      </c>
      <c r="I136" s="9">
        <f t="shared" si="50"/>
        <v>176181253</v>
      </c>
      <c r="J136" s="9">
        <f>61660887+9267931</f>
        <v>70928818</v>
      </c>
      <c r="K136" s="6" t="s">
        <v>329</v>
      </c>
      <c r="L136" s="9"/>
      <c r="M136" s="10"/>
      <c r="N136" s="10"/>
      <c r="O136" s="9">
        <f t="shared" si="51"/>
        <v>179370219</v>
      </c>
      <c r="P136" s="15">
        <v>0.0301177</v>
      </c>
      <c r="Q136" s="9">
        <f t="shared" si="52"/>
        <v>5306174.123</v>
      </c>
      <c r="R136" s="9">
        <f t="shared" si="53"/>
        <v>5402218.445</v>
      </c>
      <c r="S136" s="9">
        <f t="shared" si="54"/>
        <v>5402218.445</v>
      </c>
      <c r="T136" s="9"/>
      <c r="U136" s="16" t="s">
        <v>330</v>
      </c>
      <c r="V136" s="6"/>
      <c r="W136" s="6"/>
      <c r="X136" s="6"/>
      <c r="Y136" s="6"/>
      <c r="Z136" s="6"/>
      <c r="AA136" s="6"/>
      <c r="AB136" s="6"/>
      <c r="AC136" s="6"/>
      <c r="AD136" s="6"/>
      <c r="AE136" s="6"/>
      <c r="AF136" s="6"/>
      <c r="AG136" s="6"/>
      <c r="AH136" s="6"/>
    </row>
    <row r="137" ht="15.75" customHeight="1">
      <c r="A137" s="6"/>
      <c r="B137" s="6" t="s">
        <v>36</v>
      </c>
      <c r="C137" s="6"/>
      <c r="D137" s="6"/>
      <c r="E137" s="35" t="s">
        <v>331</v>
      </c>
      <c r="F137" s="6" t="s">
        <v>47</v>
      </c>
      <c r="G137" s="9">
        <v>1452217.0</v>
      </c>
      <c r="H137" s="9">
        <v>4.167854E7</v>
      </c>
      <c r="I137" s="9">
        <f t="shared" si="50"/>
        <v>11884698</v>
      </c>
      <c r="J137" s="9">
        <v>2.9793842E7</v>
      </c>
      <c r="K137" s="6" t="s">
        <v>332</v>
      </c>
      <c r="L137" s="9"/>
      <c r="M137" s="10"/>
      <c r="N137" s="10"/>
      <c r="O137" s="9">
        <f t="shared" si="51"/>
        <v>13336915</v>
      </c>
      <c r="P137" s="15">
        <v>0.1390285</v>
      </c>
      <c r="Q137" s="9">
        <f t="shared" si="52"/>
        <v>1652311.736</v>
      </c>
      <c r="R137" s="9">
        <f t="shared" si="53"/>
        <v>1854211.287</v>
      </c>
      <c r="S137" s="9">
        <f t="shared" si="54"/>
        <v>1854211.287</v>
      </c>
      <c r="T137" s="9"/>
      <c r="U137" s="16" t="s">
        <v>333</v>
      </c>
      <c r="V137" s="6"/>
      <c r="W137" s="6"/>
      <c r="X137" s="6"/>
      <c r="Y137" s="6"/>
      <c r="Z137" s="6"/>
      <c r="AA137" s="6"/>
      <c r="AB137" s="6"/>
      <c r="AC137" s="6"/>
      <c r="AD137" s="6"/>
      <c r="AE137" s="6"/>
      <c r="AF137" s="6"/>
      <c r="AG137" s="6"/>
      <c r="AH137" s="6"/>
    </row>
    <row r="138" ht="15.75" customHeight="1">
      <c r="A138" s="6"/>
      <c r="B138" s="6" t="s">
        <v>36</v>
      </c>
      <c r="C138" s="6"/>
      <c r="D138" s="6"/>
      <c r="E138" s="35" t="s">
        <v>334</v>
      </c>
      <c r="F138" s="6" t="s">
        <v>47</v>
      </c>
      <c r="G138" s="9">
        <v>2.6752986E7</v>
      </c>
      <c r="H138" s="9">
        <v>4.23134884E8</v>
      </c>
      <c r="I138" s="9">
        <f t="shared" si="50"/>
        <v>273931404</v>
      </c>
      <c r="J138" s="9">
        <f>148462743+740737</f>
        <v>149203480</v>
      </c>
      <c r="K138" s="6" t="s">
        <v>329</v>
      </c>
      <c r="L138" s="9"/>
      <c r="M138" s="10"/>
      <c r="N138" s="10"/>
      <c r="O138" s="9">
        <f t="shared" si="51"/>
        <v>300684390</v>
      </c>
      <c r="P138" s="15">
        <v>0.5854998</v>
      </c>
      <c r="Q138" s="9">
        <f t="shared" si="52"/>
        <v>160386782.3</v>
      </c>
      <c r="R138" s="9">
        <f t="shared" si="53"/>
        <v>176050650.2</v>
      </c>
      <c r="S138" s="9">
        <f t="shared" si="54"/>
        <v>176050650.2</v>
      </c>
      <c r="T138" s="9"/>
      <c r="U138" s="16" t="s">
        <v>335</v>
      </c>
      <c r="V138" s="6"/>
      <c r="W138" s="6"/>
      <c r="X138" s="6"/>
      <c r="Y138" s="6"/>
      <c r="Z138" s="6"/>
      <c r="AA138" s="6"/>
      <c r="AB138" s="6"/>
      <c r="AC138" s="6"/>
      <c r="AD138" s="6"/>
      <c r="AE138" s="6"/>
      <c r="AF138" s="6"/>
      <c r="AG138" s="6"/>
      <c r="AH138" s="6"/>
    </row>
    <row r="139" ht="15.75" customHeight="1">
      <c r="A139" s="6"/>
      <c r="B139" s="6" t="s">
        <v>36</v>
      </c>
      <c r="C139" s="6"/>
      <c r="D139" s="6"/>
      <c r="E139" s="35" t="s">
        <v>336</v>
      </c>
      <c r="F139" s="6" t="s">
        <v>47</v>
      </c>
      <c r="G139" s="9">
        <v>2.3754584E7</v>
      </c>
      <c r="H139" s="9">
        <v>1.563459083E9</v>
      </c>
      <c r="I139" s="9">
        <f t="shared" si="50"/>
        <v>1344904552</v>
      </c>
      <c r="J139" s="9">
        <f>212859849+5694682</f>
        <v>218554531</v>
      </c>
      <c r="K139" s="6" t="s">
        <v>329</v>
      </c>
      <c r="L139" s="9"/>
      <c r="M139" s="10"/>
      <c r="N139" s="10"/>
      <c r="O139" s="9">
        <f t="shared" si="51"/>
        <v>1368659136</v>
      </c>
      <c r="P139" s="15">
        <v>0.9938846</v>
      </c>
      <c r="Q139" s="9">
        <f t="shared" si="52"/>
        <v>1336679923</v>
      </c>
      <c r="R139" s="9">
        <f t="shared" si="53"/>
        <v>1360289238</v>
      </c>
      <c r="S139" s="9">
        <f t="shared" si="54"/>
        <v>1360289238</v>
      </c>
      <c r="T139" s="9"/>
      <c r="U139" s="16" t="s">
        <v>337</v>
      </c>
      <c r="V139" s="6"/>
      <c r="W139" s="6"/>
      <c r="X139" s="6"/>
      <c r="Y139" s="6"/>
      <c r="Z139" s="6"/>
      <c r="AA139" s="6"/>
      <c r="AB139" s="6"/>
      <c r="AC139" s="6"/>
      <c r="AD139" s="6"/>
      <c r="AE139" s="6"/>
      <c r="AF139" s="6"/>
      <c r="AG139" s="6"/>
      <c r="AH139" s="6"/>
    </row>
    <row r="140" ht="15.75" customHeight="1">
      <c r="A140" s="6"/>
      <c r="B140" s="6" t="s">
        <v>36</v>
      </c>
      <c r="C140" s="6"/>
      <c r="D140" s="6"/>
      <c r="E140" s="35" t="s">
        <v>338</v>
      </c>
      <c r="F140" s="6" t="s">
        <v>47</v>
      </c>
      <c r="G140" s="9">
        <v>2782637.0</v>
      </c>
      <c r="H140" s="9">
        <v>1.55546579E8</v>
      </c>
      <c r="I140" s="9">
        <f t="shared" si="50"/>
        <v>148564446</v>
      </c>
      <c r="J140" s="9">
        <f>6938471+43662</f>
        <v>6982133</v>
      </c>
      <c r="K140" s="6" t="s">
        <v>320</v>
      </c>
      <c r="L140" s="9"/>
      <c r="M140" s="10"/>
      <c r="N140" s="10"/>
      <c r="O140" s="9">
        <f t="shared" si="51"/>
        <v>151347083</v>
      </c>
      <c r="P140" s="15">
        <v>0.3716535</v>
      </c>
      <c r="Q140" s="9">
        <f t="shared" si="52"/>
        <v>55214496.33</v>
      </c>
      <c r="R140" s="9">
        <f t="shared" si="53"/>
        <v>56248673.11</v>
      </c>
      <c r="S140" s="9">
        <f t="shared" si="54"/>
        <v>56248673.11</v>
      </c>
      <c r="T140" s="9"/>
      <c r="U140" s="16" t="s">
        <v>339</v>
      </c>
      <c r="V140" s="6"/>
      <c r="W140" s="6"/>
      <c r="X140" s="6"/>
      <c r="Y140" s="6"/>
      <c r="Z140" s="6"/>
      <c r="AA140" s="6"/>
      <c r="AB140" s="6"/>
      <c r="AC140" s="6"/>
      <c r="AD140" s="6"/>
      <c r="AE140" s="6"/>
      <c r="AF140" s="6"/>
      <c r="AG140" s="6"/>
      <c r="AH140" s="6"/>
    </row>
    <row r="141" ht="15.75" customHeight="1">
      <c r="A141" s="6"/>
      <c r="B141" s="6" t="s">
        <v>36</v>
      </c>
      <c r="C141" s="6"/>
      <c r="D141" s="6"/>
      <c r="E141" s="35" t="s">
        <v>340</v>
      </c>
      <c r="F141" s="6" t="s">
        <v>47</v>
      </c>
      <c r="G141" s="9">
        <v>106500.0</v>
      </c>
      <c r="H141" s="9">
        <v>5653409.0</v>
      </c>
      <c r="I141" s="9">
        <f t="shared" si="50"/>
        <v>2210157</v>
      </c>
      <c r="J141" s="9">
        <v>3443252.0</v>
      </c>
      <c r="K141" s="6" t="s">
        <v>332</v>
      </c>
      <c r="L141" s="9"/>
      <c r="M141" s="10"/>
      <c r="N141" s="10"/>
      <c r="O141" s="9">
        <f t="shared" si="51"/>
        <v>2316657</v>
      </c>
      <c r="P141" s="15">
        <v>0.3811075</v>
      </c>
      <c r="Q141" s="9">
        <f t="shared" si="52"/>
        <v>842307.4089</v>
      </c>
      <c r="R141" s="9">
        <f t="shared" si="53"/>
        <v>882895.3576</v>
      </c>
      <c r="S141" s="9">
        <f t="shared" si="54"/>
        <v>882895.3576</v>
      </c>
      <c r="T141" s="9"/>
      <c r="U141" s="16" t="s">
        <v>341</v>
      </c>
      <c r="V141" s="6"/>
      <c r="W141" s="6"/>
      <c r="X141" s="6"/>
      <c r="Y141" s="6"/>
      <c r="Z141" s="6"/>
      <c r="AA141" s="6"/>
      <c r="AB141" s="6"/>
      <c r="AC141" s="6"/>
      <c r="AD141" s="6"/>
      <c r="AE141" s="6"/>
      <c r="AF141" s="6"/>
      <c r="AG141" s="6"/>
      <c r="AH141" s="6"/>
    </row>
    <row r="142" ht="15.75" customHeight="1">
      <c r="A142" s="6"/>
      <c r="B142" s="6" t="s">
        <v>36</v>
      </c>
      <c r="C142" s="6"/>
      <c r="D142" s="6"/>
      <c r="E142" s="35" t="s">
        <v>342</v>
      </c>
      <c r="F142" s="6" t="s">
        <v>47</v>
      </c>
      <c r="G142" s="9">
        <v>1073801.0</v>
      </c>
      <c r="H142" s="9">
        <v>7.9603879E7</v>
      </c>
      <c r="I142" s="9">
        <f t="shared" si="50"/>
        <v>25409205</v>
      </c>
      <c r="J142" s="9">
        <f>43943156+10251518</f>
        <v>54194674</v>
      </c>
      <c r="K142" s="6" t="s">
        <v>343</v>
      </c>
      <c r="L142" s="9"/>
      <c r="M142" s="10"/>
      <c r="N142" s="10"/>
      <c r="O142" s="9">
        <f t="shared" si="51"/>
        <v>26483006</v>
      </c>
      <c r="P142" s="15">
        <v>0.0906036</v>
      </c>
      <c r="Q142" s="9">
        <f t="shared" si="52"/>
        <v>2302165.446</v>
      </c>
      <c r="R142" s="9">
        <f t="shared" si="53"/>
        <v>2399455.682</v>
      </c>
      <c r="S142" s="9">
        <f t="shared" si="54"/>
        <v>2399455.682</v>
      </c>
      <c r="T142" s="9"/>
      <c r="U142" s="16" t="s">
        <v>344</v>
      </c>
      <c r="V142" s="6"/>
      <c r="W142" s="6"/>
      <c r="X142" s="6"/>
      <c r="Y142" s="6"/>
      <c r="Z142" s="6"/>
      <c r="AA142" s="6"/>
      <c r="AB142" s="6"/>
      <c r="AC142" s="6"/>
      <c r="AD142" s="6"/>
      <c r="AE142" s="6"/>
      <c r="AF142" s="6"/>
      <c r="AG142" s="6"/>
      <c r="AH142" s="6"/>
    </row>
    <row r="143" ht="15.75" customHeight="1">
      <c r="A143" s="6"/>
      <c r="B143" s="6" t="s">
        <v>36</v>
      </c>
      <c r="C143" s="6"/>
      <c r="D143" s="6"/>
      <c r="E143" s="35" t="s">
        <v>345</v>
      </c>
      <c r="F143" s="6" t="s">
        <v>47</v>
      </c>
      <c r="G143" s="9">
        <v>2509442.0</v>
      </c>
      <c r="H143" s="9">
        <v>6.014513E7</v>
      </c>
      <c r="I143" s="9">
        <f t="shared" si="50"/>
        <v>33226140</v>
      </c>
      <c r="J143" s="9">
        <v>2.691899E7</v>
      </c>
      <c r="K143" s="6" t="s">
        <v>346</v>
      </c>
      <c r="L143" s="9"/>
      <c r="M143" s="10"/>
      <c r="N143" s="10"/>
      <c r="O143" s="9">
        <f t="shared" si="51"/>
        <v>35735582</v>
      </c>
      <c r="P143" s="15">
        <v>0.5578081</v>
      </c>
      <c r="Q143" s="9">
        <f t="shared" si="52"/>
        <v>18533810.02</v>
      </c>
      <c r="R143" s="9">
        <f t="shared" si="53"/>
        <v>19933597.1</v>
      </c>
      <c r="S143" s="9">
        <f t="shared" si="54"/>
        <v>19933597.1</v>
      </c>
      <c r="T143" s="9"/>
      <c r="U143" s="16" t="s">
        <v>347</v>
      </c>
      <c r="V143" s="6"/>
      <c r="W143" s="6"/>
      <c r="X143" s="6"/>
      <c r="Y143" s="6"/>
      <c r="Z143" s="6"/>
      <c r="AA143" s="6"/>
      <c r="AB143" s="6"/>
      <c r="AC143" s="6"/>
      <c r="AD143" s="6"/>
      <c r="AE143" s="6"/>
      <c r="AF143" s="6"/>
      <c r="AG143" s="6"/>
      <c r="AH143" s="6"/>
    </row>
    <row r="144" ht="15.75" customHeight="1">
      <c r="A144" s="6"/>
      <c r="B144" s="6" t="s">
        <v>36</v>
      </c>
      <c r="C144" s="6"/>
      <c r="D144" s="6"/>
      <c r="E144" s="35" t="s">
        <v>348</v>
      </c>
      <c r="F144" s="6" t="s">
        <v>47</v>
      </c>
      <c r="G144" s="9">
        <f>748458+2895694</f>
        <v>3644152</v>
      </c>
      <c r="H144" s="9">
        <v>5.5278148E7</v>
      </c>
      <c r="I144" s="9">
        <f t="shared" si="50"/>
        <v>52273091</v>
      </c>
      <c r="J144" s="9">
        <v>3005057.0</v>
      </c>
      <c r="K144" s="6" t="s">
        <v>346</v>
      </c>
      <c r="L144" s="9"/>
      <c r="M144" s="10"/>
      <c r="N144" s="10"/>
      <c r="O144" s="9">
        <f t="shared" si="51"/>
        <v>55917243</v>
      </c>
      <c r="P144" s="15">
        <v>0.4508143</v>
      </c>
      <c r="Q144" s="9">
        <f t="shared" si="52"/>
        <v>23565456.93</v>
      </c>
      <c r="R144" s="9">
        <f t="shared" si="53"/>
        <v>25208292.76</v>
      </c>
      <c r="S144" s="9">
        <f t="shared" si="54"/>
        <v>25208292.76</v>
      </c>
      <c r="T144" s="9"/>
      <c r="U144" s="16" t="s">
        <v>349</v>
      </c>
      <c r="V144" s="6"/>
      <c r="W144" s="6"/>
      <c r="X144" s="6"/>
      <c r="Y144" s="6"/>
      <c r="Z144" s="6"/>
      <c r="AA144" s="6"/>
      <c r="AB144" s="6"/>
      <c r="AC144" s="6"/>
      <c r="AD144" s="6"/>
      <c r="AE144" s="6"/>
      <c r="AF144" s="6"/>
      <c r="AG144" s="6"/>
      <c r="AH144" s="6"/>
    </row>
    <row r="145" ht="15.75" customHeight="1">
      <c r="A145" s="6"/>
      <c r="B145" s="6" t="s">
        <v>36</v>
      </c>
      <c r="C145" s="6"/>
      <c r="D145" s="6"/>
      <c r="E145" s="36" t="s">
        <v>350</v>
      </c>
      <c r="F145" s="6" t="s">
        <v>47</v>
      </c>
      <c r="G145" s="22">
        <v>2584787.0</v>
      </c>
      <c r="H145" s="22">
        <v>9.1550684E7</v>
      </c>
      <c r="I145" s="9">
        <f t="shared" si="50"/>
        <v>24673531</v>
      </c>
      <c r="J145" s="22">
        <f>60381831+6495322</f>
        <v>66877153</v>
      </c>
      <c r="K145" s="6" t="s">
        <v>351</v>
      </c>
      <c r="L145" s="9"/>
      <c r="M145" s="10"/>
      <c r="N145" s="10"/>
      <c r="O145" s="9">
        <f t="shared" si="51"/>
        <v>27258318</v>
      </c>
      <c r="P145" s="15">
        <v>0.6478601</v>
      </c>
      <c r="Q145" s="9">
        <f t="shared" si="52"/>
        <v>15984996.26</v>
      </c>
      <c r="R145" s="9">
        <f t="shared" si="53"/>
        <v>17659576.63</v>
      </c>
      <c r="S145" s="9">
        <f t="shared" si="54"/>
        <v>17659576.63</v>
      </c>
      <c r="T145" s="9"/>
      <c r="U145" s="16" t="s">
        <v>352</v>
      </c>
      <c r="V145" s="6"/>
      <c r="W145" s="6"/>
      <c r="X145" s="6"/>
      <c r="Y145" s="6"/>
      <c r="Z145" s="6"/>
      <c r="AA145" s="6"/>
      <c r="AB145" s="6"/>
      <c r="AC145" s="6"/>
      <c r="AD145" s="6"/>
      <c r="AE145" s="6"/>
      <c r="AF145" s="6"/>
      <c r="AG145" s="6"/>
      <c r="AH145" s="6"/>
    </row>
    <row r="146" ht="15.75" customHeight="1">
      <c r="A146" s="6"/>
      <c r="B146" s="6" t="s">
        <v>36</v>
      </c>
      <c r="C146" s="6"/>
      <c r="D146" s="6"/>
      <c r="E146" s="35" t="s">
        <v>353</v>
      </c>
      <c r="F146" s="6" t="s">
        <v>47</v>
      </c>
      <c r="G146" s="9">
        <v>5020549.0</v>
      </c>
      <c r="H146" s="9">
        <v>4.78783071E8</v>
      </c>
      <c r="I146" s="9">
        <f t="shared" si="50"/>
        <v>172656683</v>
      </c>
      <c r="J146" s="9">
        <v>3.06126388E8</v>
      </c>
      <c r="K146" s="6" t="s">
        <v>323</v>
      </c>
      <c r="L146" s="9"/>
      <c r="M146" s="10"/>
      <c r="N146" s="10"/>
      <c r="O146" s="9">
        <f t="shared" si="51"/>
        <v>177677232</v>
      </c>
      <c r="P146" s="15">
        <v>0.2270362</v>
      </c>
      <c r="Q146" s="9">
        <f t="shared" si="52"/>
        <v>39199317.21</v>
      </c>
      <c r="R146" s="9">
        <f t="shared" si="53"/>
        <v>40339163.58</v>
      </c>
      <c r="S146" s="9">
        <f t="shared" si="54"/>
        <v>40339163.58</v>
      </c>
      <c r="T146" s="9"/>
      <c r="U146" s="16" t="s">
        <v>354</v>
      </c>
      <c r="V146" s="6"/>
      <c r="W146" s="6"/>
      <c r="X146" s="6"/>
      <c r="Y146" s="6"/>
      <c r="Z146" s="6"/>
      <c r="AA146" s="6"/>
      <c r="AB146" s="6"/>
      <c r="AC146" s="6"/>
      <c r="AD146" s="6"/>
      <c r="AE146" s="6"/>
      <c r="AF146" s="6"/>
      <c r="AG146" s="6"/>
      <c r="AH146" s="6"/>
    </row>
    <row r="147" ht="15.75" customHeight="1">
      <c r="A147" s="6"/>
      <c r="B147" s="6" t="s">
        <v>36</v>
      </c>
      <c r="C147" s="6"/>
      <c r="D147" s="6"/>
      <c r="E147" s="35" t="s">
        <v>355</v>
      </c>
      <c r="F147" s="6" t="s">
        <v>29</v>
      </c>
      <c r="G147" s="9"/>
      <c r="H147" s="9">
        <f>1368910000+146902000+28868000+18573000</f>
        <v>1563253000</v>
      </c>
      <c r="I147" s="9">
        <f t="shared" si="50"/>
        <v>1563253000</v>
      </c>
      <c r="J147" s="9"/>
      <c r="K147" s="6"/>
      <c r="L147" s="9"/>
      <c r="M147" s="14">
        <v>1.5922E7</v>
      </c>
      <c r="N147" s="10"/>
      <c r="O147" s="9">
        <f t="shared" si="51"/>
        <v>1563253000</v>
      </c>
      <c r="P147" s="15">
        <v>0.0726466</v>
      </c>
      <c r="Q147" s="9">
        <f t="shared" si="52"/>
        <v>113565015.4</v>
      </c>
      <c r="R147" s="9">
        <f t="shared" si="53"/>
        <v>112408336.2</v>
      </c>
      <c r="S147" s="9">
        <f t="shared" si="54"/>
        <v>113565015.4</v>
      </c>
      <c r="T147" s="9"/>
      <c r="U147" s="16" t="s">
        <v>58</v>
      </c>
      <c r="V147" s="6"/>
      <c r="W147" s="6"/>
      <c r="X147" s="6"/>
      <c r="Y147" s="6"/>
      <c r="Z147" s="6"/>
      <c r="AA147" s="6"/>
      <c r="AB147" s="6"/>
      <c r="AC147" s="6"/>
      <c r="AD147" s="6"/>
      <c r="AE147" s="6"/>
      <c r="AF147" s="6"/>
      <c r="AG147" s="6"/>
      <c r="AH147" s="6"/>
    </row>
    <row r="148" ht="15.75" customHeight="1">
      <c r="A148" s="6"/>
      <c r="B148" s="6" t="s">
        <v>36</v>
      </c>
      <c r="C148" s="6"/>
      <c r="D148" s="6"/>
      <c r="E148" s="35" t="s">
        <v>61</v>
      </c>
      <c r="F148" s="6" t="s">
        <v>29</v>
      </c>
      <c r="G148" s="9"/>
      <c r="H148" s="9">
        <f>104040000+148237000+14158000+119000+110000</f>
        <v>266664000</v>
      </c>
      <c r="I148" s="9">
        <f t="shared" si="50"/>
        <v>104269000</v>
      </c>
      <c r="J148" s="9">
        <f>148237000+14158000</f>
        <v>162395000</v>
      </c>
      <c r="K148" s="6" t="s">
        <v>356</v>
      </c>
      <c r="L148" s="9"/>
      <c r="M148" s="10"/>
      <c r="N148" s="10"/>
      <c r="O148" s="9">
        <f t="shared" si="51"/>
        <v>104269000</v>
      </c>
      <c r="P148" s="15">
        <v>0.0622228</v>
      </c>
      <c r="Q148" s="9">
        <f t="shared" si="52"/>
        <v>6487909.133</v>
      </c>
      <c r="R148" s="9">
        <f t="shared" si="53"/>
        <v>6487909.133</v>
      </c>
      <c r="S148" s="9">
        <f t="shared" si="54"/>
        <v>6487909.133</v>
      </c>
      <c r="T148" s="9"/>
      <c r="U148" s="16" t="s">
        <v>63</v>
      </c>
      <c r="V148" s="6"/>
      <c r="W148" s="6"/>
      <c r="X148" s="6"/>
      <c r="Y148" s="6"/>
      <c r="Z148" s="6"/>
      <c r="AA148" s="6"/>
      <c r="AB148" s="6"/>
      <c r="AC148" s="6"/>
      <c r="AD148" s="6"/>
      <c r="AE148" s="6"/>
      <c r="AF148" s="6"/>
      <c r="AG148" s="6"/>
      <c r="AH148" s="6"/>
    </row>
    <row r="149" ht="15.75" customHeight="1">
      <c r="A149" s="6"/>
      <c r="B149" s="6" t="s">
        <v>36</v>
      </c>
      <c r="C149" s="6"/>
      <c r="D149" s="6"/>
      <c r="E149" s="35" t="s">
        <v>357</v>
      </c>
      <c r="F149" s="6" t="s">
        <v>29</v>
      </c>
      <c r="G149" s="9"/>
      <c r="H149" s="9">
        <f>569099481+15525521+36941802+11783278+9566974+11962880</f>
        <v>654879936</v>
      </c>
      <c r="I149" s="9">
        <f t="shared" si="50"/>
        <v>642917056</v>
      </c>
      <c r="J149" s="9">
        <v>1.196288E7</v>
      </c>
      <c r="K149" s="6" t="s">
        <v>358</v>
      </c>
      <c r="L149" s="9"/>
      <c r="M149" s="10"/>
      <c r="N149" s="10"/>
      <c r="O149" s="9">
        <f t="shared" si="51"/>
        <v>642917056</v>
      </c>
      <c r="P149" s="15">
        <v>0.4240929</v>
      </c>
      <c r="Q149" s="9">
        <f t="shared" si="52"/>
        <v>272656558.7</v>
      </c>
      <c r="R149" s="9">
        <f t="shared" si="53"/>
        <v>272656558.7</v>
      </c>
      <c r="S149" s="9">
        <f t="shared" si="54"/>
        <v>272656558.7</v>
      </c>
      <c r="T149" s="9"/>
      <c r="U149" s="16" t="s">
        <v>359</v>
      </c>
      <c r="V149" s="6"/>
      <c r="W149" s="6"/>
      <c r="X149" s="6"/>
      <c r="Y149" s="6"/>
      <c r="Z149" s="6"/>
      <c r="AA149" s="6"/>
      <c r="AB149" s="6"/>
      <c r="AC149" s="6"/>
      <c r="AD149" s="6"/>
      <c r="AE149" s="6"/>
      <c r="AF149" s="6"/>
      <c r="AG149" s="6"/>
      <c r="AH149" s="6"/>
    </row>
    <row r="150" ht="15.75" customHeight="1">
      <c r="A150" s="6"/>
      <c r="B150" s="6" t="s">
        <v>36</v>
      </c>
      <c r="C150" s="6"/>
      <c r="D150" s="6"/>
      <c r="E150" s="35" t="s">
        <v>360</v>
      </c>
      <c r="F150" s="6" t="s">
        <v>29</v>
      </c>
      <c r="G150" s="9"/>
      <c r="H150" s="9">
        <f>263035972+34392981+30239698+36895488+12155776+32429489+2089397+1442102</f>
        <v>412680903</v>
      </c>
      <c r="I150" s="9">
        <f t="shared" si="50"/>
        <v>363629639</v>
      </c>
      <c r="J150" s="9">
        <f>36895488+12155776</f>
        <v>49051264</v>
      </c>
      <c r="K150" s="6" t="s">
        <v>361</v>
      </c>
      <c r="L150" s="9"/>
      <c r="M150" s="10"/>
      <c r="N150" s="10"/>
      <c r="O150" s="9">
        <f t="shared" si="51"/>
        <v>363629639</v>
      </c>
      <c r="P150" s="15">
        <v>0.4240929</v>
      </c>
      <c r="Q150" s="9">
        <f t="shared" si="52"/>
        <v>154212748.1</v>
      </c>
      <c r="R150" s="9">
        <f t="shared" si="53"/>
        <v>154212748.1</v>
      </c>
      <c r="S150" s="9">
        <f t="shared" si="54"/>
        <v>154212748.1</v>
      </c>
      <c r="T150" s="9"/>
      <c r="U150" s="16" t="s">
        <v>362</v>
      </c>
      <c r="V150" s="6"/>
      <c r="W150" s="6"/>
      <c r="X150" s="6"/>
      <c r="Y150" s="6"/>
      <c r="Z150" s="6"/>
      <c r="AA150" s="6"/>
      <c r="AB150" s="6"/>
      <c r="AC150" s="6"/>
      <c r="AD150" s="6"/>
      <c r="AE150" s="6"/>
      <c r="AF150" s="6"/>
      <c r="AG150" s="6"/>
      <c r="AH150" s="6"/>
    </row>
    <row r="151" ht="15.75" customHeight="1">
      <c r="A151" s="6"/>
      <c r="B151" s="6" t="s">
        <v>36</v>
      </c>
      <c r="C151" s="6"/>
      <c r="D151" s="6"/>
      <c r="E151" s="35" t="s">
        <v>363</v>
      </c>
      <c r="F151" s="6" t="s">
        <v>29</v>
      </c>
      <c r="G151" s="9"/>
      <c r="H151" s="9">
        <f>100725096+90452130+105032033+ 28595958+29636442+40315353+18673163+1360307+2242514</f>
        <v>417032996</v>
      </c>
      <c r="I151" s="9">
        <f t="shared" si="50"/>
        <v>296944424</v>
      </c>
      <c r="J151" s="9">
        <f>90452130+29636442</f>
        <v>120088572</v>
      </c>
      <c r="K151" s="6" t="s">
        <v>364</v>
      </c>
      <c r="L151" s="9"/>
      <c r="M151" s="10"/>
      <c r="N151" s="10"/>
      <c r="O151" s="9">
        <f t="shared" si="51"/>
        <v>296944424</v>
      </c>
      <c r="P151" s="15">
        <v>0.4240929</v>
      </c>
      <c r="Q151" s="9">
        <f t="shared" si="52"/>
        <v>125932021.9</v>
      </c>
      <c r="R151" s="9">
        <f t="shared" si="53"/>
        <v>125932021.9</v>
      </c>
      <c r="S151" s="9">
        <f t="shared" si="54"/>
        <v>125932021.9</v>
      </c>
      <c r="T151" s="9"/>
      <c r="U151" s="16" t="s">
        <v>365</v>
      </c>
      <c r="V151" s="6"/>
      <c r="W151" s="6"/>
      <c r="X151" s="6"/>
      <c r="Y151" s="6"/>
      <c r="Z151" s="6"/>
      <c r="AA151" s="6"/>
      <c r="AB151" s="6"/>
      <c r="AC151" s="6"/>
      <c r="AD151" s="6"/>
      <c r="AE151" s="6"/>
      <c r="AF151" s="6"/>
      <c r="AG151" s="6"/>
      <c r="AH151" s="6"/>
    </row>
    <row r="152" ht="15.75" customHeight="1">
      <c r="A152" s="6"/>
      <c r="B152" s="6" t="s">
        <v>36</v>
      </c>
      <c r="C152" s="6"/>
      <c r="D152" s="6"/>
      <c r="E152" s="35" t="s">
        <v>366</v>
      </c>
      <c r="F152" s="6" t="s">
        <v>29</v>
      </c>
      <c r="G152" s="9">
        <v>5.4059176E7</v>
      </c>
      <c r="H152" s="9">
        <v>3.41594848E8</v>
      </c>
      <c r="I152" s="9">
        <f t="shared" si="50"/>
        <v>341594848</v>
      </c>
      <c r="J152" s="9"/>
      <c r="K152" s="6"/>
      <c r="L152" s="9"/>
      <c r="M152" s="10"/>
      <c r="N152" s="10"/>
      <c r="O152" s="9">
        <f t="shared" si="51"/>
        <v>395654024</v>
      </c>
      <c r="P152" s="15">
        <v>0.4240929</v>
      </c>
      <c r="Q152" s="9">
        <f t="shared" si="52"/>
        <v>144867949.7</v>
      </c>
      <c r="R152" s="9">
        <f t="shared" si="53"/>
        <v>167794062.4</v>
      </c>
      <c r="S152" s="9">
        <f t="shared" si="54"/>
        <v>167794062.4</v>
      </c>
      <c r="T152" s="9"/>
      <c r="U152" s="16" t="s">
        <v>367</v>
      </c>
      <c r="V152" s="6"/>
      <c r="W152" s="6"/>
      <c r="X152" s="6"/>
      <c r="Y152" s="6"/>
      <c r="Z152" s="6"/>
      <c r="AA152" s="6"/>
      <c r="AB152" s="6"/>
      <c r="AC152" s="6"/>
      <c r="AD152" s="6"/>
      <c r="AE152" s="6"/>
      <c r="AF152" s="6"/>
      <c r="AG152" s="6"/>
      <c r="AH152" s="6"/>
    </row>
    <row r="153" ht="15.75" customHeight="1">
      <c r="A153" s="6"/>
      <c r="B153" s="6" t="s">
        <v>36</v>
      </c>
      <c r="C153" s="6"/>
      <c r="D153" s="6"/>
      <c r="E153" s="35" t="s">
        <v>368</v>
      </c>
      <c r="F153" s="6" t="s">
        <v>29</v>
      </c>
      <c r="G153" s="9"/>
      <c r="H153" s="9">
        <f>162497082+2743978+9903515</f>
        <v>175144575</v>
      </c>
      <c r="I153" s="9">
        <f t="shared" si="50"/>
        <v>175144575</v>
      </c>
      <c r="J153" s="9"/>
      <c r="K153" s="6"/>
      <c r="L153" s="9"/>
      <c r="M153" s="10"/>
      <c r="N153" s="10"/>
      <c r="O153" s="9">
        <f t="shared" si="51"/>
        <v>175144575</v>
      </c>
      <c r="P153" s="15">
        <v>0.4240929</v>
      </c>
      <c r="Q153" s="9">
        <f t="shared" si="52"/>
        <v>74277570.73</v>
      </c>
      <c r="R153" s="9">
        <f t="shared" si="53"/>
        <v>74277570.73</v>
      </c>
      <c r="S153" s="9">
        <f t="shared" si="54"/>
        <v>74277570.73</v>
      </c>
      <c r="T153" s="9"/>
      <c r="U153" s="16" t="s">
        <v>369</v>
      </c>
      <c r="V153" s="6"/>
      <c r="W153" s="6"/>
      <c r="X153" s="6"/>
      <c r="Y153" s="6"/>
      <c r="Z153" s="6"/>
      <c r="AA153" s="6"/>
      <c r="AB153" s="6"/>
      <c r="AC153" s="6"/>
      <c r="AD153" s="6"/>
      <c r="AE153" s="6"/>
      <c r="AF153" s="6"/>
      <c r="AG153" s="6"/>
      <c r="AH153" s="6"/>
    </row>
    <row r="154" ht="15.75" customHeight="1">
      <c r="A154" s="6"/>
      <c r="B154" s="6"/>
      <c r="C154" s="6"/>
      <c r="D154" s="6"/>
      <c r="E154" s="17" t="s">
        <v>35</v>
      </c>
      <c r="F154" s="6"/>
      <c r="G154" s="9"/>
      <c r="H154" s="9"/>
      <c r="I154" s="9"/>
      <c r="J154" s="9"/>
      <c r="K154" s="6"/>
      <c r="L154" s="9"/>
      <c r="M154" s="10"/>
      <c r="N154" s="10"/>
      <c r="O154" s="9"/>
      <c r="P154" s="26" t="s">
        <v>370</v>
      </c>
      <c r="Q154" s="19">
        <f t="shared" ref="Q154:S154" si="55">SUM(Q130:Q153)</f>
        <v>11134655015</v>
      </c>
      <c r="R154" s="19">
        <f t="shared" si="55"/>
        <v>14594515439</v>
      </c>
      <c r="S154" s="19">
        <f t="shared" si="55"/>
        <v>15195462458</v>
      </c>
      <c r="T154" s="20">
        <v>5.432418772E9</v>
      </c>
      <c r="U154" s="6"/>
      <c r="V154" s="6"/>
      <c r="W154" s="6"/>
      <c r="X154" s="6"/>
      <c r="Y154" s="6"/>
      <c r="Z154" s="6"/>
      <c r="AA154" s="6"/>
      <c r="AB154" s="6"/>
      <c r="AC154" s="6"/>
      <c r="AD154" s="6"/>
      <c r="AE154" s="6"/>
      <c r="AF154" s="6"/>
      <c r="AG154" s="6"/>
      <c r="AH154" s="6"/>
    </row>
    <row r="155" ht="15.75" customHeight="1">
      <c r="A155" s="7">
        <v>9.0</v>
      </c>
      <c r="B155" s="6" t="s">
        <v>106</v>
      </c>
      <c r="C155" s="7" t="s">
        <v>107</v>
      </c>
      <c r="D155" s="6"/>
      <c r="E155" s="6"/>
      <c r="F155" s="7" t="s">
        <v>1</v>
      </c>
      <c r="G155" s="8">
        <v>3.9005005E10</v>
      </c>
      <c r="H155" s="8">
        <v>6.3331858E10</v>
      </c>
      <c r="I155" s="9">
        <f t="shared" ref="I155:I202" si="56">H155-J155</f>
        <v>63099627000</v>
      </c>
      <c r="J155" s="9">
        <f>23645000+207888000+698000</f>
        <v>232231000</v>
      </c>
      <c r="K155" s="28" t="s">
        <v>108</v>
      </c>
      <c r="L155" s="9"/>
      <c r="M155" s="10"/>
      <c r="N155" s="10">
        <f>5193922000+1989916000</f>
        <v>7183838000</v>
      </c>
      <c r="O155" s="9">
        <f t="shared" ref="O155:O202" si="57">G155+I155</f>
        <v>102104632000</v>
      </c>
      <c r="P155" s="31">
        <v>0.046</v>
      </c>
      <c r="Q155" s="9">
        <f t="shared" ref="Q155:Q174" si="58">I155*P155</f>
        <v>2902582842</v>
      </c>
      <c r="R155" s="9">
        <f t="shared" ref="R155:R174" si="59">(O155-N155-M155)*P155</f>
        <v>4366356524</v>
      </c>
      <c r="S155" s="9">
        <f t="shared" ref="S155:S174" si="60">O155*P155</f>
        <v>4696813072</v>
      </c>
      <c r="T155" s="9"/>
      <c r="U155" s="16" t="s">
        <v>109</v>
      </c>
      <c r="V155" s="6"/>
      <c r="W155" s="6"/>
      <c r="X155" s="6"/>
      <c r="Y155" s="6"/>
      <c r="Z155" s="6"/>
      <c r="AA155" s="6"/>
      <c r="AB155" s="6"/>
      <c r="AC155" s="6"/>
      <c r="AD155" s="6"/>
      <c r="AE155" s="6"/>
      <c r="AF155" s="6"/>
      <c r="AG155" s="6"/>
      <c r="AH155" s="6"/>
    </row>
    <row r="156" ht="15.75" customHeight="1">
      <c r="A156" s="6"/>
      <c r="B156" s="6" t="s">
        <v>106</v>
      </c>
      <c r="C156" s="6"/>
      <c r="D156" s="6" t="s">
        <v>371</v>
      </c>
      <c r="E156" s="6"/>
      <c r="F156" s="6" t="s">
        <v>3</v>
      </c>
      <c r="G156" s="9">
        <v>1.209619E9</v>
      </c>
      <c r="H156" s="9">
        <v>1.668152E9</v>
      </c>
      <c r="I156" s="9">
        <f t="shared" si="56"/>
        <v>1655599000</v>
      </c>
      <c r="J156" s="9">
        <v>1.2553E7</v>
      </c>
      <c r="K156" s="6" t="s">
        <v>372</v>
      </c>
      <c r="L156" s="9"/>
      <c r="M156" s="10"/>
      <c r="N156" s="14">
        <v>120000.0</v>
      </c>
      <c r="O156" s="9">
        <f t="shared" si="57"/>
        <v>2865218000</v>
      </c>
      <c r="P156" s="15">
        <v>1.0</v>
      </c>
      <c r="Q156" s="9">
        <f t="shared" si="58"/>
        <v>1655599000</v>
      </c>
      <c r="R156" s="9">
        <f t="shared" si="59"/>
        <v>2865098000</v>
      </c>
      <c r="S156" s="9">
        <f t="shared" si="60"/>
        <v>2865218000</v>
      </c>
      <c r="T156" s="9"/>
      <c r="U156" s="32" t="s">
        <v>373</v>
      </c>
      <c r="V156" s="6"/>
      <c r="W156" s="6"/>
      <c r="X156" s="6"/>
      <c r="Y156" s="6"/>
      <c r="Z156" s="6"/>
      <c r="AA156" s="6"/>
      <c r="AB156" s="6"/>
      <c r="AC156" s="6"/>
      <c r="AD156" s="6"/>
      <c r="AE156" s="6"/>
      <c r="AF156" s="6"/>
      <c r="AG156" s="6"/>
      <c r="AH156" s="6"/>
    </row>
    <row r="157" ht="15.75" customHeight="1">
      <c r="A157" s="6"/>
      <c r="B157" s="6" t="s">
        <v>106</v>
      </c>
      <c r="C157" s="6"/>
      <c r="D157" s="6"/>
      <c r="E157" s="6" t="s">
        <v>374</v>
      </c>
      <c r="F157" s="6" t="s">
        <v>43</v>
      </c>
      <c r="G157" s="9">
        <v>1.58892E8</v>
      </c>
      <c r="H157" s="9">
        <v>6.47498E8</v>
      </c>
      <c r="I157" s="9">
        <f t="shared" si="56"/>
        <v>643900000</v>
      </c>
      <c r="J157" s="9">
        <v>3598000.0</v>
      </c>
      <c r="K157" s="25" t="s">
        <v>168</v>
      </c>
      <c r="L157" s="9"/>
      <c r="M157" s="10"/>
      <c r="N157" s="14">
        <v>9204000.0</v>
      </c>
      <c r="O157" s="9">
        <f t="shared" si="57"/>
        <v>802792000</v>
      </c>
      <c r="P157" s="15">
        <v>0.4644</v>
      </c>
      <c r="Q157" s="9">
        <f t="shared" si="58"/>
        <v>299027160</v>
      </c>
      <c r="R157" s="9">
        <f t="shared" si="59"/>
        <v>368542267.2</v>
      </c>
      <c r="S157" s="9">
        <f t="shared" si="60"/>
        <v>372816604.8</v>
      </c>
      <c r="T157" s="9"/>
      <c r="U157" s="32" t="s">
        <v>375</v>
      </c>
      <c r="V157" s="6"/>
      <c r="W157" s="6"/>
      <c r="X157" s="6"/>
      <c r="Y157" s="6"/>
      <c r="Z157" s="6"/>
      <c r="AA157" s="6"/>
      <c r="AB157" s="6"/>
      <c r="AC157" s="6"/>
      <c r="AD157" s="6"/>
      <c r="AE157" s="6"/>
      <c r="AF157" s="6"/>
      <c r="AG157" s="6"/>
      <c r="AH157" s="6"/>
    </row>
    <row r="158" ht="15.75" customHeight="1">
      <c r="A158" s="6"/>
      <c r="B158" s="6" t="s">
        <v>106</v>
      </c>
      <c r="C158" s="6"/>
      <c r="D158" s="6"/>
      <c r="E158" s="6" t="s">
        <v>376</v>
      </c>
      <c r="F158" s="6" t="s">
        <v>43</v>
      </c>
      <c r="G158" s="9">
        <v>5.2572536E7</v>
      </c>
      <c r="H158" s="9">
        <v>2.73398852E8</v>
      </c>
      <c r="I158" s="9">
        <f t="shared" si="56"/>
        <v>273398852</v>
      </c>
      <c r="J158" s="9"/>
      <c r="K158" s="25"/>
      <c r="L158" s="9"/>
      <c r="M158" s="10"/>
      <c r="N158" s="14">
        <v>159919.0</v>
      </c>
      <c r="O158" s="9">
        <f t="shared" si="57"/>
        <v>325971388</v>
      </c>
      <c r="P158" s="15">
        <v>0.0483</v>
      </c>
      <c r="Q158" s="9">
        <f t="shared" si="58"/>
        <v>13205164.55</v>
      </c>
      <c r="R158" s="9">
        <f t="shared" si="59"/>
        <v>15736693.95</v>
      </c>
      <c r="S158" s="9">
        <f t="shared" si="60"/>
        <v>15744418.04</v>
      </c>
      <c r="T158" s="9"/>
      <c r="U158" s="32" t="s">
        <v>377</v>
      </c>
      <c r="V158" s="6"/>
      <c r="W158" s="6"/>
      <c r="X158" s="6"/>
      <c r="Y158" s="6"/>
      <c r="Z158" s="6"/>
      <c r="AA158" s="6"/>
      <c r="AB158" s="6"/>
      <c r="AC158" s="6"/>
      <c r="AD158" s="6"/>
      <c r="AE158" s="6"/>
      <c r="AF158" s="6"/>
      <c r="AG158" s="6"/>
      <c r="AH158" s="6"/>
    </row>
    <row r="159" ht="15.75" customHeight="1">
      <c r="A159" s="6"/>
      <c r="B159" s="6" t="s">
        <v>106</v>
      </c>
      <c r="C159" s="6"/>
      <c r="D159" s="6"/>
      <c r="E159" s="6" t="s">
        <v>378</v>
      </c>
      <c r="F159" s="6" t="s">
        <v>43</v>
      </c>
      <c r="G159" s="9">
        <v>2.8968139E7</v>
      </c>
      <c r="H159" s="9">
        <v>2.48564291E8</v>
      </c>
      <c r="I159" s="9">
        <f t="shared" si="56"/>
        <v>248564291</v>
      </c>
      <c r="J159" s="9"/>
      <c r="K159" s="25"/>
      <c r="L159" s="9"/>
      <c r="M159" s="10"/>
      <c r="N159" s="14">
        <v>371080.0</v>
      </c>
      <c r="O159" s="9">
        <f t="shared" si="57"/>
        <v>277532430</v>
      </c>
      <c r="P159" s="15">
        <v>0.031</v>
      </c>
      <c r="Q159" s="9">
        <f t="shared" si="58"/>
        <v>7705493.021</v>
      </c>
      <c r="R159" s="9">
        <f t="shared" si="59"/>
        <v>8592001.85</v>
      </c>
      <c r="S159" s="9">
        <f t="shared" si="60"/>
        <v>8603505.33</v>
      </c>
      <c r="T159" s="9"/>
      <c r="U159" s="32" t="s">
        <v>379</v>
      </c>
      <c r="V159" s="6"/>
      <c r="W159" s="6"/>
      <c r="X159" s="6"/>
      <c r="Y159" s="6"/>
      <c r="Z159" s="6"/>
      <c r="AA159" s="6"/>
      <c r="AB159" s="6"/>
      <c r="AC159" s="6"/>
      <c r="AD159" s="6"/>
      <c r="AE159" s="6"/>
      <c r="AF159" s="6"/>
      <c r="AG159" s="6"/>
      <c r="AH159" s="6"/>
    </row>
    <row r="160" ht="15.75" customHeight="1">
      <c r="A160" s="6"/>
      <c r="B160" s="6" t="s">
        <v>106</v>
      </c>
      <c r="C160" s="6"/>
      <c r="D160" s="6"/>
      <c r="E160" s="25" t="s">
        <v>380</v>
      </c>
      <c r="F160" s="6" t="s">
        <v>47</v>
      </c>
      <c r="G160" s="9">
        <v>2.095937E7</v>
      </c>
      <c r="H160" s="9">
        <v>7.91850518E8</v>
      </c>
      <c r="I160" s="9">
        <f t="shared" si="56"/>
        <v>764229340</v>
      </c>
      <c r="J160" s="9">
        <v>2.7621178E7</v>
      </c>
      <c r="K160" s="25" t="s">
        <v>381</v>
      </c>
      <c r="L160" s="9"/>
      <c r="M160" s="10"/>
      <c r="N160" s="14">
        <v>0.0</v>
      </c>
      <c r="O160" s="9">
        <f t="shared" si="57"/>
        <v>785188710</v>
      </c>
      <c r="P160" s="15">
        <v>0.0942452</v>
      </c>
      <c r="Q160" s="9">
        <f t="shared" si="58"/>
        <v>72024946.99</v>
      </c>
      <c r="R160" s="9">
        <f t="shared" si="59"/>
        <v>74000267.01</v>
      </c>
      <c r="S160" s="9">
        <f t="shared" si="60"/>
        <v>74000267.01</v>
      </c>
      <c r="T160" s="9"/>
      <c r="U160" s="32" t="s">
        <v>382</v>
      </c>
      <c r="V160" s="6"/>
      <c r="W160" s="6"/>
      <c r="X160" s="6"/>
      <c r="Y160" s="6"/>
      <c r="Z160" s="6"/>
      <c r="AA160" s="6"/>
      <c r="AB160" s="6"/>
      <c r="AC160" s="6"/>
      <c r="AD160" s="6"/>
      <c r="AE160" s="6"/>
      <c r="AF160" s="6"/>
      <c r="AG160" s="6"/>
      <c r="AH160" s="6"/>
    </row>
    <row r="161" ht="15.75" customHeight="1">
      <c r="A161" s="6"/>
      <c r="B161" s="6" t="s">
        <v>106</v>
      </c>
      <c r="C161" s="6"/>
      <c r="D161" s="6"/>
      <c r="E161" s="25" t="s">
        <v>383</v>
      </c>
      <c r="F161" s="6" t="s">
        <v>47</v>
      </c>
      <c r="G161" s="9">
        <v>6300683.0</v>
      </c>
      <c r="H161" s="9">
        <v>3.30727931E8</v>
      </c>
      <c r="I161" s="9">
        <f t="shared" si="56"/>
        <v>293361680</v>
      </c>
      <c r="J161" s="9">
        <f>6644+37359607</f>
        <v>37366251</v>
      </c>
      <c r="K161" s="25" t="s">
        <v>282</v>
      </c>
      <c r="L161" s="9"/>
      <c r="M161" s="10"/>
      <c r="N161" s="14">
        <v>159.0</v>
      </c>
      <c r="O161" s="9">
        <f t="shared" si="57"/>
        <v>299662363</v>
      </c>
      <c r="P161" s="15">
        <v>0.1303253</v>
      </c>
      <c r="Q161" s="9">
        <f t="shared" si="58"/>
        <v>38232448.95</v>
      </c>
      <c r="R161" s="9">
        <f t="shared" si="59"/>
        <v>39053566.63</v>
      </c>
      <c r="S161" s="9">
        <f t="shared" si="60"/>
        <v>39053587.36</v>
      </c>
      <c r="T161" s="9"/>
      <c r="U161" s="32" t="s">
        <v>384</v>
      </c>
      <c r="V161" s="6"/>
      <c r="W161" s="6"/>
      <c r="X161" s="6"/>
      <c r="Y161" s="6"/>
      <c r="Z161" s="6"/>
      <c r="AA161" s="6"/>
      <c r="AB161" s="6"/>
      <c r="AC161" s="6"/>
      <c r="AD161" s="6"/>
      <c r="AE161" s="6"/>
      <c r="AF161" s="6"/>
      <c r="AG161" s="6"/>
      <c r="AH161" s="6"/>
    </row>
    <row r="162" ht="15.75" customHeight="1">
      <c r="A162" s="6"/>
      <c r="B162" s="6" t="s">
        <v>106</v>
      </c>
      <c r="C162" s="6"/>
      <c r="D162" s="6"/>
      <c r="E162" s="25" t="s">
        <v>385</v>
      </c>
      <c r="F162" s="6" t="s">
        <v>47</v>
      </c>
      <c r="G162" s="9">
        <v>755144.0</v>
      </c>
      <c r="H162" s="9">
        <v>7.6383178E7</v>
      </c>
      <c r="I162" s="9">
        <f t="shared" si="56"/>
        <v>51034784</v>
      </c>
      <c r="J162" s="9">
        <v>2.5348394E7</v>
      </c>
      <c r="K162" s="25" t="s">
        <v>119</v>
      </c>
      <c r="L162" s="9"/>
      <c r="M162" s="10"/>
      <c r="N162" s="14">
        <v>0.0</v>
      </c>
      <c r="O162" s="9">
        <f t="shared" si="57"/>
        <v>51789928</v>
      </c>
      <c r="P162" s="15">
        <v>0.0879112</v>
      </c>
      <c r="Q162" s="9">
        <f t="shared" si="58"/>
        <v>4486529.103</v>
      </c>
      <c r="R162" s="9">
        <f t="shared" si="59"/>
        <v>4552914.718</v>
      </c>
      <c r="S162" s="9">
        <f t="shared" si="60"/>
        <v>4552914.718</v>
      </c>
      <c r="T162" s="9"/>
      <c r="U162" s="32" t="s">
        <v>386</v>
      </c>
      <c r="V162" s="6"/>
      <c r="W162" s="6"/>
      <c r="X162" s="6"/>
      <c r="Y162" s="6"/>
      <c r="Z162" s="6"/>
      <c r="AA162" s="6"/>
      <c r="AB162" s="6"/>
      <c r="AC162" s="6"/>
      <c r="AD162" s="6"/>
      <c r="AE162" s="6"/>
      <c r="AF162" s="6"/>
      <c r="AG162" s="6"/>
      <c r="AH162" s="6"/>
    </row>
    <row r="163" ht="15.75" customHeight="1">
      <c r="A163" s="6"/>
      <c r="B163" s="6" t="s">
        <v>106</v>
      </c>
      <c r="C163" s="6"/>
      <c r="D163" s="6"/>
      <c r="E163" s="25" t="s">
        <v>387</v>
      </c>
      <c r="F163" s="6" t="s">
        <v>47</v>
      </c>
      <c r="G163" s="9">
        <v>5505163.0</v>
      </c>
      <c r="H163" s="9">
        <v>1.82068753E8</v>
      </c>
      <c r="I163" s="9">
        <f t="shared" si="56"/>
        <v>176539862</v>
      </c>
      <c r="J163" s="9">
        <v>5528891.0</v>
      </c>
      <c r="K163" s="25" t="s">
        <v>40</v>
      </c>
      <c r="L163" s="9"/>
      <c r="M163" s="10"/>
      <c r="N163" s="14">
        <v>0.0</v>
      </c>
      <c r="O163" s="9">
        <f t="shared" si="57"/>
        <v>182045025</v>
      </c>
      <c r="P163" s="15">
        <v>0.1313717</v>
      </c>
      <c r="Q163" s="9">
        <f t="shared" si="58"/>
        <v>23192341.79</v>
      </c>
      <c r="R163" s="9">
        <f t="shared" si="59"/>
        <v>23915564.41</v>
      </c>
      <c r="S163" s="9">
        <f t="shared" si="60"/>
        <v>23915564.41</v>
      </c>
      <c r="T163" s="9"/>
      <c r="U163" s="32" t="s">
        <v>388</v>
      </c>
      <c r="V163" s="6"/>
      <c r="W163" s="6"/>
      <c r="X163" s="6"/>
      <c r="Y163" s="6"/>
      <c r="Z163" s="6"/>
      <c r="AA163" s="6"/>
      <c r="AB163" s="6"/>
      <c r="AC163" s="6"/>
      <c r="AD163" s="6"/>
      <c r="AE163" s="6"/>
      <c r="AF163" s="6"/>
      <c r="AG163" s="6"/>
      <c r="AH163" s="6"/>
    </row>
    <row r="164" ht="15.75" customHeight="1">
      <c r="A164" s="6"/>
      <c r="B164" s="6" t="s">
        <v>106</v>
      </c>
      <c r="C164" s="6"/>
      <c r="D164" s="6"/>
      <c r="E164" s="25" t="s">
        <v>389</v>
      </c>
      <c r="F164" s="6" t="s">
        <v>47</v>
      </c>
      <c r="G164" s="37">
        <v>5147745.0</v>
      </c>
      <c r="H164" s="9">
        <v>1.857637384E9</v>
      </c>
      <c r="I164" s="9">
        <f t="shared" si="56"/>
        <v>1669777803</v>
      </c>
      <c r="J164" s="9">
        <f>47717109+130924356+21195720-11977604</f>
        <v>187859581</v>
      </c>
      <c r="K164" s="6" t="s">
        <v>390</v>
      </c>
      <c r="L164" s="9"/>
      <c r="M164" s="10"/>
      <c r="N164" s="14">
        <v>0.0</v>
      </c>
      <c r="O164" s="9">
        <f t="shared" si="57"/>
        <v>1674925548</v>
      </c>
      <c r="P164" s="15">
        <v>0.9406174</v>
      </c>
      <c r="Q164" s="9">
        <f t="shared" si="58"/>
        <v>1570622056</v>
      </c>
      <c r="R164" s="9">
        <f t="shared" si="59"/>
        <v>1575464114</v>
      </c>
      <c r="S164" s="9">
        <f t="shared" si="60"/>
        <v>1575464114</v>
      </c>
      <c r="T164" s="9"/>
      <c r="U164" s="32" t="s">
        <v>391</v>
      </c>
      <c r="V164" s="6"/>
      <c r="W164" s="6"/>
      <c r="X164" s="6"/>
      <c r="Y164" s="6"/>
      <c r="Z164" s="6"/>
      <c r="AA164" s="6"/>
      <c r="AB164" s="6"/>
      <c r="AC164" s="6"/>
      <c r="AD164" s="6"/>
      <c r="AE164" s="6"/>
      <c r="AF164" s="6"/>
      <c r="AG164" s="6"/>
      <c r="AH164" s="6"/>
    </row>
    <row r="165" ht="15.75" customHeight="1">
      <c r="A165" s="6"/>
      <c r="B165" s="6" t="s">
        <v>106</v>
      </c>
      <c r="C165" s="6"/>
      <c r="D165" s="6"/>
      <c r="E165" s="25" t="s">
        <v>392</v>
      </c>
      <c r="F165" s="6" t="s">
        <v>47</v>
      </c>
      <c r="G165" s="37">
        <v>976856.0</v>
      </c>
      <c r="H165" s="9">
        <v>1.32268476E8</v>
      </c>
      <c r="I165" s="9">
        <f t="shared" si="56"/>
        <v>71769239</v>
      </c>
      <c r="J165" s="9">
        <v>6.0499237E7</v>
      </c>
      <c r="K165" s="6"/>
      <c r="L165" s="9"/>
      <c r="M165" s="10"/>
      <c r="N165" s="14">
        <v>0.0</v>
      </c>
      <c r="O165" s="9">
        <f t="shared" si="57"/>
        <v>72746095</v>
      </c>
      <c r="P165" s="15">
        <v>0.3725997</v>
      </c>
      <c r="Q165" s="9">
        <f t="shared" si="58"/>
        <v>26741196.92</v>
      </c>
      <c r="R165" s="9">
        <f t="shared" si="59"/>
        <v>27105173.17</v>
      </c>
      <c r="S165" s="9">
        <f t="shared" si="60"/>
        <v>27105173.17</v>
      </c>
      <c r="T165" s="9"/>
      <c r="U165" s="32" t="s">
        <v>393</v>
      </c>
      <c r="V165" s="6"/>
      <c r="W165" s="6"/>
      <c r="X165" s="6"/>
      <c r="Y165" s="6"/>
      <c r="Z165" s="6"/>
      <c r="AA165" s="6"/>
      <c r="AB165" s="6"/>
      <c r="AC165" s="6"/>
      <c r="AD165" s="6"/>
      <c r="AE165" s="6"/>
      <c r="AF165" s="6"/>
      <c r="AG165" s="6"/>
      <c r="AH165" s="6"/>
    </row>
    <row r="166" ht="15.75" customHeight="1">
      <c r="A166" s="6"/>
      <c r="B166" s="6" t="s">
        <v>106</v>
      </c>
      <c r="C166" s="6"/>
      <c r="D166" s="6"/>
      <c r="E166" s="25" t="s">
        <v>394</v>
      </c>
      <c r="F166" s="6" t="s">
        <v>47</v>
      </c>
      <c r="G166" s="37">
        <v>9028933.0</v>
      </c>
      <c r="H166" s="9">
        <v>5.61418373E8</v>
      </c>
      <c r="I166" s="9">
        <f t="shared" si="56"/>
        <v>295007936</v>
      </c>
      <c r="J166" s="9">
        <f>1863128+264547309</f>
        <v>266410437</v>
      </c>
      <c r="K166" s="6"/>
      <c r="L166" s="9"/>
      <c r="M166" s="10"/>
      <c r="N166" s="14">
        <v>0.0</v>
      </c>
      <c r="O166" s="9">
        <f t="shared" si="57"/>
        <v>304036869</v>
      </c>
      <c r="P166" s="15">
        <v>0.0435627</v>
      </c>
      <c r="Q166" s="9">
        <f t="shared" si="58"/>
        <v>12851342.21</v>
      </c>
      <c r="R166" s="9">
        <f t="shared" si="59"/>
        <v>13244666.91</v>
      </c>
      <c r="S166" s="9">
        <f t="shared" si="60"/>
        <v>13244666.91</v>
      </c>
      <c r="T166" s="9"/>
      <c r="U166" s="32" t="s">
        <v>395</v>
      </c>
      <c r="V166" s="6"/>
      <c r="W166" s="6"/>
      <c r="X166" s="6"/>
      <c r="Y166" s="6"/>
      <c r="Z166" s="6"/>
      <c r="AA166" s="6"/>
      <c r="AB166" s="6"/>
      <c r="AC166" s="6"/>
      <c r="AD166" s="6"/>
      <c r="AE166" s="6"/>
      <c r="AF166" s="6"/>
      <c r="AG166" s="6"/>
      <c r="AH166" s="6"/>
    </row>
    <row r="167" ht="15.75" customHeight="1">
      <c r="A167" s="6"/>
      <c r="B167" s="6" t="s">
        <v>106</v>
      </c>
      <c r="C167" s="6"/>
      <c r="D167" s="6"/>
      <c r="E167" s="25" t="s">
        <v>396</v>
      </c>
      <c r="F167" s="6" t="s">
        <v>47</v>
      </c>
      <c r="G167" s="37">
        <v>4247673.0</v>
      </c>
      <c r="H167" s="9">
        <v>3.21620954E8</v>
      </c>
      <c r="I167" s="9">
        <f t="shared" si="56"/>
        <v>128919409</v>
      </c>
      <c r="J167" s="9">
        <v>1.92701545E8</v>
      </c>
      <c r="K167" s="6"/>
      <c r="L167" s="9"/>
      <c r="M167" s="10"/>
      <c r="N167" s="14">
        <v>655.0</v>
      </c>
      <c r="O167" s="9">
        <f t="shared" si="57"/>
        <v>133167082</v>
      </c>
      <c r="P167" s="15">
        <v>0.0489508</v>
      </c>
      <c r="Q167" s="9">
        <f t="shared" si="58"/>
        <v>6310708.206</v>
      </c>
      <c r="R167" s="9">
        <f t="shared" si="59"/>
        <v>6518603.135</v>
      </c>
      <c r="S167" s="9">
        <f t="shared" si="60"/>
        <v>6518635.198</v>
      </c>
      <c r="T167" s="9"/>
      <c r="U167" s="32" t="s">
        <v>397</v>
      </c>
      <c r="V167" s="6"/>
      <c r="W167" s="6"/>
      <c r="X167" s="6"/>
      <c r="Y167" s="6"/>
      <c r="Z167" s="6"/>
      <c r="AA167" s="6"/>
      <c r="AB167" s="6"/>
      <c r="AC167" s="6"/>
      <c r="AD167" s="6"/>
      <c r="AE167" s="6"/>
      <c r="AF167" s="6"/>
      <c r="AG167" s="6"/>
      <c r="AH167" s="6"/>
    </row>
    <row r="168" ht="15.75" customHeight="1">
      <c r="A168" s="6"/>
      <c r="B168" s="6" t="s">
        <v>106</v>
      </c>
      <c r="C168" s="6"/>
      <c r="D168" s="6"/>
      <c r="E168" s="25" t="s">
        <v>398</v>
      </c>
      <c r="F168" s="6" t="s">
        <v>47</v>
      </c>
      <c r="G168" s="37">
        <v>2719624.0</v>
      </c>
      <c r="H168" s="9">
        <v>3.65998687E8</v>
      </c>
      <c r="I168" s="9">
        <f t="shared" si="56"/>
        <v>188691976</v>
      </c>
      <c r="J168" s="9">
        <v>1.77306711E8</v>
      </c>
      <c r="K168" s="6"/>
      <c r="L168" s="9"/>
      <c r="M168" s="10"/>
      <c r="N168" s="14">
        <v>0.0</v>
      </c>
      <c r="O168" s="9">
        <f t="shared" si="57"/>
        <v>191411600</v>
      </c>
      <c r="P168" s="15">
        <v>0.0149931</v>
      </c>
      <c r="Q168" s="9">
        <f t="shared" si="58"/>
        <v>2829077.665</v>
      </c>
      <c r="R168" s="9">
        <f t="shared" si="59"/>
        <v>2869853.26</v>
      </c>
      <c r="S168" s="9">
        <f t="shared" si="60"/>
        <v>2869853.26</v>
      </c>
      <c r="T168" s="9"/>
      <c r="U168" s="32" t="s">
        <v>399</v>
      </c>
      <c r="V168" s="6"/>
      <c r="W168" s="6"/>
      <c r="X168" s="6"/>
      <c r="Y168" s="6"/>
      <c r="Z168" s="6"/>
      <c r="AA168" s="6"/>
      <c r="AB168" s="6"/>
      <c r="AC168" s="6"/>
      <c r="AD168" s="6"/>
      <c r="AE168" s="6"/>
      <c r="AF168" s="6"/>
      <c r="AG168" s="6"/>
      <c r="AH168" s="6"/>
    </row>
    <row r="169" ht="15.75" customHeight="1">
      <c r="A169" s="6"/>
      <c r="B169" s="6" t="s">
        <v>106</v>
      </c>
      <c r="C169" s="6"/>
      <c r="D169" s="6"/>
      <c r="E169" s="25" t="s">
        <v>400</v>
      </c>
      <c r="F169" s="6" t="s">
        <v>47</v>
      </c>
      <c r="G169" s="37">
        <v>8314719.0</v>
      </c>
      <c r="H169" s="9">
        <v>4.47518705E8</v>
      </c>
      <c r="I169" s="9">
        <f t="shared" si="56"/>
        <v>352435695</v>
      </c>
      <c r="J169" s="9">
        <f>87495161+7587849</f>
        <v>95083010</v>
      </c>
      <c r="K169" s="6"/>
      <c r="L169" s="9"/>
      <c r="M169" s="10"/>
      <c r="N169" s="14">
        <v>0.0</v>
      </c>
      <c r="O169" s="9">
        <f t="shared" si="57"/>
        <v>360750414</v>
      </c>
      <c r="P169" s="15">
        <v>0.6056464</v>
      </c>
      <c r="Q169" s="9">
        <f t="shared" si="58"/>
        <v>213451409.9</v>
      </c>
      <c r="R169" s="9">
        <f t="shared" si="59"/>
        <v>218487189.5</v>
      </c>
      <c r="S169" s="9">
        <f t="shared" si="60"/>
        <v>218487189.5</v>
      </c>
      <c r="T169" s="9"/>
      <c r="U169" s="32" t="s">
        <v>401</v>
      </c>
      <c r="V169" s="6"/>
      <c r="W169" s="6"/>
      <c r="X169" s="6"/>
      <c r="Y169" s="6"/>
      <c r="Z169" s="6"/>
      <c r="AA169" s="6"/>
      <c r="AB169" s="6"/>
      <c r="AC169" s="6"/>
      <c r="AD169" s="6"/>
      <c r="AE169" s="6"/>
      <c r="AF169" s="6"/>
      <c r="AG169" s="6"/>
      <c r="AH169" s="6"/>
    </row>
    <row r="170" ht="15.75" customHeight="1">
      <c r="A170" s="6"/>
      <c r="B170" s="6" t="s">
        <v>106</v>
      </c>
      <c r="C170" s="6"/>
      <c r="D170" s="6"/>
      <c r="E170" s="25" t="s">
        <v>402</v>
      </c>
      <c r="F170" s="6" t="s">
        <v>47</v>
      </c>
      <c r="G170" s="37">
        <v>7166230.0</v>
      </c>
      <c r="H170" s="9">
        <v>1.78580707E8</v>
      </c>
      <c r="I170" s="9">
        <f t="shared" si="56"/>
        <v>144333539</v>
      </c>
      <c r="J170" s="9">
        <v>3.4247168E7</v>
      </c>
      <c r="K170" s="6"/>
      <c r="L170" s="9"/>
      <c r="M170" s="10"/>
      <c r="N170" s="14">
        <v>0.0</v>
      </c>
      <c r="O170" s="9">
        <f t="shared" si="57"/>
        <v>151499769</v>
      </c>
      <c r="P170" s="15">
        <v>0.2625406</v>
      </c>
      <c r="Q170" s="9">
        <f t="shared" si="58"/>
        <v>37893413.93</v>
      </c>
      <c r="R170" s="9">
        <f t="shared" si="59"/>
        <v>39774840.25</v>
      </c>
      <c r="S170" s="9">
        <f t="shared" si="60"/>
        <v>39774840.25</v>
      </c>
      <c r="T170" s="9"/>
      <c r="U170" s="32" t="s">
        <v>403</v>
      </c>
      <c r="V170" s="6"/>
      <c r="W170" s="6"/>
      <c r="X170" s="6"/>
      <c r="Y170" s="6"/>
      <c r="Z170" s="6"/>
      <c r="AA170" s="6"/>
      <c r="AB170" s="6"/>
      <c r="AC170" s="6"/>
      <c r="AD170" s="6"/>
      <c r="AE170" s="6"/>
      <c r="AF170" s="6"/>
      <c r="AG170" s="6"/>
      <c r="AH170" s="6"/>
    </row>
    <row r="171" ht="15.75" customHeight="1">
      <c r="A171" s="6"/>
      <c r="B171" s="6" t="s">
        <v>106</v>
      </c>
      <c r="C171" s="6"/>
      <c r="D171" s="6"/>
      <c r="E171" s="6" t="s">
        <v>404</v>
      </c>
      <c r="F171" s="6" t="s">
        <v>29</v>
      </c>
      <c r="G171" s="9"/>
      <c r="H171" s="9">
        <f>785673085+1525356+15916592</f>
        <v>803115033</v>
      </c>
      <c r="I171" s="9">
        <f t="shared" si="56"/>
        <v>803115033</v>
      </c>
      <c r="J171" s="9"/>
      <c r="K171" s="6"/>
      <c r="L171" s="9"/>
      <c r="M171" s="10"/>
      <c r="N171" s="10"/>
      <c r="O171" s="9">
        <f t="shared" si="57"/>
        <v>803115033</v>
      </c>
      <c r="P171" s="15">
        <v>0.1806606</v>
      </c>
      <c r="Q171" s="9">
        <f t="shared" si="58"/>
        <v>145091243.7</v>
      </c>
      <c r="R171" s="9">
        <f t="shared" si="59"/>
        <v>145091243.7</v>
      </c>
      <c r="S171" s="9">
        <f t="shared" si="60"/>
        <v>145091243.7</v>
      </c>
      <c r="T171" s="9"/>
      <c r="U171" s="32" t="s">
        <v>405</v>
      </c>
      <c r="V171" s="6"/>
      <c r="W171" s="6"/>
      <c r="X171" s="6"/>
      <c r="Y171" s="6"/>
      <c r="Z171" s="6"/>
      <c r="AA171" s="6"/>
      <c r="AB171" s="6"/>
      <c r="AC171" s="6"/>
      <c r="AD171" s="6"/>
      <c r="AE171" s="6"/>
      <c r="AF171" s="6"/>
      <c r="AG171" s="6"/>
      <c r="AH171" s="6"/>
    </row>
    <row r="172" ht="15.75" customHeight="1">
      <c r="A172" s="6"/>
      <c r="B172" s="6" t="s">
        <v>406</v>
      </c>
      <c r="C172" s="6"/>
      <c r="D172" s="6"/>
      <c r="E172" s="6" t="s">
        <v>407</v>
      </c>
      <c r="F172" s="6" t="s">
        <v>29</v>
      </c>
      <c r="G172" s="9"/>
      <c r="H172" s="9">
        <f>1198079+3100</f>
        <v>1201179</v>
      </c>
      <c r="I172" s="9">
        <f t="shared" si="56"/>
        <v>462419</v>
      </c>
      <c r="J172" s="9">
        <v>738760.0</v>
      </c>
      <c r="K172" s="6"/>
      <c r="L172" s="9"/>
      <c r="M172" s="10"/>
      <c r="N172" s="10"/>
      <c r="O172" s="9">
        <f t="shared" si="57"/>
        <v>462419</v>
      </c>
      <c r="P172" s="15">
        <v>1.0</v>
      </c>
      <c r="Q172" s="9">
        <f t="shared" si="58"/>
        <v>462419</v>
      </c>
      <c r="R172" s="9">
        <f t="shared" si="59"/>
        <v>462419</v>
      </c>
      <c r="S172" s="9">
        <f t="shared" si="60"/>
        <v>462419</v>
      </c>
      <c r="T172" s="9"/>
      <c r="U172" s="32" t="s">
        <v>408</v>
      </c>
      <c r="V172" s="6"/>
      <c r="W172" s="6"/>
      <c r="X172" s="6"/>
      <c r="Y172" s="6"/>
      <c r="Z172" s="6"/>
      <c r="AA172" s="6"/>
      <c r="AB172" s="6"/>
      <c r="AC172" s="6"/>
      <c r="AD172" s="6"/>
      <c r="AE172" s="6"/>
      <c r="AF172" s="6"/>
      <c r="AG172" s="6"/>
      <c r="AH172" s="6"/>
    </row>
    <row r="173" ht="15.75" customHeight="1">
      <c r="A173" s="6"/>
      <c r="B173" s="6" t="s">
        <v>106</v>
      </c>
      <c r="C173" s="6"/>
      <c r="D173" s="6"/>
      <c r="E173" s="6" t="s">
        <v>409</v>
      </c>
      <c r="F173" s="6" t="s">
        <v>29</v>
      </c>
      <c r="G173" s="9"/>
      <c r="H173" s="9">
        <f>55142000+616220000+6575000+8904000+21390000+294136000+15156000</f>
        <v>1017523000</v>
      </c>
      <c r="I173" s="9">
        <f t="shared" si="56"/>
        <v>723387000</v>
      </c>
      <c r="J173" s="9">
        <v>2.94136E8</v>
      </c>
      <c r="K173" s="6" t="s">
        <v>410</v>
      </c>
      <c r="L173" s="9"/>
      <c r="M173" s="10"/>
      <c r="N173" s="10"/>
      <c r="O173" s="9">
        <f t="shared" si="57"/>
        <v>723387000</v>
      </c>
      <c r="P173" s="15">
        <v>0.510871</v>
      </c>
      <c r="Q173" s="9">
        <f t="shared" si="58"/>
        <v>369557440.1</v>
      </c>
      <c r="R173" s="9">
        <f t="shared" si="59"/>
        <v>369557440.1</v>
      </c>
      <c r="S173" s="9">
        <f t="shared" si="60"/>
        <v>369557440.1</v>
      </c>
      <c r="T173" s="9"/>
      <c r="U173" s="32" t="s">
        <v>411</v>
      </c>
      <c r="V173" s="6"/>
      <c r="W173" s="6"/>
      <c r="X173" s="6"/>
      <c r="Y173" s="6"/>
      <c r="Z173" s="6"/>
      <c r="AA173" s="6"/>
      <c r="AB173" s="6"/>
      <c r="AC173" s="6"/>
      <c r="AD173" s="6"/>
      <c r="AE173" s="6"/>
      <c r="AF173" s="6"/>
      <c r="AG173" s="6"/>
      <c r="AH173" s="6"/>
    </row>
    <row r="174" ht="15.75" customHeight="1">
      <c r="A174" s="6"/>
      <c r="B174" s="6" t="s">
        <v>106</v>
      </c>
      <c r="C174" s="6"/>
      <c r="D174" s="6"/>
      <c r="E174" s="6" t="s">
        <v>412</v>
      </c>
      <c r="F174" s="6" t="s">
        <v>29</v>
      </c>
      <c r="G174" s="9"/>
      <c r="H174" s="9"/>
      <c r="I174" s="9">
        <f t="shared" si="56"/>
        <v>0</v>
      </c>
      <c r="J174" s="9"/>
      <c r="K174" s="6"/>
      <c r="L174" s="9"/>
      <c r="M174" s="10"/>
      <c r="N174" s="10"/>
      <c r="O174" s="9">
        <f t="shared" si="57"/>
        <v>0</v>
      </c>
      <c r="P174" s="15">
        <v>0.1838796</v>
      </c>
      <c r="Q174" s="9">
        <f t="shared" si="58"/>
        <v>0</v>
      </c>
      <c r="R174" s="9">
        <f t="shared" si="59"/>
        <v>0</v>
      </c>
      <c r="S174" s="9">
        <f t="shared" si="60"/>
        <v>0</v>
      </c>
      <c r="T174" s="9"/>
      <c r="U174" s="6"/>
      <c r="V174" s="6"/>
      <c r="W174" s="6"/>
      <c r="X174" s="6"/>
      <c r="Y174" s="6"/>
      <c r="Z174" s="6"/>
      <c r="AA174" s="6"/>
      <c r="AB174" s="6"/>
      <c r="AC174" s="6"/>
      <c r="AD174" s="6"/>
      <c r="AE174" s="6"/>
      <c r="AF174" s="6"/>
      <c r="AG174" s="6"/>
      <c r="AH174" s="6"/>
    </row>
    <row r="175" ht="15.75" customHeight="1">
      <c r="A175" s="6"/>
      <c r="B175" s="6"/>
      <c r="C175" s="6"/>
      <c r="D175" s="6"/>
      <c r="E175" s="17" t="s">
        <v>35</v>
      </c>
      <c r="F175" s="6"/>
      <c r="G175" s="9"/>
      <c r="H175" s="9"/>
      <c r="I175" s="9">
        <f t="shared" si="56"/>
        <v>0</v>
      </c>
      <c r="J175" s="9"/>
      <c r="K175" s="6"/>
      <c r="L175" s="9"/>
      <c r="M175" s="10"/>
      <c r="N175" s="10"/>
      <c r="O175" s="9">
        <f t="shared" si="57"/>
        <v>0</v>
      </c>
      <c r="P175" s="26" t="s">
        <v>413</v>
      </c>
      <c r="Q175" s="19">
        <f t="shared" ref="Q175:S175" si="61">SUM(Q155:Q174)</f>
        <v>7401866234</v>
      </c>
      <c r="R175" s="19">
        <f t="shared" si="61"/>
        <v>10164423343</v>
      </c>
      <c r="S175" s="19">
        <f t="shared" si="61"/>
        <v>10499293509</v>
      </c>
      <c r="T175" s="20">
        <v>6.299730182E9</v>
      </c>
      <c r="U175" s="6"/>
      <c r="V175" s="6"/>
      <c r="W175" s="6"/>
      <c r="X175" s="6"/>
      <c r="Y175" s="6"/>
      <c r="Z175" s="6"/>
      <c r="AA175" s="6"/>
      <c r="AB175" s="6"/>
      <c r="AC175" s="6"/>
      <c r="AD175" s="6"/>
      <c r="AE175" s="6"/>
      <c r="AF175" s="6"/>
      <c r="AG175" s="6"/>
      <c r="AH175" s="6"/>
    </row>
    <row r="176" ht="15.75" customHeight="1">
      <c r="A176" s="6">
        <v>10.0</v>
      </c>
      <c r="B176" s="25" t="s">
        <v>36</v>
      </c>
      <c r="C176" s="7" t="s">
        <v>37</v>
      </c>
      <c r="D176" s="25"/>
      <c r="E176" s="25"/>
      <c r="F176" s="7" t="s">
        <v>1</v>
      </c>
      <c r="G176" s="21">
        <v>5.8888202E10</v>
      </c>
      <c r="H176" s="22">
        <v>1.79355805E11</v>
      </c>
      <c r="I176" s="9">
        <f t="shared" si="56"/>
        <v>179355805000</v>
      </c>
      <c r="J176" s="9"/>
      <c r="K176" s="6"/>
      <c r="L176" s="9"/>
      <c r="M176" s="21">
        <v>9.03E8</v>
      </c>
      <c r="N176" s="23">
        <v>1.3836881E10</v>
      </c>
      <c r="O176" s="9">
        <f t="shared" si="57"/>
        <v>238244007000</v>
      </c>
      <c r="P176" s="31">
        <v>0.0257</v>
      </c>
      <c r="Q176" s="9">
        <f t="shared" ref="Q176:Q202" si="62">I176*P176</f>
        <v>4609444189</v>
      </c>
      <c r="R176" s="9">
        <f t="shared" ref="R176:R202" si="63">(O176-N176-M176)*P176</f>
        <v>5744056038</v>
      </c>
      <c r="S176" s="9">
        <f t="shared" ref="S176:S202" si="64">O176*P176</f>
        <v>6122870980</v>
      </c>
      <c r="T176" s="12"/>
      <c r="U176" s="16" t="s">
        <v>38</v>
      </c>
      <c r="V176" s="6"/>
      <c r="W176" s="6"/>
      <c r="X176" s="6"/>
      <c r="Y176" s="6"/>
      <c r="Z176" s="6"/>
      <c r="AA176" s="6"/>
      <c r="AB176" s="6"/>
      <c r="AC176" s="6"/>
      <c r="AD176" s="6"/>
      <c r="AE176" s="6"/>
      <c r="AF176" s="6"/>
      <c r="AG176" s="6"/>
      <c r="AH176" s="6"/>
    </row>
    <row r="177" ht="15.75" customHeight="1">
      <c r="A177" s="6"/>
      <c r="B177" s="25" t="s">
        <v>36</v>
      </c>
      <c r="C177" s="25"/>
      <c r="D177" s="25" t="s">
        <v>414</v>
      </c>
      <c r="E177" s="25"/>
      <c r="F177" s="25" t="s">
        <v>3</v>
      </c>
      <c r="G177" s="9">
        <v>1.335778E9</v>
      </c>
      <c r="H177" s="9">
        <v>1.1994E9</v>
      </c>
      <c r="I177" s="9">
        <f t="shared" si="56"/>
        <v>1199400000</v>
      </c>
      <c r="J177" s="9"/>
      <c r="K177" s="6"/>
      <c r="L177" s="9"/>
      <c r="M177" s="10"/>
      <c r="N177" s="10"/>
      <c r="O177" s="9">
        <f t="shared" si="57"/>
        <v>2535178000</v>
      </c>
      <c r="P177" s="38">
        <v>1.0</v>
      </c>
      <c r="Q177" s="9">
        <f t="shared" si="62"/>
        <v>1199400000</v>
      </c>
      <c r="R177" s="9">
        <f t="shared" si="63"/>
        <v>2535178000</v>
      </c>
      <c r="S177" s="9">
        <f t="shared" si="64"/>
        <v>2535178000</v>
      </c>
      <c r="T177" s="9"/>
      <c r="U177" s="16" t="s">
        <v>415</v>
      </c>
      <c r="V177" s="6"/>
      <c r="W177" s="6"/>
      <c r="X177" s="6"/>
      <c r="Y177" s="6"/>
      <c r="Z177" s="6"/>
      <c r="AA177" s="6"/>
      <c r="AB177" s="6"/>
      <c r="AC177" s="6"/>
      <c r="AD177" s="6"/>
      <c r="AE177" s="6"/>
      <c r="AF177" s="6"/>
      <c r="AG177" s="6"/>
      <c r="AH177" s="6"/>
    </row>
    <row r="178" ht="15.75" customHeight="1">
      <c r="A178" s="6"/>
      <c r="B178" s="25" t="s">
        <v>36</v>
      </c>
      <c r="C178" s="25"/>
      <c r="D178" s="25"/>
      <c r="E178" s="35" t="s">
        <v>416</v>
      </c>
      <c r="F178" s="35" t="s">
        <v>43</v>
      </c>
      <c r="G178" s="9">
        <v>2.903732E9</v>
      </c>
      <c r="H178" s="9">
        <v>1.990509E9</v>
      </c>
      <c r="I178" s="9">
        <f t="shared" si="56"/>
        <v>1892741000</v>
      </c>
      <c r="J178" s="9">
        <f>24392000+73376000</f>
        <v>97768000</v>
      </c>
      <c r="K178" s="6" t="s">
        <v>417</v>
      </c>
      <c r="L178" s="9"/>
      <c r="M178" s="10"/>
      <c r="N178" s="14">
        <f>51737000+2627746000</f>
        <v>2679483000</v>
      </c>
      <c r="O178" s="9">
        <f t="shared" si="57"/>
        <v>4796473000</v>
      </c>
      <c r="P178" s="39">
        <v>0.5313</v>
      </c>
      <c r="Q178" s="9">
        <f t="shared" si="62"/>
        <v>1005613293</v>
      </c>
      <c r="R178" s="9">
        <f t="shared" si="63"/>
        <v>1124756787</v>
      </c>
      <c r="S178" s="9">
        <f t="shared" si="64"/>
        <v>2548366105</v>
      </c>
      <c r="T178" s="9"/>
      <c r="U178" s="16" t="s">
        <v>418</v>
      </c>
      <c r="V178" s="6"/>
      <c r="W178" s="6"/>
      <c r="X178" s="6"/>
      <c r="Y178" s="6"/>
      <c r="Z178" s="6"/>
      <c r="AA178" s="6"/>
      <c r="AB178" s="6"/>
      <c r="AC178" s="6"/>
      <c r="AD178" s="6"/>
      <c r="AE178" s="6"/>
      <c r="AF178" s="6"/>
      <c r="AG178" s="6"/>
      <c r="AH178" s="6"/>
    </row>
    <row r="179" ht="15.75" customHeight="1">
      <c r="A179" s="6"/>
      <c r="B179" s="25" t="s">
        <v>36</v>
      </c>
      <c r="C179" s="25"/>
      <c r="D179" s="25"/>
      <c r="E179" s="25" t="s">
        <v>419</v>
      </c>
      <c r="F179" s="25" t="s">
        <v>47</v>
      </c>
      <c r="G179" s="9">
        <v>245995.0</v>
      </c>
      <c r="H179" s="9">
        <v>1.19051008E8</v>
      </c>
      <c r="I179" s="9">
        <f t="shared" si="56"/>
        <v>49072483</v>
      </c>
      <c r="J179" s="9">
        <v>6.9978525E7</v>
      </c>
      <c r="K179" s="6" t="s">
        <v>323</v>
      </c>
      <c r="L179" s="9"/>
      <c r="M179" s="10"/>
      <c r="N179" s="10"/>
      <c r="O179" s="9">
        <f t="shared" si="57"/>
        <v>49318478</v>
      </c>
      <c r="P179" s="38">
        <v>0.7404</v>
      </c>
      <c r="Q179" s="9">
        <f t="shared" si="62"/>
        <v>36333266.41</v>
      </c>
      <c r="R179" s="9">
        <f t="shared" si="63"/>
        <v>36515401.11</v>
      </c>
      <c r="S179" s="9">
        <f t="shared" si="64"/>
        <v>36515401.11</v>
      </c>
      <c r="T179" s="9"/>
      <c r="U179" s="16" t="s">
        <v>420</v>
      </c>
      <c r="V179" s="6"/>
      <c r="W179" s="6"/>
      <c r="X179" s="6"/>
      <c r="Y179" s="6"/>
      <c r="Z179" s="6"/>
      <c r="AA179" s="6"/>
      <c r="AB179" s="6"/>
      <c r="AC179" s="6"/>
      <c r="AD179" s="6"/>
      <c r="AE179" s="6"/>
      <c r="AF179" s="6"/>
      <c r="AG179" s="6"/>
      <c r="AH179" s="6"/>
    </row>
    <row r="180" ht="15.75" customHeight="1">
      <c r="A180" s="6"/>
      <c r="B180" s="25" t="s">
        <v>36</v>
      </c>
      <c r="C180" s="25"/>
      <c r="D180" s="25"/>
      <c r="E180" s="25" t="s">
        <v>421</v>
      </c>
      <c r="F180" s="25" t="s">
        <v>47</v>
      </c>
      <c r="G180" s="9">
        <v>1192303.0</v>
      </c>
      <c r="H180" s="9">
        <v>7.3086756E7</v>
      </c>
      <c r="I180" s="9">
        <f t="shared" si="56"/>
        <v>46283715</v>
      </c>
      <c r="J180" s="9">
        <v>2.6803041E7</v>
      </c>
      <c r="K180" s="6" t="s">
        <v>323</v>
      </c>
      <c r="L180" s="9"/>
      <c r="M180" s="10"/>
      <c r="N180" s="10"/>
      <c r="O180" s="9">
        <f t="shared" si="57"/>
        <v>47476018</v>
      </c>
      <c r="P180" s="38">
        <v>0.946</v>
      </c>
      <c r="Q180" s="9">
        <f t="shared" si="62"/>
        <v>43784394.39</v>
      </c>
      <c r="R180" s="9">
        <f t="shared" si="63"/>
        <v>44912313.03</v>
      </c>
      <c r="S180" s="9">
        <f t="shared" si="64"/>
        <v>44912313.03</v>
      </c>
      <c r="T180" s="9"/>
      <c r="U180" s="16" t="s">
        <v>422</v>
      </c>
      <c r="V180" s="6"/>
      <c r="W180" s="6"/>
      <c r="X180" s="6"/>
      <c r="Y180" s="6"/>
      <c r="Z180" s="6"/>
      <c r="AA180" s="6"/>
      <c r="AB180" s="6"/>
      <c r="AC180" s="6"/>
      <c r="AD180" s="6"/>
      <c r="AE180" s="6"/>
      <c r="AF180" s="6"/>
      <c r="AG180" s="6"/>
      <c r="AH180" s="6"/>
    </row>
    <row r="181" ht="15.75" customHeight="1">
      <c r="A181" s="6"/>
      <c r="B181" s="25" t="s">
        <v>36</v>
      </c>
      <c r="C181" s="25"/>
      <c r="D181" s="25"/>
      <c r="E181" s="25" t="s">
        <v>423</v>
      </c>
      <c r="F181" s="25" t="s">
        <v>47</v>
      </c>
      <c r="G181" s="9">
        <v>254330.0</v>
      </c>
      <c r="H181" s="9">
        <v>3.8780501E7</v>
      </c>
      <c r="I181" s="9">
        <f t="shared" si="56"/>
        <v>26576817</v>
      </c>
      <c r="J181" s="9">
        <f>12202142+1542</f>
        <v>12203684</v>
      </c>
      <c r="K181" s="6" t="s">
        <v>424</v>
      </c>
      <c r="L181" s="9"/>
      <c r="M181" s="10"/>
      <c r="N181" s="10"/>
      <c r="O181" s="9">
        <f t="shared" si="57"/>
        <v>26831147</v>
      </c>
      <c r="P181" s="38">
        <v>0.8606</v>
      </c>
      <c r="Q181" s="9">
        <f t="shared" si="62"/>
        <v>22872008.71</v>
      </c>
      <c r="R181" s="9">
        <f t="shared" si="63"/>
        <v>23090885.11</v>
      </c>
      <c r="S181" s="9">
        <f t="shared" si="64"/>
        <v>23090885.11</v>
      </c>
      <c r="T181" s="9"/>
      <c r="U181" s="16" t="s">
        <v>425</v>
      </c>
      <c r="V181" s="6"/>
      <c r="W181" s="6"/>
      <c r="X181" s="6"/>
      <c r="Y181" s="6"/>
      <c r="Z181" s="6"/>
      <c r="AA181" s="6"/>
      <c r="AB181" s="6"/>
      <c r="AC181" s="6"/>
      <c r="AD181" s="6"/>
      <c r="AE181" s="6"/>
      <c r="AF181" s="6"/>
      <c r="AG181" s="6"/>
      <c r="AH181" s="6"/>
    </row>
    <row r="182" ht="15.75" customHeight="1">
      <c r="A182" s="6"/>
      <c r="B182" s="25" t="s">
        <v>36</v>
      </c>
      <c r="C182" s="25"/>
      <c r="D182" s="25"/>
      <c r="E182" s="25" t="s">
        <v>426</v>
      </c>
      <c r="F182" s="25" t="s">
        <v>47</v>
      </c>
      <c r="G182" s="9">
        <v>5671342.0</v>
      </c>
      <c r="H182" s="9">
        <v>1.10966629E8</v>
      </c>
      <c r="I182" s="9">
        <f t="shared" si="56"/>
        <v>96300074</v>
      </c>
      <c r="J182" s="9">
        <f>14471745+194810</f>
        <v>14666555</v>
      </c>
      <c r="K182" s="6" t="s">
        <v>424</v>
      </c>
      <c r="L182" s="9"/>
      <c r="M182" s="10"/>
      <c r="N182" s="10"/>
      <c r="O182" s="9">
        <f t="shared" si="57"/>
        <v>101971416</v>
      </c>
      <c r="P182" s="38">
        <v>0.4988</v>
      </c>
      <c r="Q182" s="9">
        <f t="shared" si="62"/>
        <v>48034476.91</v>
      </c>
      <c r="R182" s="9">
        <f t="shared" si="63"/>
        <v>50863342.3</v>
      </c>
      <c r="S182" s="9">
        <f t="shared" si="64"/>
        <v>50863342.3</v>
      </c>
      <c r="T182" s="9"/>
      <c r="U182" s="16" t="s">
        <v>427</v>
      </c>
      <c r="V182" s="6"/>
      <c r="W182" s="6"/>
      <c r="X182" s="6"/>
      <c r="Y182" s="6"/>
      <c r="Z182" s="6"/>
      <c r="AA182" s="6"/>
      <c r="AB182" s="6"/>
      <c r="AC182" s="6"/>
      <c r="AD182" s="6"/>
      <c r="AE182" s="6"/>
      <c r="AF182" s="6"/>
      <c r="AG182" s="6"/>
      <c r="AH182" s="6"/>
    </row>
    <row r="183" ht="15.75" customHeight="1">
      <c r="A183" s="6"/>
      <c r="B183" s="25" t="s">
        <v>36</v>
      </c>
      <c r="C183" s="25"/>
      <c r="D183" s="25"/>
      <c r="E183" s="25" t="s">
        <v>428</v>
      </c>
      <c r="F183" s="25" t="s">
        <v>47</v>
      </c>
      <c r="G183" s="9">
        <v>1667232.0</v>
      </c>
      <c r="H183" s="9">
        <v>1.31365998E8</v>
      </c>
      <c r="I183" s="9">
        <f t="shared" si="56"/>
        <v>125024156</v>
      </c>
      <c r="J183" s="9">
        <f>6338211+3631</f>
        <v>6341842</v>
      </c>
      <c r="K183" s="6" t="s">
        <v>424</v>
      </c>
      <c r="L183" s="9"/>
      <c r="M183" s="10"/>
      <c r="N183" s="10"/>
      <c r="O183" s="9">
        <f t="shared" si="57"/>
        <v>126691388</v>
      </c>
      <c r="P183" s="38">
        <v>0.6996</v>
      </c>
      <c r="Q183" s="9">
        <f t="shared" si="62"/>
        <v>87466899.54</v>
      </c>
      <c r="R183" s="9">
        <f t="shared" si="63"/>
        <v>88633295.04</v>
      </c>
      <c r="S183" s="9">
        <f t="shared" si="64"/>
        <v>88633295.04</v>
      </c>
      <c r="T183" s="9"/>
      <c r="U183" s="16" t="s">
        <v>429</v>
      </c>
      <c r="V183" s="6"/>
      <c r="W183" s="6"/>
      <c r="X183" s="6"/>
      <c r="Y183" s="6"/>
      <c r="Z183" s="6"/>
      <c r="AA183" s="6"/>
      <c r="AB183" s="6"/>
      <c r="AC183" s="6"/>
      <c r="AD183" s="6"/>
      <c r="AE183" s="6"/>
      <c r="AF183" s="6"/>
      <c r="AG183" s="6"/>
      <c r="AH183" s="6"/>
    </row>
    <row r="184" ht="15.75" customHeight="1">
      <c r="A184" s="6"/>
      <c r="B184" s="25" t="s">
        <v>36</v>
      </c>
      <c r="C184" s="25"/>
      <c r="D184" s="25"/>
      <c r="E184" s="25" t="s">
        <v>430</v>
      </c>
      <c r="F184" s="25" t="s">
        <v>47</v>
      </c>
      <c r="G184" s="9">
        <v>4210544.0</v>
      </c>
      <c r="H184" s="9">
        <v>1.85272154E8</v>
      </c>
      <c r="I184" s="9">
        <f t="shared" si="56"/>
        <v>156150861</v>
      </c>
      <c r="J184" s="9">
        <f>29113523+7770</f>
        <v>29121293</v>
      </c>
      <c r="K184" s="6" t="s">
        <v>424</v>
      </c>
      <c r="L184" s="9"/>
      <c r="M184" s="10"/>
      <c r="N184" s="10"/>
      <c r="O184" s="9">
        <f t="shared" si="57"/>
        <v>160361405</v>
      </c>
      <c r="P184" s="38">
        <v>0.1799</v>
      </c>
      <c r="Q184" s="9">
        <f t="shared" si="62"/>
        <v>28091539.89</v>
      </c>
      <c r="R184" s="9">
        <f t="shared" si="63"/>
        <v>28849016.76</v>
      </c>
      <c r="S184" s="9">
        <f t="shared" si="64"/>
        <v>28849016.76</v>
      </c>
      <c r="T184" s="9"/>
      <c r="U184" s="16" t="s">
        <v>431</v>
      </c>
      <c r="V184" s="6"/>
      <c r="W184" s="6"/>
      <c r="X184" s="6"/>
      <c r="Y184" s="6"/>
      <c r="Z184" s="6"/>
      <c r="AA184" s="6"/>
      <c r="AB184" s="6"/>
      <c r="AC184" s="6"/>
      <c r="AD184" s="6"/>
      <c r="AE184" s="6"/>
      <c r="AF184" s="6"/>
      <c r="AG184" s="6"/>
      <c r="AH184" s="6"/>
    </row>
    <row r="185" ht="15.75" customHeight="1">
      <c r="A185" s="6"/>
      <c r="B185" s="25" t="s">
        <v>36</v>
      </c>
      <c r="C185" s="25"/>
      <c r="D185" s="25"/>
      <c r="E185" s="25" t="s">
        <v>432</v>
      </c>
      <c r="F185" s="25" t="s">
        <v>47</v>
      </c>
      <c r="G185" s="9">
        <v>26316.0</v>
      </c>
      <c r="H185" s="9">
        <v>3.8755929E7</v>
      </c>
      <c r="I185" s="9">
        <f t="shared" si="56"/>
        <v>6646236</v>
      </c>
      <c r="J185" s="9">
        <v>3.2109693E7</v>
      </c>
      <c r="K185" s="6" t="s">
        <v>433</v>
      </c>
      <c r="L185" s="9"/>
      <c r="M185" s="10"/>
      <c r="N185" s="10"/>
      <c r="O185" s="9">
        <f t="shared" si="57"/>
        <v>6672552</v>
      </c>
      <c r="P185" s="38">
        <v>0.8493</v>
      </c>
      <c r="Q185" s="9">
        <f t="shared" si="62"/>
        <v>5644648.235</v>
      </c>
      <c r="R185" s="9">
        <f t="shared" si="63"/>
        <v>5666998.414</v>
      </c>
      <c r="S185" s="9">
        <f t="shared" si="64"/>
        <v>5666998.414</v>
      </c>
      <c r="T185" s="9"/>
      <c r="U185" s="16" t="s">
        <v>434</v>
      </c>
      <c r="V185" s="6"/>
      <c r="W185" s="6"/>
      <c r="X185" s="6"/>
      <c r="Y185" s="6"/>
      <c r="Z185" s="6"/>
      <c r="AA185" s="6"/>
      <c r="AB185" s="6"/>
      <c r="AC185" s="6"/>
      <c r="AD185" s="6"/>
      <c r="AE185" s="6"/>
      <c r="AF185" s="6"/>
      <c r="AG185" s="6"/>
      <c r="AH185" s="6"/>
    </row>
    <row r="186" ht="15.75" customHeight="1">
      <c r="A186" s="6"/>
      <c r="B186" s="25" t="s">
        <v>36</v>
      </c>
      <c r="C186" s="25"/>
      <c r="D186" s="25"/>
      <c r="E186" s="25" t="s">
        <v>435</v>
      </c>
      <c r="F186" s="25" t="s">
        <v>47</v>
      </c>
      <c r="G186" s="9">
        <v>925150.0</v>
      </c>
      <c r="H186" s="9">
        <v>1.18163193E8</v>
      </c>
      <c r="I186" s="9">
        <f t="shared" si="56"/>
        <v>73233002</v>
      </c>
      <c r="J186" s="9">
        <v>4.4930191E7</v>
      </c>
      <c r="K186" s="6" t="s">
        <v>433</v>
      </c>
      <c r="L186" s="9"/>
      <c r="M186" s="10"/>
      <c r="N186" s="10"/>
      <c r="O186" s="9">
        <f t="shared" si="57"/>
        <v>74158152</v>
      </c>
      <c r="P186" s="38">
        <v>0.782</v>
      </c>
      <c r="Q186" s="9">
        <f t="shared" si="62"/>
        <v>57268207.56</v>
      </c>
      <c r="R186" s="9">
        <f t="shared" si="63"/>
        <v>57991674.86</v>
      </c>
      <c r="S186" s="9">
        <f t="shared" si="64"/>
        <v>57991674.86</v>
      </c>
      <c r="T186" s="9"/>
      <c r="U186" s="16" t="s">
        <v>436</v>
      </c>
      <c r="V186" s="6"/>
      <c r="W186" s="6"/>
      <c r="X186" s="6"/>
      <c r="Y186" s="6"/>
      <c r="Z186" s="6"/>
      <c r="AA186" s="6"/>
      <c r="AB186" s="6"/>
      <c r="AC186" s="6"/>
      <c r="AD186" s="6"/>
      <c r="AE186" s="6"/>
      <c r="AF186" s="6"/>
      <c r="AG186" s="6"/>
      <c r="AH186" s="6"/>
    </row>
    <row r="187" ht="15.75" customHeight="1">
      <c r="A187" s="6"/>
      <c r="B187" s="25" t="s">
        <v>36</v>
      </c>
      <c r="C187" s="25"/>
      <c r="D187" s="25"/>
      <c r="E187" s="25" t="s">
        <v>437</v>
      </c>
      <c r="F187" s="25" t="s">
        <v>47</v>
      </c>
      <c r="G187" s="9">
        <v>242111.0</v>
      </c>
      <c r="H187" s="9">
        <v>1.01110933E8</v>
      </c>
      <c r="I187" s="9">
        <f t="shared" si="56"/>
        <v>52978304</v>
      </c>
      <c r="J187" s="9">
        <f>46567582+29738+1535309</f>
        <v>48132629</v>
      </c>
      <c r="K187" s="6" t="s">
        <v>438</v>
      </c>
      <c r="L187" s="9"/>
      <c r="M187" s="10"/>
      <c r="N187" s="10"/>
      <c r="O187" s="9">
        <f t="shared" si="57"/>
        <v>53220415</v>
      </c>
      <c r="P187" s="38">
        <v>0.8735</v>
      </c>
      <c r="Q187" s="9">
        <f t="shared" si="62"/>
        <v>46276548.54</v>
      </c>
      <c r="R187" s="9">
        <f t="shared" si="63"/>
        <v>46488032.5</v>
      </c>
      <c r="S187" s="9">
        <f t="shared" si="64"/>
        <v>46488032.5</v>
      </c>
      <c r="T187" s="9"/>
      <c r="U187" s="16" t="s">
        <v>439</v>
      </c>
      <c r="V187" s="6"/>
      <c r="W187" s="6"/>
      <c r="X187" s="6"/>
      <c r="Y187" s="6"/>
      <c r="Z187" s="6"/>
      <c r="AA187" s="6"/>
      <c r="AB187" s="6"/>
      <c r="AC187" s="6"/>
      <c r="AD187" s="6"/>
      <c r="AE187" s="6"/>
      <c r="AF187" s="6"/>
      <c r="AG187" s="6"/>
      <c r="AH187" s="6"/>
    </row>
    <row r="188" ht="15.75" customHeight="1">
      <c r="A188" s="6"/>
      <c r="B188" s="25" t="s">
        <v>36</v>
      </c>
      <c r="C188" s="25"/>
      <c r="D188" s="25"/>
      <c r="E188" s="25" t="s">
        <v>440</v>
      </c>
      <c r="F188" s="25" t="s">
        <v>47</v>
      </c>
      <c r="G188" s="9">
        <v>798628.0</v>
      </c>
      <c r="H188" s="9">
        <v>2.1231833E8</v>
      </c>
      <c r="I188" s="9">
        <f t="shared" si="56"/>
        <v>204511264</v>
      </c>
      <c r="J188" s="9">
        <f>7802185+4881</f>
        <v>7807066</v>
      </c>
      <c r="K188" s="6" t="s">
        <v>424</v>
      </c>
      <c r="L188" s="9"/>
      <c r="M188" s="10"/>
      <c r="N188" s="10"/>
      <c r="O188" s="9">
        <f t="shared" si="57"/>
        <v>205309892</v>
      </c>
      <c r="P188" s="38">
        <v>0.1537</v>
      </c>
      <c r="Q188" s="9">
        <f t="shared" si="62"/>
        <v>31433381.28</v>
      </c>
      <c r="R188" s="9">
        <f t="shared" si="63"/>
        <v>31556130.4</v>
      </c>
      <c r="S188" s="9">
        <f t="shared" si="64"/>
        <v>31556130.4</v>
      </c>
      <c r="T188" s="9"/>
      <c r="U188" s="16" t="s">
        <v>441</v>
      </c>
      <c r="V188" s="6"/>
      <c r="W188" s="6"/>
      <c r="X188" s="6"/>
      <c r="Y188" s="6"/>
      <c r="Z188" s="6"/>
      <c r="AA188" s="6"/>
      <c r="AB188" s="6"/>
      <c r="AC188" s="6"/>
      <c r="AD188" s="6"/>
      <c r="AE188" s="6"/>
      <c r="AF188" s="6"/>
      <c r="AG188" s="6"/>
      <c r="AH188" s="6"/>
    </row>
    <row r="189" ht="15.75" customHeight="1">
      <c r="A189" s="6"/>
      <c r="B189" s="25" t="s">
        <v>36</v>
      </c>
      <c r="C189" s="25"/>
      <c r="D189" s="25"/>
      <c r="E189" s="25" t="s">
        <v>442</v>
      </c>
      <c r="F189" s="25" t="s">
        <v>47</v>
      </c>
      <c r="G189" s="9">
        <v>9524595.0</v>
      </c>
      <c r="H189" s="9">
        <v>5.5903236E7</v>
      </c>
      <c r="I189" s="9">
        <f t="shared" si="56"/>
        <v>43217147</v>
      </c>
      <c r="J189" s="9">
        <f>12684005+2084</f>
        <v>12686089</v>
      </c>
      <c r="K189" s="6" t="s">
        <v>424</v>
      </c>
      <c r="L189" s="9"/>
      <c r="M189" s="10"/>
      <c r="N189" s="10"/>
      <c r="O189" s="9">
        <f t="shared" si="57"/>
        <v>52741742</v>
      </c>
      <c r="P189" s="38">
        <v>0.8604</v>
      </c>
      <c r="Q189" s="9">
        <f t="shared" si="62"/>
        <v>37184033.28</v>
      </c>
      <c r="R189" s="9">
        <f t="shared" si="63"/>
        <v>45378994.82</v>
      </c>
      <c r="S189" s="9">
        <f t="shared" si="64"/>
        <v>45378994.82</v>
      </c>
      <c r="T189" s="9"/>
      <c r="U189" s="16" t="s">
        <v>443</v>
      </c>
      <c r="V189" s="6"/>
      <c r="W189" s="6"/>
      <c r="X189" s="6"/>
      <c r="Y189" s="6"/>
      <c r="Z189" s="6"/>
      <c r="AA189" s="6"/>
      <c r="AB189" s="6"/>
      <c r="AC189" s="6"/>
      <c r="AD189" s="6"/>
      <c r="AE189" s="6"/>
      <c r="AF189" s="6"/>
      <c r="AG189" s="6"/>
      <c r="AH189" s="6"/>
    </row>
    <row r="190" ht="15.75" customHeight="1">
      <c r="A190" s="6"/>
      <c r="B190" s="25" t="s">
        <v>36</v>
      </c>
      <c r="C190" s="25"/>
      <c r="D190" s="25"/>
      <c r="E190" s="25" t="s">
        <v>444</v>
      </c>
      <c r="F190" s="25" t="s">
        <v>47</v>
      </c>
      <c r="G190" s="9">
        <v>103840.0</v>
      </c>
      <c r="H190" s="9">
        <v>2.637425E7</v>
      </c>
      <c r="I190" s="9">
        <f t="shared" si="56"/>
        <v>11455379</v>
      </c>
      <c r="J190" s="9">
        <v>1.4918871E7</v>
      </c>
      <c r="K190" s="6" t="s">
        <v>433</v>
      </c>
      <c r="L190" s="9"/>
      <c r="M190" s="10"/>
      <c r="N190" s="10"/>
      <c r="O190" s="9">
        <f t="shared" si="57"/>
        <v>11559219</v>
      </c>
      <c r="P190" s="38">
        <v>0.5464</v>
      </c>
      <c r="Q190" s="9">
        <f t="shared" si="62"/>
        <v>6259219.086</v>
      </c>
      <c r="R190" s="9">
        <f t="shared" si="63"/>
        <v>6315957.262</v>
      </c>
      <c r="S190" s="9">
        <f t="shared" si="64"/>
        <v>6315957.262</v>
      </c>
      <c r="T190" s="9"/>
      <c r="U190" s="40" t="s">
        <v>445</v>
      </c>
      <c r="V190" s="6"/>
      <c r="W190" s="6"/>
      <c r="X190" s="6"/>
      <c r="Y190" s="6"/>
      <c r="Z190" s="6"/>
      <c r="AA190" s="6"/>
      <c r="AB190" s="6"/>
      <c r="AC190" s="6"/>
      <c r="AD190" s="6"/>
      <c r="AE190" s="6"/>
      <c r="AF190" s="6"/>
      <c r="AG190" s="6"/>
      <c r="AH190" s="6"/>
    </row>
    <row r="191" ht="15.75" customHeight="1">
      <c r="A191" s="6"/>
      <c r="B191" s="25" t="s">
        <v>36</v>
      </c>
      <c r="C191" s="25"/>
      <c r="D191" s="25"/>
      <c r="E191" s="25" t="s">
        <v>446</v>
      </c>
      <c r="F191" s="25" t="s">
        <v>47</v>
      </c>
      <c r="G191" s="9">
        <v>3094345.0</v>
      </c>
      <c r="H191" s="9">
        <v>1.23907261E8</v>
      </c>
      <c r="I191" s="9">
        <f t="shared" si="56"/>
        <v>64456017</v>
      </c>
      <c r="J191" s="9">
        <f>59402427+48817</f>
        <v>59451244</v>
      </c>
      <c r="K191" s="6" t="s">
        <v>424</v>
      </c>
      <c r="L191" s="9"/>
      <c r="M191" s="10"/>
      <c r="N191" s="10"/>
      <c r="O191" s="9">
        <f t="shared" si="57"/>
        <v>67550362</v>
      </c>
      <c r="P191" s="38">
        <v>1.0</v>
      </c>
      <c r="Q191" s="9">
        <f t="shared" si="62"/>
        <v>64456017</v>
      </c>
      <c r="R191" s="9">
        <f t="shared" si="63"/>
        <v>67550362</v>
      </c>
      <c r="S191" s="9">
        <f t="shared" si="64"/>
        <v>67550362</v>
      </c>
      <c r="T191" s="9"/>
      <c r="U191" s="16" t="s">
        <v>447</v>
      </c>
      <c r="V191" s="6"/>
      <c r="W191" s="6"/>
      <c r="X191" s="6"/>
      <c r="Y191" s="6"/>
      <c r="Z191" s="6"/>
      <c r="AA191" s="6"/>
      <c r="AB191" s="6"/>
      <c r="AC191" s="6"/>
      <c r="AD191" s="6"/>
      <c r="AE191" s="6"/>
      <c r="AF191" s="6"/>
      <c r="AG191" s="6"/>
      <c r="AH191" s="6"/>
    </row>
    <row r="192" ht="15.75" customHeight="1">
      <c r="A192" s="6"/>
      <c r="B192" s="25" t="s">
        <v>36</v>
      </c>
      <c r="C192" s="25"/>
      <c r="D192" s="25"/>
      <c r="E192" s="25" t="s">
        <v>448</v>
      </c>
      <c r="F192" s="25" t="s">
        <v>47</v>
      </c>
      <c r="G192" s="9">
        <v>383485.0</v>
      </c>
      <c r="H192" s="9">
        <v>1.7015107E7</v>
      </c>
      <c r="I192" s="9">
        <f t="shared" si="56"/>
        <v>15890677</v>
      </c>
      <c r="J192" s="9">
        <f>1149605+-25175</f>
        <v>1124430</v>
      </c>
      <c r="K192" s="6" t="s">
        <v>449</v>
      </c>
      <c r="L192" s="9"/>
      <c r="M192" s="10"/>
      <c r="N192" s="10"/>
      <c r="O192" s="9">
        <f t="shared" si="57"/>
        <v>16274162</v>
      </c>
      <c r="P192" s="38">
        <v>1.0</v>
      </c>
      <c r="Q192" s="9">
        <f t="shared" si="62"/>
        <v>15890677</v>
      </c>
      <c r="R192" s="9">
        <f t="shared" si="63"/>
        <v>16274162</v>
      </c>
      <c r="S192" s="9">
        <f t="shared" si="64"/>
        <v>16274162</v>
      </c>
      <c r="T192" s="9"/>
      <c r="U192" s="13" t="s">
        <v>450</v>
      </c>
      <c r="V192" s="6"/>
      <c r="W192" s="6"/>
      <c r="X192" s="6"/>
      <c r="Y192" s="6"/>
      <c r="Z192" s="6"/>
      <c r="AA192" s="6"/>
      <c r="AB192" s="6"/>
      <c r="AC192" s="6"/>
      <c r="AD192" s="6"/>
      <c r="AE192" s="6"/>
      <c r="AF192" s="6"/>
      <c r="AG192" s="6"/>
      <c r="AH192" s="6"/>
    </row>
    <row r="193" ht="15.75" customHeight="1">
      <c r="A193" s="6"/>
      <c r="B193" s="25" t="s">
        <v>36</v>
      </c>
      <c r="C193" s="25"/>
      <c r="D193" s="25"/>
      <c r="E193" s="25" t="s">
        <v>451</v>
      </c>
      <c r="F193" s="25" t="s">
        <v>47</v>
      </c>
      <c r="G193" s="9">
        <v>3232040.0</v>
      </c>
      <c r="H193" s="9">
        <v>3.87871548E8</v>
      </c>
      <c r="I193" s="9">
        <f t="shared" si="56"/>
        <v>329271409</v>
      </c>
      <c r="J193" s="9">
        <f>53756336+4843803</f>
        <v>58600139</v>
      </c>
      <c r="K193" s="6" t="s">
        <v>424</v>
      </c>
      <c r="L193" s="9"/>
      <c r="M193" s="10"/>
      <c r="N193" s="10"/>
      <c r="O193" s="9">
        <f t="shared" si="57"/>
        <v>332503449</v>
      </c>
      <c r="P193" s="38">
        <v>0.9265</v>
      </c>
      <c r="Q193" s="9">
        <f t="shared" si="62"/>
        <v>305069960.4</v>
      </c>
      <c r="R193" s="9">
        <f t="shared" si="63"/>
        <v>308064445.5</v>
      </c>
      <c r="S193" s="9">
        <f t="shared" si="64"/>
        <v>308064445.5</v>
      </c>
      <c r="T193" s="9"/>
      <c r="U193" s="16" t="s">
        <v>452</v>
      </c>
      <c r="V193" s="6"/>
      <c r="W193" s="6"/>
      <c r="X193" s="6"/>
      <c r="Y193" s="6"/>
      <c r="Z193" s="6"/>
      <c r="AA193" s="6"/>
      <c r="AB193" s="6"/>
      <c r="AC193" s="6"/>
      <c r="AD193" s="6"/>
      <c r="AE193" s="6"/>
      <c r="AF193" s="6"/>
      <c r="AG193" s="6"/>
      <c r="AH193" s="6"/>
    </row>
    <row r="194" ht="15.75" customHeight="1">
      <c r="A194" s="6"/>
      <c r="B194" s="25" t="s">
        <v>36</v>
      </c>
      <c r="C194" s="25"/>
      <c r="D194" s="25"/>
      <c r="E194" s="25" t="s">
        <v>453</v>
      </c>
      <c r="F194" s="25" t="s">
        <v>47</v>
      </c>
      <c r="G194" s="9">
        <v>1.1947115E7</v>
      </c>
      <c r="H194" s="9">
        <v>4.05665669E8</v>
      </c>
      <c r="I194" s="9">
        <f t="shared" si="56"/>
        <v>389972407</v>
      </c>
      <c r="J194" s="9">
        <v>1.5693262E7</v>
      </c>
      <c r="K194" s="6" t="s">
        <v>433</v>
      </c>
      <c r="L194" s="9"/>
      <c r="M194" s="10"/>
      <c r="N194" s="10"/>
      <c r="O194" s="9">
        <f t="shared" si="57"/>
        <v>401919522</v>
      </c>
      <c r="P194" s="38">
        <v>0.0688</v>
      </c>
      <c r="Q194" s="9">
        <f t="shared" si="62"/>
        <v>26830101.6</v>
      </c>
      <c r="R194" s="9">
        <f t="shared" si="63"/>
        <v>27652063.11</v>
      </c>
      <c r="S194" s="9">
        <f t="shared" si="64"/>
        <v>27652063.11</v>
      </c>
      <c r="T194" s="9"/>
      <c r="U194" s="16" t="s">
        <v>454</v>
      </c>
      <c r="V194" s="6"/>
      <c r="W194" s="6"/>
      <c r="X194" s="6"/>
      <c r="Y194" s="6"/>
      <c r="Z194" s="6"/>
      <c r="AA194" s="6"/>
      <c r="AB194" s="6"/>
      <c r="AC194" s="6"/>
      <c r="AD194" s="6"/>
      <c r="AE194" s="6"/>
      <c r="AF194" s="6"/>
      <c r="AG194" s="6"/>
      <c r="AH194" s="6"/>
    </row>
    <row r="195" ht="15.75" customHeight="1">
      <c r="A195" s="6"/>
      <c r="B195" s="25" t="s">
        <v>36</v>
      </c>
      <c r="C195" s="25"/>
      <c r="D195" s="25"/>
      <c r="E195" s="25" t="s">
        <v>455</v>
      </c>
      <c r="F195" s="25" t="s">
        <v>47</v>
      </c>
      <c r="G195" s="9">
        <f>858672+1816389</f>
        <v>2675061</v>
      </c>
      <c r="H195" s="9">
        <v>7.2219539E7</v>
      </c>
      <c r="I195" s="9">
        <f t="shared" si="56"/>
        <v>55972935</v>
      </c>
      <c r="J195" s="9">
        <f>16254992+-8388</f>
        <v>16246604</v>
      </c>
      <c r="K195" s="6" t="s">
        <v>456</v>
      </c>
      <c r="L195" s="9"/>
      <c r="M195" s="10"/>
      <c r="N195" s="10"/>
      <c r="O195" s="9">
        <f t="shared" si="57"/>
        <v>58647996</v>
      </c>
      <c r="P195" s="38">
        <v>0.8863</v>
      </c>
      <c r="Q195" s="9">
        <f t="shared" si="62"/>
        <v>49608812.29</v>
      </c>
      <c r="R195" s="9">
        <f t="shared" si="63"/>
        <v>51979718.85</v>
      </c>
      <c r="S195" s="9">
        <f t="shared" si="64"/>
        <v>51979718.85</v>
      </c>
      <c r="T195" s="9"/>
      <c r="U195" s="16" t="s">
        <v>457</v>
      </c>
      <c r="V195" s="6"/>
      <c r="W195" s="6"/>
      <c r="X195" s="6"/>
      <c r="Y195" s="6"/>
      <c r="Z195" s="6"/>
      <c r="AA195" s="6"/>
      <c r="AB195" s="6"/>
      <c r="AC195" s="6"/>
      <c r="AD195" s="6"/>
      <c r="AE195" s="6"/>
      <c r="AF195" s="6"/>
      <c r="AG195" s="6"/>
      <c r="AH195" s="6"/>
    </row>
    <row r="196" ht="15.75" customHeight="1">
      <c r="A196" s="6"/>
      <c r="B196" s="25" t="s">
        <v>36</v>
      </c>
      <c r="C196" s="25"/>
      <c r="D196" s="25"/>
      <c r="E196" s="25" t="s">
        <v>458</v>
      </c>
      <c r="F196" s="25" t="s">
        <v>47</v>
      </c>
      <c r="G196" s="9">
        <v>1144508.0</v>
      </c>
      <c r="H196" s="9">
        <v>1.05006683E8</v>
      </c>
      <c r="I196" s="9">
        <f t="shared" si="56"/>
        <v>94381954</v>
      </c>
      <c r="J196" s="9">
        <f>10466598+158131</f>
        <v>10624729</v>
      </c>
      <c r="K196" s="6" t="s">
        <v>424</v>
      </c>
      <c r="L196" s="9"/>
      <c r="M196" s="10"/>
      <c r="N196" s="10"/>
      <c r="O196" s="9">
        <f t="shared" si="57"/>
        <v>95526462</v>
      </c>
      <c r="P196" s="38">
        <v>0.1251</v>
      </c>
      <c r="Q196" s="9">
        <f t="shared" si="62"/>
        <v>11807182.45</v>
      </c>
      <c r="R196" s="9">
        <f t="shared" si="63"/>
        <v>11950360.4</v>
      </c>
      <c r="S196" s="9">
        <f t="shared" si="64"/>
        <v>11950360.4</v>
      </c>
      <c r="T196" s="9"/>
      <c r="U196" s="16" t="s">
        <v>459</v>
      </c>
      <c r="V196" s="6"/>
      <c r="W196" s="6"/>
      <c r="X196" s="6"/>
      <c r="Y196" s="6"/>
      <c r="Z196" s="6"/>
      <c r="AA196" s="6"/>
      <c r="AB196" s="6"/>
      <c r="AC196" s="6"/>
      <c r="AD196" s="6"/>
      <c r="AE196" s="6"/>
      <c r="AF196" s="6"/>
      <c r="AG196" s="6"/>
      <c r="AH196" s="6"/>
    </row>
    <row r="197" ht="15.75" customHeight="1">
      <c r="A197" s="6"/>
      <c r="B197" s="25" t="s">
        <v>36</v>
      </c>
      <c r="C197" s="25"/>
      <c r="D197" s="25"/>
      <c r="E197" s="25" t="s">
        <v>460</v>
      </c>
      <c r="F197" s="25" t="s">
        <v>29</v>
      </c>
      <c r="G197" s="9">
        <v>6.88687936E8</v>
      </c>
      <c r="H197" s="9">
        <v>-3.62772629E8</v>
      </c>
      <c r="I197" s="9">
        <f t="shared" si="56"/>
        <v>-132443481</v>
      </c>
      <c r="J197" s="9">
        <v>-2.30329148E8</v>
      </c>
      <c r="K197" s="6" t="s">
        <v>461</v>
      </c>
      <c r="L197" s="9"/>
      <c r="M197" s="10"/>
      <c r="N197" s="10"/>
      <c r="O197" s="9">
        <f t="shared" si="57"/>
        <v>556244455</v>
      </c>
      <c r="P197" s="38">
        <v>0.1283</v>
      </c>
      <c r="Q197" s="9">
        <f t="shared" si="62"/>
        <v>-16992498.61</v>
      </c>
      <c r="R197" s="9">
        <f t="shared" si="63"/>
        <v>71366163.58</v>
      </c>
      <c r="S197" s="9">
        <f t="shared" si="64"/>
        <v>71366163.58</v>
      </c>
      <c r="T197" s="9"/>
      <c r="U197" s="16" t="s">
        <v>462</v>
      </c>
      <c r="V197" s="6"/>
      <c r="W197" s="6"/>
      <c r="X197" s="6"/>
      <c r="Y197" s="6"/>
      <c r="Z197" s="6"/>
      <c r="AA197" s="6"/>
      <c r="AB197" s="6"/>
      <c r="AC197" s="6"/>
      <c r="AD197" s="6"/>
      <c r="AE197" s="6"/>
      <c r="AF197" s="6"/>
      <c r="AG197" s="6"/>
      <c r="AH197" s="6"/>
    </row>
    <row r="198" ht="15.75" customHeight="1">
      <c r="A198" s="6"/>
      <c r="B198" s="25" t="s">
        <v>36</v>
      </c>
      <c r="C198" s="25"/>
      <c r="D198" s="25"/>
      <c r="E198" s="25" t="s">
        <v>463</v>
      </c>
      <c r="F198" s="25" t="s">
        <v>29</v>
      </c>
      <c r="G198" s="9">
        <v>5.5722285E7</v>
      </c>
      <c r="H198" s="9">
        <v>3.9318879E7</v>
      </c>
      <c r="I198" s="9">
        <f t="shared" si="56"/>
        <v>39318879</v>
      </c>
      <c r="J198" s="9"/>
      <c r="K198" s="6"/>
      <c r="L198" s="9"/>
      <c r="M198" s="10"/>
      <c r="N198" s="10"/>
      <c r="O198" s="9">
        <f t="shared" si="57"/>
        <v>95041164</v>
      </c>
      <c r="P198" s="38">
        <v>0.1283</v>
      </c>
      <c r="Q198" s="9">
        <f t="shared" si="62"/>
        <v>5044612.176</v>
      </c>
      <c r="R198" s="9">
        <f t="shared" si="63"/>
        <v>12193781.34</v>
      </c>
      <c r="S198" s="9">
        <f t="shared" si="64"/>
        <v>12193781.34</v>
      </c>
      <c r="T198" s="9"/>
      <c r="U198" s="16" t="s">
        <v>464</v>
      </c>
      <c r="V198" s="6"/>
      <c r="W198" s="6"/>
      <c r="X198" s="6"/>
      <c r="Y198" s="6"/>
      <c r="Z198" s="6"/>
      <c r="AA198" s="6"/>
      <c r="AB198" s="6"/>
      <c r="AC198" s="6"/>
      <c r="AD198" s="6"/>
      <c r="AE198" s="6"/>
      <c r="AF198" s="6"/>
      <c r="AG198" s="6"/>
      <c r="AH198" s="6"/>
    </row>
    <row r="199" ht="15.75" customHeight="1">
      <c r="A199" s="6"/>
      <c r="B199" s="25" t="s">
        <v>36</v>
      </c>
      <c r="C199" s="25"/>
      <c r="D199" s="25"/>
      <c r="E199" s="25" t="s">
        <v>465</v>
      </c>
      <c r="F199" s="25" t="s">
        <v>29</v>
      </c>
      <c r="G199" s="9"/>
      <c r="H199" s="9">
        <f>84457182+63044476+533562+494860+1200774</f>
        <v>149730854</v>
      </c>
      <c r="I199" s="9">
        <f t="shared" si="56"/>
        <v>86686378</v>
      </c>
      <c r="J199" s="9">
        <v>6.3044476E7</v>
      </c>
      <c r="K199" s="6" t="s">
        <v>466</v>
      </c>
      <c r="L199" s="9"/>
      <c r="M199" s="10"/>
      <c r="N199" s="10"/>
      <c r="O199" s="9">
        <f t="shared" si="57"/>
        <v>86686378</v>
      </c>
      <c r="P199" s="38">
        <v>0.2893</v>
      </c>
      <c r="Q199" s="9">
        <f t="shared" si="62"/>
        <v>25078369.16</v>
      </c>
      <c r="R199" s="9">
        <f t="shared" si="63"/>
        <v>25078369.16</v>
      </c>
      <c r="S199" s="9">
        <f t="shared" si="64"/>
        <v>25078369.16</v>
      </c>
      <c r="T199" s="9"/>
      <c r="U199" s="16" t="s">
        <v>467</v>
      </c>
      <c r="V199" s="6"/>
      <c r="W199" s="6"/>
      <c r="X199" s="6"/>
      <c r="Y199" s="6"/>
      <c r="Z199" s="6"/>
      <c r="AA199" s="6"/>
      <c r="AB199" s="6"/>
      <c r="AC199" s="6"/>
      <c r="AD199" s="6"/>
      <c r="AE199" s="6"/>
      <c r="AF199" s="6"/>
      <c r="AG199" s="6"/>
      <c r="AH199" s="6"/>
    </row>
    <row r="200" ht="15.75" customHeight="1">
      <c r="A200" s="6"/>
      <c r="B200" s="25" t="s">
        <v>36</v>
      </c>
      <c r="C200" s="25"/>
      <c r="D200" s="25"/>
      <c r="E200" s="25" t="s">
        <v>468</v>
      </c>
      <c r="F200" s="25" t="s">
        <v>29</v>
      </c>
      <c r="G200" s="9">
        <v>2.669E8</v>
      </c>
      <c r="H200" s="9">
        <v>2.07E8</v>
      </c>
      <c r="I200" s="9">
        <f t="shared" si="56"/>
        <v>207000000</v>
      </c>
      <c r="J200" s="9"/>
      <c r="K200" s="6"/>
      <c r="L200" s="9"/>
      <c r="M200" s="10"/>
      <c r="N200" s="10"/>
      <c r="O200" s="9">
        <f t="shared" si="57"/>
        <v>473900000</v>
      </c>
      <c r="P200" s="38">
        <v>0.5343</v>
      </c>
      <c r="Q200" s="9">
        <f t="shared" si="62"/>
        <v>110600100</v>
      </c>
      <c r="R200" s="9">
        <f t="shared" si="63"/>
        <v>253204770</v>
      </c>
      <c r="S200" s="9">
        <f t="shared" si="64"/>
        <v>253204770</v>
      </c>
      <c r="T200" s="9"/>
      <c r="U200" s="16" t="s">
        <v>469</v>
      </c>
      <c r="V200" s="6"/>
      <c r="W200" s="6"/>
      <c r="X200" s="6"/>
      <c r="Y200" s="6"/>
      <c r="Z200" s="6"/>
      <c r="AA200" s="6"/>
      <c r="AB200" s="6"/>
      <c r="AC200" s="6"/>
      <c r="AD200" s="6"/>
      <c r="AE200" s="6"/>
      <c r="AF200" s="6"/>
      <c r="AG200" s="6"/>
      <c r="AH200" s="6"/>
    </row>
    <row r="201" ht="15.75" customHeight="1">
      <c r="A201" s="6"/>
      <c r="B201" s="25" t="s">
        <v>36</v>
      </c>
      <c r="C201" s="25"/>
      <c r="D201" s="25"/>
      <c r="E201" s="25" t="s">
        <v>470</v>
      </c>
      <c r="F201" s="25" t="s">
        <v>29</v>
      </c>
      <c r="G201" s="9">
        <v>4.0941E7</v>
      </c>
      <c r="H201" s="9">
        <v>7.55161E8</v>
      </c>
      <c r="I201" s="9">
        <f t="shared" si="56"/>
        <v>755161000</v>
      </c>
      <c r="J201" s="9"/>
      <c r="K201" s="6"/>
      <c r="L201" s="9"/>
      <c r="M201" s="10"/>
      <c r="N201" s="10"/>
      <c r="O201" s="9">
        <f t="shared" si="57"/>
        <v>796102000</v>
      </c>
      <c r="P201" s="38">
        <v>0.5343</v>
      </c>
      <c r="Q201" s="9">
        <f t="shared" si="62"/>
        <v>403482522.3</v>
      </c>
      <c r="R201" s="9">
        <f t="shared" si="63"/>
        <v>425357298.6</v>
      </c>
      <c r="S201" s="9">
        <f t="shared" si="64"/>
        <v>425357298.6</v>
      </c>
      <c r="T201" s="9"/>
      <c r="U201" s="16" t="s">
        <v>471</v>
      </c>
      <c r="V201" s="6"/>
      <c r="W201" s="6"/>
      <c r="X201" s="6"/>
      <c r="Y201" s="6"/>
      <c r="Z201" s="6"/>
      <c r="AA201" s="6"/>
      <c r="AB201" s="6"/>
      <c r="AC201" s="6"/>
      <c r="AD201" s="6"/>
      <c r="AE201" s="6"/>
      <c r="AF201" s="6"/>
      <c r="AG201" s="6"/>
      <c r="AH201" s="6"/>
    </row>
    <row r="202" ht="15.75" customHeight="1">
      <c r="A202" s="6"/>
      <c r="B202" s="25" t="s">
        <v>36</v>
      </c>
      <c r="C202" s="25"/>
      <c r="D202" s="25"/>
      <c r="E202" s="25" t="s">
        <v>472</v>
      </c>
      <c r="F202" s="25" t="s">
        <v>29</v>
      </c>
      <c r="G202" s="9"/>
      <c r="H202" s="9">
        <f>433856387+7099875</f>
        <v>440956262</v>
      </c>
      <c r="I202" s="9">
        <f t="shared" si="56"/>
        <v>440956262</v>
      </c>
      <c r="J202" s="9"/>
      <c r="K202" s="6"/>
      <c r="L202" s="9"/>
      <c r="M202" s="10"/>
      <c r="N202" s="10"/>
      <c r="O202" s="9">
        <f t="shared" si="57"/>
        <v>440956262</v>
      </c>
      <c r="P202" s="38">
        <v>0.5343</v>
      </c>
      <c r="Q202" s="9">
        <f t="shared" si="62"/>
        <v>235602930.8</v>
      </c>
      <c r="R202" s="9">
        <f t="shared" si="63"/>
        <v>235602930.8</v>
      </c>
      <c r="S202" s="9">
        <f t="shared" si="64"/>
        <v>235602930.8</v>
      </c>
      <c r="T202" s="9"/>
      <c r="U202" s="16" t="s">
        <v>473</v>
      </c>
      <c r="V202" s="6"/>
      <c r="W202" s="6"/>
      <c r="X202" s="6"/>
      <c r="Y202" s="6"/>
      <c r="Z202" s="6"/>
      <c r="AA202" s="6"/>
      <c r="AB202" s="6"/>
      <c r="AC202" s="6"/>
      <c r="AD202" s="6"/>
      <c r="AE202" s="6"/>
      <c r="AF202" s="6"/>
      <c r="AG202" s="6"/>
      <c r="AH202" s="6"/>
    </row>
    <row r="203" ht="15.75" customHeight="1">
      <c r="A203" s="6"/>
      <c r="B203" s="25"/>
      <c r="C203" s="25"/>
      <c r="D203" s="25"/>
      <c r="E203" s="41" t="s">
        <v>35</v>
      </c>
      <c r="F203" s="25"/>
      <c r="G203" s="9"/>
      <c r="H203" s="9"/>
      <c r="I203" s="9"/>
      <c r="J203" s="9"/>
      <c r="K203" s="6"/>
      <c r="L203" s="9"/>
      <c r="M203" s="10"/>
      <c r="N203" s="10"/>
      <c r="O203" s="9"/>
      <c r="P203" s="26" t="s">
        <v>474</v>
      </c>
      <c r="Q203" s="19">
        <f t="shared" ref="Q203:S203" si="65">SUM(Q176:Q202)</f>
        <v>8501584892</v>
      </c>
      <c r="R203" s="19">
        <f t="shared" si="65"/>
        <v>11376527292</v>
      </c>
      <c r="S203" s="19">
        <f t="shared" si="65"/>
        <v>13178951552</v>
      </c>
      <c r="T203" s="20">
        <v>5.695005792E9</v>
      </c>
      <c r="U203" s="6"/>
      <c r="V203" s="6"/>
      <c r="W203" s="6"/>
      <c r="X203" s="6"/>
      <c r="Y203" s="6"/>
      <c r="Z203" s="6"/>
      <c r="AA203" s="6"/>
      <c r="AB203" s="6"/>
      <c r="AC203" s="6"/>
      <c r="AD203" s="6"/>
      <c r="AE203" s="6"/>
      <c r="AF203" s="6"/>
      <c r="AG203" s="6"/>
      <c r="AH203" s="6"/>
    </row>
    <row r="204" ht="15.75" customHeight="1">
      <c r="A204" s="6">
        <v>11.0</v>
      </c>
      <c r="B204" s="25" t="s">
        <v>106</v>
      </c>
      <c r="C204" s="7" t="s">
        <v>107</v>
      </c>
      <c r="D204" s="25"/>
      <c r="E204" s="25"/>
      <c r="F204" s="42" t="s">
        <v>1</v>
      </c>
      <c r="G204" s="8">
        <v>3.9005005E10</v>
      </c>
      <c r="H204" s="8">
        <v>6.3331858E10</v>
      </c>
      <c r="I204" s="9">
        <f t="shared" ref="I204:I218" si="66">H204-J204</f>
        <v>63099627000</v>
      </c>
      <c r="J204" s="9">
        <f>23645000+207888000+698000</f>
        <v>232231000</v>
      </c>
      <c r="K204" s="28" t="s">
        <v>108</v>
      </c>
      <c r="L204" s="9"/>
      <c r="M204" s="10"/>
      <c r="N204" s="10">
        <f>5193922000+1989916000</f>
        <v>7183838000</v>
      </c>
      <c r="O204" s="9">
        <f t="shared" ref="O204:O218" si="67">G204+I204</f>
        <v>102104632000</v>
      </c>
      <c r="P204" s="31">
        <v>0.0341</v>
      </c>
      <c r="Q204" s="9">
        <f t="shared" ref="Q204:Q218" si="68">I204*P204</f>
        <v>2151697281</v>
      </c>
      <c r="R204" s="9">
        <f t="shared" ref="R204:R218" si="69">(O204-N204-M204)*P204</f>
        <v>3236799075</v>
      </c>
      <c r="S204" s="9">
        <f t="shared" ref="S204:S218" si="70">O204*P204</f>
        <v>3481767951</v>
      </c>
      <c r="T204" s="9"/>
      <c r="U204" s="16" t="s">
        <v>109</v>
      </c>
      <c r="V204" s="6"/>
      <c r="W204" s="6"/>
      <c r="X204" s="6"/>
      <c r="Y204" s="6"/>
      <c r="Z204" s="6"/>
      <c r="AA204" s="6"/>
      <c r="AB204" s="6"/>
      <c r="AC204" s="6"/>
      <c r="AD204" s="6"/>
      <c r="AE204" s="6"/>
      <c r="AF204" s="6"/>
      <c r="AG204" s="6"/>
      <c r="AH204" s="6"/>
    </row>
    <row r="205" ht="15.75" customHeight="1">
      <c r="A205" s="6"/>
      <c r="B205" s="25" t="s">
        <v>106</v>
      </c>
      <c r="C205" s="25"/>
      <c r="D205" s="25" t="s">
        <v>475</v>
      </c>
      <c r="E205" s="25"/>
      <c r="F205" s="25" t="s">
        <v>3</v>
      </c>
      <c r="G205" s="9">
        <v>2.646659E9</v>
      </c>
      <c r="H205" s="9">
        <v>1.176219E9</v>
      </c>
      <c r="I205" s="9">
        <f t="shared" si="66"/>
        <v>1176219000</v>
      </c>
      <c r="J205" s="9"/>
      <c r="K205" s="6"/>
      <c r="L205" s="9"/>
      <c r="M205" s="14">
        <v>1.373556E9</v>
      </c>
      <c r="N205" s="14">
        <f>11265000+119692000</f>
        <v>130957000</v>
      </c>
      <c r="O205" s="9">
        <f t="shared" si="67"/>
        <v>3822878000</v>
      </c>
      <c r="P205" s="38">
        <v>1.0</v>
      </c>
      <c r="Q205" s="9">
        <f t="shared" si="68"/>
        <v>1176219000</v>
      </c>
      <c r="R205" s="9">
        <f t="shared" si="69"/>
        <v>2318365000</v>
      </c>
      <c r="S205" s="9">
        <f t="shared" si="70"/>
        <v>3822878000</v>
      </c>
      <c r="T205" s="9"/>
      <c r="U205" s="16" t="s">
        <v>476</v>
      </c>
      <c r="V205" s="6"/>
      <c r="W205" s="6"/>
      <c r="X205" s="6"/>
      <c r="Y205" s="6"/>
      <c r="Z205" s="6"/>
      <c r="AA205" s="6"/>
      <c r="AB205" s="6"/>
      <c r="AC205" s="6"/>
      <c r="AD205" s="6"/>
      <c r="AE205" s="6"/>
      <c r="AF205" s="6"/>
      <c r="AG205" s="6"/>
      <c r="AH205" s="6"/>
    </row>
    <row r="206" ht="15.75" customHeight="1">
      <c r="A206" s="6"/>
      <c r="B206" s="25" t="s">
        <v>106</v>
      </c>
      <c r="C206" s="25"/>
      <c r="D206" s="25"/>
      <c r="E206" s="35" t="s">
        <v>477</v>
      </c>
      <c r="F206" s="25" t="s">
        <v>43</v>
      </c>
      <c r="G206" s="9">
        <v>1.07042374E8</v>
      </c>
      <c r="H206" s="9">
        <v>7.99870344E8</v>
      </c>
      <c r="I206" s="9">
        <f t="shared" si="66"/>
        <v>797988998</v>
      </c>
      <c r="J206" s="9">
        <v>1881346.0</v>
      </c>
      <c r="K206" s="6" t="s">
        <v>478</v>
      </c>
      <c r="L206" s="9"/>
      <c r="M206" s="10"/>
      <c r="N206" s="14">
        <v>1804309.0</v>
      </c>
      <c r="O206" s="9">
        <f t="shared" si="67"/>
        <v>905031372</v>
      </c>
      <c r="P206" s="38">
        <v>0.6925</v>
      </c>
      <c r="Q206" s="9">
        <f t="shared" si="68"/>
        <v>552607381.1</v>
      </c>
      <c r="R206" s="9">
        <f t="shared" si="69"/>
        <v>625484741.1</v>
      </c>
      <c r="S206" s="9">
        <f t="shared" si="70"/>
        <v>626734225.1</v>
      </c>
      <c r="T206" s="9"/>
      <c r="U206" s="16" t="s">
        <v>479</v>
      </c>
      <c r="V206" s="6"/>
      <c r="W206" s="6"/>
      <c r="X206" s="6"/>
      <c r="Y206" s="6"/>
      <c r="Z206" s="6"/>
      <c r="AA206" s="6"/>
      <c r="AB206" s="6"/>
      <c r="AC206" s="6"/>
      <c r="AD206" s="6"/>
      <c r="AE206" s="6"/>
      <c r="AF206" s="6"/>
      <c r="AG206" s="6"/>
      <c r="AH206" s="6"/>
    </row>
    <row r="207" ht="15.75" customHeight="1">
      <c r="A207" s="6"/>
      <c r="B207" s="25" t="s">
        <v>106</v>
      </c>
      <c r="C207" s="25"/>
      <c r="D207" s="25"/>
      <c r="E207" s="35" t="s">
        <v>480</v>
      </c>
      <c r="F207" s="25" t="s">
        <v>43</v>
      </c>
      <c r="G207" s="9">
        <v>5.3133045E7</v>
      </c>
      <c r="H207" s="9">
        <v>3.39921021E8</v>
      </c>
      <c r="I207" s="9">
        <f t="shared" si="66"/>
        <v>339921021</v>
      </c>
      <c r="J207" s="9"/>
      <c r="K207" s="6"/>
      <c r="L207" s="9"/>
      <c r="M207" s="10"/>
      <c r="N207" s="10"/>
      <c r="O207" s="9">
        <f t="shared" si="67"/>
        <v>393054066</v>
      </c>
      <c r="P207" s="38">
        <v>0.0976</v>
      </c>
      <c r="Q207" s="9">
        <f t="shared" si="68"/>
        <v>33176291.65</v>
      </c>
      <c r="R207" s="9">
        <f t="shared" si="69"/>
        <v>38362076.84</v>
      </c>
      <c r="S207" s="9">
        <f t="shared" si="70"/>
        <v>38362076.84</v>
      </c>
      <c r="T207" s="9"/>
      <c r="U207" s="16" t="s">
        <v>481</v>
      </c>
      <c r="V207" s="6"/>
      <c r="W207" s="6"/>
      <c r="X207" s="6"/>
      <c r="Y207" s="6"/>
      <c r="Z207" s="6"/>
      <c r="AA207" s="6"/>
      <c r="AB207" s="6"/>
      <c r="AC207" s="6"/>
      <c r="AD207" s="6"/>
      <c r="AE207" s="6"/>
      <c r="AF207" s="6"/>
      <c r="AG207" s="6"/>
      <c r="AH207" s="6"/>
    </row>
    <row r="208" ht="15.75" customHeight="1">
      <c r="A208" s="6"/>
      <c r="B208" s="25" t="s">
        <v>106</v>
      </c>
      <c r="C208" s="25"/>
      <c r="D208" s="25"/>
      <c r="E208" s="35" t="s">
        <v>482</v>
      </c>
      <c r="F208" s="25" t="s">
        <v>43</v>
      </c>
      <c r="G208" s="9">
        <v>1.5270372E7</v>
      </c>
      <c r="H208" s="9">
        <v>1.78081369E8</v>
      </c>
      <c r="I208" s="9">
        <f t="shared" si="66"/>
        <v>178081369</v>
      </c>
      <c r="J208" s="9"/>
      <c r="K208" s="6"/>
      <c r="L208" s="9"/>
      <c r="M208" s="10"/>
      <c r="N208" s="14">
        <v>1914434.0</v>
      </c>
      <c r="O208" s="9">
        <f t="shared" si="67"/>
        <v>193351741</v>
      </c>
      <c r="P208" s="38">
        <v>0.0039</v>
      </c>
      <c r="Q208" s="9">
        <f t="shared" si="68"/>
        <v>694517.3391</v>
      </c>
      <c r="R208" s="9">
        <f t="shared" si="69"/>
        <v>746605.4973</v>
      </c>
      <c r="S208" s="9">
        <f t="shared" si="70"/>
        <v>754071.7899</v>
      </c>
      <c r="T208" s="9"/>
      <c r="U208" s="16" t="s">
        <v>483</v>
      </c>
      <c r="V208" s="6"/>
      <c r="W208" s="6"/>
      <c r="X208" s="6"/>
      <c r="Y208" s="6"/>
      <c r="Z208" s="6"/>
      <c r="AA208" s="6"/>
      <c r="AB208" s="6"/>
      <c r="AC208" s="6"/>
      <c r="AD208" s="6"/>
      <c r="AE208" s="6"/>
      <c r="AF208" s="6"/>
      <c r="AG208" s="6"/>
      <c r="AH208" s="6"/>
    </row>
    <row r="209" ht="15.75" customHeight="1">
      <c r="A209" s="6"/>
      <c r="B209" s="25" t="s">
        <v>106</v>
      </c>
      <c r="C209" s="25"/>
      <c r="D209" s="25"/>
      <c r="E209" s="25" t="s">
        <v>484</v>
      </c>
      <c r="F209" s="25" t="s">
        <v>47</v>
      </c>
      <c r="G209" s="9">
        <v>1.2359383E7</v>
      </c>
      <c r="H209" s="9">
        <v>1.551262282E9</v>
      </c>
      <c r="I209" s="9">
        <f t="shared" si="66"/>
        <v>1524908933</v>
      </c>
      <c r="J209" s="9">
        <f>5582063+20771286</f>
        <v>26353349</v>
      </c>
      <c r="K209" s="6" t="s">
        <v>485</v>
      </c>
      <c r="L209" s="9"/>
      <c r="M209" s="10"/>
      <c r="N209" s="14">
        <v>0.0</v>
      </c>
      <c r="O209" s="9">
        <f t="shared" si="67"/>
        <v>1537268316</v>
      </c>
      <c r="P209" s="38">
        <v>0.9001</v>
      </c>
      <c r="Q209" s="9">
        <f t="shared" si="68"/>
        <v>1372570531</v>
      </c>
      <c r="R209" s="9">
        <f t="shared" si="69"/>
        <v>1383695211</v>
      </c>
      <c r="S209" s="9">
        <f t="shared" si="70"/>
        <v>1383695211</v>
      </c>
      <c r="T209" s="9"/>
      <c r="U209" s="16" t="s">
        <v>486</v>
      </c>
      <c r="V209" s="6"/>
      <c r="W209" s="6"/>
      <c r="X209" s="6"/>
      <c r="Y209" s="6"/>
      <c r="Z209" s="6"/>
      <c r="AA209" s="6"/>
      <c r="AB209" s="6"/>
      <c r="AC209" s="6"/>
      <c r="AD209" s="6"/>
      <c r="AE209" s="6"/>
      <c r="AF209" s="6"/>
      <c r="AG209" s="6"/>
      <c r="AH209" s="6"/>
    </row>
    <row r="210" ht="15.75" customHeight="1">
      <c r="A210" s="6"/>
      <c r="B210" s="25" t="s">
        <v>106</v>
      </c>
      <c r="C210" s="25"/>
      <c r="D210" s="25"/>
      <c r="E210" s="25" t="s">
        <v>487</v>
      </c>
      <c r="F210" s="25" t="s">
        <v>47</v>
      </c>
      <c r="G210" s="9">
        <v>1377825.0</v>
      </c>
      <c r="H210" s="9">
        <v>1.23909333E8</v>
      </c>
      <c r="I210" s="9">
        <f t="shared" si="66"/>
        <v>97022835</v>
      </c>
      <c r="J210" s="9">
        <v>2.6886498E7</v>
      </c>
      <c r="K210" s="9" t="s">
        <v>488</v>
      </c>
      <c r="L210" s="9"/>
      <c r="M210" s="10"/>
      <c r="N210" s="14">
        <v>0.0</v>
      </c>
      <c r="O210" s="9">
        <f t="shared" si="67"/>
        <v>98400660</v>
      </c>
      <c r="P210" s="38">
        <v>0.3389</v>
      </c>
      <c r="Q210" s="9">
        <f t="shared" si="68"/>
        <v>32881038.78</v>
      </c>
      <c r="R210" s="9">
        <f t="shared" si="69"/>
        <v>33347983.67</v>
      </c>
      <c r="S210" s="9">
        <f t="shared" si="70"/>
        <v>33347983.67</v>
      </c>
      <c r="T210" s="9"/>
      <c r="U210" s="16" t="s">
        <v>489</v>
      </c>
      <c r="V210" s="6"/>
      <c r="W210" s="6"/>
      <c r="X210" s="6"/>
      <c r="Y210" s="6"/>
      <c r="Z210" s="6"/>
      <c r="AA210" s="6"/>
      <c r="AB210" s="6"/>
      <c r="AC210" s="6"/>
      <c r="AD210" s="6"/>
      <c r="AE210" s="6"/>
      <c r="AF210" s="6"/>
      <c r="AG210" s="6"/>
      <c r="AH210" s="6"/>
    </row>
    <row r="211" ht="15.75" customHeight="1">
      <c r="A211" s="6"/>
      <c r="B211" s="25" t="s">
        <v>106</v>
      </c>
      <c r="C211" s="25"/>
      <c r="D211" s="25"/>
      <c r="E211" s="25" t="s">
        <v>490</v>
      </c>
      <c r="F211" s="25" t="s">
        <v>47</v>
      </c>
      <c r="G211" s="9">
        <v>7243608.0</v>
      </c>
      <c r="H211" s="9">
        <v>1.88934041E8</v>
      </c>
      <c r="I211" s="9">
        <f t="shared" si="66"/>
        <v>185885146</v>
      </c>
      <c r="J211" s="9">
        <v>3048895.0</v>
      </c>
      <c r="K211" s="6" t="s">
        <v>488</v>
      </c>
      <c r="L211" s="9"/>
      <c r="M211" s="10"/>
      <c r="N211" s="14">
        <v>0.0</v>
      </c>
      <c r="O211" s="9">
        <f t="shared" si="67"/>
        <v>193128754</v>
      </c>
      <c r="P211" s="38">
        <v>0.2506</v>
      </c>
      <c r="Q211" s="9">
        <f t="shared" si="68"/>
        <v>46582817.59</v>
      </c>
      <c r="R211" s="9">
        <f t="shared" si="69"/>
        <v>48398065.75</v>
      </c>
      <c r="S211" s="9">
        <f t="shared" si="70"/>
        <v>48398065.75</v>
      </c>
      <c r="T211" s="9"/>
      <c r="U211" s="16" t="s">
        <v>491</v>
      </c>
      <c r="V211" s="6"/>
      <c r="W211" s="6"/>
      <c r="X211" s="6"/>
      <c r="Y211" s="6"/>
      <c r="Z211" s="6"/>
      <c r="AA211" s="6"/>
      <c r="AB211" s="6"/>
      <c r="AC211" s="6"/>
      <c r="AD211" s="6"/>
      <c r="AE211" s="6"/>
      <c r="AF211" s="6"/>
      <c r="AG211" s="6"/>
      <c r="AH211" s="6"/>
    </row>
    <row r="212" ht="15.75" customHeight="1">
      <c r="A212" s="6"/>
      <c r="B212" s="25" t="s">
        <v>106</v>
      </c>
      <c r="C212" s="25"/>
      <c r="D212" s="25"/>
      <c r="E212" s="25" t="s">
        <v>492</v>
      </c>
      <c r="F212" s="25" t="s">
        <v>47</v>
      </c>
      <c r="G212" s="9">
        <v>3307956.0</v>
      </c>
      <c r="H212" s="9">
        <v>1.14875172E8</v>
      </c>
      <c r="I212" s="9">
        <f t="shared" si="66"/>
        <v>85167684</v>
      </c>
      <c r="J212" s="9">
        <v>2.9707488E7</v>
      </c>
      <c r="K212" s="6" t="s">
        <v>488</v>
      </c>
      <c r="L212" s="9"/>
      <c r="M212" s="10"/>
      <c r="N212" s="14">
        <v>0.0</v>
      </c>
      <c r="O212" s="9">
        <f t="shared" si="67"/>
        <v>88475640</v>
      </c>
      <c r="P212" s="38">
        <v>0.0641</v>
      </c>
      <c r="Q212" s="9">
        <f t="shared" si="68"/>
        <v>5459248.544</v>
      </c>
      <c r="R212" s="9">
        <f t="shared" si="69"/>
        <v>5671288.524</v>
      </c>
      <c r="S212" s="9">
        <f t="shared" si="70"/>
        <v>5671288.524</v>
      </c>
      <c r="T212" s="9"/>
      <c r="U212" s="16" t="s">
        <v>493</v>
      </c>
      <c r="V212" s="6"/>
      <c r="W212" s="6"/>
      <c r="X212" s="6"/>
      <c r="Y212" s="6"/>
      <c r="Z212" s="6"/>
      <c r="AA212" s="6"/>
      <c r="AB212" s="6"/>
      <c r="AC212" s="6"/>
      <c r="AD212" s="6"/>
      <c r="AE212" s="6"/>
      <c r="AF212" s="6"/>
      <c r="AG212" s="6"/>
      <c r="AH212" s="6"/>
    </row>
    <row r="213" ht="15.75" customHeight="1">
      <c r="A213" s="6"/>
      <c r="B213" s="25" t="s">
        <v>106</v>
      </c>
      <c r="C213" s="25"/>
      <c r="D213" s="25"/>
      <c r="E213" s="25" t="s">
        <v>494</v>
      </c>
      <c r="F213" s="25" t="s">
        <v>47</v>
      </c>
      <c r="G213" s="9">
        <v>8339564.0</v>
      </c>
      <c r="H213" s="9">
        <v>3.09326998E8</v>
      </c>
      <c r="I213" s="9">
        <f t="shared" si="66"/>
        <v>233380734</v>
      </c>
      <c r="J213" s="9">
        <v>7.5946264E7</v>
      </c>
      <c r="K213" s="6" t="s">
        <v>40</v>
      </c>
      <c r="L213" s="9"/>
      <c r="M213" s="10"/>
      <c r="N213" s="14">
        <v>0.0</v>
      </c>
      <c r="O213" s="9">
        <f t="shared" si="67"/>
        <v>241720298</v>
      </c>
      <c r="P213" s="38">
        <v>0.2866</v>
      </c>
      <c r="Q213" s="9">
        <f t="shared" si="68"/>
        <v>66886918.36</v>
      </c>
      <c r="R213" s="9">
        <f t="shared" si="69"/>
        <v>69277037.41</v>
      </c>
      <c r="S213" s="9">
        <f t="shared" si="70"/>
        <v>69277037.41</v>
      </c>
      <c r="T213" s="9"/>
      <c r="U213" s="16" t="s">
        <v>495</v>
      </c>
      <c r="V213" s="6"/>
      <c r="W213" s="6"/>
      <c r="X213" s="6"/>
      <c r="Y213" s="6"/>
      <c r="Z213" s="6"/>
      <c r="AA213" s="6"/>
      <c r="AB213" s="6"/>
      <c r="AC213" s="6"/>
      <c r="AD213" s="6"/>
      <c r="AE213" s="6"/>
      <c r="AF213" s="6"/>
      <c r="AG213" s="6"/>
      <c r="AH213" s="6"/>
    </row>
    <row r="214" ht="15.75" customHeight="1">
      <c r="A214" s="6"/>
      <c r="B214" s="25" t="s">
        <v>106</v>
      </c>
      <c r="C214" s="25"/>
      <c r="D214" s="25"/>
      <c r="E214" s="25" t="s">
        <v>496</v>
      </c>
      <c r="F214" s="25" t="s">
        <v>47</v>
      </c>
      <c r="G214" s="9">
        <v>1.0279576E7</v>
      </c>
      <c r="H214" s="9">
        <v>4.61865893E8</v>
      </c>
      <c r="I214" s="9">
        <f t="shared" si="66"/>
        <v>388579437</v>
      </c>
      <c r="J214" s="9">
        <f>17401+73269055</f>
        <v>73286456</v>
      </c>
      <c r="K214" s="6" t="s">
        <v>497</v>
      </c>
      <c r="L214" s="9"/>
      <c r="M214" s="10"/>
      <c r="N214" s="14">
        <v>329.0</v>
      </c>
      <c r="O214" s="9">
        <f t="shared" si="67"/>
        <v>398859013</v>
      </c>
      <c r="P214" s="38">
        <v>0.0698</v>
      </c>
      <c r="Q214" s="9">
        <f t="shared" si="68"/>
        <v>27122844.7</v>
      </c>
      <c r="R214" s="9">
        <f t="shared" si="69"/>
        <v>27840336.14</v>
      </c>
      <c r="S214" s="9">
        <f t="shared" si="70"/>
        <v>27840359.11</v>
      </c>
      <c r="T214" s="9"/>
      <c r="U214" s="16" t="s">
        <v>498</v>
      </c>
      <c r="V214" s="6"/>
      <c r="W214" s="6"/>
      <c r="X214" s="6"/>
      <c r="Y214" s="6"/>
      <c r="Z214" s="6"/>
      <c r="AA214" s="6"/>
      <c r="AB214" s="6"/>
      <c r="AC214" s="6"/>
      <c r="AD214" s="6"/>
      <c r="AE214" s="6"/>
      <c r="AF214" s="6"/>
      <c r="AG214" s="6"/>
      <c r="AH214" s="6"/>
    </row>
    <row r="215" ht="15.75" customHeight="1">
      <c r="A215" s="6"/>
      <c r="B215" s="25" t="s">
        <v>106</v>
      </c>
      <c r="C215" s="25"/>
      <c r="D215" s="25"/>
      <c r="E215" s="25" t="s">
        <v>499</v>
      </c>
      <c r="F215" s="25" t="s">
        <v>47</v>
      </c>
      <c r="G215" s="9">
        <v>1.1608971E7</v>
      </c>
      <c r="H215" s="9">
        <v>5.24554689E8</v>
      </c>
      <c r="I215" s="9">
        <f t="shared" si="66"/>
        <v>491778476</v>
      </c>
      <c r="J215" s="9">
        <f>28785726+3990487</f>
        <v>32776213</v>
      </c>
      <c r="K215" s="6" t="s">
        <v>497</v>
      </c>
      <c r="L215" s="9"/>
      <c r="M215" s="10"/>
      <c r="N215" s="14">
        <v>0.0</v>
      </c>
      <c r="O215" s="9">
        <f t="shared" si="67"/>
        <v>503387447</v>
      </c>
      <c r="P215" s="38">
        <v>0.3672</v>
      </c>
      <c r="Q215" s="9">
        <f t="shared" si="68"/>
        <v>180581056.4</v>
      </c>
      <c r="R215" s="9">
        <f t="shared" si="69"/>
        <v>184843870.5</v>
      </c>
      <c r="S215" s="9">
        <f t="shared" si="70"/>
        <v>184843870.5</v>
      </c>
      <c r="T215" s="9"/>
      <c r="U215" s="16" t="s">
        <v>500</v>
      </c>
      <c r="V215" s="6"/>
      <c r="W215" s="6"/>
      <c r="X215" s="6"/>
      <c r="Y215" s="6"/>
      <c r="Z215" s="6"/>
      <c r="AA215" s="6"/>
      <c r="AB215" s="6"/>
      <c r="AC215" s="6"/>
      <c r="AD215" s="6"/>
      <c r="AE215" s="6"/>
      <c r="AF215" s="6"/>
      <c r="AG215" s="6"/>
      <c r="AH215" s="6"/>
    </row>
    <row r="216" ht="15.75" customHeight="1">
      <c r="A216" s="6"/>
      <c r="B216" s="25" t="s">
        <v>106</v>
      </c>
      <c r="C216" s="25"/>
      <c r="D216" s="25"/>
      <c r="E216" s="25" t="s">
        <v>501</v>
      </c>
      <c r="F216" s="25" t="s">
        <v>29</v>
      </c>
      <c r="G216" s="9"/>
      <c r="H216" s="9">
        <f>540381855+715575+420310+117555</f>
        <v>541635295</v>
      </c>
      <c r="I216" s="9">
        <f t="shared" si="66"/>
        <v>99717762</v>
      </c>
      <c r="J216" s="9">
        <v>4.41917533E8</v>
      </c>
      <c r="K216" s="6" t="s">
        <v>502</v>
      </c>
      <c r="L216" s="9"/>
      <c r="M216" s="10"/>
      <c r="N216" s="10"/>
      <c r="O216" s="9">
        <f t="shared" si="67"/>
        <v>99717762</v>
      </c>
      <c r="P216" s="38">
        <v>1.0</v>
      </c>
      <c r="Q216" s="9">
        <f t="shared" si="68"/>
        <v>99717762</v>
      </c>
      <c r="R216" s="9">
        <f t="shared" si="69"/>
        <v>99717762</v>
      </c>
      <c r="S216" s="9">
        <f t="shared" si="70"/>
        <v>99717762</v>
      </c>
      <c r="T216" s="9"/>
      <c r="U216" s="16" t="s">
        <v>503</v>
      </c>
      <c r="V216" s="6"/>
      <c r="W216" s="6"/>
      <c r="X216" s="6"/>
      <c r="Y216" s="6"/>
      <c r="Z216" s="6"/>
      <c r="AA216" s="6"/>
      <c r="AB216" s="6"/>
      <c r="AC216" s="6"/>
      <c r="AD216" s="6"/>
      <c r="AE216" s="6"/>
      <c r="AF216" s="6"/>
      <c r="AG216" s="6"/>
      <c r="AH216" s="6"/>
    </row>
    <row r="217" ht="15.75" customHeight="1">
      <c r="A217" s="6"/>
      <c r="B217" s="25" t="s">
        <v>106</v>
      </c>
      <c r="C217" s="25"/>
      <c r="D217" s="25"/>
      <c r="E217" s="25" t="s">
        <v>504</v>
      </c>
      <c r="F217" s="25" t="s">
        <v>29</v>
      </c>
      <c r="G217" s="9"/>
      <c r="H217" s="9">
        <f>116934422+4463494+11117</f>
        <v>121409033</v>
      </c>
      <c r="I217" s="9">
        <f t="shared" si="66"/>
        <v>121409033</v>
      </c>
      <c r="J217" s="9"/>
      <c r="K217" s="6"/>
      <c r="L217" s="9"/>
      <c r="M217" s="10"/>
      <c r="N217" s="10"/>
      <c r="O217" s="9">
        <f t="shared" si="67"/>
        <v>121409033</v>
      </c>
      <c r="P217" s="38">
        <v>0.5506</v>
      </c>
      <c r="Q217" s="9">
        <f t="shared" si="68"/>
        <v>66847813.57</v>
      </c>
      <c r="R217" s="9">
        <f t="shared" si="69"/>
        <v>66847813.57</v>
      </c>
      <c r="S217" s="9">
        <f t="shared" si="70"/>
        <v>66847813.57</v>
      </c>
      <c r="T217" s="9"/>
      <c r="U217" s="16" t="s">
        <v>505</v>
      </c>
      <c r="V217" s="6"/>
      <c r="W217" s="6"/>
      <c r="X217" s="6"/>
      <c r="Y217" s="6"/>
      <c r="Z217" s="6"/>
      <c r="AA217" s="6"/>
      <c r="AB217" s="6"/>
      <c r="AC217" s="6"/>
      <c r="AD217" s="6"/>
      <c r="AE217" s="6"/>
      <c r="AF217" s="6"/>
      <c r="AG217" s="6"/>
      <c r="AH217" s="6"/>
    </row>
    <row r="218" ht="15.75" customHeight="1">
      <c r="A218" s="6"/>
      <c r="B218" s="25" t="s">
        <v>106</v>
      </c>
      <c r="C218" s="25"/>
      <c r="D218" s="25"/>
      <c r="E218" s="25" t="s">
        <v>506</v>
      </c>
      <c r="F218" s="25" t="s">
        <v>29</v>
      </c>
      <c r="G218" s="9"/>
      <c r="H218" s="9">
        <f>22954226+262434630+117090152+3899394+4440688</f>
        <v>410819090</v>
      </c>
      <c r="I218" s="9">
        <f t="shared" si="66"/>
        <v>293728938</v>
      </c>
      <c r="J218" s="9">
        <f>117090152</f>
        <v>117090152</v>
      </c>
      <c r="K218" s="6" t="s">
        <v>507</v>
      </c>
      <c r="L218" s="9"/>
      <c r="M218" s="10"/>
      <c r="N218" s="10"/>
      <c r="O218" s="9">
        <f t="shared" si="67"/>
        <v>293728938</v>
      </c>
      <c r="P218" s="38">
        <v>0.7789</v>
      </c>
      <c r="Q218" s="9">
        <f t="shared" si="68"/>
        <v>228785469.8</v>
      </c>
      <c r="R218" s="9">
        <f t="shared" si="69"/>
        <v>228785469.8</v>
      </c>
      <c r="S218" s="9">
        <f t="shared" si="70"/>
        <v>228785469.8</v>
      </c>
      <c r="T218" s="9"/>
      <c r="U218" s="16" t="s">
        <v>508</v>
      </c>
      <c r="V218" s="6"/>
      <c r="W218" s="6"/>
      <c r="X218" s="6"/>
      <c r="Y218" s="6"/>
      <c r="Z218" s="6"/>
      <c r="AA218" s="6"/>
      <c r="AB218" s="6"/>
      <c r="AC218" s="6"/>
      <c r="AD218" s="6"/>
      <c r="AE218" s="6"/>
      <c r="AF218" s="6"/>
      <c r="AG218" s="6"/>
      <c r="AH218" s="6"/>
    </row>
    <row r="219" ht="15.75" customHeight="1">
      <c r="A219" s="6"/>
      <c r="B219" s="25"/>
      <c r="C219" s="25"/>
      <c r="D219" s="25"/>
      <c r="E219" s="41" t="s">
        <v>35</v>
      </c>
      <c r="F219" s="25"/>
      <c r="G219" s="9"/>
      <c r="H219" s="9"/>
      <c r="I219" s="9"/>
      <c r="J219" s="9"/>
      <c r="K219" s="6"/>
      <c r="L219" s="9"/>
      <c r="M219" s="10"/>
      <c r="N219" s="10"/>
      <c r="O219" s="9"/>
      <c r="P219" s="26" t="s">
        <v>509</v>
      </c>
      <c r="Q219" s="19">
        <f t="shared" ref="Q219:S219" si="71">SUM(Q204:Q218)</f>
        <v>6041829971</v>
      </c>
      <c r="R219" s="19">
        <f t="shared" si="71"/>
        <v>8368182338</v>
      </c>
      <c r="S219" s="19">
        <f t="shared" si="71"/>
        <v>10118921187</v>
      </c>
      <c r="T219" s="20">
        <v>4.310452681E9</v>
      </c>
      <c r="U219" s="43"/>
      <c r="V219" s="6"/>
      <c r="W219" s="6"/>
      <c r="X219" s="6"/>
      <c r="Y219" s="6"/>
      <c r="Z219" s="6"/>
      <c r="AA219" s="6"/>
      <c r="AB219" s="6"/>
      <c r="AC219" s="6"/>
      <c r="AD219" s="6"/>
      <c r="AE219" s="6"/>
      <c r="AF219" s="6"/>
      <c r="AG219" s="6"/>
      <c r="AH219" s="6"/>
    </row>
    <row r="220" ht="15.75" customHeight="1">
      <c r="A220" s="6">
        <v>12.0</v>
      </c>
      <c r="B220" s="25" t="s">
        <v>106</v>
      </c>
      <c r="C220" s="7" t="s">
        <v>107</v>
      </c>
      <c r="D220" s="25"/>
      <c r="E220" s="25"/>
      <c r="F220" s="42" t="s">
        <v>1</v>
      </c>
      <c r="G220" s="8">
        <v>3.9005005E10</v>
      </c>
      <c r="H220" s="8">
        <v>6.3331858E10</v>
      </c>
      <c r="I220" s="9">
        <f t="shared" ref="I220:I241" si="72">H220-J220</f>
        <v>63099627000</v>
      </c>
      <c r="J220" s="9">
        <f>23645000+207888000+698000</f>
        <v>232231000</v>
      </c>
      <c r="K220" s="28" t="s">
        <v>108</v>
      </c>
      <c r="L220" s="9"/>
      <c r="M220" s="10"/>
      <c r="N220" s="10">
        <f>5193922000+1989916000</f>
        <v>7183838000</v>
      </c>
      <c r="O220" s="9">
        <f t="shared" ref="O220:O241" si="73">G220+I220</f>
        <v>102104632000</v>
      </c>
      <c r="P220" s="31">
        <v>0.0318</v>
      </c>
      <c r="Q220" s="9">
        <f t="shared" ref="Q220:Q241" si="74">I220*P220</f>
        <v>2006568139</v>
      </c>
      <c r="R220" s="9">
        <f t="shared" ref="R220:R241" si="75">(O220-N220-M220)*P220</f>
        <v>3018481249</v>
      </c>
      <c r="S220" s="9">
        <f t="shared" ref="S220:S241" si="76">O220*P220</f>
        <v>3246927298</v>
      </c>
      <c r="T220" s="9"/>
      <c r="U220" s="16" t="s">
        <v>109</v>
      </c>
      <c r="V220" s="6"/>
      <c r="W220" s="6"/>
      <c r="X220" s="6"/>
      <c r="Y220" s="6"/>
      <c r="Z220" s="6"/>
      <c r="AA220" s="6"/>
      <c r="AB220" s="6"/>
      <c r="AC220" s="6"/>
      <c r="AD220" s="6"/>
      <c r="AE220" s="6"/>
      <c r="AF220" s="6"/>
      <c r="AG220" s="6"/>
      <c r="AH220" s="6"/>
    </row>
    <row r="221" ht="15.75" customHeight="1">
      <c r="A221" s="6"/>
      <c r="B221" s="25" t="s">
        <v>106</v>
      </c>
      <c r="C221" s="25"/>
      <c r="D221" s="25" t="s">
        <v>510</v>
      </c>
      <c r="E221" s="25"/>
      <c r="F221" s="25" t="s">
        <v>3</v>
      </c>
      <c r="G221" s="9">
        <v>6.81717E8</v>
      </c>
      <c r="H221" s="9">
        <v>9.62521E8</v>
      </c>
      <c r="I221" s="9">
        <f t="shared" si="72"/>
        <v>962521000</v>
      </c>
      <c r="J221" s="9"/>
      <c r="K221" s="6"/>
      <c r="L221" s="9"/>
      <c r="M221" s="10"/>
      <c r="N221" s="14">
        <v>0.0</v>
      </c>
      <c r="O221" s="9">
        <f t="shared" si="73"/>
        <v>1644238000</v>
      </c>
      <c r="P221" s="38">
        <v>1.0</v>
      </c>
      <c r="Q221" s="9">
        <f t="shared" si="74"/>
        <v>962521000</v>
      </c>
      <c r="R221" s="9">
        <f t="shared" si="75"/>
        <v>1644238000</v>
      </c>
      <c r="S221" s="9">
        <f t="shared" si="76"/>
        <v>1644238000</v>
      </c>
      <c r="T221" s="9"/>
      <c r="U221" s="40" t="s">
        <v>511</v>
      </c>
      <c r="V221" s="6"/>
      <c r="W221" s="6"/>
      <c r="X221" s="6"/>
      <c r="Y221" s="6"/>
      <c r="Z221" s="6"/>
      <c r="AA221" s="6"/>
      <c r="AB221" s="6"/>
      <c r="AC221" s="6"/>
      <c r="AD221" s="6"/>
      <c r="AE221" s="6"/>
      <c r="AF221" s="6"/>
      <c r="AG221" s="6"/>
      <c r="AH221" s="6"/>
    </row>
    <row r="222" ht="15.75" customHeight="1">
      <c r="A222" s="6"/>
      <c r="B222" s="25" t="s">
        <v>106</v>
      </c>
      <c r="C222" s="25"/>
      <c r="D222" s="25"/>
      <c r="E222" s="35" t="s">
        <v>512</v>
      </c>
      <c r="F222" s="25" t="s">
        <v>43</v>
      </c>
      <c r="G222" s="9">
        <v>1.45642E8</v>
      </c>
      <c r="H222" s="9">
        <v>4.81689E8</v>
      </c>
      <c r="I222" s="9">
        <f t="shared" si="72"/>
        <v>481689000</v>
      </c>
      <c r="J222" s="9"/>
      <c r="K222" s="6"/>
      <c r="L222" s="9"/>
      <c r="M222" s="10"/>
      <c r="N222" s="10"/>
      <c r="O222" s="9">
        <f t="shared" si="73"/>
        <v>627331000</v>
      </c>
      <c r="P222" s="38">
        <v>0.4242</v>
      </c>
      <c r="Q222" s="9">
        <f t="shared" si="74"/>
        <v>204332473.8</v>
      </c>
      <c r="R222" s="9">
        <f t="shared" si="75"/>
        <v>266113810.2</v>
      </c>
      <c r="S222" s="9">
        <f t="shared" si="76"/>
        <v>266113810.2</v>
      </c>
      <c r="T222" s="9"/>
      <c r="U222" s="40" t="s">
        <v>513</v>
      </c>
      <c r="V222" s="6"/>
      <c r="W222" s="6"/>
      <c r="X222" s="6"/>
      <c r="Y222" s="6"/>
      <c r="Z222" s="6"/>
      <c r="AA222" s="6"/>
      <c r="AB222" s="6"/>
      <c r="AC222" s="6"/>
      <c r="AD222" s="6"/>
      <c r="AE222" s="6"/>
      <c r="AF222" s="6"/>
      <c r="AG222" s="6"/>
      <c r="AH222" s="6"/>
    </row>
    <row r="223" ht="15.75" customHeight="1">
      <c r="A223" s="6"/>
      <c r="B223" s="25" t="s">
        <v>106</v>
      </c>
      <c r="C223" s="25"/>
      <c r="D223" s="25"/>
      <c r="E223" s="35" t="s">
        <v>378</v>
      </c>
      <c r="F223" s="25" t="s">
        <v>43</v>
      </c>
      <c r="G223" s="9">
        <v>2.8968139E7</v>
      </c>
      <c r="H223" s="9">
        <v>2.48564291E8</v>
      </c>
      <c r="I223" s="9">
        <f t="shared" si="72"/>
        <v>248564291</v>
      </c>
      <c r="J223" s="9"/>
      <c r="K223" s="6"/>
      <c r="L223" s="9"/>
      <c r="M223" s="10"/>
      <c r="N223" s="14">
        <v>371080.0</v>
      </c>
      <c r="O223" s="9">
        <f t="shared" si="73"/>
        <v>277532430</v>
      </c>
      <c r="P223" s="38">
        <v>0.0185</v>
      </c>
      <c r="Q223" s="9">
        <f t="shared" si="74"/>
        <v>4598439.384</v>
      </c>
      <c r="R223" s="9">
        <f t="shared" si="75"/>
        <v>5127484.975</v>
      </c>
      <c r="S223" s="9">
        <f t="shared" si="76"/>
        <v>5134349.955</v>
      </c>
      <c r="T223" s="9"/>
      <c r="U223" s="40" t="s">
        <v>379</v>
      </c>
      <c r="V223" s="6"/>
      <c r="W223" s="6"/>
      <c r="X223" s="6"/>
      <c r="Y223" s="6"/>
      <c r="Z223" s="6"/>
      <c r="AA223" s="6"/>
      <c r="AB223" s="6"/>
      <c r="AC223" s="6"/>
      <c r="AD223" s="6"/>
      <c r="AE223" s="6"/>
      <c r="AF223" s="6"/>
      <c r="AG223" s="6"/>
      <c r="AH223" s="6"/>
    </row>
    <row r="224" ht="15.75" customHeight="1">
      <c r="A224" s="6"/>
      <c r="B224" s="25" t="s">
        <v>106</v>
      </c>
      <c r="C224" s="25"/>
      <c r="D224" s="25"/>
      <c r="E224" s="35" t="s">
        <v>514</v>
      </c>
      <c r="F224" s="25" t="s">
        <v>43</v>
      </c>
      <c r="G224" s="9">
        <v>1.2394388E7</v>
      </c>
      <c r="H224" s="9">
        <v>6.419326E7</v>
      </c>
      <c r="I224" s="9">
        <f t="shared" si="72"/>
        <v>64193260</v>
      </c>
      <c r="J224" s="9"/>
      <c r="K224" s="6"/>
      <c r="L224" s="9"/>
      <c r="M224" s="10"/>
      <c r="N224" s="14">
        <v>423608.0</v>
      </c>
      <c r="O224" s="9">
        <f t="shared" si="73"/>
        <v>76587648</v>
      </c>
      <c r="P224" s="38">
        <v>0.0084</v>
      </c>
      <c r="Q224" s="9">
        <f t="shared" si="74"/>
        <v>539223.384</v>
      </c>
      <c r="R224" s="9">
        <f t="shared" si="75"/>
        <v>639777.936</v>
      </c>
      <c r="S224" s="9">
        <f t="shared" si="76"/>
        <v>643336.2432</v>
      </c>
      <c r="T224" s="44"/>
      <c r="U224" s="32" t="s">
        <v>515</v>
      </c>
      <c r="V224" s="6"/>
      <c r="W224" s="6"/>
      <c r="X224" s="6"/>
      <c r="Y224" s="6"/>
      <c r="Z224" s="6"/>
      <c r="AA224" s="6"/>
      <c r="AB224" s="6"/>
      <c r="AC224" s="6"/>
      <c r="AD224" s="6"/>
      <c r="AE224" s="6"/>
      <c r="AF224" s="6"/>
      <c r="AG224" s="6"/>
      <c r="AH224" s="6"/>
    </row>
    <row r="225" ht="15.75" customHeight="1">
      <c r="A225" s="6"/>
      <c r="B225" s="25" t="s">
        <v>106</v>
      </c>
      <c r="C225" s="25"/>
      <c r="D225" s="25"/>
      <c r="E225" s="35" t="s">
        <v>516</v>
      </c>
      <c r="F225" s="25" t="s">
        <v>43</v>
      </c>
      <c r="G225" s="9">
        <v>8430073.0</v>
      </c>
      <c r="H225" s="9">
        <v>3.9302183E7</v>
      </c>
      <c r="I225" s="9">
        <f t="shared" si="72"/>
        <v>39302183</v>
      </c>
      <c r="J225" s="9"/>
      <c r="K225" s="6"/>
      <c r="L225" s="9"/>
      <c r="M225" s="10"/>
      <c r="N225" s="14">
        <v>18500.0</v>
      </c>
      <c r="O225" s="9">
        <f t="shared" si="73"/>
        <v>47732256</v>
      </c>
      <c r="P225" s="38">
        <v>7.0E-4</v>
      </c>
      <c r="Q225" s="9">
        <f t="shared" si="74"/>
        <v>27511.5281</v>
      </c>
      <c r="R225" s="9">
        <f t="shared" si="75"/>
        <v>33399.6292</v>
      </c>
      <c r="S225" s="9">
        <f t="shared" si="76"/>
        <v>33412.5792</v>
      </c>
      <c r="T225" s="9"/>
      <c r="U225" s="40" t="s">
        <v>517</v>
      </c>
      <c r="V225" s="6"/>
      <c r="W225" s="6"/>
      <c r="X225" s="6"/>
      <c r="Y225" s="6"/>
      <c r="Z225" s="6"/>
      <c r="AA225" s="6"/>
      <c r="AB225" s="6"/>
      <c r="AC225" s="6"/>
      <c r="AD225" s="6"/>
      <c r="AE225" s="6"/>
      <c r="AF225" s="6"/>
      <c r="AG225" s="6"/>
      <c r="AH225" s="6"/>
    </row>
    <row r="226" ht="15.75" customHeight="1">
      <c r="A226" s="6"/>
      <c r="B226" s="25" t="s">
        <v>106</v>
      </c>
      <c r="C226" s="25"/>
      <c r="D226" s="25"/>
      <c r="E226" s="25" t="s">
        <v>518</v>
      </c>
      <c r="F226" s="25" t="s">
        <v>47</v>
      </c>
      <c r="G226" s="9">
        <v>1.1254395E7</v>
      </c>
      <c r="H226" s="9">
        <v>2.97301792E8</v>
      </c>
      <c r="I226" s="9">
        <f t="shared" si="72"/>
        <v>288635714</v>
      </c>
      <c r="J226" s="9">
        <v>8666078.0</v>
      </c>
      <c r="K226" s="6" t="s">
        <v>519</v>
      </c>
      <c r="L226" s="9"/>
      <c r="M226" s="10"/>
      <c r="N226" s="14">
        <v>3274531.0</v>
      </c>
      <c r="O226" s="9">
        <f t="shared" si="73"/>
        <v>299890109</v>
      </c>
      <c r="P226" s="38">
        <v>0.5476</v>
      </c>
      <c r="Q226" s="9">
        <f t="shared" si="74"/>
        <v>158056917</v>
      </c>
      <c r="R226" s="9">
        <f t="shared" si="75"/>
        <v>162426690.5</v>
      </c>
      <c r="S226" s="9">
        <f t="shared" si="76"/>
        <v>164219823.7</v>
      </c>
      <c r="T226" s="9"/>
      <c r="U226" s="40" t="s">
        <v>520</v>
      </c>
      <c r="V226" s="6"/>
      <c r="W226" s="6"/>
      <c r="X226" s="6"/>
      <c r="Y226" s="6"/>
      <c r="Z226" s="6"/>
      <c r="AA226" s="6"/>
      <c r="AB226" s="6"/>
      <c r="AC226" s="6"/>
      <c r="AD226" s="6"/>
      <c r="AE226" s="6"/>
      <c r="AF226" s="6"/>
      <c r="AG226" s="6"/>
      <c r="AH226" s="6"/>
    </row>
    <row r="227" ht="15.75" customHeight="1">
      <c r="A227" s="6"/>
      <c r="B227" s="25" t="s">
        <v>106</v>
      </c>
      <c r="C227" s="25"/>
      <c r="D227" s="25"/>
      <c r="E227" s="25" t="s">
        <v>521</v>
      </c>
      <c r="F227" s="25" t="s">
        <v>47</v>
      </c>
      <c r="G227" s="9">
        <v>8947804.0</v>
      </c>
      <c r="H227" s="9">
        <v>2.46969499E8</v>
      </c>
      <c r="I227" s="9">
        <f t="shared" si="72"/>
        <v>157740024</v>
      </c>
      <c r="J227" s="9">
        <v>8.9229475E7</v>
      </c>
      <c r="K227" s="6" t="s">
        <v>522</v>
      </c>
      <c r="L227" s="9"/>
      <c r="M227" s="10"/>
      <c r="N227" s="14">
        <v>0.0</v>
      </c>
      <c r="O227" s="9">
        <f t="shared" si="73"/>
        <v>166687828</v>
      </c>
      <c r="P227" s="38">
        <v>0.0178</v>
      </c>
      <c r="Q227" s="9">
        <f t="shared" si="74"/>
        <v>2807772.427</v>
      </c>
      <c r="R227" s="9">
        <f t="shared" si="75"/>
        <v>2967043.338</v>
      </c>
      <c r="S227" s="9">
        <f t="shared" si="76"/>
        <v>2967043.338</v>
      </c>
      <c r="T227" s="9"/>
      <c r="U227" s="40" t="s">
        <v>523</v>
      </c>
      <c r="V227" s="6"/>
      <c r="W227" s="6"/>
      <c r="X227" s="6"/>
      <c r="Y227" s="6"/>
      <c r="Z227" s="6"/>
      <c r="AA227" s="6"/>
      <c r="AB227" s="6"/>
      <c r="AC227" s="6"/>
      <c r="AD227" s="6"/>
      <c r="AE227" s="6"/>
      <c r="AF227" s="6"/>
      <c r="AG227" s="6"/>
      <c r="AH227" s="6"/>
    </row>
    <row r="228" ht="15.75" customHeight="1">
      <c r="A228" s="6"/>
      <c r="B228" s="25" t="s">
        <v>106</v>
      </c>
      <c r="C228" s="25"/>
      <c r="D228" s="25"/>
      <c r="E228" s="25" t="s">
        <v>524</v>
      </c>
      <c r="F228" s="25" t="s">
        <v>47</v>
      </c>
      <c r="G228" s="9">
        <v>1432901.0</v>
      </c>
      <c r="H228" s="9">
        <v>3.8745193E7</v>
      </c>
      <c r="I228" s="9">
        <f t="shared" si="72"/>
        <v>12220165</v>
      </c>
      <c r="J228" s="9">
        <f>26515028+10000</f>
        <v>26525028</v>
      </c>
      <c r="K228" s="6" t="s">
        <v>525</v>
      </c>
      <c r="L228" s="9"/>
      <c r="M228" s="10"/>
      <c r="N228" s="14">
        <v>0.0</v>
      </c>
      <c r="O228" s="9">
        <f t="shared" si="73"/>
        <v>13653066</v>
      </c>
      <c r="P228" s="38">
        <v>0.241</v>
      </c>
      <c r="Q228" s="9">
        <f t="shared" si="74"/>
        <v>2945059.765</v>
      </c>
      <c r="R228" s="9">
        <f t="shared" si="75"/>
        <v>3290388.906</v>
      </c>
      <c r="S228" s="9">
        <f t="shared" si="76"/>
        <v>3290388.906</v>
      </c>
      <c r="T228" s="9"/>
      <c r="U228" s="40" t="s">
        <v>526</v>
      </c>
      <c r="V228" s="6"/>
      <c r="W228" s="6"/>
      <c r="X228" s="6"/>
      <c r="Y228" s="6"/>
      <c r="Z228" s="6"/>
      <c r="AA228" s="6"/>
      <c r="AB228" s="6"/>
      <c r="AC228" s="6"/>
      <c r="AD228" s="6"/>
      <c r="AE228" s="6"/>
      <c r="AF228" s="6"/>
      <c r="AG228" s="6"/>
      <c r="AH228" s="6"/>
    </row>
    <row r="229" ht="15.75" customHeight="1">
      <c r="A229" s="6"/>
      <c r="B229" s="25" t="s">
        <v>106</v>
      </c>
      <c r="C229" s="25"/>
      <c r="D229" s="25"/>
      <c r="E229" s="25" t="s">
        <v>527</v>
      </c>
      <c r="F229" s="25" t="s">
        <v>47</v>
      </c>
      <c r="G229" s="9">
        <v>1859877.0</v>
      </c>
      <c r="H229" s="9">
        <v>1.8498933E8</v>
      </c>
      <c r="I229" s="9">
        <f t="shared" si="72"/>
        <v>116501384</v>
      </c>
      <c r="J229" s="9">
        <v>6.8487946E7</v>
      </c>
      <c r="K229" s="6" t="s">
        <v>528</v>
      </c>
      <c r="L229" s="9"/>
      <c r="M229" s="10"/>
      <c r="N229" s="14">
        <v>0.0</v>
      </c>
      <c r="O229" s="9">
        <f t="shared" si="73"/>
        <v>118361261</v>
      </c>
      <c r="P229" s="38">
        <v>0.7532</v>
      </c>
      <c r="Q229" s="9">
        <f t="shared" si="74"/>
        <v>87748842.43</v>
      </c>
      <c r="R229" s="9">
        <f t="shared" si="75"/>
        <v>89149701.79</v>
      </c>
      <c r="S229" s="9">
        <f t="shared" si="76"/>
        <v>89149701.79</v>
      </c>
      <c r="T229" s="9"/>
      <c r="U229" s="40" t="s">
        <v>529</v>
      </c>
      <c r="V229" s="6"/>
      <c r="W229" s="6"/>
      <c r="X229" s="6"/>
      <c r="Y229" s="6"/>
      <c r="Z229" s="6"/>
      <c r="AA229" s="6"/>
      <c r="AB229" s="6"/>
      <c r="AC229" s="6"/>
      <c r="AD229" s="6"/>
      <c r="AE229" s="6"/>
      <c r="AF229" s="6"/>
      <c r="AG229" s="6"/>
      <c r="AH229" s="6"/>
    </row>
    <row r="230" ht="15.75" customHeight="1">
      <c r="A230" s="6"/>
      <c r="B230" s="25" t="s">
        <v>106</v>
      </c>
      <c r="C230" s="25"/>
      <c r="D230" s="25"/>
      <c r="E230" s="25" t="s">
        <v>530</v>
      </c>
      <c r="F230" s="25" t="s">
        <v>47</v>
      </c>
      <c r="G230" s="9">
        <v>474839.0</v>
      </c>
      <c r="H230" s="9">
        <v>6.8184327E7</v>
      </c>
      <c r="I230" s="9">
        <f t="shared" si="72"/>
        <v>23082362</v>
      </c>
      <c r="J230" s="9">
        <f>42351345+2750620</f>
        <v>45101965</v>
      </c>
      <c r="K230" s="6" t="s">
        <v>525</v>
      </c>
      <c r="L230" s="9"/>
      <c r="M230" s="10"/>
      <c r="N230" s="14">
        <v>0.0</v>
      </c>
      <c r="O230" s="9">
        <f t="shared" si="73"/>
        <v>23557201</v>
      </c>
      <c r="P230" s="38">
        <v>0.3145</v>
      </c>
      <c r="Q230" s="9">
        <f t="shared" si="74"/>
        <v>7259402.849</v>
      </c>
      <c r="R230" s="9">
        <f t="shared" si="75"/>
        <v>7408739.715</v>
      </c>
      <c r="S230" s="9">
        <f t="shared" si="76"/>
        <v>7408739.715</v>
      </c>
      <c r="T230" s="9"/>
      <c r="U230" s="40" t="s">
        <v>531</v>
      </c>
      <c r="V230" s="6"/>
      <c r="W230" s="6"/>
      <c r="X230" s="6"/>
      <c r="Y230" s="6"/>
      <c r="Z230" s="6"/>
      <c r="AA230" s="6"/>
      <c r="AB230" s="6"/>
      <c r="AC230" s="6"/>
      <c r="AD230" s="6"/>
      <c r="AE230" s="6"/>
      <c r="AF230" s="6"/>
      <c r="AG230" s="6"/>
      <c r="AH230" s="6"/>
    </row>
    <row r="231" ht="15.75" customHeight="1">
      <c r="A231" s="6"/>
      <c r="B231" s="25" t="s">
        <v>106</v>
      </c>
      <c r="C231" s="25"/>
      <c r="D231" s="25"/>
      <c r="E231" s="25" t="s">
        <v>532</v>
      </c>
      <c r="F231" s="25" t="s">
        <v>47</v>
      </c>
      <c r="G231" s="9">
        <v>8517711.0</v>
      </c>
      <c r="H231" s="9">
        <v>8.49338803E8</v>
      </c>
      <c r="I231" s="9">
        <f t="shared" si="72"/>
        <v>533637152</v>
      </c>
      <c r="J231" s="9">
        <v>3.15701651E8</v>
      </c>
      <c r="K231" s="6" t="s">
        <v>522</v>
      </c>
      <c r="L231" s="9"/>
      <c r="M231" s="10"/>
      <c r="N231" s="14">
        <v>0.0</v>
      </c>
      <c r="O231" s="9">
        <f t="shared" si="73"/>
        <v>542154863</v>
      </c>
      <c r="P231" s="38">
        <v>0.8989</v>
      </c>
      <c r="Q231" s="9">
        <f t="shared" si="74"/>
        <v>479686435.9</v>
      </c>
      <c r="R231" s="9">
        <f t="shared" si="75"/>
        <v>487343006.4</v>
      </c>
      <c r="S231" s="9">
        <f t="shared" si="76"/>
        <v>487343006.4</v>
      </c>
      <c r="T231" s="9"/>
      <c r="U231" s="40" t="s">
        <v>533</v>
      </c>
      <c r="V231" s="6"/>
      <c r="W231" s="6"/>
      <c r="X231" s="6"/>
      <c r="Y231" s="6"/>
      <c r="Z231" s="6"/>
      <c r="AA231" s="6"/>
      <c r="AB231" s="6"/>
      <c r="AC231" s="6"/>
      <c r="AD231" s="6"/>
      <c r="AE231" s="6"/>
      <c r="AF231" s="6"/>
      <c r="AG231" s="6"/>
      <c r="AH231" s="6"/>
    </row>
    <row r="232" ht="15.75" customHeight="1">
      <c r="A232" s="6"/>
      <c r="B232" s="25" t="s">
        <v>106</v>
      </c>
      <c r="C232" s="25"/>
      <c r="D232" s="25"/>
      <c r="E232" s="25" t="s">
        <v>534</v>
      </c>
      <c r="F232" s="25" t="s">
        <v>47</v>
      </c>
      <c r="G232" s="9">
        <v>4923268.0</v>
      </c>
      <c r="H232" s="9">
        <v>2.63170234E8</v>
      </c>
      <c r="I232" s="9">
        <f t="shared" si="72"/>
        <v>189087512</v>
      </c>
      <c r="J232" s="9">
        <v>7.4082722E7</v>
      </c>
      <c r="K232" s="6" t="s">
        <v>535</v>
      </c>
      <c r="L232" s="9"/>
      <c r="M232" s="10"/>
      <c r="N232" s="14">
        <v>0.0</v>
      </c>
      <c r="O232" s="9">
        <f t="shared" si="73"/>
        <v>194010780</v>
      </c>
      <c r="P232" s="38">
        <v>0.0897</v>
      </c>
      <c r="Q232" s="9">
        <f t="shared" si="74"/>
        <v>16961149.83</v>
      </c>
      <c r="R232" s="9">
        <f t="shared" si="75"/>
        <v>17402766.97</v>
      </c>
      <c r="S232" s="9">
        <f t="shared" si="76"/>
        <v>17402766.97</v>
      </c>
      <c r="T232" s="9"/>
      <c r="U232" s="40" t="s">
        <v>536</v>
      </c>
      <c r="V232" s="6"/>
      <c r="W232" s="6"/>
      <c r="X232" s="6"/>
      <c r="Y232" s="6"/>
      <c r="Z232" s="6"/>
      <c r="AA232" s="6"/>
      <c r="AB232" s="6"/>
      <c r="AC232" s="6"/>
      <c r="AD232" s="6"/>
      <c r="AE232" s="6"/>
      <c r="AF232" s="6"/>
      <c r="AG232" s="6"/>
      <c r="AH232" s="6"/>
    </row>
    <row r="233" ht="15.75" customHeight="1">
      <c r="A233" s="6"/>
      <c r="B233" s="25" t="s">
        <v>106</v>
      </c>
      <c r="C233" s="25"/>
      <c r="D233" s="25"/>
      <c r="E233" s="25" t="s">
        <v>537</v>
      </c>
      <c r="F233" s="25" t="s">
        <v>47</v>
      </c>
      <c r="G233" s="9">
        <v>2.0171116E7</v>
      </c>
      <c r="H233" s="9">
        <v>3.80810357E8</v>
      </c>
      <c r="I233" s="9">
        <f t="shared" si="72"/>
        <v>284938614</v>
      </c>
      <c r="J233" s="9">
        <v>9.5871743E7</v>
      </c>
      <c r="K233" s="6" t="s">
        <v>535</v>
      </c>
      <c r="L233" s="9"/>
      <c r="M233" s="10"/>
      <c r="N233" s="14">
        <v>138460.0</v>
      </c>
      <c r="O233" s="9">
        <f t="shared" si="73"/>
        <v>305109730</v>
      </c>
      <c r="P233" s="38">
        <v>0.4984</v>
      </c>
      <c r="Q233" s="9">
        <f t="shared" si="74"/>
        <v>142013405.2</v>
      </c>
      <c r="R233" s="9">
        <f t="shared" si="75"/>
        <v>151997681</v>
      </c>
      <c r="S233" s="9">
        <f t="shared" si="76"/>
        <v>152066689.4</v>
      </c>
      <c r="T233" s="9"/>
      <c r="U233" s="40" t="s">
        <v>538</v>
      </c>
      <c r="V233" s="6"/>
      <c r="W233" s="6"/>
      <c r="X233" s="6"/>
      <c r="Y233" s="6"/>
      <c r="Z233" s="6"/>
      <c r="AA233" s="6"/>
      <c r="AB233" s="6"/>
      <c r="AC233" s="6"/>
      <c r="AD233" s="6"/>
      <c r="AE233" s="6"/>
      <c r="AF233" s="6"/>
      <c r="AG233" s="6"/>
      <c r="AH233" s="6"/>
    </row>
    <row r="234" ht="15.75" customHeight="1">
      <c r="A234" s="6"/>
      <c r="B234" s="25" t="s">
        <v>106</v>
      </c>
      <c r="C234" s="25"/>
      <c r="D234" s="25"/>
      <c r="E234" s="25" t="s">
        <v>539</v>
      </c>
      <c r="F234" s="25" t="s">
        <v>47</v>
      </c>
      <c r="G234" s="9">
        <v>498670.0</v>
      </c>
      <c r="H234" s="9">
        <v>4.0182152E7</v>
      </c>
      <c r="I234" s="9">
        <f t="shared" si="72"/>
        <v>17363317</v>
      </c>
      <c r="J234" s="9">
        <f>21863798+911840+43197</f>
        <v>22818835</v>
      </c>
      <c r="K234" s="6" t="s">
        <v>540</v>
      </c>
      <c r="L234" s="9"/>
      <c r="M234" s="10"/>
      <c r="N234" s="14">
        <v>0.0</v>
      </c>
      <c r="O234" s="9">
        <f t="shared" si="73"/>
        <v>17861987</v>
      </c>
      <c r="P234" s="38">
        <v>0.8648</v>
      </c>
      <c r="Q234" s="9">
        <f t="shared" si="74"/>
        <v>15015796.54</v>
      </c>
      <c r="R234" s="9">
        <f t="shared" si="75"/>
        <v>15447046.36</v>
      </c>
      <c r="S234" s="9">
        <f t="shared" si="76"/>
        <v>15447046.36</v>
      </c>
      <c r="T234" s="9"/>
      <c r="U234" s="40" t="s">
        <v>541</v>
      </c>
      <c r="V234" s="6"/>
      <c r="W234" s="6"/>
      <c r="X234" s="6"/>
      <c r="Y234" s="6"/>
      <c r="Z234" s="6"/>
      <c r="AA234" s="6"/>
      <c r="AB234" s="6"/>
      <c r="AC234" s="6"/>
      <c r="AD234" s="6"/>
      <c r="AE234" s="6"/>
      <c r="AF234" s="6"/>
      <c r="AG234" s="6"/>
      <c r="AH234" s="6"/>
    </row>
    <row r="235" ht="15.75" customHeight="1">
      <c r="A235" s="6"/>
      <c r="B235" s="25" t="s">
        <v>106</v>
      </c>
      <c r="C235" s="25"/>
      <c r="D235" s="25"/>
      <c r="E235" s="25" t="s">
        <v>542</v>
      </c>
      <c r="F235" s="25" t="s">
        <v>47</v>
      </c>
      <c r="G235" s="9">
        <v>1.1890671E7</v>
      </c>
      <c r="H235" s="9">
        <v>2.35681019E8</v>
      </c>
      <c r="I235" s="9">
        <f t="shared" si="72"/>
        <v>162634352</v>
      </c>
      <c r="J235" s="9">
        <v>7.3046667E7</v>
      </c>
      <c r="K235" s="6" t="s">
        <v>543</v>
      </c>
      <c r="L235" s="9"/>
      <c r="M235" s="10"/>
      <c r="N235" s="14">
        <v>2798633.0</v>
      </c>
      <c r="O235" s="9">
        <f t="shared" si="73"/>
        <v>174525023</v>
      </c>
      <c r="P235" s="38">
        <v>0.2959</v>
      </c>
      <c r="Q235" s="9">
        <f t="shared" si="74"/>
        <v>48123504.76</v>
      </c>
      <c r="R235" s="9">
        <f t="shared" si="75"/>
        <v>50813838.8</v>
      </c>
      <c r="S235" s="9">
        <f t="shared" si="76"/>
        <v>51641954.31</v>
      </c>
      <c r="T235" s="9"/>
      <c r="U235" s="40" t="s">
        <v>544</v>
      </c>
      <c r="V235" s="6"/>
      <c r="W235" s="6"/>
      <c r="X235" s="6"/>
      <c r="Y235" s="6"/>
      <c r="Z235" s="6"/>
      <c r="AA235" s="6"/>
      <c r="AB235" s="6"/>
      <c r="AC235" s="6"/>
      <c r="AD235" s="6"/>
      <c r="AE235" s="6"/>
      <c r="AF235" s="6"/>
      <c r="AG235" s="6"/>
      <c r="AH235" s="6"/>
    </row>
    <row r="236" ht="15.75" customHeight="1">
      <c r="A236" s="6"/>
      <c r="B236" s="25" t="s">
        <v>106</v>
      </c>
      <c r="C236" s="25"/>
      <c r="D236" s="25"/>
      <c r="E236" s="25" t="s">
        <v>545</v>
      </c>
      <c r="F236" s="25" t="s">
        <v>47</v>
      </c>
      <c r="G236" s="9">
        <v>2292553.0</v>
      </c>
      <c r="H236" s="9">
        <v>6.4653961E7</v>
      </c>
      <c r="I236" s="9">
        <f t="shared" si="72"/>
        <v>34502409</v>
      </c>
      <c r="J236" s="9">
        <v>3.0151552E7</v>
      </c>
      <c r="K236" s="6" t="s">
        <v>528</v>
      </c>
      <c r="L236" s="9"/>
      <c r="M236" s="10"/>
      <c r="N236" s="14">
        <v>0.0</v>
      </c>
      <c r="O236" s="9">
        <f t="shared" si="73"/>
        <v>36794962</v>
      </c>
      <c r="P236" s="38">
        <v>0.3204</v>
      </c>
      <c r="Q236" s="9">
        <f t="shared" si="74"/>
        <v>11054571.84</v>
      </c>
      <c r="R236" s="9">
        <f t="shared" si="75"/>
        <v>11789105.82</v>
      </c>
      <c r="S236" s="9">
        <f t="shared" si="76"/>
        <v>11789105.82</v>
      </c>
      <c r="T236" s="9"/>
      <c r="U236" s="40" t="s">
        <v>546</v>
      </c>
      <c r="V236" s="6"/>
      <c r="W236" s="6"/>
      <c r="X236" s="6"/>
      <c r="Y236" s="6"/>
      <c r="Z236" s="6"/>
      <c r="AA236" s="6"/>
      <c r="AB236" s="6"/>
      <c r="AC236" s="6"/>
      <c r="AD236" s="6"/>
      <c r="AE236" s="6"/>
      <c r="AF236" s="6"/>
      <c r="AG236" s="6"/>
      <c r="AH236" s="6"/>
    </row>
    <row r="237" ht="15.75" customHeight="1">
      <c r="A237" s="6"/>
      <c r="B237" s="25" t="s">
        <v>106</v>
      </c>
      <c r="C237" s="25"/>
      <c r="D237" s="25"/>
      <c r="E237" s="25" t="s">
        <v>404</v>
      </c>
      <c r="F237" s="25" t="s">
        <v>29</v>
      </c>
      <c r="G237" s="9"/>
      <c r="H237" s="9">
        <f>785673085+1525356+15916592</f>
        <v>803115033</v>
      </c>
      <c r="I237" s="9">
        <f t="shared" si="72"/>
        <v>803115033</v>
      </c>
      <c r="J237" s="9"/>
      <c r="K237" s="6"/>
      <c r="L237" s="9"/>
      <c r="M237" s="10"/>
      <c r="N237" s="10"/>
      <c r="O237" s="9">
        <f t="shared" si="73"/>
        <v>803115033</v>
      </c>
      <c r="P237" s="38">
        <v>0.1168</v>
      </c>
      <c r="Q237" s="9">
        <f t="shared" si="74"/>
        <v>93803835.85</v>
      </c>
      <c r="R237" s="9">
        <f t="shared" si="75"/>
        <v>93803835.85</v>
      </c>
      <c r="S237" s="9">
        <f t="shared" si="76"/>
        <v>93803835.85</v>
      </c>
      <c r="T237" s="9"/>
      <c r="U237" s="40" t="s">
        <v>405</v>
      </c>
      <c r="V237" s="6"/>
      <c r="W237" s="6"/>
      <c r="X237" s="6"/>
      <c r="Y237" s="6"/>
      <c r="Z237" s="6"/>
      <c r="AA237" s="6"/>
      <c r="AB237" s="6"/>
      <c r="AC237" s="6"/>
      <c r="AD237" s="6"/>
      <c r="AE237" s="6"/>
      <c r="AF237" s="6"/>
      <c r="AG237" s="6"/>
      <c r="AH237" s="6"/>
    </row>
    <row r="238" ht="15.75" customHeight="1">
      <c r="A238" s="6"/>
      <c r="B238" s="25" t="s">
        <v>106</v>
      </c>
      <c r="C238" s="25"/>
      <c r="D238" s="25"/>
      <c r="E238" s="25" t="s">
        <v>412</v>
      </c>
      <c r="F238" s="25" t="s">
        <v>29</v>
      </c>
      <c r="G238" s="9"/>
      <c r="H238" s="9"/>
      <c r="I238" s="9">
        <f t="shared" si="72"/>
        <v>0</v>
      </c>
      <c r="J238" s="9"/>
      <c r="K238" s="6"/>
      <c r="L238" s="9"/>
      <c r="M238" s="10"/>
      <c r="N238" s="10"/>
      <c r="O238" s="9">
        <f t="shared" si="73"/>
        <v>0</v>
      </c>
      <c r="P238" s="38">
        <v>0.1189</v>
      </c>
      <c r="Q238" s="9">
        <f t="shared" si="74"/>
        <v>0</v>
      </c>
      <c r="R238" s="9">
        <f t="shared" si="75"/>
        <v>0</v>
      </c>
      <c r="S238" s="9">
        <f t="shared" si="76"/>
        <v>0</v>
      </c>
      <c r="T238" s="9"/>
      <c r="U238" s="6" t="s">
        <v>60</v>
      </c>
      <c r="V238" s="6"/>
      <c r="W238" s="6"/>
      <c r="X238" s="6"/>
      <c r="Y238" s="6"/>
      <c r="Z238" s="6"/>
      <c r="AA238" s="6"/>
      <c r="AB238" s="6"/>
      <c r="AC238" s="6"/>
      <c r="AD238" s="6"/>
      <c r="AE238" s="6"/>
      <c r="AF238" s="6"/>
      <c r="AG238" s="6"/>
      <c r="AH238" s="6"/>
    </row>
    <row r="239" ht="15.75" customHeight="1">
      <c r="A239" s="6"/>
      <c r="B239" s="25" t="s">
        <v>106</v>
      </c>
      <c r="C239" s="25"/>
      <c r="D239" s="25"/>
      <c r="E239" s="25" t="s">
        <v>547</v>
      </c>
      <c r="F239" s="25" t="s">
        <v>29</v>
      </c>
      <c r="G239" s="9"/>
      <c r="H239" s="9"/>
      <c r="I239" s="9">
        <f t="shared" si="72"/>
        <v>0</v>
      </c>
      <c r="J239" s="9"/>
      <c r="K239" s="6"/>
      <c r="L239" s="9"/>
      <c r="M239" s="10"/>
      <c r="N239" s="10"/>
      <c r="O239" s="9">
        <f t="shared" si="73"/>
        <v>0</v>
      </c>
      <c r="P239" s="38">
        <v>1.0</v>
      </c>
      <c r="Q239" s="9">
        <f t="shared" si="74"/>
        <v>0</v>
      </c>
      <c r="R239" s="9">
        <f t="shared" si="75"/>
        <v>0</v>
      </c>
      <c r="S239" s="9">
        <f t="shared" si="76"/>
        <v>0</v>
      </c>
      <c r="T239" s="9"/>
      <c r="U239" s="6" t="s">
        <v>60</v>
      </c>
      <c r="V239" s="6"/>
      <c r="W239" s="6"/>
      <c r="X239" s="6"/>
      <c r="Y239" s="6"/>
      <c r="Z239" s="6"/>
      <c r="AA239" s="6"/>
      <c r="AB239" s="6"/>
      <c r="AC239" s="6"/>
      <c r="AD239" s="6"/>
      <c r="AE239" s="6"/>
      <c r="AF239" s="6"/>
      <c r="AG239" s="6"/>
      <c r="AH239" s="6"/>
    </row>
    <row r="240" ht="15.75" customHeight="1">
      <c r="A240" s="6"/>
      <c r="B240" s="25" t="s">
        <v>106</v>
      </c>
      <c r="C240" s="25"/>
      <c r="D240" s="25"/>
      <c r="E240" s="25" t="s">
        <v>548</v>
      </c>
      <c r="F240" s="25" t="s">
        <v>29</v>
      </c>
      <c r="G240" s="9">
        <v>1.58162849E8</v>
      </c>
      <c r="H240" s="9">
        <v>2.9030485E7</v>
      </c>
      <c r="I240" s="9">
        <f t="shared" si="72"/>
        <v>29030485</v>
      </c>
      <c r="J240" s="9"/>
      <c r="K240" s="6"/>
      <c r="L240" s="9"/>
      <c r="M240" s="10"/>
      <c r="N240" s="10"/>
      <c r="O240" s="9">
        <f t="shared" si="73"/>
        <v>187193334</v>
      </c>
      <c r="P240" s="38">
        <v>0.4231</v>
      </c>
      <c r="Q240" s="9">
        <f t="shared" si="74"/>
        <v>12282798.2</v>
      </c>
      <c r="R240" s="9">
        <f t="shared" si="75"/>
        <v>79201499.62</v>
      </c>
      <c r="S240" s="9">
        <f t="shared" si="76"/>
        <v>79201499.62</v>
      </c>
      <c r="T240" s="9"/>
      <c r="U240" s="40" t="s">
        <v>549</v>
      </c>
      <c r="V240" s="6"/>
      <c r="W240" s="6"/>
      <c r="X240" s="6"/>
      <c r="Y240" s="6"/>
      <c r="Z240" s="6"/>
      <c r="AA240" s="6"/>
      <c r="AB240" s="6"/>
      <c r="AC240" s="6"/>
      <c r="AD240" s="6"/>
      <c r="AE240" s="6"/>
      <c r="AF240" s="6"/>
      <c r="AG240" s="6"/>
      <c r="AH240" s="6"/>
    </row>
    <row r="241" ht="15.75" customHeight="1">
      <c r="A241" s="6"/>
      <c r="B241" s="25" t="s">
        <v>106</v>
      </c>
      <c r="C241" s="25"/>
      <c r="D241" s="25"/>
      <c r="E241" s="25" t="s">
        <v>550</v>
      </c>
      <c r="F241" s="25" t="s">
        <v>29</v>
      </c>
      <c r="G241" s="9"/>
      <c r="H241" s="9">
        <f>7414462+81273922+46786635+21511716+2335863+11124100+740787+742155+22814+507937</f>
        <v>172460391</v>
      </c>
      <c r="I241" s="9">
        <f t="shared" si="72"/>
        <v>114549656</v>
      </c>
      <c r="J241" s="9">
        <f>46786635+11124100</f>
        <v>57910735</v>
      </c>
      <c r="K241" s="6" t="s">
        <v>551</v>
      </c>
      <c r="L241" s="9"/>
      <c r="M241" s="10"/>
      <c r="N241" s="10"/>
      <c r="O241" s="9">
        <f t="shared" si="73"/>
        <v>114549656</v>
      </c>
      <c r="P241" s="38">
        <v>1.0</v>
      </c>
      <c r="Q241" s="9">
        <f t="shared" si="74"/>
        <v>114549656</v>
      </c>
      <c r="R241" s="9">
        <f t="shared" si="75"/>
        <v>114549656</v>
      </c>
      <c r="S241" s="9">
        <f t="shared" si="76"/>
        <v>114549656</v>
      </c>
      <c r="T241" s="9"/>
      <c r="U241" s="40" t="s">
        <v>552</v>
      </c>
      <c r="V241" s="6"/>
      <c r="W241" s="6"/>
      <c r="X241" s="6"/>
      <c r="Y241" s="6"/>
      <c r="Z241" s="6"/>
      <c r="AA241" s="6"/>
      <c r="AB241" s="6"/>
      <c r="AC241" s="6"/>
      <c r="AD241" s="6"/>
      <c r="AE241" s="6"/>
      <c r="AF241" s="6"/>
      <c r="AG241" s="6"/>
      <c r="AH241" s="6"/>
    </row>
    <row r="242" ht="15.75" customHeight="1">
      <c r="A242" s="6"/>
      <c r="B242" s="25"/>
      <c r="C242" s="25"/>
      <c r="D242" s="25"/>
      <c r="E242" s="41" t="s">
        <v>35</v>
      </c>
      <c r="F242" s="25"/>
      <c r="G242" s="9"/>
      <c r="H242" s="9"/>
      <c r="I242" s="9"/>
      <c r="J242" s="9"/>
      <c r="K242" s="6"/>
      <c r="L242" s="9"/>
      <c r="M242" s="10"/>
      <c r="N242" s="10"/>
      <c r="O242" s="9"/>
      <c r="P242" s="26" t="s">
        <v>553</v>
      </c>
      <c r="Q242" s="19">
        <f t="shared" ref="Q242:S242" si="77">SUM(Q220:Q241)</f>
        <v>4370895935</v>
      </c>
      <c r="R242" s="19">
        <f t="shared" si="77"/>
        <v>6222224723</v>
      </c>
      <c r="S242" s="19">
        <f t="shared" si="77"/>
        <v>6453371465</v>
      </c>
      <c r="T242" s="19">
        <f>2809173258</f>
        <v>2809173258</v>
      </c>
      <c r="U242" s="6"/>
      <c r="V242" s="6"/>
      <c r="W242" s="6"/>
      <c r="X242" s="6"/>
      <c r="Y242" s="6"/>
      <c r="Z242" s="6"/>
      <c r="AA242" s="6"/>
      <c r="AB242" s="6"/>
      <c r="AC242" s="6"/>
      <c r="AD242" s="6"/>
      <c r="AE242" s="6"/>
      <c r="AF242" s="6"/>
      <c r="AG242" s="6"/>
      <c r="AH242" s="6"/>
    </row>
    <row r="243" ht="15.75" customHeight="1">
      <c r="A243" s="6">
        <v>13.0</v>
      </c>
      <c r="B243" s="25" t="s">
        <v>554</v>
      </c>
      <c r="C243" s="42" t="s">
        <v>555</v>
      </c>
      <c r="D243" s="25"/>
      <c r="E243" s="25"/>
      <c r="F243" s="42" t="s">
        <v>1</v>
      </c>
      <c r="G243" s="8">
        <v>2.0325056E10</v>
      </c>
      <c r="H243" s="8">
        <v>4.1905154E10</v>
      </c>
      <c r="I243" s="9">
        <f t="shared" ref="I243:I246" si="78">H243-J243</f>
        <v>41905154000</v>
      </c>
      <c r="J243" s="9"/>
      <c r="K243" s="6"/>
      <c r="L243" s="9"/>
      <c r="M243" s="10"/>
      <c r="N243" s="10"/>
      <c r="O243" s="9">
        <f t="shared" ref="O243:O246" si="79">G243+I243</f>
        <v>62230210000</v>
      </c>
      <c r="P243" s="31">
        <v>0.0427</v>
      </c>
      <c r="Q243" s="9">
        <f t="shared" ref="Q243:Q246" si="80">I243*P243</f>
        <v>1789350076</v>
      </c>
      <c r="R243" s="9">
        <f t="shared" ref="R243:R246" si="81">(O243-N243-M243)*P243</f>
        <v>2657229967</v>
      </c>
      <c r="S243" s="9">
        <f t="shared" ref="S243:S246" si="82">O243*P243</f>
        <v>2657229967</v>
      </c>
      <c r="T243" s="9"/>
      <c r="U243" s="32" t="s">
        <v>556</v>
      </c>
      <c r="V243" s="6"/>
      <c r="W243" s="6"/>
      <c r="X243" s="6"/>
      <c r="Y243" s="6"/>
      <c r="Z243" s="6"/>
      <c r="AA243" s="6"/>
      <c r="AB243" s="6"/>
      <c r="AC243" s="6"/>
      <c r="AD243" s="6"/>
      <c r="AE243" s="6"/>
      <c r="AF243" s="6"/>
      <c r="AG243" s="6"/>
      <c r="AH243" s="6"/>
    </row>
    <row r="244" ht="15.75" customHeight="1">
      <c r="A244" s="6"/>
      <c r="B244" s="25" t="s">
        <v>554</v>
      </c>
      <c r="C244" s="25"/>
      <c r="D244" s="25" t="s">
        <v>557</v>
      </c>
      <c r="E244" s="25"/>
      <c r="F244" s="25" t="s">
        <v>3</v>
      </c>
      <c r="G244" s="9">
        <v>2.67416E8</v>
      </c>
      <c r="H244" s="9">
        <v>1.533763E9</v>
      </c>
      <c r="I244" s="9">
        <f t="shared" si="78"/>
        <v>1231866000</v>
      </c>
      <c r="J244" s="9">
        <f>183073000+118824000</f>
        <v>301897000</v>
      </c>
      <c r="K244" s="6" t="s">
        <v>558</v>
      </c>
      <c r="L244" s="9"/>
      <c r="M244" s="10"/>
      <c r="N244" s="10"/>
      <c r="O244" s="9">
        <f t="shared" si="79"/>
        <v>1499282000</v>
      </c>
      <c r="P244" s="38">
        <v>1.0</v>
      </c>
      <c r="Q244" s="9">
        <f t="shared" si="80"/>
        <v>1231866000</v>
      </c>
      <c r="R244" s="9">
        <f t="shared" si="81"/>
        <v>1499282000</v>
      </c>
      <c r="S244" s="9">
        <f t="shared" si="82"/>
        <v>1499282000</v>
      </c>
      <c r="T244" s="9"/>
      <c r="U244" s="32" t="s">
        <v>559</v>
      </c>
      <c r="V244" s="6"/>
      <c r="W244" s="6"/>
      <c r="X244" s="6"/>
      <c r="Y244" s="6"/>
      <c r="Z244" s="6"/>
      <c r="AA244" s="6"/>
      <c r="AB244" s="6"/>
      <c r="AC244" s="6"/>
      <c r="AD244" s="6"/>
      <c r="AE244" s="6"/>
      <c r="AF244" s="6"/>
      <c r="AG244" s="6"/>
      <c r="AH244" s="6"/>
    </row>
    <row r="245" ht="15.75" customHeight="1">
      <c r="A245" s="6"/>
      <c r="B245" s="25" t="s">
        <v>554</v>
      </c>
      <c r="C245" s="25"/>
      <c r="D245" s="25"/>
      <c r="E245" s="25" t="s">
        <v>560</v>
      </c>
      <c r="F245" s="25" t="s">
        <v>47</v>
      </c>
      <c r="G245" s="9">
        <v>1.3132841E7</v>
      </c>
      <c r="H245" s="9">
        <v>1.244934626E9</v>
      </c>
      <c r="I245" s="9">
        <f t="shared" si="78"/>
        <v>468255060</v>
      </c>
      <c r="J245" s="9">
        <v>7.76679566E8</v>
      </c>
      <c r="K245" s="6" t="s">
        <v>40</v>
      </c>
      <c r="L245" s="9"/>
      <c r="M245" s="10"/>
      <c r="N245" s="10"/>
      <c r="O245" s="9">
        <f t="shared" si="79"/>
        <v>481387901</v>
      </c>
      <c r="P245" s="38">
        <v>1.0</v>
      </c>
      <c r="Q245" s="9">
        <f t="shared" si="80"/>
        <v>468255060</v>
      </c>
      <c r="R245" s="9">
        <f t="shared" si="81"/>
        <v>481387901</v>
      </c>
      <c r="S245" s="9">
        <f t="shared" si="82"/>
        <v>481387901</v>
      </c>
      <c r="T245" s="9"/>
      <c r="U245" s="32" t="s">
        <v>561</v>
      </c>
      <c r="V245" s="6"/>
      <c r="W245" s="6"/>
      <c r="X245" s="6"/>
      <c r="Y245" s="6"/>
      <c r="Z245" s="6"/>
      <c r="AA245" s="6"/>
      <c r="AB245" s="6"/>
      <c r="AC245" s="6"/>
      <c r="AD245" s="6"/>
      <c r="AE245" s="6"/>
      <c r="AF245" s="6"/>
      <c r="AG245" s="6"/>
      <c r="AH245" s="6"/>
    </row>
    <row r="246" ht="15.75" customHeight="1">
      <c r="A246" s="6"/>
      <c r="B246" s="25" t="s">
        <v>554</v>
      </c>
      <c r="C246" s="25"/>
      <c r="D246" s="25"/>
      <c r="E246" s="25" t="s">
        <v>562</v>
      </c>
      <c r="F246" s="25" t="s">
        <v>29</v>
      </c>
      <c r="G246" s="9"/>
      <c r="H246" s="9">
        <f>89980313+54715+110449+105555</f>
        <v>90251032</v>
      </c>
      <c r="I246" s="9">
        <f t="shared" si="78"/>
        <v>90196317</v>
      </c>
      <c r="J246" s="9">
        <v>54715.0</v>
      </c>
      <c r="K246" s="6" t="s">
        <v>563</v>
      </c>
      <c r="L246" s="9"/>
      <c r="M246" s="10"/>
      <c r="N246" s="10"/>
      <c r="O246" s="9">
        <f t="shared" si="79"/>
        <v>90196317</v>
      </c>
      <c r="P246" s="38">
        <v>1.0</v>
      </c>
      <c r="Q246" s="9">
        <f t="shared" si="80"/>
        <v>90196317</v>
      </c>
      <c r="R246" s="9">
        <f t="shared" si="81"/>
        <v>90196317</v>
      </c>
      <c r="S246" s="9">
        <f t="shared" si="82"/>
        <v>90196317</v>
      </c>
      <c r="T246" s="9"/>
      <c r="U246" s="32" t="s">
        <v>564</v>
      </c>
      <c r="V246" s="6"/>
      <c r="W246" s="6"/>
      <c r="X246" s="6"/>
      <c r="Y246" s="6"/>
      <c r="Z246" s="6"/>
      <c r="AA246" s="6"/>
      <c r="AB246" s="6"/>
      <c r="AC246" s="6"/>
      <c r="AD246" s="6"/>
      <c r="AE246" s="6"/>
      <c r="AF246" s="6"/>
      <c r="AG246" s="6"/>
      <c r="AH246" s="6"/>
    </row>
    <row r="247" ht="15.75" customHeight="1">
      <c r="A247" s="6"/>
      <c r="B247" s="25"/>
      <c r="C247" s="25"/>
      <c r="D247" s="25"/>
      <c r="E247" s="41" t="s">
        <v>35</v>
      </c>
      <c r="F247" s="25"/>
      <c r="G247" s="9"/>
      <c r="H247" s="9"/>
      <c r="I247" s="9"/>
      <c r="J247" s="9"/>
      <c r="K247" s="6"/>
      <c r="L247" s="9"/>
      <c r="M247" s="10"/>
      <c r="N247" s="10"/>
      <c r="O247" s="9"/>
      <c r="P247" s="26" t="s">
        <v>565</v>
      </c>
      <c r="Q247" s="19">
        <f t="shared" ref="Q247:S247" si="83">SUM(Q243:Q246)</f>
        <v>3579667453</v>
      </c>
      <c r="R247" s="19">
        <f t="shared" si="83"/>
        <v>4728096185</v>
      </c>
      <c r="S247" s="19">
        <f t="shared" si="83"/>
        <v>4728096185</v>
      </c>
      <c r="T247" s="20">
        <v>2.280579989E9</v>
      </c>
      <c r="U247" s="6"/>
      <c r="V247" s="6"/>
      <c r="W247" s="6"/>
      <c r="X247" s="6"/>
      <c r="Y247" s="6"/>
      <c r="Z247" s="6"/>
      <c r="AA247" s="6"/>
      <c r="AB247" s="6"/>
      <c r="AC247" s="6"/>
      <c r="AD247" s="6"/>
      <c r="AE247" s="6"/>
      <c r="AF247" s="6"/>
      <c r="AG247" s="6"/>
      <c r="AH247" s="6"/>
    </row>
    <row r="248" ht="15.75" customHeight="1">
      <c r="A248" s="6">
        <v>14.0</v>
      </c>
      <c r="B248" s="25" t="s">
        <v>566</v>
      </c>
      <c r="C248" s="42" t="s">
        <v>567</v>
      </c>
      <c r="D248" s="25"/>
      <c r="E248" s="25"/>
      <c r="F248" s="42" t="s">
        <v>1</v>
      </c>
      <c r="G248" s="8">
        <v>1.2270461E10</v>
      </c>
      <c r="H248" s="8">
        <v>2.8098861E10</v>
      </c>
      <c r="I248" s="9">
        <f t="shared" ref="I248:I272" si="84">H248-J248</f>
        <v>28098861000</v>
      </c>
      <c r="J248" s="9"/>
      <c r="K248" s="6"/>
      <c r="L248" s="9"/>
      <c r="M248" s="10"/>
      <c r="N248" s="8">
        <v>1.73259E8</v>
      </c>
      <c r="O248" s="9">
        <f t="shared" ref="O248:O272" si="85">G248+I248</f>
        <v>40369322000</v>
      </c>
      <c r="P248" s="31">
        <v>0.0767</v>
      </c>
      <c r="Q248" s="9">
        <f t="shared" ref="Q248:Q272" si="86">I248*P248</f>
        <v>2155182639</v>
      </c>
      <c r="R248" s="9">
        <f t="shared" ref="R248:R272" si="87">(O248-N248-M248)*P248</f>
        <v>3083038032</v>
      </c>
      <c r="S248" s="9">
        <f t="shared" ref="S248:S272" si="88">O248*P248</f>
        <v>3096326997</v>
      </c>
      <c r="T248" s="9"/>
      <c r="U248" s="13" t="s">
        <v>568</v>
      </c>
      <c r="V248" s="6"/>
      <c r="W248" s="6"/>
      <c r="X248" s="6"/>
      <c r="Y248" s="6"/>
      <c r="Z248" s="6"/>
      <c r="AA248" s="6"/>
      <c r="AB248" s="6"/>
      <c r="AC248" s="6"/>
      <c r="AD248" s="6"/>
      <c r="AE248" s="6"/>
      <c r="AF248" s="6"/>
      <c r="AG248" s="6"/>
      <c r="AH248" s="6"/>
    </row>
    <row r="249" ht="15.75" customHeight="1">
      <c r="A249" s="6"/>
      <c r="B249" s="25" t="s">
        <v>566</v>
      </c>
      <c r="C249" s="25"/>
      <c r="D249" s="25" t="s">
        <v>569</v>
      </c>
      <c r="E249" s="25"/>
      <c r="F249" s="25" t="s">
        <v>3</v>
      </c>
      <c r="G249" s="9">
        <v>7.85156E8</v>
      </c>
      <c r="H249" s="9">
        <v>1.248105E9</v>
      </c>
      <c r="I249" s="9">
        <f t="shared" si="84"/>
        <v>1248105000</v>
      </c>
      <c r="J249" s="9"/>
      <c r="K249" s="29"/>
      <c r="L249" s="9"/>
      <c r="M249" s="14">
        <v>8.3163E7</v>
      </c>
      <c r="N249" s="14">
        <v>9890000.0</v>
      </c>
      <c r="O249" s="9">
        <f t="shared" si="85"/>
        <v>2033261000</v>
      </c>
      <c r="P249" s="38">
        <v>1.0</v>
      </c>
      <c r="Q249" s="9">
        <f t="shared" si="86"/>
        <v>1248105000</v>
      </c>
      <c r="R249" s="9">
        <f t="shared" si="87"/>
        <v>1940208000</v>
      </c>
      <c r="S249" s="9">
        <f t="shared" si="88"/>
        <v>2033261000</v>
      </c>
      <c r="T249" s="9"/>
      <c r="U249" s="13" t="s">
        <v>570</v>
      </c>
      <c r="V249" s="6"/>
      <c r="W249" s="6"/>
      <c r="X249" s="6"/>
      <c r="Y249" s="6"/>
      <c r="Z249" s="6"/>
      <c r="AA249" s="6"/>
      <c r="AB249" s="6"/>
      <c r="AC249" s="6"/>
      <c r="AD249" s="6"/>
      <c r="AE249" s="6"/>
      <c r="AF249" s="6"/>
      <c r="AG249" s="6"/>
      <c r="AH249" s="6"/>
    </row>
    <row r="250" ht="15.75" customHeight="1">
      <c r="A250" s="6"/>
      <c r="B250" s="25" t="s">
        <v>566</v>
      </c>
      <c r="C250" s="25"/>
      <c r="D250" s="25"/>
      <c r="E250" s="35" t="s">
        <v>571</v>
      </c>
      <c r="F250" s="25" t="s">
        <v>43</v>
      </c>
      <c r="G250" s="9">
        <v>1.41542E8</v>
      </c>
      <c r="H250" s="9">
        <v>8.36565E8</v>
      </c>
      <c r="I250" s="9">
        <f t="shared" si="84"/>
        <v>811396000</v>
      </c>
      <c r="J250" s="9">
        <v>2.5169E7</v>
      </c>
      <c r="K250" s="29" t="s">
        <v>168</v>
      </c>
      <c r="L250" s="9"/>
      <c r="M250" s="10"/>
      <c r="N250" s="14">
        <v>9139000.0</v>
      </c>
      <c r="O250" s="9">
        <f t="shared" si="85"/>
        <v>952938000</v>
      </c>
      <c r="P250" s="38">
        <v>0.6646</v>
      </c>
      <c r="Q250" s="9">
        <f t="shared" si="86"/>
        <v>539253781.6</v>
      </c>
      <c r="R250" s="9">
        <f t="shared" si="87"/>
        <v>627248815.4</v>
      </c>
      <c r="S250" s="9">
        <f t="shared" si="88"/>
        <v>633322594.8</v>
      </c>
      <c r="T250" s="9"/>
      <c r="U250" s="13" t="s">
        <v>572</v>
      </c>
      <c r="V250" s="6"/>
      <c r="W250" s="6"/>
      <c r="X250" s="6"/>
      <c r="Y250" s="6"/>
      <c r="Z250" s="6"/>
      <c r="AA250" s="6"/>
      <c r="AB250" s="6"/>
      <c r="AC250" s="6"/>
      <c r="AD250" s="6"/>
      <c r="AE250" s="6"/>
      <c r="AF250" s="6"/>
      <c r="AG250" s="6"/>
      <c r="AH250" s="6"/>
    </row>
    <row r="251" ht="15.75" customHeight="1">
      <c r="A251" s="6"/>
      <c r="B251" s="25" t="s">
        <v>566</v>
      </c>
      <c r="C251" s="25"/>
      <c r="D251" s="25"/>
      <c r="E251" s="35" t="s">
        <v>573</v>
      </c>
      <c r="F251" s="25" t="s">
        <v>43</v>
      </c>
      <c r="G251" s="9">
        <v>3.4186018E7</v>
      </c>
      <c r="H251" s="9">
        <v>8.0660137E7</v>
      </c>
      <c r="I251" s="9">
        <f t="shared" si="84"/>
        <v>76411999</v>
      </c>
      <c r="J251" s="9">
        <f>3540+4244598</f>
        <v>4248138</v>
      </c>
      <c r="K251" s="29" t="s">
        <v>574</v>
      </c>
      <c r="L251" s="9"/>
      <c r="M251" s="10"/>
      <c r="N251" s="14">
        <f>1465476+22664011</f>
        <v>24129487</v>
      </c>
      <c r="O251" s="9">
        <f t="shared" si="85"/>
        <v>110598017</v>
      </c>
      <c r="P251" s="38">
        <v>0.0679</v>
      </c>
      <c r="Q251" s="9">
        <f t="shared" si="86"/>
        <v>5188374.732</v>
      </c>
      <c r="R251" s="9">
        <f t="shared" si="87"/>
        <v>5871213.187</v>
      </c>
      <c r="S251" s="9">
        <f t="shared" si="88"/>
        <v>7509605.354</v>
      </c>
      <c r="T251" s="9"/>
      <c r="U251" s="13" t="s">
        <v>575</v>
      </c>
      <c r="V251" s="6"/>
      <c r="W251" s="6"/>
      <c r="X251" s="6"/>
      <c r="Y251" s="6"/>
      <c r="Z251" s="6"/>
      <c r="AA251" s="6"/>
      <c r="AB251" s="6"/>
      <c r="AC251" s="6"/>
      <c r="AD251" s="6"/>
      <c r="AE251" s="6"/>
      <c r="AF251" s="6"/>
      <c r="AG251" s="6"/>
      <c r="AH251" s="6"/>
    </row>
    <row r="252" ht="15.75" customHeight="1">
      <c r="A252" s="6"/>
      <c r="B252" s="25" t="s">
        <v>566</v>
      </c>
      <c r="C252" s="25"/>
      <c r="D252" s="25"/>
      <c r="E252" s="35" t="s">
        <v>576</v>
      </c>
      <c r="F252" s="25" t="s">
        <v>43</v>
      </c>
      <c r="G252" s="9">
        <v>5.1409817E7</v>
      </c>
      <c r="H252" s="9">
        <v>1.21301725E8</v>
      </c>
      <c r="I252" s="9">
        <f t="shared" si="84"/>
        <v>112940322</v>
      </c>
      <c r="J252" s="9">
        <v>8361403.0</v>
      </c>
      <c r="K252" s="29" t="s">
        <v>577</v>
      </c>
      <c r="L252" s="9"/>
      <c r="M252" s="10"/>
      <c r="N252" s="14">
        <f>673882+20489855</f>
        <v>21163737</v>
      </c>
      <c r="O252" s="9">
        <f t="shared" si="85"/>
        <v>164350139</v>
      </c>
      <c r="P252" s="38">
        <v>0.0682</v>
      </c>
      <c r="Q252" s="9">
        <f t="shared" si="86"/>
        <v>7702529.96</v>
      </c>
      <c r="R252" s="9">
        <f t="shared" si="87"/>
        <v>9765312.616</v>
      </c>
      <c r="S252" s="9">
        <f t="shared" si="88"/>
        <v>11208679.48</v>
      </c>
      <c r="T252" s="9"/>
      <c r="U252" s="13" t="s">
        <v>578</v>
      </c>
      <c r="V252" s="6"/>
      <c r="W252" s="6"/>
      <c r="X252" s="6"/>
      <c r="Y252" s="6"/>
      <c r="Z252" s="6"/>
      <c r="AA252" s="6"/>
      <c r="AB252" s="6"/>
      <c r="AC252" s="6"/>
      <c r="AD252" s="6"/>
      <c r="AE252" s="6"/>
      <c r="AF252" s="6"/>
      <c r="AG252" s="6"/>
      <c r="AH252" s="6"/>
    </row>
    <row r="253" ht="15.75" customHeight="1">
      <c r="A253" s="6"/>
      <c r="B253" s="25" t="s">
        <v>566</v>
      </c>
      <c r="C253" s="25"/>
      <c r="D253" s="25"/>
      <c r="E253" s="25" t="s">
        <v>579</v>
      </c>
      <c r="F253" s="25" t="s">
        <v>47</v>
      </c>
      <c r="G253" s="9">
        <v>9872345.0</v>
      </c>
      <c r="H253" s="9">
        <v>2.2341594E8</v>
      </c>
      <c r="I253" s="9">
        <f t="shared" si="84"/>
        <v>194662120</v>
      </c>
      <c r="J253" s="9">
        <v>2.875382E7</v>
      </c>
      <c r="K253" s="29" t="s">
        <v>580</v>
      </c>
      <c r="L253" s="9"/>
      <c r="M253" s="10"/>
      <c r="N253" s="10"/>
      <c r="O253" s="9">
        <f t="shared" si="85"/>
        <v>204534465</v>
      </c>
      <c r="P253" s="38">
        <v>0.0387</v>
      </c>
      <c r="Q253" s="9">
        <f t="shared" si="86"/>
        <v>7533424.044</v>
      </c>
      <c r="R253" s="9">
        <f t="shared" si="87"/>
        <v>7915483.796</v>
      </c>
      <c r="S253" s="9">
        <f t="shared" si="88"/>
        <v>7915483.796</v>
      </c>
      <c r="T253" s="9"/>
      <c r="U253" s="13" t="s">
        <v>581</v>
      </c>
      <c r="V253" s="6"/>
      <c r="W253" s="6"/>
      <c r="X253" s="6"/>
      <c r="Y253" s="6"/>
      <c r="Z253" s="6"/>
      <c r="AA253" s="6"/>
      <c r="AB253" s="6"/>
      <c r="AC253" s="6"/>
      <c r="AD253" s="6"/>
      <c r="AE253" s="6"/>
      <c r="AF253" s="6"/>
      <c r="AG253" s="6"/>
      <c r="AH253" s="6"/>
    </row>
    <row r="254" ht="15.75" customHeight="1">
      <c r="A254" s="6"/>
      <c r="B254" s="25" t="s">
        <v>566</v>
      </c>
      <c r="C254" s="25"/>
      <c r="D254" s="25"/>
      <c r="E254" s="25" t="s">
        <v>582</v>
      </c>
      <c r="F254" s="25" t="s">
        <v>47</v>
      </c>
      <c r="G254" s="9">
        <v>5919122.0</v>
      </c>
      <c r="H254" s="9">
        <v>1.24726172E8</v>
      </c>
      <c r="I254" s="9">
        <f t="shared" si="84"/>
        <v>69917945</v>
      </c>
      <c r="J254" s="9">
        <v>5.4808227E7</v>
      </c>
      <c r="K254" s="29" t="s">
        <v>583</v>
      </c>
      <c r="L254" s="9"/>
      <c r="M254" s="10"/>
      <c r="N254" s="10"/>
      <c r="O254" s="9">
        <f t="shared" si="85"/>
        <v>75837067</v>
      </c>
      <c r="P254" s="38">
        <v>0.2329</v>
      </c>
      <c r="Q254" s="9">
        <f t="shared" si="86"/>
        <v>16283889.39</v>
      </c>
      <c r="R254" s="9">
        <f t="shared" si="87"/>
        <v>17662452.9</v>
      </c>
      <c r="S254" s="9">
        <f t="shared" si="88"/>
        <v>17662452.9</v>
      </c>
      <c r="T254" s="9"/>
      <c r="U254" s="13" t="s">
        <v>584</v>
      </c>
      <c r="V254" s="6"/>
      <c r="W254" s="6"/>
      <c r="X254" s="6"/>
      <c r="Y254" s="6"/>
      <c r="Z254" s="6"/>
      <c r="AA254" s="6"/>
      <c r="AB254" s="6"/>
      <c r="AC254" s="6"/>
      <c r="AD254" s="6"/>
      <c r="AE254" s="6"/>
      <c r="AF254" s="6"/>
      <c r="AG254" s="6"/>
      <c r="AH254" s="6"/>
    </row>
    <row r="255" ht="15.75" customHeight="1">
      <c r="A255" s="6"/>
      <c r="B255" s="25" t="s">
        <v>566</v>
      </c>
      <c r="C255" s="25"/>
      <c r="D255" s="25"/>
      <c r="E255" s="25" t="s">
        <v>585</v>
      </c>
      <c r="F255" s="25" t="s">
        <v>47</v>
      </c>
      <c r="G255" s="9">
        <v>2267769.0</v>
      </c>
      <c r="H255" s="9">
        <v>4.4475586E7</v>
      </c>
      <c r="I255" s="9">
        <f t="shared" si="84"/>
        <v>24990283</v>
      </c>
      <c r="J255" s="9">
        <v>1.9485303E7</v>
      </c>
      <c r="K255" s="29" t="s">
        <v>586</v>
      </c>
      <c r="L255" s="9"/>
      <c r="M255" s="10"/>
      <c r="N255" s="10"/>
      <c r="O255" s="9">
        <f t="shared" si="85"/>
        <v>27258052</v>
      </c>
      <c r="P255" s="38">
        <v>0.4221</v>
      </c>
      <c r="Q255" s="9">
        <f t="shared" si="86"/>
        <v>10548398.45</v>
      </c>
      <c r="R255" s="9">
        <f t="shared" si="87"/>
        <v>11505623.75</v>
      </c>
      <c r="S255" s="9">
        <f t="shared" si="88"/>
        <v>11505623.75</v>
      </c>
      <c r="T255" s="9"/>
      <c r="U255" s="13" t="s">
        <v>587</v>
      </c>
      <c r="V255" s="6"/>
      <c r="W255" s="6"/>
      <c r="X255" s="6"/>
      <c r="Y255" s="6"/>
      <c r="Z255" s="6"/>
      <c r="AA255" s="6"/>
      <c r="AB255" s="6"/>
      <c r="AC255" s="6"/>
      <c r="AD255" s="6"/>
      <c r="AE255" s="6"/>
      <c r="AF255" s="6"/>
      <c r="AG255" s="6"/>
      <c r="AH255" s="6"/>
    </row>
    <row r="256" ht="15.75" customHeight="1">
      <c r="A256" s="6"/>
      <c r="B256" s="25" t="s">
        <v>566</v>
      </c>
      <c r="C256" s="25"/>
      <c r="D256" s="25"/>
      <c r="E256" s="25" t="s">
        <v>588</v>
      </c>
      <c r="F256" s="25" t="s">
        <v>47</v>
      </c>
      <c r="G256" s="9">
        <v>1.0567738E7</v>
      </c>
      <c r="H256" s="9">
        <v>7.7174669E8</v>
      </c>
      <c r="I256" s="9">
        <f t="shared" si="84"/>
        <v>431929781</v>
      </c>
      <c r="J256" s="9">
        <v>3.39816909E8</v>
      </c>
      <c r="K256" s="29" t="s">
        <v>589</v>
      </c>
      <c r="L256" s="9"/>
      <c r="M256" s="10"/>
      <c r="N256" s="10"/>
      <c r="O256" s="9">
        <f t="shared" si="85"/>
        <v>442497519</v>
      </c>
      <c r="P256" s="38">
        <v>0.9896</v>
      </c>
      <c r="Q256" s="9">
        <f t="shared" si="86"/>
        <v>427437711.3</v>
      </c>
      <c r="R256" s="9">
        <f t="shared" si="87"/>
        <v>437895544.8</v>
      </c>
      <c r="S256" s="9">
        <f t="shared" si="88"/>
        <v>437895544.8</v>
      </c>
      <c r="T256" s="9"/>
      <c r="U256" s="13" t="s">
        <v>590</v>
      </c>
      <c r="V256" s="6"/>
      <c r="W256" s="6"/>
      <c r="X256" s="6"/>
      <c r="Y256" s="6"/>
      <c r="Z256" s="6"/>
      <c r="AA256" s="6"/>
      <c r="AB256" s="6"/>
      <c r="AC256" s="6"/>
      <c r="AD256" s="6"/>
      <c r="AE256" s="6"/>
      <c r="AF256" s="6"/>
      <c r="AG256" s="6"/>
      <c r="AH256" s="6"/>
    </row>
    <row r="257" ht="15.75" customHeight="1">
      <c r="A257" s="6"/>
      <c r="B257" s="25" t="s">
        <v>566</v>
      </c>
      <c r="C257" s="25"/>
      <c r="D257" s="25"/>
      <c r="E257" s="25" t="s">
        <v>591</v>
      </c>
      <c r="F257" s="25" t="s">
        <v>47</v>
      </c>
      <c r="G257" s="9">
        <v>691294.0</v>
      </c>
      <c r="H257" s="9">
        <v>2.9843189E7</v>
      </c>
      <c r="I257" s="9">
        <f t="shared" si="84"/>
        <v>6466900</v>
      </c>
      <c r="J257" s="9">
        <v>2.3376289E7</v>
      </c>
      <c r="K257" s="29" t="s">
        <v>592</v>
      </c>
      <c r="L257" s="9"/>
      <c r="M257" s="10"/>
      <c r="N257" s="10"/>
      <c r="O257" s="9">
        <f t="shared" si="85"/>
        <v>7158194</v>
      </c>
      <c r="P257" s="38">
        <v>0.3323</v>
      </c>
      <c r="Q257" s="9">
        <f t="shared" si="86"/>
        <v>2148950.87</v>
      </c>
      <c r="R257" s="9">
        <f t="shared" si="87"/>
        <v>2378667.866</v>
      </c>
      <c r="S257" s="9">
        <f t="shared" si="88"/>
        <v>2378667.866</v>
      </c>
      <c r="T257" s="9"/>
      <c r="U257" s="13" t="s">
        <v>593</v>
      </c>
      <c r="V257" s="6"/>
      <c r="W257" s="6"/>
      <c r="X257" s="6"/>
      <c r="Y257" s="6"/>
      <c r="Z257" s="6"/>
      <c r="AA257" s="6"/>
      <c r="AB257" s="6"/>
      <c r="AC257" s="6"/>
      <c r="AD257" s="6"/>
      <c r="AE257" s="6"/>
      <c r="AF257" s="6"/>
      <c r="AG257" s="6"/>
      <c r="AH257" s="6"/>
    </row>
    <row r="258" ht="15.75" customHeight="1">
      <c r="A258" s="6"/>
      <c r="B258" s="25" t="s">
        <v>566</v>
      </c>
      <c r="C258" s="25"/>
      <c r="D258" s="25"/>
      <c r="E258" s="25" t="s">
        <v>594</v>
      </c>
      <c r="F258" s="25" t="s">
        <v>47</v>
      </c>
      <c r="G258" s="9">
        <v>1910719.0</v>
      </c>
      <c r="H258" s="9">
        <v>7.5037641E7</v>
      </c>
      <c r="I258" s="9">
        <f t="shared" si="84"/>
        <v>30011136</v>
      </c>
      <c r="J258" s="9">
        <v>4.5026505E7</v>
      </c>
      <c r="K258" s="29" t="s">
        <v>595</v>
      </c>
      <c r="L258" s="9"/>
      <c r="M258" s="10"/>
      <c r="N258" s="10"/>
      <c r="O258" s="9">
        <f t="shared" si="85"/>
        <v>31921855</v>
      </c>
      <c r="P258" s="38">
        <v>0.4402</v>
      </c>
      <c r="Q258" s="9">
        <f t="shared" si="86"/>
        <v>13210902.07</v>
      </c>
      <c r="R258" s="9">
        <f t="shared" si="87"/>
        <v>14052000.57</v>
      </c>
      <c r="S258" s="9">
        <f t="shared" si="88"/>
        <v>14052000.57</v>
      </c>
      <c r="T258" s="9"/>
      <c r="U258" s="13" t="s">
        <v>596</v>
      </c>
      <c r="V258" s="6"/>
      <c r="W258" s="6"/>
      <c r="X258" s="6"/>
      <c r="Y258" s="6"/>
      <c r="Z258" s="6"/>
      <c r="AA258" s="6"/>
      <c r="AB258" s="6"/>
      <c r="AC258" s="6"/>
      <c r="AD258" s="6"/>
      <c r="AE258" s="6"/>
      <c r="AF258" s="6"/>
      <c r="AG258" s="6"/>
      <c r="AH258" s="6"/>
    </row>
    <row r="259" ht="15.75" customHeight="1">
      <c r="A259" s="6"/>
      <c r="B259" s="25" t="s">
        <v>566</v>
      </c>
      <c r="C259" s="25"/>
      <c r="D259" s="25"/>
      <c r="E259" s="25" t="s">
        <v>597</v>
      </c>
      <c r="F259" s="25" t="s">
        <v>47</v>
      </c>
      <c r="G259" s="9">
        <v>5070915.0</v>
      </c>
      <c r="H259" s="9">
        <v>5.634328E7</v>
      </c>
      <c r="I259" s="9">
        <f t="shared" si="84"/>
        <v>46620698</v>
      </c>
      <c r="J259" s="9">
        <v>9722582.0</v>
      </c>
      <c r="K259" s="29" t="s">
        <v>595</v>
      </c>
      <c r="L259" s="9"/>
      <c r="M259" s="10"/>
      <c r="N259" s="10"/>
      <c r="O259" s="9">
        <f t="shared" si="85"/>
        <v>51691613</v>
      </c>
      <c r="P259" s="38">
        <v>0.233</v>
      </c>
      <c r="Q259" s="9">
        <f t="shared" si="86"/>
        <v>10862622.63</v>
      </c>
      <c r="R259" s="9">
        <f t="shared" si="87"/>
        <v>12044145.83</v>
      </c>
      <c r="S259" s="9">
        <f t="shared" si="88"/>
        <v>12044145.83</v>
      </c>
      <c r="T259" s="9"/>
      <c r="U259" s="13" t="s">
        <v>598</v>
      </c>
      <c r="V259" s="6"/>
      <c r="W259" s="6"/>
      <c r="X259" s="6"/>
      <c r="Y259" s="6"/>
      <c r="Z259" s="6"/>
      <c r="AA259" s="6"/>
      <c r="AB259" s="6"/>
      <c r="AC259" s="6"/>
      <c r="AD259" s="6"/>
      <c r="AE259" s="6"/>
      <c r="AF259" s="6"/>
      <c r="AG259" s="6"/>
      <c r="AH259" s="6"/>
    </row>
    <row r="260" ht="15.75" customHeight="1">
      <c r="A260" s="6"/>
      <c r="B260" s="25" t="s">
        <v>566</v>
      </c>
      <c r="C260" s="25"/>
      <c r="D260" s="25"/>
      <c r="E260" s="25" t="s">
        <v>599</v>
      </c>
      <c r="F260" s="25" t="s">
        <v>47</v>
      </c>
      <c r="G260" s="9">
        <v>5805015.0</v>
      </c>
      <c r="H260" s="9">
        <v>8.4601008E7</v>
      </c>
      <c r="I260" s="9">
        <f t="shared" si="84"/>
        <v>41051450</v>
      </c>
      <c r="J260" s="9">
        <v>4.3549558E7</v>
      </c>
      <c r="K260" s="29" t="s">
        <v>595</v>
      </c>
      <c r="L260" s="9"/>
      <c r="M260" s="10"/>
      <c r="N260" s="10"/>
      <c r="O260" s="9">
        <f t="shared" si="85"/>
        <v>46856465</v>
      </c>
      <c r="P260" s="38">
        <v>0.1154</v>
      </c>
      <c r="Q260" s="9">
        <f t="shared" si="86"/>
        <v>4737337.33</v>
      </c>
      <c r="R260" s="9">
        <f t="shared" si="87"/>
        <v>5407236.061</v>
      </c>
      <c r="S260" s="9">
        <f t="shared" si="88"/>
        <v>5407236.061</v>
      </c>
      <c r="T260" s="9"/>
      <c r="U260" s="13" t="s">
        <v>600</v>
      </c>
      <c r="V260" s="6"/>
      <c r="W260" s="6"/>
      <c r="X260" s="6"/>
      <c r="Y260" s="6"/>
      <c r="Z260" s="6"/>
      <c r="AA260" s="6"/>
      <c r="AB260" s="6"/>
      <c r="AC260" s="6"/>
      <c r="AD260" s="6"/>
      <c r="AE260" s="6"/>
      <c r="AF260" s="6"/>
      <c r="AG260" s="6"/>
      <c r="AH260" s="6"/>
    </row>
    <row r="261" ht="15.75" customHeight="1">
      <c r="A261" s="6"/>
      <c r="B261" s="25" t="s">
        <v>566</v>
      </c>
      <c r="C261" s="25"/>
      <c r="D261" s="25"/>
      <c r="E261" s="25" t="s">
        <v>601</v>
      </c>
      <c r="F261" s="25" t="s">
        <v>47</v>
      </c>
      <c r="G261" s="9">
        <v>6865407.0</v>
      </c>
      <c r="H261" s="9">
        <v>1.76592252E8</v>
      </c>
      <c r="I261" s="9">
        <f t="shared" si="84"/>
        <v>112188559</v>
      </c>
      <c r="J261" s="9">
        <v>6.4403693E7</v>
      </c>
      <c r="K261" s="29" t="s">
        <v>595</v>
      </c>
      <c r="L261" s="9"/>
      <c r="M261" s="10"/>
      <c r="N261" s="10"/>
      <c r="O261" s="9">
        <f t="shared" si="85"/>
        <v>119053966</v>
      </c>
      <c r="P261" s="38">
        <v>0.5239</v>
      </c>
      <c r="Q261" s="9">
        <f t="shared" si="86"/>
        <v>58775586.06</v>
      </c>
      <c r="R261" s="9">
        <f t="shared" si="87"/>
        <v>62372372.79</v>
      </c>
      <c r="S261" s="9">
        <f t="shared" si="88"/>
        <v>62372372.79</v>
      </c>
      <c r="T261" s="9"/>
      <c r="U261" s="13" t="s">
        <v>602</v>
      </c>
      <c r="V261" s="6"/>
      <c r="W261" s="6"/>
      <c r="X261" s="6"/>
      <c r="Y261" s="6"/>
      <c r="Z261" s="6"/>
      <c r="AA261" s="6"/>
      <c r="AB261" s="6"/>
      <c r="AC261" s="6"/>
      <c r="AD261" s="6"/>
      <c r="AE261" s="6"/>
      <c r="AF261" s="6"/>
      <c r="AG261" s="6"/>
      <c r="AH261" s="6"/>
    </row>
    <row r="262" ht="15.75" customHeight="1">
      <c r="A262" s="6"/>
      <c r="B262" s="25" t="s">
        <v>566</v>
      </c>
      <c r="C262" s="25"/>
      <c r="D262" s="25"/>
      <c r="E262" s="25" t="s">
        <v>603</v>
      </c>
      <c r="F262" s="25" t="s">
        <v>47</v>
      </c>
      <c r="G262" s="9">
        <v>8168610.0</v>
      </c>
      <c r="H262" s="9">
        <v>3.02286796E8</v>
      </c>
      <c r="I262" s="9">
        <f t="shared" si="84"/>
        <v>102054569</v>
      </c>
      <c r="J262" s="9">
        <f>28950+200203277</f>
        <v>200232227</v>
      </c>
      <c r="K262" s="29" t="s">
        <v>604</v>
      </c>
      <c r="L262" s="9"/>
      <c r="M262" s="10"/>
      <c r="N262" s="10"/>
      <c r="O262" s="9">
        <f t="shared" si="85"/>
        <v>110223179</v>
      </c>
      <c r="P262" s="38">
        <v>0.4028</v>
      </c>
      <c r="Q262" s="9">
        <f t="shared" si="86"/>
        <v>41107580.39</v>
      </c>
      <c r="R262" s="9">
        <f t="shared" si="87"/>
        <v>44397896.5</v>
      </c>
      <c r="S262" s="9">
        <f t="shared" si="88"/>
        <v>44397896.5</v>
      </c>
      <c r="T262" s="9"/>
      <c r="U262" s="13" t="s">
        <v>605</v>
      </c>
      <c r="V262" s="6"/>
      <c r="W262" s="6"/>
      <c r="X262" s="6"/>
      <c r="Y262" s="6"/>
      <c r="Z262" s="6"/>
      <c r="AA262" s="6"/>
      <c r="AB262" s="6"/>
      <c r="AC262" s="6"/>
      <c r="AD262" s="6"/>
      <c r="AE262" s="6"/>
      <c r="AF262" s="6"/>
      <c r="AG262" s="6"/>
      <c r="AH262" s="6"/>
    </row>
    <row r="263" ht="15.75" customHeight="1">
      <c r="A263" s="6"/>
      <c r="B263" s="25" t="s">
        <v>566</v>
      </c>
      <c r="C263" s="25"/>
      <c r="D263" s="25"/>
      <c r="E263" s="25" t="s">
        <v>606</v>
      </c>
      <c r="F263" s="25" t="s">
        <v>47</v>
      </c>
      <c r="G263" s="9">
        <v>5175861.0</v>
      </c>
      <c r="H263" s="9">
        <v>1.90899337E8</v>
      </c>
      <c r="I263" s="9">
        <f t="shared" si="84"/>
        <v>158754350</v>
      </c>
      <c r="J263" s="9">
        <f>31798424+346563</f>
        <v>32144987</v>
      </c>
      <c r="K263" s="29" t="s">
        <v>607</v>
      </c>
      <c r="L263" s="9"/>
      <c r="M263" s="10"/>
      <c r="N263" s="10"/>
      <c r="O263" s="9">
        <f t="shared" si="85"/>
        <v>163930211</v>
      </c>
      <c r="P263" s="38">
        <v>0.2679</v>
      </c>
      <c r="Q263" s="9">
        <f t="shared" si="86"/>
        <v>42530290.37</v>
      </c>
      <c r="R263" s="9">
        <f t="shared" si="87"/>
        <v>43916903.53</v>
      </c>
      <c r="S263" s="9">
        <f t="shared" si="88"/>
        <v>43916903.53</v>
      </c>
      <c r="T263" s="9"/>
      <c r="U263" s="13" t="s">
        <v>608</v>
      </c>
      <c r="V263" s="6"/>
      <c r="W263" s="6"/>
      <c r="X263" s="6"/>
      <c r="Y263" s="6"/>
      <c r="Z263" s="6"/>
      <c r="AA263" s="6"/>
      <c r="AB263" s="6"/>
      <c r="AC263" s="6"/>
      <c r="AD263" s="6"/>
      <c r="AE263" s="6"/>
      <c r="AF263" s="6"/>
      <c r="AG263" s="6"/>
      <c r="AH263" s="6"/>
    </row>
    <row r="264" ht="15.75" customHeight="1">
      <c r="A264" s="6"/>
      <c r="B264" s="25" t="s">
        <v>566</v>
      </c>
      <c r="C264" s="25"/>
      <c r="D264" s="25"/>
      <c r="E264" s="25" t="s">
        <v>609</v>
      </c>
      <c r="F264" s="25" t="s">
        <v>47</v>
      </c>
      <c r="G264" s="9">
        <v>5740586.0</v>
      </c>
      <c r="H264" s="9">
        <v>1.49845713E8</v>
      </c>
      <c r="I264" s="9">
        <f t="shared" si="84"/>
        <v>98997815</v>
      </c>
      <c r="J264" s="9">
        <v>5.0847898E7</v>
      </c>
      <c r="K264" s="29" t="s">
        <v>583</v>
      </c>
      <c r="L264" s="9"/>
      <c r="M264" s="10"/>
      <c r="N264" s="10"/>
      <c r="O264" s="9">
        <f t="shared" si="85"/>
        <v>104738401</v>
      </c>
      <c r="P264" s="38">
        <v>0.2527</v>
      </c>
      <c r="Q264" s="9">
        <f t="shared" si="86"/>
        <v>25016747.85</v>
      </c>
      <c r="R264" s="9">
        <f t="shared" si="87"/>
        <v>26467393.93</v>
      </c>
      <c r="S264" s="9">
        <f t="shared" si="88"/>
        <v>26467393.93</v>
      </c>
      <c r="T264" s="9"/>
      <c r="U264" s="13" t="s">
        <v>610</v>
      </c>
      <c r="V264" s="6"/>
      <c r="W264" s="6"/>
      <c r="X264" s="6"/>
      <c r="Y264" s="6"/>
      <c r="Z264" s="6"/>
      <c r="AA264" s="6"/>
      <c r="AB264" s="6"/>
      <c r="AC264" s="6"/>
      <c r="AD264" s="6"/>
      <c r="AE264" s="6"/>
      <c r="AF264" s="6"/>
      <c r="AG264" s="6"/>
      <c r="AH264" s="6"/>
    </row>
    <row r="265" ht="15.75" customHeight="1">
      <c r="A265" s="6"/>
      <c r="B265" s="25" t="s">
        <v>566</v>
      </c>
      <c r="C265" s="25"/>
      <c r="D265" s="25"/>
      <c r="E265" s="25" t="s">
        <v>611</v>
      </c>
      <c r="F265" s="25" t="s">
        <v>47</v>
      </c>
      <c r="G265" s="9">
        <v>4588115.0</v>
      </c>
      <c r="H265" s="9">
        <v>1.16575451E8</v>
      </c>
      <c r="I265" s="9">
        <f t="shared" si="84"/>
        <v>86642677</v>
      </c>
      <c r="J265" s="9">
        <v>2.9932774E7</v>
      </c>
      <c r="K265" s="29" t="s">
        <v>612</v>
      </c>
      <c r="L265" s="9"/>
      <c r="M265" s="10"/>
      <c r="N265" s="10"/>
      <c r="O265" s="9">
        <f t="shared" si="85"/>
        <v>91230792</v>
      </c>
      <c r="P265" s="38">
        <v>0.5108</v>
      </c>
      <c r="Q265" s="9">
        <f t="shared" si="86"/>
        <v>44257079.41</v>
      </c>
      <c r="R265" s="9">
        <f t="shared" si="87"/>
        <v>46600688.55</v>
      </c>
      <c r="S265" s="9">
        <f t="shared" si="88"/>
        <v>46600688.55</v>
      </c>
      <c r="T265" s="9"/>
      <c r="U265" s="13" t="s">
        <v>613</v>
      </c>
      <c r="V265" s="6"/>
      <c r="W265" s="6"/>
      <c r="X265" s="6"/>
      <c r="Y265" s="6"/>
      <c r="Z265" s="6"/>
      <c r="AA265" s="6"/>
      <c r="AB265" s="6"/>
      <c r="AC265" s="6"/>
      <c r="AD265" s="6"/>
      <c r="AE265" s="6"/>
      <c r="AF265" s="6"/>
      <c r="AG265" s="6"/>
      <c r="AH265" s="6"/>
    </row>
    <row r="266" ht="15.75" customHeight="1">
      <c r="A266" s="6"/>
      <c r="B266" s="25" t="s">
        <v>566</v>
      </c>
      <c r="C266" s="25"/>
      <c r="D266" s="25"/>
      <c r="E266" s="25" t="s">
        <v>614</v>
      </c>
      <c r="F266" s="25" t="s">
        <v>29</v>
      </c>
      <c r="G266" s="9"/>
      <c r="H266" s="9"/>
      <c r="I266" s="9">
        <f t="shared" si="84"/>
        <v>0</v>
      </c>
      <c r="J266" s="9"/>
      <c r="K266" s="29"/>
      <c r="L266" s="9"/>
      <c r="M266" s="10"/>
      <c r="N266" s="10"/>
      <c r="O266" s="9">
        <f t="shared" si="85"/>
        <v>0</v>
      </c>
      <c r="P266" s="38">
        <v>0.6401</v>
      </c>
      <c r="Q266" s="9">
        <f t="shared" si="86"/>
        <v>0</v>
      </c>
      <c r="R266" s="9">
        <f t="shared" si="87"/>
        <v>0</v>
      </c>
      <c r="S266" s="9">
        <f t="shared" si="88"/>
        <v>0</v>
      </c>
      <c r="T266" s="9"/>
      <c r="U266" s="25" t="s">
        <v>60</v>
      </c>
      <c r="V266" s="6"/>
      <c r="W266" s="6"/>
      <c r="X266" s="6"/>
      <c r="Y266" s="6"/>
      <c r="Z266" s="6"/>
      <c r="AA266" s="6"/>
      <c r="AB266" s="6"/>
      <c r="AC266" s="6"/>
      <c r="AD266" s="6"/>
      <c r="AE266" s="6"/>
      <c r="AF266" s="6"/>
      <c r="AG266" s="6"/>
      <c r="AH266" s="6"/>
    </row>
    <row r="267" ht="15.75" customHeight="1">
      <c r="A267" s="6"/>
      <c r="B267" s="25" t="s">
        <v>566</v>
      </c>
      <c r="C267" s="25"/>
      <c r="D267" s="25"/>
      <c r="E267" s="25" t="s">
        <v>615</v>
      </c>
      <c r="F267" s="25" t="s">
        <v>29</v>
      </c>
      <c r="G267" s="9"/>
      <c r="H267" s="9"/>
      <c r="I267" s="9">
        <f t="shared" si="84"/>
        <v>0</v>
      </c>
      <c r="J267" s="9"/>
      <c r="K267" s="29"/>
      <c r="L267" s="9"/>
      <c r="M267" s="10"/>
      <c r="N267" s="10"/>
      <c r="O267" s="9">
        <f t="shared" si="85"/>
        <v>0</v>
      </c>
      <c r="P267" s="38">
        <v>0.6401</v>
      </c>
      <c r="Q267" s="9">
        <f t="shared" si="86"/>
        <v>0</v>
      </c>
      <c r="R267" s="9">
        <f t="shared" si="87"/>
        <v>0</v>
      </c>
      <c r="S267" s="9">
        <f t="shared" si="88"/>
        <v>0</v>
      </c>
      <c r="T267" s="9"/>
      <c r="U267" s="25" t="s">
        <v>60</v>
      </c>
      <c r="V267" s="6"/>
      <c r="W267" s="6"/>
      <c r="X267" s="6"/>
      <c r="Y267" s="6"/>
      <c r="Z267" s="6"/>
      <c r="AA267" s="6"/>
      <c r="AB267" s="6"/>
      <c r="AC267" s="6"/>
      <c r="AD267" s="6"/>
      <c r="AE267" s="6"/>
      <c r="AF267" s="6"/>
      <c r="AG267" s="6"/>
      <c r="AH267" s="6"/>
    </row>
    <row r="268" ht="15.75" customHeight="1">
      <c r="A268" s="6"/>
      <c r="B268" s="25" t="s">
        <v>566</v>
      </c>
      <c r="C268" s="25"/>
      <c r="D268" s="25"/>
      <c r="E268" s="25" t="s">
        <v>616</v>
      </c>
      <c r="F268" s="25" t="s">
        <v>29</v>
      </c>
      <c r="G268" s="9"/>
      <c r="H268" s="9">
        <f>828792133+5847681</f>
        <v>834639814</v>
      </c>
      <c r="I268" s="9">
        <f t="shared" si="84"/>
        <v>817563758</v>
      </c>
      <c r="J268" s="9">
        <v>1.7076056E7</v>
      </c>
      <c r="K268" s="29" t="s">
        <v>617</v>
      </c>
      <c r="L268" s="9"/>
      <c r="M268" s="10"/>
      <c r="N268" s="10"/>
      <c r="O268" s="9">
        <f t="shared" si="85"/>
        <v>817563758</v>
      </c>
      <c r="P268" s="38">
        <v>0.6802</v>
      </c>
      <c r="Q268" s="9">
        <f t="shared" si="86"/>
        <v>556106868.2</v>
      </c>
      <c r="R268" s="9">
        <f t="shared" si="87"/>
        <v>556106868.2</v>
      </c>
      <c r="S268" s="9">
        <f t="shared" si="88"/>
        <v>556106868.2</v>
      </c>
      <c r="T268" s="9"/>
      <c r="U268" s="13" t="s">
        <v>618</v>
      </c>
      <c r="V268" s="6"/>
      <c r="W268" s="6"/>
      <c r="X268" s="6"/>
      <c r="Y268" s="6"/>
      <c r="Z268" s="6"/>
      <c r="AA268" s="6"/>
      <c r="AB268" s="6"/>
      <c r="AC268" s="6"/>
      <c r="AD268" s="6"/>
      <c r="AE268" s="6"/>
      <c r="AF268" s="6"/>
      <c r="AG268" s="6"/>
      <c r="AH268" s="6"/>
    </row>
    <row r="269" ht="15.75" customHeight="1">
      <c r="A269" s="6"/>
      <c r="B269" s="25" t="s">
        <v>566</v>
      </c>
      <c r="C269" s="25"/>
      <c r="D269" s="25"/>
      <c r="E269" s="25" t="s">
        <v>619</v>
      </c>
      <c r="F269" s="25" t="s">
        <v>29</v>
      </c>
      <c r="G269" s="9"/>
      <c r="H269" s="9"/>
      <c r="I269" s="9">
        <f t="shared" si="84"/>
        <v>0</v>
      </c>
      <c r="J269" s="9"/>
      <c r="K269" s="29"/>
      <c r="L269" s="9"/>
      <c r="M269" s="10"/>
      <c r="N269" s="10"/>
      <c r="O269" s="9">
        <f t="shared" si="85"/>
        <v>0</v>
      </c>
      <c r="P269" s="38">
        <v>0.6802</v>
      </c>
      <c r="Q269" s="9">
        <f t="shared" si="86"/>
        <v>0</v>
      </c>
      <c r="R269" s="9">
        <f t="shared" si="87"/>
        <v>0</v>
      </c>
      <c r="S269" s="9">
        <f t="shared" si="88"/>
        <v>0</v>
      </c>
      <c r="T269" s="9"/>
      <c r="U269" s="25" t="s">
        <v>60</v>
      </c>
      <c r="V269" s="6"/>
      <c r="W269" s="6"/>
      <c r="X269" s="6"/>
      <c r="Y269" s="6"/>
      <c r="Z269" s="6"/>
      <c r="AA269" s="6"/>
      <c r="AB269" s="6"/>
      <c r="AC269" s="6"/>
      <c r="AD269" s="6"/>
      <c r="AE269" s="6"/>
      <c r="AF269" s="6"/>
      <c r="AG269" s="6"/>
      <c r="AH269" s="6"/>
    </row>
    <row r="270" ht="15.75" customHeight="1">
      <c r="A270" s="6"/>
      <c r="B270" s="25" t="s">
        <v>566</v>
      </c>
      <c r="C270" s="25"/>
      <c r="D270" s="25"/>
      <c r="E270" s="25" t="s">
        <v>620</v>
      </c>
      <c r="F270" s="25" t="s">
        <v>29</v>
      </c>
      <c r="G270" s="9"/>
      <c r="H270" s="9"/>
      <c r="I270" s="9">
        <f t="shared" si="84"/>
        <v>0</v>
      </c>
      <c r="J270" s="9"/>
      <c r="K270" s="29"/>
      <c r="L270" s="9"/>
      <c r="M270" s="10"/>
      <c r="N270" s="10"/>
      <c r="O270" s="9">
        <f t="shared" si="85"/>
        <v>0</v>
      </c>
      <c r="P270" s="38">
        <v>0.6802</v>
      </c>
      <c r="Q270" s="9">
        <f t="shared" si="86"/>
        <v>0</v>
      </c>
      <c r="R270" s="9">
        <f t="shared" si="87"/>
        <v>0</v>
      </c>
      <c r="S270" s="9">
        <f t="shared" si="88"/>
        <v>0</v>
      </c>
      <c r="T270" s="9"/>
      <c r="U270" s="25" t="s">
        <v>60</v>
      </c>
      <c r="V270" s="6"/>
      <c r="W270" s="6"/>
      <c r="X270" s="6"/>
      <c r="Y270" s="6"/>
      <c r="Z270" s="6"/>
      <c r="AA270" s="6"/>
      <c r="AB270" s="6"/>
      <c r="AC270" s="6"/>
      <c r="AD270" s="6"/>
      <c r="AE270" s="6"/>
      <c r="AF270" s="6"/>
      <c r="AG270" s="6"/>
      <c r="AH270" s="6"/>
    </row>
    <row r="271" ht="15.75" customHeight="1">
      <c r="A271" s="6"/>
      <c r="B271" s="25" t="s">
        <v>566</v>
      </c>
      <c r="C271" s="25"/>
      <c r="D271" s="25"/>
      <c r="E271" s="25" t="s">
        <v>621</v>
      </c>
      <c r="F271" s="25" t="s">
        <v>29</v>
      </c>
      <c r="G271" s="9"/>
      <c r="H271" s="9">
        <f>79800959+31095745</f>
        <v>110896704</v>
      </c>
      <c r="I271" s="9">
        <f t="shared" si="84"/>
        <v>110896704</v>
      </c>
      <c r="J271" s="9"/>
      <c r="K271" s="29"/>
      <c r="L271" s="9"/>
      <c r="M271" s="10"/>
      <c r="N271" s="10"/>
      <c r="O271" s="9">
        <f t="shared" si="85"/>
        <v>110896704</v>
      </c>
      <c r="P271" s="38">
        <v>0.4361</v>
      </c>
      <c r="Q271" s="9">
        <f t="shared" si="86"/>
        <v>48362052.61</v>
      </c>
      <c r="R271" s="9">
        <f t="shared" si="87"/>
        <v>48362052.61</v>
      </c>
      <c r="S271" s="9">
        <f t="shared" si="88"/>
        <v>48362052.61</v>
      </c>
      <c r="T271" s="9"/>
      <c r="U271" s="13" t="s">
        <v>622</v>
      </c>
      <c r="V271" s="6"/>
      <c r="W271" s="6"/>
      <c r="X271" s="6"/>
      <c r="Y271" s="6"/>
      <c r="Z271" s="6"/>
      <c r="AA271" s="6"/>
      <c r="AB271" s="6"/>
      <c r="AC271" s="6"/>
      <c r="AD271" s="6"/>
      <c r="AE271" s="6"/>
      <c r="AF271" s="6"/>
      <c r="AG271" s="6"/>
      <c r="AH271" s="6"/>
    </row>
    <row r="272" ht="15.75" customHeight="1">
      <c r="A272" s="6"/>
      <c r="B272" s="25" t="s">
        <v>566</v>
      </c>
      <c r="C272" s="25"/>
      <c r="D272" s="25"/>
      <c r="E272" s="25" t="s">
        <v>623</v>
      </c>
      <c r="F272" s="25" t="s">
        <v>29</v>
      </c>
      <c r="G272" s="9"/>
      <c r="H272" s="9">
        <f>4366499+133699649+50601514+255975+1188206+1783392+1792205</f>
        <v>193687440</v>
      </c>
      <c r="I272" s="9">
        <f t="shared" si="84"/>
        <v>141046559</v>
      </c>
      <c r="J272" s="9">
        <f>50601514+1783392+255975</f>
        <v>52640881</v>
      </c>
      <c r="K272" s="29" t="s">
        <v>624</v>
      </c>
      <c r="L272" s="9"/>
      <c r="M272" s="10"/>
      <c r="N272" s="10"/>
      <c r="O272" s="9">
        <f t="shared" si="85"/>
        <v>141046559</v>
      </c>
      <c r="P272" s="38">
        <v>0.6802</v>
      </c>
      <c r="Q272" s="9">
        <f t="shared" si="86"/>
        <v>95939869.43</v>
      </c>
      <c r="R272" s="9">
        <f t="shared" si="87"/>
        <v>95939869.43</v>
      </c>
      <c r="S272" s="9">
        <f t="shared" si="88"/>
        <v>95939869.43</v>
      </c>
      <c r="T272" s="9"/>
      <c r="U272" s="13" t="s">
        <v>625</v>
      </c>
      <c r="V272" s="6"/>
      <c r="W272" s="6"/>
      <c r="X272" s="6"/>
      <c r="Y272" s="6"/>
      <c r="Z272" s="6"/>
      <c r="AA272" s="6"/>
      <c r="AB272" s="6"/>
      <c r="AC272" s="6"/>
      <c r="AD272" s="6"/>
      <c r="AE272" s="6"/>
      <c r="AF272" s="6"/>
      <c r="AG272" s="6"/>
      <c r="AH272" s="6"/>
    </row>
    <row r="273" ht="15.75" customHeight="1">
      <c r="A273" s="6"/>
      <c r="B273" s="25"/>
      <c r="C273" s="25"/>
      <c r="D273" s="25"/>
      <c r="E273" s="41" t="s">
        <v>35</v>
      </c>
      <c r="F273" s="25"/>
      <c r="G273" s="9"/>
      <c r="H273" s="9"/>
      <c r="I273" s="9"/>
      <c r="J273" s="9"/>
      <c r="K273" s="6"/>
      <c r="L273" s="9"/>
      <c r="M273" s="10"/>
      <c r="N273" s="10"/>
      <c r="O273" s="9"/>
      <c r="P273" s="26" t="s">
        <v>626</v>
      </c>
      <c r="Q273" s="19">
        <f t="shared" ref="Q273:S273" si="89">SUM(Q248:Q272)</f>
        <v>5360291635</v>
      </c>
      <c r="R273" s="19">
        <f t="shared" si="89"/>
        <v>7099156574</v>
      </c>
      <c r="S273" s="19">
        <f t="shared" si="89"/>
        <v>7214654078</v>
      </c>
      <c r="T273" s="20">
        <v>3.309754217E9</v>
      </c>
      <c r="U273" s="6"/>
      <c r="V273" s="6"/>
      <c r="W273" s="6"/>
      <c r="X273" s="6"/>
      <c r="Y273" s="6"/>
      <c r="Z273" s="6"/>
      <c r="AA273" s="6"/>
      <c r="AB273" s="6"/>
      <c r="AC273" s="6"/>
      <c r="AD273" s="6"/>
      <c r="AE273" s="6"/>
      <c r="AF273" s="6"/>
      <c r="AG273" s="6"/>
      <c r="AH273" s="6"/>
    </row>
    <row r="274" ht="15.75" customHeight="1">
      <c r="A274" s="6">
        <v>15.0</v>
      </c>
      <c r="B274" s="25" t="s">
        <v>627</v>
      </c>
      <c r="C274" s="42" t="s">
        <v>628</v>
      </c>
      <c r="D274" s="25"/>
      <c r="E274" s="25"/>
      <c r="F274" s="42" t="s">
        <v>1</v>
      </c>
      <c r="G274" s="8">
        <v>6.171045E9</v>
      </c>
      <c r="H274" s="8">
        <v>2.8188892E10</v>
      </c>
      <c r="I274" s="9">
        <f t="shared" ref="I274:I278" si="90">H274-J274</f>
        <v>28182973000</v>
      </c>
      <c r="J274" s="8">
        <v>5919000.0</v>
      </c>
      <c r="K274" s="30" t="s">
        <v>629</v>
      </c>
      <c r="L274" s="9"/>
      <c r="M274" s="10"/>
      <c r="N274" s="8">
        <v>3.52364E8</v>
      </c>
      <c r="O274" s="9">
        <f t="shared" ref="O274:O278" si="91">G274+I274</f>
        <v>34354018000</v>
      </c>
      <c r="P274" s="31">
        <v>0.0861</v>
      </c>
      <c r="Q274" s="9">
        <f t="shared" ref="Q274:Q278" si="92">I274*P274</f>
        <v>2426553975</v>
      </c>
      <c r="R274" s="9">
        <f t="shared" ref="R274:R278" si="93">(O274-N274-M274)*P274</f>
        <v>2927542409</v>
      </c>
      <c r="S274" s="9">
        <f t="shared" ref="S274:S278" si="94">O274*P274</f>
        <v>2957880950</v>
      </c>
      <c r="T274" s="9"/>
      <c r="U274" s="32" t="s">
        <v>630</v>
      </c>
      <c r="V274" s="6"/>
      <c r="W274" s="6"/>
      <c r="X274" s="6"/>
      <c r="Y274" s="6"/>
      <c r="Z274" s="6"/>
      <c r="AA274" s="6"/>
      <c r="AB274" s="6"/>
      <c r="AC274" s="6"/>
      <c r="AD274" s="6"/>
      <c r="AE274" s="6"/>
      <c r="AF274" s="6"/>
      <c r="AG274" s="6"/>
      <c r="AH274" s="6"/>
    </row>
    <row r="275" ht="15.75" customHeight="1">
      <c r="A275" s="6"/>
      <c r="B275" s="25" t="s">
        <v>627</v>
      </c>
      <c r="C275" s="25"/>
      <c r="D275" s="25" t="s">
        <v>631</v>
      </c>
      <c r="E275" s="25"/>
      <c r="F275" s="25" t="s">
        <v>3</v>
      </c>
      <c r="G275" s="9">
        <v>9.59272E8</v>
      </c>
      <c r="H275" s="9">
        <v>9.94777E8</v>
      </c>
      <c r="I275" s="9">
        <f t="shared" si="90"/>
        <v>969957000</v>
      </c>
      <c r="J275" s="9">
        <v>2.482E7</v>
      </c>
      <c r="K275" s="25" t="s">
        <v>632</v>
      </c>
      <c r="L275" s="9"/>
      <c r="M275" s="10"/>
      <c r="N275" s="10"/>
      <c r="O275" s="9">
        <f t="shared" si="91"/>
        <v>1929229000</v>
      </c>
      <c r="P275" s="38">
        <v>1.0</v>
      </c>
      <c r="Q275" s="9">
        <f t="shared" si="92"/>
        <v>969957000</v>
      </c>
      <c r="R275" s="9">
        <f t="shared" si="93"/>
        <v>1929229000</v>
      </c>
      <c r="S275" s="9">
        <f t="shared" si="94"/>
        <v>1929229000</v>
      </c>
      <c r="T275" s="9"/>
      <c r="U275" s="32" t="s">
        <v>633</v>
      </c>
      <c r="V275" s="6"/>
      <c r="W275" s="6"/>
      <c r="X275" s="6"/>
      <c r="Y275" s="6"/>
      <c r="Z275" s="6"/>
      <c r="AA275" s="6"/>
      <c r="AB275" s="6"/>
      <c r="AC275" s="6"/>
      <c r="AD275" s="6"/>
      <c r="AE275" s="6"/>
      <c r="AF275" s="6"/>
      <c r="AG275" s="6"/>
      <c r="AH275" s="6"/>
    </row>
    <row r="276" ht="15.75" customHeight="1">
      <c r="A276" s="6"/>
      <c r="B276" s="25" t="s">
        <v>627</v>
      </c>
      <c r="C276" s="25"/>
      <c r="D276" s="25"/>
      <c r="E276" s="35" t="s">
        <v>634</v>
      </c>
      <c r="F276" s="25" t="s">
        <v>43</v>
      </c>
      <c r="G276" s="45">
        <v>1.71632573E8</v>
      </c>
      <c r="H276" s="45">
        <v>1.536148056E9</v>
      </c>
      <c r="I276" s="45">
        <f t="shared" si="90"/>
        <v>1536148056</v>
      </c>
      <c r="J276" s="29"/>
      <c r="K276" s="6"/>
      <c r="L276" s="45"/>
      <c r="M276" s="46"/>
      <c r="N276" s="47">
        <v>8132588.0</v>
      </c>
      <c r="O276" s="45">
        <f t="shared" si="91"/>
        <v>1707780629</v>
      </c>
      <c r="P276" s="48">
        <v>0.7747</v>
      </c>
      <c r="Q276" s="9">
        <f t="shared" si="92"/>
        <v>1190053899</v>
      </c>
      <c r="R276" s="9">
        <f t="shared" si="93"/>
        <v>1316717337</v>
      </c>
      <c r="S276" s="45">
        <f t="shared" si="94"/>
        <v>1323017653</v>
      </c>
      <c r="T276" s="29"/>
      <c r="U276" s="40" t="s">
        <v>635</v>
      </c>
      <c r="V276" s="6"/>
      <c r="W276" s="6"/>
      <c r="X276" s="6"/>
      <c r="Y276" s="6"/>
      <c r="Z276" s="6"/>
      <c r="AA276" s="6"/>
      <c r="AB276" s="6"/>
      <c r="AC276" s="6"/>
      <c r="AD276" s="6"/>
      <c r="AE276" s="6"/>
      <c r="AF276" s="6"/>
      <c r="AG276" s="6"/>
      <c r="AH276" s="6"/>
    </row>
    <row r="277" ht="15.75" customHeight="1">
      <c r="A277" s="6"/>
      <c r="B277" s="25" t="s">
        <v>627</v>
      </c>
      <c r="C277" s="25"/>
      <c r="D277" s="25"/>
      <c r="E277" s="25" t="s">
        <v>636</v>
      </c>
      <c r="F277" s="25" t="s">
        <v>29</v>
      </c>
      <c r="G277" s="9"/>
      <c r="H277" s="9"/>
      <c r="I277" s="9">
        <f t="shared" si="90"/>
        <v>0</v>
      </c>
      <c r="J277" s="9"/>
      <c r="K277" s="25"/>
      <c r="L277" s="9"/>
      <c r="M277" s="10"/>
      <c r="N277" s="10"/>
      <c r="O277" s="9">
        <f t="shared" si="91"/>
        <v>0</v>
      </c>
      <c r="P277" s="38">
        <v>1.0</v>
      </c>
      <c r="Q277" s="9">
        <f t="shared" si="92"/>
        <v>0</v>
      </c>
      <c r="R277" s="9">
        <f t="shared" si="93"/>
        <v>0</v>
      </c>
      <c r="S277" s="9">
        <f t="shared" si="94"/>
        <v>0</v>
      </c>
      <c r="T277" s="9"/>
      <c r="U277" s="6" t="s">
        <v>60</v>
      </c>
      <c r="V277" s="6"/>
      <c r="W277" s="6"/>
      <c r="X277" s="6"/>
      <c r="Y277" s="6"/>
      <c r="Z277" s="6"/>
      <c r="AA277" s="6"/>
      <c r="AB277" s="6"/>
      <c r="AC277" s="6"/>
      <c r="AD277" s="6"/>
      <c r="AE277" s="6"/>
      <c r="AF277" s="6"/>
      <c r="AG277" s="6"/>
      <c r="AH277" s="6"/>
    </row>
    <row r="278" ht="15.75" customHeight="1">
      <c r="A278" s="6"/>
      <c r="B278" s="25" t="s">
        <v>627</v>
      </c>
      <c r="C278" s="25"/>
      <c r="D278" s="25"/>
      <c r="E278" s="25" t="s">
        <v>637</v>
      </c>
      <c r="F278" s="25" t="s">
        <v>29</v>
      </c>
      <c r="G278" s="9"/>
      <c r="H278" s="45">
        <f>7290964000+69188000+688050000+305526000</f>
        <v>8353728000</v>
      </c>
      <c r="I278" s="45">
        <f t="shared" si="90"/>
        <v>8048202000</v>
      </c>
      <c r="J278" s="45">
        <v>3.05526E8</v>
      </c>
      <c r="K278" s="6" t="s">
        <v>638</v>
      </c>
      <c r="L278" s="45"/>
      <c r="M278" s="46"/>
      <c r="N278" s="47">
        <v>6.520536E9</v>
      </c>
      <c r="O278" s="45">
        <f t="shared" si="91"/>
        <v>8048202000</v>
      </c>
      <c r="P278" s="48">
        <v>0.4249</v>
      </c>
      <c r="Q278" s="9">
        <f t="shared" si="92"/>
        <v>3419681030</v>
      </c>
      <c r="R278" s="9">
        <f t="shared" si="93"/>
        <v>649105283.4</v>
      </c>
      <c r="S278" s="45">
        <f t="shared" si="94"/>
        <v>3419681030</v>
      </c>
      <c r="T278" s="29"/>
      <c r="U278" s="40" t="s">
        <v>639</v>
      </c>
      <c r="V278" s="6"/>
      <c r="W278" s="6"/>
      <c r="X278" s="6"/>
      <c r="Y278" s="6"/>
      <c r="Z278" s="6"/>
      <c r="AA278" s="6"/>
      <c r="AB278" s="6"/>
      <c r="AC278" s="6"/>
      <c r="AD278" s="6"/>
      <c r="AE278" s="6"/>
      <c r="AF278" s="6"/>
      <c r="AG278" s="6"/>
      <c r="AH278" s="6"/>
    </row>
    <row r="279" ht="15.75" customHeight="1">
      <c r="A279" s="6"/>
      <c r="B279" s="25"/>
      <c r="C279" s="25"/>
      <c r="D279" s="25"/>
      <c r="E279" s="41" t="s">
        <v>35</v>
      </c>
      <c r="F279" s="25"/>
      <c r="G279" s="9"/>
      <c r="H279" s="9"/>
      <c r="I279" s="9"/>
      <c r="J279" s="9"/>
      <c r="K279" s="25"/>
      <c r="L279" s="9"/>
      <c r="M279" s="10"/>
      <c r="N279" s="10"/>
      <c r="O279" s="9"/>
      <c r="P279" s="26" t="s">
        <v>640</v>
      </c>
      <c r="Q279" s="19">
        <f t="shared" ref="Q279:S279" si="95">SUM(Q274:Q278)</f>
        <v>8006245904</v>
      </c>
      <c r="R279" s="19">
        <f t="shared" si="95"/>
        <v>6822594030</v>
      </c>
      <c r="S279" s="19">
        <f t="shared" si="95"/>
        <v>9629808633</v>
      </c>
      <c r="T279" s="20">
        <v>5.338513897E9</v>
      </c>
      <c r="U279" s="6"/>
      <c r="V279" s="6"/>
      <c r="W279" s="6"/>
      <c r="X279" s="6"/>
      <c r="Y279" s="6"/>
      <c r="Z279" s="6"/>
      <c r="AA279" s="6"/>
      <c r="AB279" s="6"/>
      <c r="AC279" s="6"/>
      <c r="AD279" s="6"/>
      <c r="AE279" s="6"/>
      <c r="AF279" s="6"/>
      <c r="AG279" s="6"/>
      <c r="AH279" s="6"/>
    </row>
    <row r="280" ht="15.75" customHeight="1">
      <c r="A280" s="6">
        <v>16.0</v>
      </c>
      <c r="B280" s="25" t="s">
        <v>641</v>
      </c>
      <c r="C280" s="42" t="s">
        <v>642</v>
      </c>
      <c r="D280" s="25"/>
      <c r="E280" s="25"/>
      <c r="F280" s="42" t="s">
        <v>1</v>
      </c>
      <c r="G280" s="8">
        <v>3.785661E9</v>
      </c>
      <c r="H280" s="8">
        <v>1.849104E10</v>
      </c>
      <c r="I280" s="9">
        <f t="shared" ref="I280:I282" si="96">H280-J280</f>
        <v>18491040000</v>
      </c>
      <c r="J280" s="9"/>
      <c r="K280" s="25"/>
      <c r="L280" s="9"/>
      <c r="M280" s="10"/>
      <c r="N280" s="8">
        <v>4.01478E8</v>
      </c>
      <c r="O280" s="9">
        <f t="shared" ref="O280:O282" si="97">G280+I280</f>
        <v>22276701000</v>
      </c>
      <c r="P280" s="31">
        <v>0.1294</v>
      </c>
      <c r="Q280" s="9">
        <f t="shared" ref="Q280:Q292" si="98">I280*P280</f>
        <v>2392740576</v>
      </c>
      <c r="R280" s="9">
        <f t="shared" ref="R280:R292" si="99">(O280-N280-M280)*P280</f>
        <v>2830653856</v>
      </c>
      <c r="S280" s="9">
        <f t="shared" ref="S280:S292" si="100">O280*P280</f>
        <v>2882605109</v>
      </c>
      <c r="T280" s="9"/>
      <c r="U280" s="6"/>
      <c r="V280" s="6"/>
      <c r="W280" s="6"/>
      <c r="X280" s="6"/>
      <c r="Y280" s="6"/>
      <c r="Z280" s="6"/>
      <c r="AA280" s="6"/>
      <c r="AB280" s="6"/>
      <c r="AC280" s="6"/>
      <c r="AD280" s="6"/>
      <c r="AE280" s="6"/>
      <c r="AF280" s="6"/>
      <c r="AG280" s="6"/>
      <c r="AH280" s="6"/>
    </row>
    <row r="281" ht="15.75" customHeight="1">
      <c r="A281" s="6"/>
      <c r="B281" s="25" t="s">
        <v>641</v>
      </c>
      <c r="C281" s="25"/>
      <c r="D281" s="25" t="s">
        <v>643</v>
      </c>
      <c r="E281" s="25"/>
      <c r="F281" s="25" t="s">
        <v>3</v>
      </c>
      <c r="G281" s="9">
        <v>1.11523E8</v>
      </c>
      <c r="H281" s="9">
        <v>7.59827E8</v>
      </c>
      <c r="I281" s="9">
        <f t="shared" si="96"/>
        <v>746510000</v>
      </c>
      <c r="J281" s="9">
        <v>1.3317E7</v>
      </c>
      <c r="K281" s="25" t="s">
        <v>168</v>
      </c>
      <c r="L281" s="9"/>
      <c r="M281" s="10"/>
      <c r="N281" s="14">
        <v>37000.0</v>
      </c>
      <c r="O281" s="9">
        <f t="shared" si="97"/>
        <v>858033000</v>
      </c>
      <c r="P281" s="38">
        <v>1.0</v>
      </c>
      <c r="Q281" s="9">
        <f t="shared" si="98"/>
        <v>746510000</v>
      </c>
      <c r="R281" s="9">
        <f t="shared" si="99"/>
        <v>857996000</v>
      </c>
      <c r="S281" s="9">
        <f t="shared" si="100"/>
        <v>858033000</v>
      </c>
      <c r="T281" s="9"/>
      <c r="U281" s="32" t="s">
        <v>644</v>
      </c>
      <c r="V281" s="6"/>
      <c r="W281" s="6"/>
      <c r="X281" s="6"/>
      <c r="Y281" s="6"/>
      <c r="Z281" s="6"/>
      <c r="AA281" s="6"/>
      <c r="AB281" s="6"/>
      <c r="AC281" s="6"/>
      <c r="AD281" s="6"/>
      <c r="AE281" s="6"/>
      <c r="AF281" s="6"/>
      <c r="AG281" s="6"/>
      <c r="AH281" s="6"/>
    </row>
    <row r="282" ht="15.75" customHeight="1">
      <c r="A282" s="6"/>
      <c r="B282" s="25" t="s">
        <v>641</v>
      </c>
      <c r="C282" s="25"/>
      <c r="D282" s="25"/>
      <c r="E282" s="25" t="s">
        <v>645</v>
      </c>
      <c r="F282" s="25" t="s">
        <v>43</v>
      </c>
      <c r="G282" s="9">
        <v>5.8636318E7</v>
      </c>
      <c r="H282" s="9">
        <v>2.42586009E8</v>
      </c>
      <c r="I282" s="9">
        <f t="shared" si="96"/>
        <v>242586009</v>
      </c>
      <c r="J282" s="9"/>
      <c r="K282" s="25"/>
      <c r="L282" s="9"/>
      <c r="M282" s="10"/>
      <c r="N282" s="14">
        <v>0.0</v>
      </c>
      <c r="O282" s="9">
        <f t="shared" si="97"/>
        <v>301222327</v>
      </c>
      <c r="P282" s="38">
        <v>1.0</v>
      </c>
      <c r="Q282" s="9">
        <f t="shared" si="98"/>
        <v>242586009</v>
      </c>
      <c r="R282" s="9">
        <f t="shared" si="99"/>
        <v>301222327</v>
      </c>
      <c r="S282" s="9">
        <f t="shared" si="100"/>
        <v>301222327</v>
      </c>
      <c r="T282" s="9"/>
      <c r="U282" s="32" t="s">
        <v>646</v>
      </c>
      <c r="V282" s="6"/>
      <c r="W282" s="6"/>
      <c r="X282" s="6"/>
      <c r="Y282" s="6"/>
      <c r="Z282" s="6"/>
      <c r="AA282" s="6"/>
      <c r="AB282" s="6"/>
      <c r="AC282" s="6"/>
      <c r="AD282" s="6"/>
      <c r="AE282" s="6"/>
      <c r="AF282" s="6"/>
      <c r="AG282" s="6"/>
      <c r="AH282" s="6"/>
    </row>
    <row r="283" ht="15.75" customHeight="1">
      <c r="A283" s="6"/>
      <c r="B283" s="25" t="s">
        <v>641</v>
      </c>
      <c r="C283" s="25"/>
      <c r="D283" s="25"/>
      <c r="E283" s="25" t="s">
        <v>647</v>
      </c>
      <c r="F283" s="25" t="s">
        <v>47</v>
      </c>
      <c r="G283" s="9"/>
      <c r="H283" s="9"/>
      <c r="I283" s="9"/>
      <c r="J283" s="9"/>
      <c r="K283" s="25"/>
      <c r="L283" s="9"/>
      <c r="M283" s="10"/>
      <c r="N283" s="10"/>
      <c r="O283" s="9"/>
      <c r="P283" s="38">
        <v>1.1108</v>
      </c>
      <c r="Q283" s="9">
        <f t="shared" si="98"/>
        <v>0</v>
      </c>
      <c r="R283" s="9">
        <f t="shared" si="99"/>
        <v>0</v>
      </c>
      <c r="S283" s="9">
        <f t="shared" si="100"/>
        <v>0</v>
      </c>
      <c r="T283" s="9"/>
      <c r="U283" s="6" t="s">
        <v>60</v>
      </c>
      <c r="V283" s="6"/>
      <c r="W283" s="6"/>
      <c r="X283" s="6"/>
      <c r="Y283" s="6"/>
      <c r="Z283" s="6"/>
      <c r="AA283" s="6"/>
      <c r="AB283" s="6"/>
      <c r="AC283" s="6"/>
      <c r="AD283" s="6"/>
      <c r="AE283" s="6"/>
      <c r="AF283" s="6"/>
      <c r="AG283" s="6"/>
      <c r="AH283" s="6"/>
    </row>
    <row r="284" ht="15.75" customHeight="1">
      <c r="A284" s="6"/>
      <c r="B284" s="25" t="s">
        <v>641</v>
      </c>
      <c r="C284" s="25"/>
      <c r="D284" s="25"/>
      <c r="E284" s="25" t="s">
        <v>648</v>
      </c>
      <c r="F284" s="25" t="s">
        <v>47</v>
      </c>
      <c r="G284" s="9"/>
      <c r="H284" s="9"/>
      <c r="I284" s="9"/>
      <c r="J284" s="9"/>
      <c r="K284" s="25"/>
      <c r="L284" s="9"/>
      <c r="M284" s="10"/>
      <c r="N284" s="10"/>
      <c r="O284" s="9">
        <f t="shared" ref="O284:O285" si="101">G284+I284</f>
        <v>0</v>
      </c>
      <c r="P284" s="38">
        <v>1.1108</v>
      </c>
      <c r="Q284" s="9">
        <f t="shared" si="98"/>
        <v>0</v>
      </c>
      <c r="R284" s="9">
        <f t="shared" si="99"/>
        <v>0</v>
      </c>
      <c r="S284" s="9">
        <f t="shared" si="100"/>
        <v>0</v>
      </c>
      <c r="T284" s="9"/>
      <c r="U284" s="49" t="s">
        <v>649</v>
      </c>
      <c r="V284" s="6" t="s">
        <v>650</v>
      </c>
      <c r="W284" s="6"/>
      <c r="X284" s="6"/>
      <c r="Y284" s="6"/>
      <c r="Z284" s="6"/>
      <c r="AA284" s="6"/>
      <c r="AB284" s="6"/>
      <c r="AC284" s="6"/>
      <c r="AD284" s="6"/>
      <c r="AE284" s="6"/>
      <c r="AF284" s="6"/>
      <c r="AG284" s="6"/>
      <c r="AH284" s="6"/>
    </row>
    <row r="285" ht="15.75" customHeight="1">
      <c r="A285" s="6"/>
      <c r="B285" s="25" t="s">
        <v>641</v>
      </c>
      <c r="C285" s="25"/>
      <c r="D285" s="25"/>
      <c r="E285" s="25" t="s">
        <v>651</v>
      </c>
      <c r="F285" s="25" t="s">
        <v>47</v>
      </c>
      <c r="G285" s="9">
        <v>4946887.0</v>
      </c>
      <c r="H285" s="9">
        <v>4.44835354E8</v>
      </c>
      <c r="I285" s="9">
        <f>H285-J285</f>
        <v>197652480</v>
      </c>
      <c r="J285" s="9">
        <v>2.47182874E8</v>
      </c>
      <c r="K285" s="25" t="s">
        <v>652</v>
      </c>
      <c r="L285" s="9"/>
      <c r="M285" s="10"/>
      <c r="N285" s="10"/>
      <c r="O285" s="9">
        <f t="shared" si="101"/>
        <v>202599367</v>
      </c>
      <c r="P285" s="38">
        <v>1.1108</v>
      </c>
      <c r="Q285" s="9">
        <f t="shared" si="98"/>
        <v>219552374.8</v>
      </c>
      <c r="R285" s="9">
        <f t="shared" si="99"/>
        <v>225047376.9</v>
      </c>
      <c r="S285" s="9">
        <f t="shared" si="100"/>
        <v>225047376.9</v>
      </c>
      <c r="T285" s="9"/>
      <c r="U285" s="32" t="s">
        <v>653</v>
      </c>
      <c r="V285" s="6"/>
      <c r="W285" s="6"/>
      <c r="X285" s="6"/>
      <c r="Y285" s="6"/>
      <c r="Z285" s="6"/>
      <c r="AA285" s="6"/>
      <c r="AB285" s="6"/>
      <c r="AC285" s="6"/>
      <c r="AD285" s="6"/>
      <c r="AE285" s="6"/>
      <c r="AF285" s="6"/>
      <c r="AG285" s="6"/>
      <c r="AH285" s="6"/>
    </row>
    <row r="286" ht="15.75" customHeight="1">
      <c r="A286" s="6"/>
      <c r="B286" s="25" t="s">
        <v>641</v>
      </c>
      <c r="C286" s="25"/>
      <c r="D286" s="25"/>
      <c r="E286" s="25" t="s">
        <v>654</v>
      </c>
      <c r="F286" s="25" t="s">
        <v>47</v>
      </c>
      <c r="G286" s="9"/>
      <c r="H286" s="9"/>
      <c r="I286" s="9"/>
      <c r="J286" s="9"/>
      <c r="K286" s="25"/>
      <c r="L286" s="9"/>
      <c r="M286" s="10"/>
      <c r="N286" s="10"/>
      <c r="O286" s="9"/>
      <c r="P286" s="38">
        <v>0.5967</v>
      </c>
      <c r="Q286" s="9">
        <f t="shared" si="98"/>
        <v>0</v>
      </c>
      <c r="R286" s="9">
        <f t="shared" si="99"/>
        <v>0</v>
      </c>
      <c r="S286" s="9">
        <f t="shared" si="100"/>
        <v>0</v>
      </c>
      <c r="T286" s="9"/>
      <c r="U286" s="6" t="s">
        <v>60</v>
      </c>
      <c r="V286" s="6"/>
      <c r="W286" s="6"/>
      <c r="X286" s="6"/>
      <c r="Y286" s="6"/>
      <c r="Z286" s="6"/>
      <c r="AA286" s="6"/>
      <c r="AB286" s="6"/>
      <c r="AC286" s="6"/>
      <c r="AD286" s="6"/>
      <c r="AE286" s="6"/>
      <c r="AF286" s="6"/>
      <c r="AG286" s="6"/>
      <c r="AH286" s="6"/>
    </row>
    <row r="287" ht="15.75" customHeight="1">
      <c r="A287" s="6"/>
      <c r="B287" s="25" t="s">
        <v>641</v>
      </c>
      <c r="C287" s="25"/>
      <c r="D287" s="25"/>
      <c r="E287" s="25" t="s">
        <v>655</v>
      </c>
      <c r="F287" s="25" t="s">
        <v>47</v>
      </c>
      <c r="G287" s="9"/>
      <c r="H287" s="9"/>
      <c r="I287" s="9"/>
      <c r="J287" s="9"/>
      <c r="K287" s="25"/>
      <c r="L287" s="9"/>
      <c r="M287" s="10"/>
      <c r="N287" s="10"/>
      <c r="O287" s="9"/>
      <c r="P287" s="38">
        <v>1.0622</v>
      </c>
      <c r="Q287" s="9">
        <f t="shared" si="98"/>
        <v>0</v>
      </c>
      <c r="R287" s="9">
        <f t="shared" si="99"/>
        <v>0</v>
      </c>
      <c r="S287" s="9">
        <f t="shared" si="100"/>
        <v>0</v>
      </c>
      <c r="T287" s="9"/>
      <c r="U287" s="6" t="s">
        <v>60</v>
      </c>
      <c r="V287" s="6"/>
      <c r="W287" s="6"/>
      <c r="X287" s="6"/>
      <c r="Y287" s="6"/>
      <c r="Z287" s="6"/>
      <c r="AA287" s="6"/>
      <c r="AB287" s="6"/>
      <c r="AC287" s="6"/>
      <c r="AD287" s="6"/>
      <c r="AE287" s="6"/>
      <c r="AF287" s="6"/>
      <c r="AG287" s="6"/>
      <c r="AH287" s="6"/>
    </row>
    <row r="288" ht="15.75" customHeight="1">
      <c r="A288" s="6"/>
      <c r="B288" s="25" t="s">
        <v>641</v>
      </c>
      <c r="C288" s="25"/>
      <c r="D288" s="25"/>
      <c r="E288" s="25" t="s">
        <v>656</v>
      </c>
      <c r="F288" s="25" t="s">
        <v>47</v>
      </c>
      <c r="G288" s="9"/>
      <c r="H288" s="9"/>
      <c r="I288" s="9"/>
      <c r="J288" s="9"/>
      <c r="K288" s="25"/>
      <c r="L288" s="9"/>
      <c r="M288" s="10"/>
      <c r="N288" s="10"/>
      <c r="O288" s="9"/>
      <c r="P288" s="38">
        <v>1.1108</v>
      </c>
      <c r="Q288" s="9">
        <f t="shared" si="98"/>
        <v>0</v>
      </c>
      <c r="R288" s="9">
        <f t="shared" si="99"/>
        <v>0</v>
      </c>
      <c r="S288" s="9">
        <f t="shared" si="100"/>
        <v>0</v>
      </c>
      <c r="T288" s="9"/>
      <c r="U288" s="6" t="s">
        <v>60</v>
      </c>
      <c r="V288" s="6"/>
      <c r="W288" s="6"/>
      <c r="X288" s="6"/>
      <c r="Y288" s="6"/>
      <c r="Z288" s="6"/>
      <c r="AA288" s="6"/>
      <c r="AB288" s="6"/>
      <c r="AC288" s="6"/>
      <c r="AD288" s="6"/>
      <c r="AE288" s="6"/>
      <c r="AF288" s="6"/>
      <c r="AG288" s="6"/>
      <c r="AH288" s="6"/>
    </row>
    <row r="289" ht="15.75" customHeight="1">
      <c r="A289" s="6"/>
      <c r="B289" s="25" t="s">
        <v>641</v>
      </c>
      <c r="C289" s="25"/>
      <c r="D289" s="25"/>
      <c r="E289" s="25" t="s">
        <v>657</v>
      </c>
      <c r="F289" s="25" t="s">
        <v>47</v>
      </c>
      <c r="G289" s="9"/>
      <c r="H289" s="9"/>
      <c r="I289" s="9"/>
      <c r="J289" s="9"/>
      <c r="K289" s="25"/>
      <c r="L289" s="9"/>
      <c r="M289" s="10"/>
      <c r="N289" s="10"/>
      <c r="O289" s="9"/>
      <c r="P289" s="38">
        <v>1.1108</v>
      </c>
      <c r="Q289" s="9">
        <f t="shared" si="98"/>
        <v>0</v>
      </c>
      <c r="R289" s="9">
        <f t="shared" si="99"/>
        <v>0</v>
      </c>
      <c r="S289" s="9">
        <f t="shared" si="100"/>
        <v>0</v>
      </c>
      <c r="T289" s="9"/>
      <c r="U289" s="6" t="s">
        <v>658</v>
      </c>
      <c r="V289" s="6"/>
      <c r="W289" s="6"/>
      <c r="X289" s="6"/>
      <c r="Y289" s="6"/>
      <c r="Z289" s="6"/>
      <c r="AA289" s="6"/>
      <c r="AB289" s="6"/>
      <c r="AC289" s="6"/>
      <c r="AD289" s="6"/>
      <c r="AE289" s="6"/>
      <c r="AF289" s="6"/>
      <c r="AG289" s="6"/>
      <c r="AH289" s="6"/>
    </row>
    <row r="290" ht="15.75" customHeight="1">
      <c r="A290" s="6"/>
      <c r="B290" s="25" t="s">
        <v>641</v>
      </c>
      <c r="C290" s="25"/>
      <c r="D290" s="25"/>
      <c r="E290" s="25" t="s">
        <v>659</v>
      </c>
      <c r="F290" s="25" t="s">
        <v>47</v>
      </c>
      <c r="G290" s="9"/>
      <c r="H290" s="9">
        <v>1.8490029E7</v>
      </c>
      <c r="I290" s="9">
        <f t="shared" ref="I290:I291" si="102">H290-J290</f>
        <v>18490029</v>
      </c>
      <c r="J290" s="9"/>
      <c r="K290" s="25"/>
      <c r="L290" s="9"/>
      <c r="M290" s="10"/>
      <c r="N290" s="10"/>
      <c r="O290" s="9">
        <f t="shared" ref="O290:O291" si="103">G290+I290</f>
        <v>18490029</v>
      </c>
      <c r="P290" s="38">
        <v>1.0931</v>
      </c>
      <c r="Q290" s="9">
        <f t="shared" si="98"/>
        <v>20211450.7</v>
      </c>
      <c r="R290" s="9">
        <f t="shared" si="99"/>
        <v>20211450.7</v>
      </c>
      <c r="S290" s="9">
        <f t="shared" si="100"/>
        <v>20211450.7</v>
      </c>
      <c r="T290" s="9"/>
      <c r="U290" s="32" t="s">
        <v>660</v>
      </c>
      <c r="V290" s="6"/>
      <c r="W290" s="6"/>
      <c r="X290" s="6"/>
      <c r="Y290" s="6"/>
      <c r="Z290" s="6"/>
      <c r="AA290" s="6"/>
      <c r="AB290" s="6"/>
      <c r="AC290" s="6"/>
      <c r="AD290" s="6"/>
      <c r="AE290" s="6"/>
      <c r="AF290" s="6"/>
      <c r="AG290" s="6"/>
      <c r="AH290" s="6"/>
    </row>
    <row r="291" ht="15.75" customHeight="1">
      <c r="A291" s="6"/>
      <c r="B291" s="25" t="s">
        <v>641</v>
      </c>
      <c r="C291" s="25"/>
      <c r="D291" s="25"/>
      <c r="E291" s="25" t="s">
        <v>661</v>
      </c>
      <c r="F291" s="25" t="s">
        <v>47</v>
      </c>
      <c r="G291" s="9">
        <v>9438308.0</v>
      </c>
      <c r="H291" s="9">
        <v>2.03834175E8</v>
      </c>
      <c r="I291" s="9">
        <f t="shared" si="102"/>
        <v>68649717</v>
      </c>
      <c r="J291" s="9">
        <f>124028092+11156366</f>
        <v>135184458</v>
      </c>
      <c r="K291" s="25" t="s">
        <v>662</v>
      </c>
      <c r="L291" s="9"/>
      <c r="M291" s="10"/>
      <c r="N291" s="10"/>
      <c r="O291" s="9">
        <f t="shared" si="103"/>
        <v>78088025</v>
      </c>
      <c r="P291" s="38">
        <v>1.1108</v>
      </c>
      <c r="Q291" s="9">
        <f t="shared" si="98"/>
        <v>76256105.64</v>
      </c>
      <c r="R291" s="9">
        <f t="shared" si="99"/>
        <v>86740178.17</v>
      </c>
      <c r="S291" s="9">
        <f t="shared" si="100"/>
        <v>86740178.17</v>
      </c>
      <c r="T291" s="9"/>
      <c r="U291" s="32" t="s">
        <v>663</v>
      </c>
      <c r="V291" s="6"/>
      <c r="W291" s="6"/>
      <c r="X291" s="6"/>
      <c r="Y291" s="6"/>
      <c r="Z291" s="6"/>
      <c r="AA291" s="6"/>
      <c r="AB291" s="6"/>
      <c r="AC291" s="6"/>
      <c r="AD291" s="6"/>
      <c r="AE291" s="6"/>
      <c r="AF291" s="6"/>
      <c r="AG291" s="6"/>
      <c r="AH291" s="6"/>
    </row>
    <row r="292" ht="15.75" customHeight="1">
      <c r="A292" s="6"/>
      <c r="B292" s="25" t="s">
        <v>641</v>
      </c>
      <c r="C292" s="25"/>
      <c r="D292" s="25"/>
      <c r="E292" s="25" t="s">
        <v>664</v>
      </c>
      <c r="F292" s="25" t="s">
        <v>29</v>
      </c>
      <c r="G292" s="50"/>
      <c r="H292" s="50"/>
      <c r="I292" s="50"/>
      <c r="J292" s="50"/>
      <c r="K292" s="25"/>
      <c r="L292" s="9"/>
      <c r="M292" s="10"/>
      <c r="N292" s="10"/>
      <c r="O292" s="9"/>
      <c r="P292" s="38">
        <v>1.0</v>
      </c>
      <c r="Q292" s="9">
        <f t="shared" si="98"/>
        <v>0</v>
      </c>
      <c r="R292" s="9">
        <f t="shared" si="99"/>
        <v>0</v>
      </c>
      <c r="S292" s="9">
        <f t="shared" si="100"/>
        <v>0</v>
      </c>
      <c r="T292" s="9"/>
      <c r="U292" s="32" t="s">
        <v>665</v>
      </c>
      <c r="V292" s="6"/>
      <c r="W292" s="6"/>
      <c r="X292" s="6"/>
      <c r="Y292" s="6"/>
      <c r="Z292" s="6"/>
      <c r="AA292" s="6"/>
      <c r="AB292" s="6"/>
      <c r="AC292" s="6"/>
      <c r="AD292" s="6"/>
      <c r="AE292" s="6"/>
      <c r="AF292" s="6"/>
      <c r="AG292" s="6"/>
      <c r="AH292" s="6"/>
    </row>
    <row r="293" ht="15.75" customHeight="1">
      <c r="A293" s="6"/>
      <c r="B293" s="25"/>
      <c r="C293" s="25"/>
      <c r="D293" s="25"/>
      <c r="E293" s="41" t="s">
        <v>35</v>
      </c>
      <c r="F293" s="25"/>
      <c r="G293" s="50"/>
      <c r="H293" s="50"/>
      <c r="I293" s="50"/>
      <c r="J293" s="50"/>
      <c r="K293" s="25"/>
      <c r="L293" s="9"/>
      <c r="M293" s="10"/>
      <c r="N293" s="10"/>
      <c r="O293" s="9"/>
      <c r="P293" s="26" t="s">
        <v>666</v>
      </c>
      <c r="Q293" s="19">
        <f t="shared" ref="Q293:S293" si="104">SUM(Q280:Q292)</f>
        <v>3697856516</v>
      </c>
      <c r="R293" s="19">
        <f t="shared" si="104"/>
        <v>4321871189</v>
      </c>
      <c r="S293" s="19">
        <f t="shared" si="104"/>
        <v>4373859442</v>
      </c>
      <c r="T293" s="20">
        <v>2.784851277E9</v>
      </c>
      <c r="U293" s="6"/>
      <c r="V293" s="6"/>
      <c r="W293" s="6"/>
      <c r="X293" s="6"/>
      <c r="Y293" s="6"/>
      <c r="Z293" s="6"/>
      <c r="AA293" s="6"/>
      <c r="AB293" s="6"/>
      <c r="AC293" s="6"/>
      <c r="AD293" s="6"/>
      <c r="AE293" s="6"/>
      <c r="AF293" s="6"/>
      <c r="AG293" s="6"/>
      <c r="AH293" s="6"/>
    </row>
    <row r="294" ht="15.75" customHeight="1">
      <c r="A294" s="6">
        <v>17.0</v>
      </c>
      <c r="B294" s="25" t="s">
        <v>36</v>
      </c>
      <c r="C294" s="42" t="s">
        <v>37</v>
      </c>
      <c r="D294" s="25"/>
      <c r="E294" s="25"/>
      <c r="F294" s="7" t="s">
        <v>1</v>
      </c>
      <c r="G294" s="21">
        <v>5.8888202E10</v>
      </c>
      <c r="H294" s="22">
        <v>1.79355805E11</v>
      </c>
      <c r="I294" s="9">
        <f t="shared" ref="I294:I303" si="105">H294-J294</f>
        <v>179355805000</v>
      </c>
      <c r="J294" s="9"/>
      <c r="K294" s="6"/>
      <c r="L294" s="9"/>
      <c r="M294" s="21">
        <v>9.03E8</v>
      </c>
      <c r="N294" s="23">
        <v>1.3836881E10</v>
      </c>
      <c r="O294" s="9">
        <f t="shared" ref="O294:O303" si="106">G294+I294</f>
        <v>238244007000</v>
      </c>
      <c r="P294" s="31">
        <v>0.0219</v>
      </c>
      <c r="Q294" s="9">
        <f t="shared" ref="Q294:Q303" si="107">I294*P294</f>
        <v>3927892130</v>
      </c>
      <c r="R294" s="9">
        <f t="shared" ref="R294:R303" si="108">(O294-N294-M294)*P294</f>
        <v>4894740359</v>
      </c>
      <c r="S294" s="9">
        <f t="shared" ref="S294:S303" si="109">O294*P294</f>
        <v>5217543753</v>
      </c>
      <c r="T294" s="12"/>
      <c r="U294" s="16" t="s">
        <v>38</v>
      </c>
      <c r="V294" s="6"/>
      <c r="W294" s="6"/>
      <c r="X294" s="6"/>
      <c r="Y294" s="6"/>
      <c r="Z294" s="6"/>
      <c r="AA294" s="6"/>
      <c r="AB294" s="6"/>
      <c r="AC294" s="6"/>
      <c r="AD294" s="6"/>
      <c r="AE294" s="6"/>
      <c r="AF294" s="6"/>
      <c r="AG294" s="6"/>
      <c r="AH294" s="6"/>
    </row>
    <row r="295" ht="15.75" customHeight="1">
      <c r="A295" s="6"/>
      <c r="B295" s="25" t="s">
        <v>36</v>
      </c>
      <c r="C295" s="25"/>
      <c r="D295" s="25" t="s">
        <v>667</v>
      </c>
      <c r="E295" s="25" t="s">
        <v>668</v>
      </c>
      <c r="F295" s="25" t="s">
        <v>669</v>
      </c>
      <c r="G295" s="22">
        <v>4.73928E9</v>
      </c>
      <c r="H295" s="9">
        <f>5299296000</f>
        <v>5299296000</v>
      </c>
      <c r="I295" s="9">
        <f t="shared" si="105"/>
        <v>5299296000</v>
      </c>
      <c r="J295" s="9"/>
      <c r="K295" s="6"/>
      <c r="L295" s="9"/>
      <c r="M295" s="8">
        <v>4.21284E8</v>
      </c>
      <c r="N295" s="51">
        <f>1092622000+107078000</f>
        <v>1199700000</v>
      </c>
      <c r="O295" s="9">
        <f t="shared" si="106"/>
        <v>10038576000</v>
      </c>
      <c r="P295" s="38">
        <v>1.0</v>
      </c>
      <c r="Q295" s="9">
        <f t="shared" si="107"/>
        <v>5299296000</v>
      </c>
      <c r="R295" s="9">
        <f t="shared" si="108"/>
        <v>8417592000</v>
      </c>
      <c r="S295" s="9">
        <f t="shared" si="109"/>
        <v>10038576000</v>
      </c>
      <c r="T295" s="9"/>
      <c r="U295" s="13" t="s">
        <v>670</v>
      </c>
      <c r="V295" s="6"/>
      <c r="W295" s="6"/>
      <c r="X295" s="6"/>
      <c r="Y295" s="6"/>
      <c r="Z295" s="6"/>
      <c r="AA295" s="6"/>
      <c r="AB295" s="6"/>
      <c r="AC295" s="6"/>
      <c r="AD295" s="6"/>
      <c r="AE295" s="6"/>
      <c r="AF295" s="6"/>
      <c r="AG295" s="6"/>
      <c r="AH295" s="6"/>
    </row>
    <row r="296" ht="15.75" customHeight="1">
      <c r="A296" s="6"/>
      <c r="B296" s="25" t="s">
        <v>36</v>
      </c>
      <c r="C296" s="25"/>
      <c r="D296" s="25"/>
      <c r="E296" s="25" t="s">
        <v>671</v>
      </c>
      <c r="F296" s="25" t="s">
        <v>47</v>
      </c>
      <c r="G296" s="9">
        <v>2272277.0</v>
      </c>
      <c r="H296" s="9">
        <v>9.74652263E8</v>
      </c>
      <c r="I296" s="9">
        <f t="shared" si="105"/>
        <v>620240385</v>
      </c>
      <c r="J296" s="9">
        <f>305072153+49339725</f>
        <v>354411878</v>
      </c>
      <c r="K296" s="6" t="s">
        <v>672</v>
      </c>
      <c r="L296" s="9"/>
      <c r="M296" s="10"/>
      <c r="N296" s="10"/>
      <c r="O296" s="9">
        <f t="shared" si="106"/>
        <v>622512662</v>
      </c>
      <c r="P296" s="38">
        <v>1.0</v>
      </c>
      <c r="Q296" s="9">
        <f t="shared" si="107"/>
        <v>620240385</v>
      </c>
      <c r="R296" s="9">
        <f t="shared" si="108"/>
        <v>622512662</v>
      </c>
      <c r="S296" s="9">
        <f t="shared" si="109"/>
        <v>622512662</v>
      </c>
      <c r="T296" s="9"/>
      <c r="U296" s="13" t="s">
        <v>673</v>
      </c>
      <c r="V296" s="6"/>
      <c r="W296" s="6"/>
      <c r="X296" s="6"/>
      <c r="Y296" s="6"/>
      <c r="Z296" s="6"/>
      <c r="AA296" s="6"/>
      <c r="AB296" s="6"/>
      <c r="AC296" s="6"/>
      <c r="AD296" s="6"/>
      <c r="AE296" s="6"/>
      <c r="AF296" s="6"/>
      <c r="AG296" s="6"/>
      <c r="AH296" s="6"/>
    </row>
    <row r="297" ht="15.75" customHeight="1">
      <c r="A297" s="6"/>
      <c r="B297" s="25" t="s">
        <v>36</v>
      </c>
      <c r="C297" s="25"/>
      <c r="D297" s="25"/>
      <c r="E297" s="25" t="s">
        <v>460</v>
      </c>
      <c r="F297" s="25" t="s">
        <v>29</v>
      </c>
      <c r="G297" s="9">
        <v>6.88687936E8</v>
      </c>
      <c r="H297" s="9">
        <v>-3.62772629E8</v>
      </c>
      <c r="I297" s="9">
        <f t="shared" si="105"/>
        <v>-132443481</v>
      </c>
      <c r="J297" s="9">
        <v>-2.30329148E8</v>
      </c>
      <c r="K297" s="6" t="s">
        <v>461</v>
      </c>
      <c r="L297" s="9"/>
      <c r="M297" s="10"/>
      <c r="N297" s="10"/>
      <c r="O297" s="9">
        <f t="shared" si="106"/>
        <v>556244455</v>
      </c>
      <c r="P297" s="38">
        <v>0.1085</v>
      </c>
      <c r="Q297" s="9">
        <f t="shared" si="107"/>
        <v>-14370117.69</v>
      </c>
      <c r="R297" s="9">
        <f t="shared" si="108"/>
        <v>60352523.37</v>
      </c>
      <c r="S297" s="9">
        <f t="shared" si="109"/>
        <v>60352523.37</v>
      </c>
      <c r="T297" s="9"/>
      <c r="U297" s="13" t="s">
        <v>462</v>
      </c>
      <c r="V297" s="6"/>
      <c r="W297" s="6"/>
      <c r="X297" s="6"/>
      <c r="Y297" s="6"/>
      <c r="Z297" s="6"/>
      <c r="AA297" s="6"/>
      <c r="AB297" s="6"/>
      <c r="AC297" s="6"/>
      <c r="AD297" s="6"/>
      <c r="AE297" s="6"/>
      <c r="AF297" s="6"/>
      <c r="AG297" s="6"/>
      <c r="AH297" s="6"/>
    </row>
    <row r="298" ht="15.75" customHeight="1">
      <c r="A298" s="6"/>
      <c r="B298" s="25" t="s">
        <v>36</v>
      </c>
      <c r="C298" s="25"/>
      <c r="D298" s="25"/>
      <c r="E298" s="25" t="s">
        <v>674</v>
      </c>
      <c r="F298" s="25" t="s">
        <v>29</v>
      </c>
      <c r="G298" s="9"/>
      <c r="H298" s="9">
        <f>394934000+266895000+170582000+282938000+19653000</f>
        <v>1135002000</v>
      </c>
      <c r="I298" s="9">
        <f t="shared" si="105"/>
        <v>1135002000</v>
      </c>
      <c r="J298" s="9"/>
      <c r="K298" s="6"/>
      <c r="L298" s="9"/>
      <c r="M298" s="10"/>
      <c r="N298" s="10"/>
      <c r="O298" s="9">
        <f t="shared" si="106"/>
        <v>1135002000</v>
      </c>
      <c r="P298" s="38">
        <v>0.1859</v>
      </c>
      <c r="Q298" s="9">
        <f t="shared" si="107"/>
        <v>210996871.8</v>
      </c>
      <c r="R298" s="9">
        <f t="shared" si="108"/>
        <v>210996871.8</v>
      </c>
      <c r="S298" s="9">
        <f t="shared" si="109"/>
        <v>210996871.8</v>
      </c>
      <c r="T298" s="9"/>
      <c r="U298" s="13" t="s">
        <v>675</v>
      </c>
      <c r="V298" s="6"/>
      <c r="W298" s="6"/>
      <c r="X298" s="6"/>
      <c r="Y298" s="6"/>
      <c r="Z298" s="6"/>
      <c r="AA298" s="6"/>
      <c r="AB298" s="6"/>
      <c r="AC298" s="6"/>
      <c r="AD298" s="6"/>
      <c r="AE298" s="6"/>
      <c r="AF298" s="6"/>
      <c r="AG298" s="6"/>
      <c r="AH298" s="6"/>
    </row>
    <row r="299" ht="15.75" customHeight="1">
      <c r="A299" s="6"/>
      <c r="B299" s="25" t="s">
        <v>36</v>
      </c>
      <c r="C299" s="25"/>
      <c r="D299" s="25"/>
      <c r="E299" s="25" t="s">
        <v>463</v>
      </c>
      <c r="F299" s="25" t="s">
        <v>29</v>
      </c>
      <c r="G299" s="9">
        <v>5.5722285E7</v>
      </c>
      <c r="H299" s="9">
        <v>3.9318879E7</v>
      </c>
      <c r="I299" s="9">
        <f t="shared" si="105"/>
        <v>39318879</v>
      </c>
      <c r="J299" s="9"/>
      <c r="K299" s="6"/>
      <c r="L299" s="9"/>
      <c r="M299" s="10"/>
      <c r="N299" s="10"/>
      <c r="O299" s="9">
        <f t="shared" si="106"/>
        <v>95041164</v>
      </c>
      <c r="P299" s="38">
        <v>0.1085</v>
      </c>
      <c r="Q299" s="9">
        <f t="shared" si="107"/>
        <v>4266098.372</v>
      </c>
      <c r="R299" s="9">
        <f t="shared" si="108"/>
        <v>10311966.29</v>
      </c>
      <c r="S299" s="9">
        <f t="shared" si="109"/>
        <v>10311966.29</v>
      </c>
      <c r="T299" s="9"/>
      <c r="U299" s="13" t="s">
        <v>464</v>
      </c>
      <c r="V299" s="6"/>
      <c r="W299" s="6"/>
      <c r="X299" s="6"/>
      <c r="Y299" s="6"/>
      <c r="Z299" s="6"/>
      <c r="AA299" s="6"/>
      <c r="AB299" s="6"/>
      <c r="AC299" s="6"/>
      <c r="AD299" s="6"/>
      <c r="AE299" s="6"/>
      <c r="AF299" s="6"/>
      <c r="AG299" s="6"/>
      <c r="AH299" s="6"/>
    </row>
    <row r="300" ht="15.75" customHeight="1">
      <c r="A300" s="6"/>
      <c r="B300" s="25" t="s">
        <v>36</v>
      </c>
      <c r="C300" s="25"/>
      <c r="D300" s="25"/>
      <c r="E300" s="25" t="s">
        <v>676</v>
      </c>
      <c r="F300" s="25" t="s">
        <v>29</v>
      </c>
      <c r="G300" s="9"/>
      <c r="H300" s="9">
        <f>166685000+70272000+9938000</f>
        <v>246895000</v>
      </c>
      <c r="I300" s="9">
        <f t="shared" si="105"/>
        <v>176623000</v>
      </c>
      <c r="J300" s="9">
        <v>7.0272E7</v>
      </c>
      <c r="K300" s="6" t="s">
        <v>677</v>
      </c>
      <c r="L300" s="9"/>
      <c r="M300" s="10"/>
      <c r="N300" s="10"/>
      <c r="O300" s="9">
        <f t="shared" si="106"/>
        <v>176623000</v>
      </c>
      <c r="P300" s="38">
        <v>0.1859</v>
      </c>
      <c r="Q300" s="9">
        <f t="shared" si="107"/>
        <v>32834215.7</v>
      </c>
      <c r="R300" s="9">
        <f t="shared" si="108"/>
        <v>32834215.7</v>
      </c>
      <c r="S300" s="9">
        <f t="shared" si="109"/>
        <v>32834215.7</v>
      </c>
      <c r="T300" s="9"/>
      <c r="U300" s="13" t="s">
        <v>678</v>
      </c>
      <c r="V300" s="6"/>
      <c r="W300" s="6"/>
      <c r="X300" s="6"/>
      <c r="Y300" s="6"/>
      <c r="Z300" s="6"/>
      <c r="AA300" s="6"/>
      <c r="AB300" s="6"/>
      <c r="AC300" s="6"/>
      <c r="AD300" s="6"/>
      <c r="AE300" s="6"/>
      <c r="AF300" s="6"/>
      <c r="AG300" s="6"/>
      <c r="AH300" s="6"/>
    </row>
    <row r="301" ht="15.75" customHeight="1">
      <c r="A301" s="6"/>
      <c r="B301" s="25" t="s">
        <v>36</v>
      </c>
      <c r="C301" s="25"/>
      <c r="D301" s="25"/>
      <c r="E301" s="25" t="s">
        <v>679</v>
      </c>
      <c r="F301" s="25" t="s">
        <v>29</v>
      </c>
      <c r="G301" s="9"/>
      <c r="H301" s="9">
        <f>357565433+21643729</f>
        <v>379209162</v>
      </c>
      <c r="I301" s="9">
        <f t="shared" si="105"/>
        <v>374505602</v>
      </c>
      <c r="J301" s="9">
        <v>4703560.0</v>
      </c>
      <c r="K301" s="6" t="s">
        <v>680</v>
      </c>
      <c r="L301" s="9"/>
      <c r="M301" s="10"/>
      <c r="N301" s="10"/>
      <c r="O301" s="9">
        <f t="shared" si="106"/>
        <v>374505602</v>
      </c>
      <c r="P301" s="38">
        <v>1.0</v>
      </c>
      <c r="Q301" s="9">
        <f t="shared" si="107"/>
        <v>374505602</v>
      </c>
      <c r="R301" s="9">
        <f t="shared" si="108"/>
        <v>374505602</v>
      </c>
      <c r="S301" s="9">
        <f t="shared" si="109"/>
        <v>374505602</v>
      </c>
      <c r="T301" s="9"/>
      <c r="U301" s="13" t="s">
        <v>681</v>
      </c>
      <c r="V301" s="6"/>
      <c r="W301" s="6"/>
      <c r="X301" s="6"/>
      <c r="Y301" s="6"/>
      <c r="Z301" s="6"/>
      <c r="AA301" s="6"/>
      <c r="AB301" s="6"/>
      <c r="AC301" s="6"/>
      <c r="AD301" s="6"/>
      <c r="AE301" s="6"/>
      <c r="AF301" s="6"/>
      <c r="AG301" s="6"/>
      <c r="AH301" s="6"/>
    </row>
    <row r="302" ht="15.75" customHeight="1">
      <c r="A302" s="6"/>
      <c r="B302" s="25" t="s">
        <v>36</v>
      </c>
      <c r="C302" s="25"/>
      <c r="D302" s="25"/>
      <c r="E302" s="25" t="s">
        <v>682</v>
      </c>
      <c r="F302" s="25" t="s">
        <v>29</v>
      </c>
      <c r="G302" s="9"/>
      <c r="H302" s="9"/>
      <c r="I302" s="9">
        <f t="shared" si="105"/>
        <v>0</v>
      </c>
      <c r="J302" s="9"/>
      <c r="K302" s="6"/>
      <c r="L302" s="9"/>
      <c r="M302" s="10"/>
      <c r="N302" s="10"/>
      <c r="O302" s="9">
        <f t="shared" si="106"/>
        <v>0</v>
      </c>
      <c r="P302" s="38">
        <v>0.1859</v>
      </c>
      <c r="Q302" s="9">
        <f t="shared" si="107"/>
        <v>0</v>
      </c>
      <c r="R302" s="9">
        <f t="shared" si="108"/>
        <v>0</v>
      </c>
      <c r="S302" s="9">
        <f t="shared" si="109"/>
        <v>0</v>
      </c>
      <c r="T302" s="9"/>
      <c r="U302" s="6" t="s">
        <v>60</v>
      </c>
      <c r="V302" s="6"/>
      <c r="W302" s="6"/>
      <c r="X302" s="6"/>
      <c r="Y302" s="6"/>
      <c r="Z302" s="6"/>
      <c r="AA302" s="6"/>
      <c r="AB302" s="6"/>
      <c r="AC302" s="6"/>
      <c r="AD302" s="6"/>
      <c r="AE302" s="6"/>
      <c r="AF302" s="6"/>
      <c r="AG302" s="6"/>
      <c r="AH302" s="6"/>
    </row>
    <row r="303" ht="15.75" customHeight="1">
      <c r="A303" s="6"/>
      <c r="B303" s="25" t="s">
        <v>36</v>
      </c>
      <c r="C303" s="25"/>
      <c r="D303" s="25"/>
      <c r="E303" s="25" t="s">
        <v>465</v>
      </c>
      <c r="F303" s="25" t="s">
        <v>29</v>
      </c>
      <c r="G303" s="9"/>
      <c r="H303" s="9">
        <f>84457182+63044476+533562+494860+1200774</f>
        <v>149730854</v>
      </c>
      <c r="I303" s="9">
        <f t="shared" si="105"/>
        <v>86686378</v>
      </c>
      <c r="J303" s="9">
        <v>6.3044476E7</v>
      </c>
      <c r="K303" s="6" t="s">
        <v>466</v>
      </c>
      <c r="L303" s="9"/>
      <c r="M303" s="10"/>
      <c r="N303" s="10"/>
      <c r="O303" s="9">
        <f t="shared" si="106"/>
        <v>86686378</v>
      </c>
      <c r="P303" s="38">
        <v>0.2431</v>
      </c>
      <c r="Q303" s="9">
        <f t="shared" si="107"/>
        <v>21073458.49</v>
      </c>
      <c r="R303" s="9">
        <f t="shared" si="108"/>
        <v>21073458.49</v>
      </c>
      <c r="S303" s="9">
        <f t="shared" si="109"/>
        <v>21073458.49</v>
      </c>
      <c r="T303" s="9"/>
      <c r="U303" s="13" t="s">
        <v>467</v>
      </c>
      <c r="V303" s="6"/>
      <c r="W303" s="6"/>
      <c r="X303" s="6"/>
      <c r="Y303" s="6"/>
      <c r="Z303" s="6"/>
      <c r="AA303" s="6"/>
      <c r="AB303" s="6"/>
      <c r="AC303" s="6"/>
      <c r="AD303" s="6"/>
      <c r="AE303" s="6"/>
      <c r="AF303" s="6"/>
      <c r="AG303" s="6"/>
      <c r="AH303" s="6"/>
    </row>
    <row r="304" ht="15.75" customHeight="1">
      <c r="A304" s="6"/>
      <c r="B304" s="25"/>
      <c r="C304" s="25"/>
      <c r="D304" s="25"/>
      <c r="E304" s="41" t="s">
        <v>35</v>
      </c>
      <c r="F304" s="25"/>
      <c r="G304" s="9"/>
      <c r="H304" s="9"/>
      <c r="I304" s="9"/>
      <c r="J304" s="9"/>
      <c r="K304" s="6"/>
      <c r="L304" s="9"/>
      <c r="M304" s="10"/>
      <c r="N304" s="10"/>
      <c r="O304" s="9"/>
      <c r="P304" s="26" t="s">
        <v>683</v>
      </c>
      <c r="Q304" s="19">
        <f t="shared" ref="Q304:S304" si="110">SUM(Q294:Q303)</f>
        <v>10476734643</v>
      </c>
      <c r="R304" s="19">
        <f t="shared" si="110"/>
        <v>14644919659</v>
      </c>
      <c r="S304" s="19">
        <f t="shared" si="110"/>
        <v>16588707053</v>
      </c>
      <c r="T304" s="20">
        <v>7.957490214E9</v>
      </c>
      <c r="U304" s="6"/>
      <c r="V304" s="6"/>
      <c r="W304" s="6"/>
      <c r="X304" s="6"/>
      <c r="Y304" s="6"/>
      <c r="Z304" s="6"/>
      <c r="AA304" s="6"/>
      <c r="AB304" s="6"/>
      <c r="AC304" s="6"/>
      <c r="AD304" s="6"/>
      <c r="AE304" s="6"/>
      <c r="AF304" s="6"/>
      <c r="AG304" s="6"/>
      <c r="AH304" s="6"/>
    </row>
    <row r="305" ht="15.75" customHeight="1">
      <c r="A305" s="6">
        <v>18.0</v>
      </c>
      <c r="B305" s="25" t="s">
        <v>684</v>
      </c>
      <c r="C305" s="42" t="s">
        <v>685</v>
      </c>
      <c r="D305" s="25"/>
      <c r="E305" s="25"/>
      <c r="F305" s="42" t="s">
        <v>1</v>
      </c>
      <c r="G305" s="8">
        <v>1.8206009E10</v>
      </c>
      <c r="H305" s="8">
        <v>3.0189829E10</v>
      </c>
      <c r="I305" s="9">
        <f t="shared" ref="I305:I315" si="111">H305-J305</f>
        <v>30189829000</v>
      </c>
      <c r="J305" s="9"/>
      <c r="K305" s="6"/>
      <c r="L305" s="9"/>
      <c r="M305" s="10"/>
      <c r="N305" s="10">
        <f>2594345000+701981000</f>
        <v>3296326000</v>
      </c>
      <c r="O305" s="9">
        <f t="shared" ref="O305:O315" si="112">G305+I305</f>
        <v>48395838000</v>
      </c>
      <c r="P305" s="31">
        <v>0.0997</v>
      </c>
      <c r="Q305" s="9">
        <f t="shared" ref="Q305:Q315" si="113">I305*P305</f>
        <v>3009925951</v>
      </c>
      <c r="R305" s="9">
        <f t="shared" ref="R305:R315" si="114">(O305-N305-M305)*P305</f>
        <v>4496421346</v>
      </c>
      <c r="S305" s="9">
        <f t="shared" ref="S305:S315" si="115">O305*P305</f>
        <v>4825065049</v>
      </c>
      <c r="T305" s="9"/>
      <c r="U305" s="13" t="s">
        <v>686</v>
      </c>
      <c r="V305" s="6"/>
      <c r="W305" s="6"/>
      <c r="X305" s="6"/>
      <c r="Y305" s="6"/>
      <c r="Z305" s="6"/>
      <c r="AA305" s="6"/>
      <c r="AB305" s="6"/>
      <c r="AC305" s="6"/>
      <c r="AD305" s="6"/>
      <c r="AE305" s="6"/>
      <c r="AF305" s="6"/>
      <c r="AG305" s="6"/>
      <c r="AH305" s="6"/>
    </row>
    <row r="306" ht="15.75" customHeight="1">
      <c r="A306" s="6"/>
      <c r="B306" s="25" t="s">
        <v>684</v>
      </c>
      <c r="C306" s="25"/>
      <c r="D306" s="25" t="s">
        <v>687</v>
      </c>
      <c r="E306" s="25"/>
      <c r="F306" s="25" t="s">
        <v>3</v>
      </c>
      <c r="G306" s="9">
        <f>329697000+2057344000</f>
        <v>2387041000</v>
      </c>
      <c r="H306" s="9">
        <v>1.727222E9</v>
      </c>
      <c r="I306" s="9">
        <f t="shared" si="111"/>
        <v>1730287000</v>
      </c>
      <c r="J306" s="9">
        <v>-3065000.0</v>
      </c>
      <c r="K306" s="6" t="s">
        <v>688</v>
      </c>
      <c r="L306" s="9"/>
      <c r="M306" s="10"/>
      <c r="N306" s="14">
        <v>537000.0</v>
      </c>
      <c r="O306" s="9">
        <f t="shared" si="112"/>
        <v>4117328000</v>
      </c>
      <c r="P306" s="38">
        <v>1.0</v>
      </c>
      <c r="Q306" s="9">
        <f t="shared" si="113"/>
        <v>1730287000</v>
      </c>
      <c r="R306" s="9">
        <f t="shared" si="114"/>
        <v>4116791000</v>
      </c>
      <c r="S306" s="9">
        <f t="shared" si="115"/>
        <v>4117328000</v>
      </c>
      <c r="T306" s="9"/>
      <c r="U306" s="13" t="s">
        <v>689</v>
      </c>
      <c r="V306" s="6"/>
      <c r="W306" s="6"/>
      <c r="X306" s="6"/>
      <c r="Y306" s="6"/>
      <c r="Z306" s="6"/>
      <c r="AA306" s="6"/>
      <c r="AB306" s="6"/>
      <c r="AC306" s="6"/>
      <c r="AD306" s="6"/>
      <c r="AE306" s="6"/>
      <c r="AF306" s="6"/>
      <c r="AG306" s="6"/>
      <c r="AH306" s="6"/>
    </row>
    <row r="307" ht="15.75" customHeight="1">
      <c r="A307" s="6"/>
      <c r="B307" s="25" t="s">
        <v>684</v>
      </c>
      <c r="C307" s="25"/>
      <c r="D307" s="25"/>
      <c r="E307" s="35" t="s">
        <v>690</v>
      </c>
      <c r="F307" s="25" t="s">
        <v>43</v>
      </c>
      <c r="G307" s="9">
        <v>1.862611E9</v>
      </c>
      <c r="H307" s="9">
        <v>2.269964E9</v>
      </c>
      <c r="I307" s="9">
        <f t="shared" si="111"/>
        <v>2269964000</v>
      </c>
      <c r="J307" s="9"/>
      <c r="K307" s="6"/>
      <c r="L307" s="9"/>
      <c r="M307" s="10"/>
      <c r="N307" s="14">
        <v>4.35966E8</v>
      </c>
      <c r="O307" s="9">
        <f t="shared" si="112"/>
        <v>4132575000</v>
      </c>
      <c r="P307" s="38">
        <v>0.3241</v>
      </c>
      <c r="Q307" s="9">
        <f t="shared" si="113"/>
        <v>735695332.4</v>
      </c>
      <c r="R307" s="9">
        <f t="shared" si="114"/>
        <v>1198070977</v>
      </c>
      <c r="S307" s="9">
        <f t="shared" si="115"/>
        <v>1339367558</v>
      </c>
      <c r="T307" s="9"/>
      <c r="U307" s="13" t="s">
        <v>691</v>
      </c>
      <c r="V307" s="6"/>
      <c r="W307" s="6"/>
      <c r="X307" s="6"/>
      <c r="Y307" s="6"/>
      <c r="Z307" s="6"/>
      <c r="AA307" s="6"/>
      <c r="AB307" s="6"/>
      <c r="AC307" s="6"/>
      <c r="AD307" s="6"/>
      <c r="AE307" s="6"/>
      <c r="AF307" s="6"/>
      <c r="AG307" s="6"/>
      <c r="AH307" s="6"/>
    </row>
    <row r="308" ht="15.75" customHeight="1">
      <c r="A308" s="6"/>
      <c r="B308" s="25" t="s">
        <v>684</v>
      </c>
      <c r="C308" s="25"/>
      <c r="D308" s="25"/>
      <c r="E308" s="25" t="s">
        <v>692</v>
      </c>
      <c r="F308" s="25" t="s">
        <v>47</v>
      </c>
      <c r="G308" s="9"/>
      <c r="H308" s="9">
        <f>1218710222+20621000+56277</f>
        <v>1239387499</v>
      </c>
      <c r="I308" s="9">
        <f t="shared" si="111"/>
        <v>486988867</v>
      </c>
      <c r="J308" s="9">
        <f>698872155+53526477</f>
        <v>752398632</v>
      </c>
      <c r="K308" s="6" t="s">
        <v>693</v>
      </c>
      <c r="L308" s="9"/>
      <c r="M308" s="10"/>
      <c r="N308" s="10"/>
      <c r="O308" s="9">
        <f t="shared" si="112"/>
        <v>486988867</v>
      </c>
      <c r="P308" s="38">
        <v>1.0</v>
      </c>
      <c r="Q308" s="9">
        <f t="shared" si="113"/>
        <v>486988867</v>
      </c>
      <c r="R308" s="9">
        <f t="shared" si="114"/>
        <v>486988867</v>
      </c>
      <c r="S308" s="9">
        <f t="shared" si="115"/>
        <v>486988867</v>
      </c>
      <c r="T308" s="9"/>
      <c r="U308" s="13" t="s">
        <v>694</v>
      </c>
      <c r="V308" s="17"/>
      <c r="W308" s="6"/>
      <c r="X308" s="6"/>
      <c r="Y308" s="6"/>
      <c r="Z308" s="6"/>
      <c r="AA308" s="6"/>
      <c r="AB308" s="6"/>
      <c r="AC308" s="6"/>
      <c r="AD308" s="6"/>
      <c r="AE308" s="6"/>
      <c r="AF308" s="6"/>
      <c r="AG308" s="6"/>
      <c r="AH308" s="6"/>
    </row>
    <row r="309" ht="15.75" customHeight="1">
      <c r="A309" s="6"/>
      <c r="B309" s="25" t="s">
        <v>684</v>
      </c>
      <c r="C309" s="25"/>
      <c r="D309" s="25"/>
      <c r="E309" s="25" t="s">
        <v>695</v>
      </c>
      <c r="F309" s="25" t="s">
        <v>29</v>
      </c>
      <c r="G309" s="9"/>
      <c r="H309" s="9">
        <f>302691828+4352847+467645</f>
        <v>307512320</v>
      </c>
      <c r="I309" s="9">
        <f t="shared" si="111"/>
        <v>260605771</v>
      </c>
      <c r="J309" s="9">
        <v>4.6906549E7</v>
      </c>
      <c r="K309" s="6" t="s">
        <v>696</v>
      </c>
      <c r="L309" s="9"/>
      <c r="M309" s="10"/>
      <c r="N309" s="10"/>
      <c r="O309" s="9">
        <f t="shared" si="112"/>
        <v>260605771</v>
      </c>
      <c r="P309" s="38">
        <v>1.0</v>
      </c>
      <c r="Q309" s="9">
        <f t="shared" si="113"/>
        <v>260605771</v>
      </c>
      <c r="R309" s="9">
        <f t="shared" si="114"/>
        <v>260605771</v>
      </c>
      <c r="S309" s="9">
        <f t="shared" si="115"/>
        <v>260605771</v>
      </c>
      <c r="T309" s="9"/>
      <c r="U309" s="40" t="s">
        <v>697</v>
      </c>
      <c r="V309" s="6"/>
      <c r="W309" s="6"/>
      <c r="X309" s="6"/>
      <c r="Y309" s="6"/>
      <c r="Z309" s="6"/>
      <c r="AA309" s="6"/>
      <c r="AB309" s="6"/>
      <c r="AC309" s="6"/>
      <c r="AD309" s="6"/>
      <c r="AE309" s="6"/>
      <c r="AF309" s="6"/>
      <c r="AG309" s="6"/>
      <c r="AH309" s="6"/>
    </row>
    <row r="310" ht="15.75" customHeight="1">
      <c r="A310" s="6"/>
      <c r="B310" s="25" t="s">
        <v>684</v>
      </c>
      <c r="C310" s="25"/>
      <c r="D310" s="25"/>
      <c r="E310" s="25" t="s">
        <v>698</v>
      </c>
      <c r="F310" s="25" t="s">
        <v>29</v>
      </c>
      <c r="G310" s="9"/>
      <c r="H310" s="9"/>
      <c r="I310" s="9">
        <f t="shared" si="111"/>
        <v>0</v>
      </c>
      <c r="J310" s="9"/>
      <c r="K310" s="6"/>
      <c r="L310" s="9"/>
      <c r="M310" s="10"/>
      <c r="N310" s="10"/>
      <c r="O310" s="9">
        <f t="shared" si="112"/>
        <v>0</v>
      </c>
      <c r="P310" s="38">
        <v>0.3276</v>
      </c>
      <c r="Q310" s="9">
        <f t="shared" si="113"/>
        <v>0</v>
      </c>
      <c r="R310" s="9">
        <f t="shared" si="114"/>
        <v>0</v>
      </c>
      <c r="S310" s="9">
        <f t="shared" si="115"/>
        <v>0</v>
      </c>
      <c r="T310" s="9"/>
      <c r="U310" s="6" t="s">
        <v>60</v>
      </c>
      <c r="V310" s="6"/>
      <c r="W310" s="6"/>
      <c r="X310" s="6"/>
      <c r="Y310" s="6"/>
      <c r="Z310" s="6"/>
      <c r="AA310" s="6"/>
      <c r="AB310" s="6"/>
      <c r="AC310" s="6"/>
      <c r="AD310" s="6"/>
      <c r="AE310" s="6"/>
      <c r="AF310" s="6"/>
      <c r="AG310" s="6"/>
      <c r="AH310" s="6"/>
    </row>
    <row r="311" ht="15.75" customHeight="1">
      <c r="A311" s="6"/>
      <c r="B311" s="25" t="s">
        <v>684</v>
      </c>
      <c r="C311" s="25"/>
      <c r="D311" s="25"/>
      <c r="E311" s="25" t="s">
        <v>699</v>
      </c>
      <c r="F311" s="25" t="s">
        <v>29</v>
      </c>
      <c r="G311" s="9"/>
      <c r="H311" s="9">
        <f>510827000+76196000+34637000+15429000+149913000+6886000+41406000</f>
        <v>835294000</v>
      </c>
      <c r="I311" s="9">
        <f t="shared" si="111"/>
        <v>682679000</v>
      </c>
      <c r="J311" s="9">
        <f>2702000+149913000</f>
        <v>152615000</v>
      </c>
      <c r="K311" s="6" t="s">
        <v>700</v>
      </c>
      <c r="L311" s="9"/>
      <c r="M311" s="10"/>
      <c r="N311" s="10"/>
      <c r="O311" s="9">
        <f t="shared" si="112"/>
        <v>682679000</v>
      </c>
      <c r="P311" s="38">
        <v>0.1859</v>
      </c>
      <c r="Q311" s="9">
        <f t="shared" si="113"/>
        <v>126910026.1</v>
      </c>
      <c r="R311" s="9">
        <f t="shared" si="114"/>
        <v>126910026.1</v>
      </c>
      <c r="S311" s="9">
        <f t="shared" si="115"/>
        <v>126910026.1</v>
      </c>
      <c r="T311" s="9"/>
      <c r="U311" s="13" t="s">
        <v>701</v>
      </c>
      <c r="V311" s="6"/>
      <c r="W311" s="6"/>
      <c r="X311" s="6"/>
      <c r="Y311" s="6"/>
      <c r="Z311" s="6"/>
      <c r="AA311" s="6"/>
      <c r="AB311" s="6"/>
      <c r="AC311" s="6"/>
      <c r="AD311" s="6"/>
      <c r="AE311" s="6"/>
      <c r="AF311" s="6"/>
      <c r="AG311" s="6"/>
      <c r="AH311" s="6"/>
    </row>
    <row r="312" ht="15.75" customHeight="1">
      <c r="A312" s="6"/>
      <c r="B312" s="25" t="s">
        <v>684</v>
      </c>
      <c r="C312" s="25"/>
      <c r="D312" s="25"/>
      <c r="E312" s="25" t="s">
        <v>702</v>
      </c>
      <c r="F312" s="25" t="s">
        <v>29</v>
      </c>
      <c r="G312" s="9"/>
      <c r="H312" s="9">
        <f>38070000+1324465000+361749000+155306000+1880000+209594000+45280000</f>
        <v>2136344000</v>
      </c>
      <c r="I312" s="9">
        <f t="shared" si="111"/>
        <v>2136344000</v>
      </c>
      <c r="J312" s="9"/>
      <c r="K312" s="6"/>
      <c r="L312" s="9"/>
      <c r="M312" s="10"/>
      <c r="N312" s="10"/>
      <c r="O312" s="9">
        <f t="shared" si="112"/>
        <v>2136344000</v>
      </c>
      <c r="P312" s="38">
        <v>0.1859</v>
      </c>
      <c r="Q312" s="9">
        <f t="shared" si="113"/>
        <v>397146349.6</v>
      </c>
      <c r="R312" s="9">
        <f t="shared" si="114"/>
        <v>397146349.6</v>
      </c>
      <c r="S312" s="9">
        <f t="shared" si="115"/>
        <v>397146349.6</v>
      </c>
      <c r="T312" s="9"/>
      <c r="U312" s="13" t="s">
        <v>703</v>
      </c>
      <c r="V312" s="6"/>
      <c r="W312" s="6"/>
      <c r="X312" s="6"/>
      <c r="Y312" s="6"/>
      <c r="Z312" s="6"/>
      <c r="AA312" s="6"/>
      <c r="AB312" s="6"/>
      <c r="AC312" s="6"/>
      <c r="AD312" s="6"/>
      <c r="AE312" s="6"/>
      <c r="AF312" s="6"/>
      <c r="AG312" s="6"/>
      <c r="AH312" s="6"/>
    </row>
    <row r="313" ht="15.75" customHeight="1">
      <c r="A313" s="6"/>
      <c r="B313" s="25" t="s">
        <v>684</v>
      </c>
      <c r="C313" s="25"/>
      <c r="D313" s="25"/>
      <c r="E313" s="25" t="s">
        <v>704</v>
      </c>
      <c r="F313" s="25" t="s">
        <v>29</v>
      </c>
      <c r="G313" s="9"/>
      <c r="H313" s="9"/>
      <c r="I313" s="9">
        <f t="shared" si="111"/>
        <v>0</v>
      </c>
      <c r="J313" s="9"/>
      <c r="K313" s="6"/>
      <c r="L313" s="9"/>
      <c r="M313" s="10"/>
      <c r="N313" s="10"/>
      <c r="O313" s="9">
        <f t="shared" si="112"/>
        <v>0</v>
      </c>
      <c r="P313" s="38">
        <v>0.1859</v>
      </c>
      <c r="Q313" s="9">
        <f t="shared" si="113"/>
        <v>0</v>
      </c>
      <c r="R313" s="9">
        <f t="shared" si="114"/>
        <v>0</v>
      </c>
      <c r="S313" s="9">
        <f t="shared" si="115"/>
        <v>0</v>
      </c>
      <c r="T313" s="9"/>
      <c r="U313" s="6" t="s">
        <v>60</v>
      </c>
      <c r="V313" s="6"/>
      <c r="W313" s="6"/>
      <c r="X313" s="6"/>
      <c r="Y313" s="6"/>
      <c r="Z313" s="6"/>
      <c r="AA313" s="6"/>
      <c r="AB313" s="6"/>
      <c r="AC313" s="6"/>
      <c r="AD313" s="6"/>
      <c r="AE313" s="6"/>
      <c r="AF313" s="6"/>
      <c r="AG313" s="6"/>
      <c r="AH313" s="6"/>
    </row>
    <row r="314" ht="15.75" customHeight="1">
      <c r="A314" s="6"/>
      <c r="B314" s="25" t="s">
        <v>684</v>
      </c>
      <c r="C314" s="25"/>
      <c r="D314" s="25"/>
      <c r="E314" s="25" t="s">
        <v>705</v>
      </c>
      <c r="F314" s="25" t="s">
        <v>29</v>
      </c>
      <c r="G314" s="9"/>
      <c r="H314" s="9"/>
      <c r="I314" s="9">
        <f t="shared" si="111"/>
        <v>0</v>
      </c>
      <c r="J314" s="9"/>
      <c r="K314" s="6"/>
      <c r="L314" s="9"/>
      <c r="M314" s="10"/>
      <c r="N314" s="10"/>
      <c r="O314" s="9">
        <f t="shared" si="112"/>
        <v>0</v>
      </c>
      <c r="P314" s="38">
        <v>0.1859</v>
      </c>
      <c r="Q314" s="9">
        <f t="shared" si="113"/>
        <v>0</v>
      </c>
      <c r="R314" s="9">
        <f t="shared" si="114"/>
        <v>0</v>
      </c>
      <c r="S314" s="9">
        <f t="shared" si="115"/>
        <v>0</v>
      </c>
      <c r="T314" s="9"/>
      <c r="U314" s="6" t="s">
        <v>60</v>
      </c>
      <c r="V314" s="6"/>
      <c r="W314" s="6"/>
      <c r="X314" s="6"/>
      <c r="Y314" s="6"/>
      <c r="Z314" s="6"/>
      <c r="AA314" s="6"/>
      <c r="AB314" s="6"/>
      <c r="AC314" s="6"/>
      <c r="AD314" s="6"/>
      <c r="AE314" s="6"/>
      <c r="AF314" s="6"/>
      <c r="AG314" s="6"/>
      <c r="AH314" s="6"/>
    </row>
    <row r="315" ht="15.75" customHeight="1">
      <c r="A315" s="6"/>
      <c r="B315" s="25" t="s">
        <v>684</v>
      </c>
      <c r="C315" s="25"/>
      <c r="D315" s="25"/>
      <c r="E315" s="25" t="s">
        <v>706</v>
      </c>
      <c r="F315" s="25" t="s">
        <v>29</v>
      </c>
      <c r="G315" s="9"/>
      <c r="H315" s="9">
        <f>31570605+753028+278182+5117165</f>
        <v>37718980</v>
      </c>
      <c r="I315" s="9">
        <f t="shared" si="111"/>
        <v>36965952</v>
      </c>
      <c r="J315" s="9">
        <v>753028.0</v>
      </c>
      <c r="K315" s="6" t="s">
        <v>707</v>
      </c>
      <c r="L315" s="9"/>
      <c r="M315" s="10"/>
      <c r="N315" s="10"/>
      <c r="O315" s="9">
        <f t="shared" si="112"/>
        <v>36965952</v>
      </c>
      <c r="P315" s="38">
        <v>0.1859</v>
      </c>
      <c r="Q315" s="9">
        <f t="shared" si="113"/>
        <v>6871970.477</v>
      </c>
      <c r="R315" s="9">
        <f t="shared" si="114"/>
        <v>6871970.477</v>
      </c>
      <c r="S315" s="9">
        <f t="shared" si="115"/>
        <v>6871970.477</v>
      </c>
      <c r="T315" s="9"/>
      <c r="U315" s="13" t="s">
        <v>708</v>
      </c>
      <c r="V315" s="6"/>
      <c r="W315" s="6"/>
      <c r="X315" s="6"/>
      <c r="Y315" s="6"/>
      <c r="Z315" s="6"/>
      <c r="AA315" s="6"/>
      <c r="AB315" s="6"/>
      <c r="AC315" s="6"/>
      <c r="AD315" s="6"/>
      <c r="AE315" s="6"/>
      <c r="AF315" s="6"/>
      <c r="AG315" s="6"/>
      <c r="AH315" s="6"/>
    </row>
    <row r="316" ht="15.75" customHeight="1">
      <c r="A316" s="6"/>
      <c r="B316" s="25"/>
      <c r="C316" s="25"/>
      <c r="D316" s="25"/>
      <c r="E316" s="41" t="s">
        <v>35</v>
      </c>
      <c r="F316" s="25"/>
      <c r="G316" s="9"/>
      <c r="H316" s="9"/>
      <c r="I316" s="9"/>
      <c r="J316" s="9"/>
      <c r="K316" s="6"/>
      <c r="L316" s="9"/>
      <c r="M316" s="10"/>
      <c r="N316" s="10"/>
      <c r="O316" s="9"/>
      <c r="P316" s="26" t="s">
        <v>709</v>
      </c>
      <c r="Q316" s="19">
        <f t="shared" ref="Q316:S316" si="116">SUM(Q305:Q315)</f>
        <v>6754431268</v>
      </c>
      <c r="R316" s="19">
        <f t="shared" si="116"/>
        <v>11089806307</v>
      </c>
      <c r="S316" s="19">
        <f t="shared" si="116"/>
        <v>11560283590</v>
      </c>
      <c r="T316" s="20">
        <v>4.477840068E9</v>
      </c>
      <c r="U316" s="6"/>
      <c r="V316" s="6"/>
      <c r="W316" s="6"/>
      <c r="X316" s="6"/>
      <c r="Y316" s="6"/>
      <c r="Z316" s="6"/>
      <c r="AA316" s="6"/>
      <c r="AB316" s="6"/>
      <c r="AC316" s="6"/>
      <c r="AD316" s="6"/>
      <c r="AE316" s="6"/>
      <c r="AF316" s="6"/>
      <c r="AG316" s="6"/>
      <c r="AH316" s="6"/>
    </row>
    <row r="317" ht="15.75" customHeight="1">
      <c r="A317" s="6">
        <v>19.0</v>
      </c>
      <c r="B317" s="25" t="s">
        <v>710</v>
      </c>
      <c r="C317" s="42" t="s">
        <v>711</v>
      </c>
      <c r="D317" s="25"/>
      <c r="E317" s="41"/>
      <c r="F317" s="42" t="s">
        <v>1</v>
      </c>
      <c r="G317" s="8">
        <v>9.595254E9</v>
      </c>
      <c r="H317" s="8">
        <v>1.4676708E10</v>
      </c>
      <c r="I317" s="9">
        <f t="shared" ref="I317:I326" si="117">H317-J317</f>
        <v>14676128000</v>
      </c>
      <c r="J317" s="8">
        <v>580000.0</v>
      </c>
      <c r="K317" s="30" t="s">
        <v>712</v>
      </c>
      <c r="L317" s="9"/>
      <c r="M317" s="10"/>
      <c r="N317" s="10">
        <f>103977000+937123000</f>
        <v>1041100000</v>
      </c>
      <c r="O317" s="9">
        <f t="shared" ref="O317:O326" si="118">G317+I317</f>
        <v>24271382000</v>
      </c>
      <c r="P317" s="31">
        <v>0.1272</v>
      </c>
      <c r="Q317" s="9">
        <f t="shared" ref="Q317:Q326" si="119">I317*P317</f>
        <v>1866803482</v>
      </c>
      <c r="R317" s="9">
        <f t="shared" ref="R317:R326" si="120">(O317-N317-M317)*P317</f>
        <v>2954891870</v>
      </c>
      <c r="S317" s="9">
        <f t="shared" ref="S317:S326" si="121">O317*P317</f>
        <v>3087319790</v>
      </c>
      <c r="T317" s="9"/>
      <c r="U317" s="40" t="s">
        <v>713</v>
      </c>
      <c r="V317" s="6"/>
      <c r="W317" s="6"/>
      <c r="X317" s="6"/>
      <c r="Y317" s="6"/>
      <c r="Z317" s="6"/>
      <c r="AA317" s="6"/>
      <c r="AB317" s="6"/>
      <c r="AC317" s="6"/>
      <c r="AD317" s="6"/>
      <c r="AE317" s="6"/>
      <c r="AF317" s="6"/>
      <c r="AG317" s="6"/>
      <c r="AH317" s="6"/>
    </row>
    <row r="318" ht="15.75" customHeight="1">
      <c r="A318" s="6"/>
      <c r="B318" s="25" t="s">
        <v>710</v>
      </c>
      <c r="C318" s="25"/>
      <c r="D318" s="25" t="s">
        <v>714</v>
      </c>
      <c r="E318" s="25"/>
      <c r="F318" s="25" t="s">
        <v>3</v>
      </c>
      <c r="G318" s="9">
        <v>1.112258E9</v>
      </c>
      <c r="H318" s="9">
        <v>2.119106E9</v>
      </c>
      <c r="I318" s="9">
        <f t="shared" si="117"/>
        <v>2119106000</v>
      </c>
      <c r="J318" s="9"/>
      <c r="K318" s="6"/>
      <c r="L318" s="9"/>
      <c r="M318" s="10"/>
      <c r="N318" s="14">
        <v>1421000.0</v>
      </c>
      <c r="O318" s="9">
        <f t="shared" si="118"/>
        <v>3231364000</v>
      </c>
      <c r="P318" s="38">
        <v>1.0</v>
      </c>
      <c r="Q318" s="9">
        <f t="shared" si="119"/>
        <v>2119106000</v>
      </c>
      <c r="R318" s="9">
        <f t="shared" si="120"/>
        <v>3229943000</v>
      </c>
      <c r="S318" s="9">
        <f t="shared" si="121"/>
        <v>3231364000</v>
      </c>
      <c r="T318" s="9"/>
      <c r="U318" s="40" t="s">
        <v>715</v>
      </c>
      <c r="V318" s="6"/>
      <c r="W318" s="6"/>
      <c r="X318" s="6"/>
      <c r="Y318" s="6"/>
      <c r="Z318" s="6"/>
      <c r="AA318" s="6"/>
      <c r="AB318" s="6"/>
      <c r="AC318" s="6"/>
      <c r="AD318" s="6"/>
      <c r="AE318" s="6"/>
      <c r="AF318" s="6"/>
      <c r="AG318" s="6"/>
      <c r="AH318" s="6"/>
    </row>
    <row r="319" ht="15.75" customHeight="1">
      <c r="A319" s="6"/>
      <c r="B319" s="25" t="s">
        <v>710</v>
      </c>
      <c r="C319" s="25"/>
      <c r="D319" s="25"/>
      <c r="E319" s="35" t="s">
        <v>716</v>
      </c>
      <c r="F319" s="25" t="s">
        <v>43</v>
      </c>
      <c r="G319" s="9"/>
      <c r="H319" s="9"/>
      <c r="I319" s="9">
        <f t="shared" si="117"/>
        <v>0</v>
      </c>
      <c r="J319" s="9"/>
      <c r="K319" s="6"/>
      <c r="L319" s="9"/>
      <c r="M319" s="10"/>
      <c r="N319" s="10"/>
      <c r="O319" s="9">
        <f t="shared" si="118"/>
        <v>0</v>
      </c>
      <c r="P319" s="38">
        <v>0.9728</v>
      </c>
      <c r="Q319" s="9">
        <f t="shared" si="119"/>
        <v>0</v>
      </c>
      <c r="R319" s="9">
        <f t="shared" si="120"/>
        <v>0</v>
      </c>
      <c r="S319" s="9">
        <f t="shared" si="121"/>
        <v>0</v>
      </c>
      <c r="T319" s="9"/>
      <c r="U319" s="6" t="s">
        <v>60</v>
      </c>
      <c r="V319" s="6"/>
      <c r="W319" s="6"/>
      <c r="X319" s="6"/>
      <c r="Y319" s="6"/>
      <c r="Z319" s="6"/>
      <c r="AA319" s="6"/>
      <c r="AB319" s="6"/>
      <c r="AC319" s="6"/>
      <c r="AD319" s="6"/>
      <c r="AE319" s="6"/>
      <c r="AF319" s="6"/>
      <c r="AG319" s="6"/>
      <c r="AH319" s="6"/>
    </row>
    <row r="320" ht="15.75" customHeight="1">
      <c r="A320" s="6"/>
      <c r="B320" s="25" t="s">
        <v>710</v>
      </c>
      <c r="C320" s="25"/>
      <c r="D320" s="25"/>
      <c r="E320" s="25" t="s">
        <v>717</v>
      </c>
      <c r="F320" s="25" t="s">
        <v>47</v>
      </c>
      <c r="G320" s="9">
        <v>7.7729797E7</v>
      </c>
      <c r="H320" s="9">
        <v>1.285817077E9</v>
      </c>
      <c r="I320" s="9">
        <f t="shared" si="117"/>
        <v>1285817077</v>
      </c>
      <c r="J320" s="9"/>
      <c r="K320" s="6"/>
      <c r="L320" s="9"/>
      <c r="M320" s="27"/>
      <c r="N320" s="10"/>
      <c r="O320" s="9">
        <f t="shared" si="118"/>
        <v>1363546874</v>
      </c>
      <c r="P320" s="38">
        <v>1.0</v>
      </c>
      <c r="Q320" s="9">
        <f t="shared" si="119"/>
        <v>1285817077</v>
      </c>
      <c r="R320" s="9">
        <f t="shared" si="120"/>
        <v>1363546874</v>
      </c>
      <c r="S320" s="9">
        <f t="shared" si="121"/>
        <v>1363546874</v>
      </c>
      <c r="T320" s="9"/>
      <c r="U320" s="40" t="s">
        <v>718</v>
      </c>
      <c r="V320" s="6"/>
      <c r="W320" s="6"/>
      <c r="X320" s="6"/>
      <c r="Y320" s="6"/>
      <c r="Z320" s="6"/>
      <c r="AA320" s="6"/>
      <c r="AB320" s="6"/>
      <c r="AC320" s="6"/>
      <c r="AD320" s="6"/>
      <c r="AE320" s="6"/>
      <c r="AF320" s="6"/>
      <c r="AG320" s="6"/>
      <c r="AH320" s="6"/>
    </row>
    <row r="321" ht="15.75" customHeight="1">
      <c r="A321" s="6"/>
      <c r="B321" s="25" t="s">
        <v>710</v>
      </c>
      <c r="C321" s="25"/>
      <c r="D321" s="25"/>
      <c r="E321" s="25" t="s">
        <v>719</v>
      </c>
      <c r="F321" s="25" t="s">
        <v>29</v>
      </c>
      <c r="G321" s="9"/>
      <c r="H321" s="9"/>
      <c r="I321" s="9">
        <f t="shared" si="117"/>
        <v>0</v>
      </c>
      <c r="J321" s="9"/>
      <c r="K321" s="6"/>
      <c r="L321" s="9"/>
      <c r="M321" s="10"/>
      <c r="N321" s="10"/>
      <c r="O321" s="9">
        <f t="shared" si="118"/>
        <v>0</v>
      </c>
      <c r="P321" s="38">
        <v>0.2437</v>
      </c>
      <c r="Q321" s="9">
        <f t="shared" si="119"/>
        <v>0</v>
      </c>
      <c r="R321" s="9">
        <f t="shared" si="120"/>
        <v>0</v>
      </c>
      <c r="S321" s="9">
        <f t="shared" si="121"/>
        <v>0</v>
      </c>
      <c r="T321" s="9"/>
      <c r="U321" s="6" t="s">
        <v>60</v>
      </c>
      <c r="V321" s="6"/>
      <c r="W321" s="6"/>
      <c r="X321" s="6"/>
      <c r="Y321" s="6"/>
      <c r="Z321" s="6"/>
      <c r="AA321" s="6"/>
      <c r="AB321" s="6"/>
      <c r="AC321" s="6"/>
      <c r="AD321" s="6"/>
      <c r="AE321" s="6"/>
      <c r="AF321" s="6"/>
      <c r="AG321" s="6"/>
      <c r="AH321" s="6"/>
    </row>
    <row r="322" ht="15.75" customHeight="1">
      <c r="A322" s="6"/>
      <c r="B322" s="25" t="s">
        <v>710</v>
      </c>
      <c r="C322" s="25"/>
      <c r="D322" s="25"/>
      <c r="E322" s="25" t="s">
        <v>720</v>
      </c>
      <c r="F322" s="25" t="s">
        <v>29</v>
      </c>
      <c r="G322" s="9">
        <v>643546.0</v>
      </c>
      <c r="H322" s="9">
        <f>11885482+1745375+130014406+1391329+5505196+599548+459567+5403022+6502747+4940385+29027+1093709+3883542</f>
        <v>173453335</v>
      </c>
      <c r="I322" s="9">
        <f t="shared" si="117"/>
        <v>35842473</v>
      </c>
      <c r="J322" s="9">
        <f>130014406+6502747+1093709</f>
        <v>137610862</v>
      </c>
      <c r="K322" s="6" t="s">
        <v>721</v>
      </c>
      <c r="L322" s="9"/>
      <c r="M322" s="10"/>
      <c r="N322" s="10"/>
      <c r="O322" s="9">
        <f t="shared" si="118"/>
        <v>36486019</v>
      </c>
      <c r="P322" s="38">
        <v>1.0</v>
      </c>
      <c r="Q322" s="9">
        <f t="shared" si="119"/>
        <v>35842473</v>
      </c>
      <c r="R322" s="9">
        <f t="shared" si="120"/>
        <v>36486019</v>
      </c>
      <c r="S322" s="9">
        <f t="shared" si="121"/>
        <v>36486019</v>
      </c>
      <c r="T322" s="9"/>
      <c r="U322" s="40" t="s">
        <v>722</v>
      </c>
      <c r="V322" s="6"/>
      <c r="W322" s="6"/>
      <c r="X322" s="6"/>
      <c r="Y322" s="6"/>
      <c r="Z322" s="6"/>
      <c r="AA322" s="6"/>
      <c r="AB322" s="6"/>
      <c r="AC322" s="6"/>
      <c r="AD322" s="6"/>
      <c r="AE322" s="6"/>
      <c r="AF322" s="6"/>
      <c r="AG322" s="6"/>
      <c r="AH322" s="6"/>
    </row>
    <row r="323" ht="15.75" customHeight="1">
      <c r="A323" s="6"/>
      <c r="B323" s="25" t="s">
        <v>710</v>
      </c>
      <c r="C323" s="25"/>
      <c r="D323" s="25"/>
      <c r="E323" s="25" t="s">
        <v>723</v>
      </c>
      <c r="F323" s="25" t="s">
        <v>29</v>
      </c>
      <c r="G323" s="9"/>
      <c r="H323" s="9">
        <f>769673893-12600000+131245683+27773299+77222260+25373371+24303056+44328770+86998388+12352582+7495684+5444447</f>
        <v>1199611433</v>
      </c>
      <c r="I323" s="9">
        <f t="shared" si="117"/>
        <v>1035390785</v>
      </c>
      <c r="J323" s="9">
        <f>86998388+77222260</f>
        <v>164220648</v>
      </c>
      <c r="K323" s="6" t="s">
        <v>724</v>
      </c>
      <c r="L323" s="9"/>
      <c r="M323" s="10"/>
      <c r="N323" s="14">
        <f>769673893+131245683+27773299</f>
        <v>928692875</v>
      </c>
      <c r="O323" s="9">
        <f t="shared" si="118"/>
        <v>1035390785</v>
      </c>
      <c r="P323" s="38">
        <v>1.0</v>
      </c>
      <c r="Q323" s="9">
        <f t="shared" si="119"/>
        <v>1035390785</v>
      </c>
      <c r="R323" s="9">
        <f t="shared" si="120"/>
        <v>106697910</v>
      </c>
      <c r="S323" s="9">
        <f t="shared" si="121"/>
        <v>1035390785</v>
      </c>
      <c r="T323" s="9"/>
      <c r="U323" s="40" t="s">
        <v>725</v>
      </c>
      <c r="V323" s="6"/>
      <c r="W323" s="6"/>
      <c r="X323" s="6"/>
      <c r="Y323" s="6"/>
      <c r="Z323" s="6"/>
      <c r="AA323" s="6"/>
      <c r="AB323" s="6"/>
      <c r="AC323" s="6"/>
      <c r="AD323" s="6"/>
      <c r="AE323" s="6"/>
      <c r="AF323" s="6"/>
      <c r="AG323" s="6"/>
      <c r="AH323" s="6"/>
    </row>
    <row r="324" ht="15.75" customHeight="1">
      <c r="A324" s="6"/>
      <c r="B324" s="25" t="s">
        <v>710</v>
      </c>
      <c r="C324" s="25"/>
      <c r="D324" s="25"/>
      <c r="E324" s="25" t="s">
        <v>726</v>
      </c>
      <c r="F324" s="25" t="s">
        <v>29</v>
      </c>
      <c r="G324" s="9"/>
      <c r="H324" s="9"/>
      <c r="I324" s="9">
        <f t="shared" si="117"/>
        <v>0</v>
      </c>
      <c r="J324" s="9"/>
      <c r="K324" s="6"/>
      <c r="L324" s="9"/>
      <c r="M324" s="10"/>
      <c r="N324" s="10"/>
      <c r="O324" s="9">
        <f t="shared" si="118"/>
        <v>0</v>
      </c>
      <c r="P324" s="38">
        <v>0.2437</v>
      </c>
      <c r="Q324" s="9">
        <f t="shared" si="119"/>
        <v>0</v>
      </c>
      <c r="R324" s="9">
        <f t="shared" si="120"/>
        <v>0</v>
      </c>
      <c r="S324" s="9">
        <f t="shared" si="121"/>
        <v>0</v>
      </c>
      <c r="T324" s="9"/>
      <c r="U324" s="6" t="s">
        <v>60</v>
      </c>
      <c r="V324" s="6"/>
      <c r="W324" s="6"/>
      <c r="X324" s="6"/>
      <c r="Y324" s="6"/>
      <c r="Z324" s="6"/>
      <c r="AA324" s="6"/>
      <c r="AB324" s="6"/>
      <c r="AC324" s="6"/>
      <c r="AD324" s="6"/>
      <c r="AE324" s="6"/>
      <c r="AF324" s="6"/>
      <c r="AG324" s="6"/>
      <c r="AH324" s="6"/>
    </row>
    <row r="325" ht="15.75" customHeight="1">
      <c r="A325" s="6"/>
      <c r="B325" s="25" t="s">
        <v>710</v>
      </c>
      <c r="C325" s="25"/>
      <c r="D325" s="25"/>
      <c r="E325" s="25" t="s">
        <v>727</v>
      </c>
      <c r="F325" s="25" t="s">
        <v>29</v>
      </c>
      <c r="G325" s="9"/>
      <c r="H325" s="9">
        <f>82448000+632665000+316848000+8965000+10397000</f>
        <v>1051323000</v>
      </c>
      <c r="I325" s="9">
        <f t="shared" si="117"/>
        <v>734475000</v>
      </c>
      <c r="J325" s="9">
        <v>3.16848E8</v>
      </c>
      <c r="K325" s="6" t="s">
        <v>728</v>
      </c>
      <c r="L325" s="9"/>
      <c r="M325" s="10"/>
      <c r="N325" s="10"/>
      <c r="O325" s="9">
        <f t="shared" si="118"/>
        <v>734475000</v>
      </c>
      <c r="P325" s="38">
        <v>0.2437</v>
      </c>
      <c r="Q325" s="9">
        <f t="shared" si="119"/>
        <v>178991557.5</v>
      </c>
      <c r="R325" s="9">
        <f t="shared" si="120"/>
        <v>178991557.5</v>
      </c>
      <c r="S325" s="9">
        <f t="shared" si="121"/>
        <v>178991557.5</v>
      </c>
      <c r="T325" s="9"/>
      <c r="U325" s="40" t="s">
        <v>729</v>
      </c>
      <c r="V325" s="6"/>
      <c r="W325" s="6"/>
      <c r="X325" s="6"/>
      <c r="Y325" s="6"/>
      <c r="Z325" s="6"/>
      <c r="AA325" s="6"/>
      <c r="AB325" s="6"/>
      <c r="AC325" s="6"/>
      <c r="AD325" s="6"/>
      <c r="AE325" s="6"/>
      <c r="AF325" s="6"/>
      <c r="AG325" s="6"/>
      <c r="AH325" s="6"/>
    </row>
    <row r="326" ht="15.75" customHeight="1">
      <c r="A326" s="6"/>
      <c r="B326" s="25" t="s">
        <v>710</v>
      </c>
      <c r="C326" s="25"/>
      <c r="D326" s="25"/>
      <c r="E326" s="25" t="s">
        <v>730</v>
      </c>
      <c r="F326" s="25" t="s">
        <v>29</v>
      </c>
      <c r="G326" s="9"/>
      <c r="H326" s="9"/>
      <c r="I326" s="9">
        <f t="shared" si="117"/>
        <v>0</v>
      </c>
      <c r="J326" s="9"/>
      <c r="K326" s="6"/>
      <c r="L326" s="9"/>
      <c r="M326" s="10"/>
      <c r="N326" s="10"/>
      <c r="O326" s="9">
        <f t="shared" si="118"/>
        <v>0</v>
      </c>
      <c r="P326" s="38">
        <v>0.2437</v>
      </c>
      <c r="Q326" s="9">
        <f t="shared" si="119"/>
        <v>0</v>
      </c>
      <c r="R326" s="9">
        <f t="shared" si="120"/>
        <v>0</v>
      </c>
      <c r="S326" s="9">
        <f t="shared" si="121"/>
        <v>0</v>
      </c>
      <c r="T326" s="9"/>
      <c r="U326" s="6" t="s">
        <v>60</v>
      </c>
      <c r="V326" s="6"/>
      <c r="W326" s="6"/>
      <c r="X326" s="6"/>
      <c r="Y326" s="6"/>
      <c r="Z326" s="6"/>
      <c r="AA326" s="6"/>
      <c r="AB326" s="6"/>
      <c r="AC326" s="6"/>
      <c r="AD326" s="6"/>
      <c r="AE326" s="6"/>
      <c r="AF326" s="6"/>
      <c r="AG326" s="6"/>
      <c r="AH326" s="6"/>
    </row>
    <row r="327" ht="15.75" customHeight="1">
      <c r="A327" s="6"/>
      <c r="B327" s="25"/>
      <c r="C327" s="25"/>
      <c r="D327" s="25"/>
      <c r="E327" s="41" t="s">
        <v>35</v>
      </c>
      <c r="F327" s="25"/>
      <c r="G327" s="9"/>
      <c r="H327" s="9"/>
      <c r="I327" s="9"/>
      <c r="J327" s="9"/>
      <c r="K327" s="6"/>
      <c r="L327" s="9"/>
      <c r="M327" s="10"/>
      <c r="N327" s="10"/>
      <c r="O327" s="9"/>
      <c r="P327" s="26" t="s">
        <v>731</v>
      </c>
      <c r="Q327" s="19">
        <f t="shared" ref="Q327:S327" si="122">SUM(Q317:Q326)</f>
        <v>6521951374</v>
      </c>
      <c r="R327" s="19">
        <f t="shared" si="122"/>
        <v>7870557231</v>
      </c>
      <c r="S327" s="19">
        <f t="shared" si="122"/>
        <v>8933099026</v>
      </c>
      <c r="T327" s="52">
        <f>5259570393</f>
        <v>5259570393</v>
      </c>
      <c r="U327" s="6"/>
      <c r="V327" s="6"/>
      <c r="W327" s="6"/>
      <c r="X327" s="6"/>
      <c r="Y327" s="6"/>
      <c r="Z327" s="6"/>
      <c r="AA327" s="6"/>
      <c r="AB327" s="6"/>
      <c r="AC327" s="6"/>
      <c r="AD327" s="6"/>
      <c r="AE327" s="6"/>
      <c r="AF327" s="6"/>
      <c r="AG327" s="6"/>
      <c r="AH327" s="6"/>
    </row>
    <row r="328" ht="15.75" customHeight="1">
      <c r="A328" s="6"/>
      <c r="B328" s="25"/>
      <c r="C328" s="25"/>
      <c r="D328" s="25"/>
      <c r="E328" s="41"/>
      <c r="F328" s="25"/>
      <c r="G328" s="9"/>
      <c r="H328" s="9"/>
      <c r="I328" s="9"/>
      <c r="J328" s="9"/>
      <c r="K328" s="6"/>
      <c r="L328" s="9"/>
      <c r="M328" s="10"/>
      <c r="N328" s="10"/>
      <c r="O328" s="9"/>
      <c r="P328" s="53"/>
      <c r="Q328" s="9"/>
      <c r="R328" s="9"/>
      <c r="S328" s="9"/>
      <c r="T328" s="9"/>
      <c r="U328" s="6"/>
      <c r="V328" s="6"/>
      <c r="W328" s="6"/>
      <c r="X328" s="6"/>
      <c r="Y328" s="6"/>
      <c r="Z328" s="6"/>
      <c r="AA328" s="6"/>
      <c r="AB328" s="6"/>
      <c r="AC328" s="6"/>
      <c r="AD328" s="6"/>
      <c r="AE328" s="6"/>
      <c r="AF328" s="6"/>
      <c r="AG328" s="6"/>
      <c r="AH328" s="6"/>
    </row>
    <row r="329" ht="15.75" customHeight="1">
      <c r="A329" s="6">
        <v>20.0</v>
      </c>
      <c r="B329" s="25" t="s">
        <v>732</v>
      </c>
      <c r="C329" s="25"/>
      <c r="D329" s="25" t="s">
        <v>733</v>
      </c>
      <c r="E329" s="25"/>
      <c r="F329" s="25" t="s">
        <v>3</v>
      </c>
      <c r="G329" s="9"/>
      <c r="H329" s="9"/>
      <c r="I329" s="9">
        <f t="shared" ref="I329:I333" si="123">H329-J329</f>
        <v>0</v>
      </c>
      <c r="J329" s="9"/>
      <c r="K329" s="6"/>
      <c r="L329" s="9"/>
      <c r="M329" s="10"/>
      <c r="N329" s="10"/>
      <c r="O329" s="9">
        <f t="shared" ref="O329:O333" si="124">G329+I329</f>
        <v>0</v>
      </c>
      <c r="P329" s="38">
        <v>1.0</v>
      </c>
      <c r="Q329" s="9">
        <f t="shared" ref="Q329:Q333" si="125">I329*P329</f>
        <v>0</v>
      </c>
      <c r="R329" s="9">
        <f t="shared" ref="R329:R333" si="126">(O329-N329-M329)*P329</f>
        <v>0</v>
      </c>
      <c r="S329" s="9">
        <f t="shared" ref="S329:S333" si="127">O329*P329</f>
        <v>0</v>
      </c>
      <c r="T329" s="9"/>
      <c r="U329" s="6" t="s">
        <v>60</v>
      </c>
      <c r="V329" s="6"/>
      <c r="W329" s="6"/>
      <c r="X329" s="6"/>
      <c r="Y329" s="6"/>
      <c r="Z329" s="6"/>
      <c r="AA329" s="6"/>
      <c r="AB329" s="6"/>
      <c r="AC329" s="6"/>
      <c r="AD329" s="6"/>
      <c r="AE329" s="6"/>
      <c r="AF329" s="6"/>
      <c r="AG329" s="6"/>
      <c r="AH329" s="6"/>
    </row>
    <row r="330" ht="15.75" customHeight="1">
      <c r="A330" s="6"/>
      <c r="B330" s="25" t="s">
        <v>732</v>
      </c>
      <c r="C330" s="25"/>
      <c r="D330" s="25"/>
      <c r="E330" s="35" t="s">
        <v>734</v>
      </c>
      <c r="F330" s="25" t="s">
        <v>43</v>
      </c>
      <c r="G330" s="9">
        <v>1.204996E9</v>
      </c>
      <c r="H330" s="9">
        <v>9.061957E9</v>
      </c>
      <c r="I330" s="9">
        <f t="shared" si="123"/>
        <v>9061957000</v>
      </c>
      <c r="J330" s="9"/>
      <c r="K330" s="6" t="s">
        <v>735</v>
      </c>
      <c r="L330" s="9"/>
      <c r="M330" s="10"/>
      <c r="N330" s="14">
        <f>98474000</f>
        <v>98474000</v>
      </c>
      <c r="O330" s="9">
        <f t="shared" si="124"/>
        <v>10266953000</v>
      </c>
      <c r="P330" s="38">
        <v>1.0</v>
      </c>
      <c r="Q330" s="9">
        <f t="shared" si="125"/>
        <v>9061957000</v>
      </c>
      <c r="R330" s="9">
        <f t="shared" si="126"/>
        <v>10168479000</v>
      </c>
      <c r="S330" s="9">
        <f t="shared" si="127"/>
        <v>10266953000</v>
      </c>
      <c r="T330" s="9"/>
      <c r="U330" s="40" t="s">
        <v>736</v>
      </c>
      <c r="V330" s="6"/>
      <c r="W330" s="6"/>
      <c r="X330" s="6"/>
      <c r="Y330" s="6"/>
      <c r="Z330" s="6"/>
      <c r="AA330" s="6"/>
      <c r="AB330" s="6"/>
      <c r="AC330" s="6"/>
      <c r="AD330" s="6"/>
      <c r="AE330" s="6"/>
      <c r="AF330" s="6"/>
      <c r="AG330" s="6"/>
      <c r="AH330" s="6"/>
    </row>
    <row r="331" ht="15.75" customHeight="1">
      <c r="A331" s="6"/>
      <c r="B331" s="25" t="s">
        <v>732</v>
      </c>
      <c r="C331" s="25"/>
      <c r="D331" s="25"/>
      <c r="E331" s="25" t="s">
        <v>737</v>
      </c>
      <c r="F331" s="25" t="s">
        <v>29</v>
      </c>
      <c r="G331" s="9"/>
      <c r="H331" s="9">
        <f>582574000+2519000+15542000+272001000+1230024000</f>
        <v>2102660000</v>
      </c>
      <c r="I331" s="9">
        <f t="shared" si="123"/>
        <v>600635000</v>
      </c>
      <c r="J331" s="9">
        <f>272001000+1230024000</f>
        <v>1502025000</v>
      </c>
      <c r="K331" s="6" t="s">
        <v>738</v>
      </c>
      <c r="L331" s="9"/>
      <c r="M331" s="10"/>
      <c r="N331" s="10"/>
      <c r="O331" s="9">
        <f t="shared" si="124"/>
        <v>600635000</v>
      </c>
      <c r="P331" s="38">
        <v>0.1128</v>
      </c>
      <c r="Q331" s="9">
        <f t="shared" si="125"/>
        <v>67751628</v>
      </c>
      <c r="R331" s="9">
        <f t="shared" si="126"/>
        <v>67751628</v>
      </c>
      <c r="S331" s="9">
        <f t="shared" si="127"/>
        <v>67751628</v>
      </c>
      <c r="T331" s="9"/>
      <c r="U331" s="40" t="s">
        <v>739</v>
      </c>
      <c r="V331" s="6"/>
      <c r="W331" s="6"/>
      <c r="X331" s="6"/>
      <c r="Y331" s="6"/>
      <c r="Z331" s="6"/>
      <c r="AA331" s="6"/>
      <c r="AB331" s="6"/>
      <c r="AC331" s="6"/>
      <c r="AD331" s="6"/>
      <c r="AE331" s="6"/>
      <c r="AF331" s="6"/>
      <c r="AG331" s="6"/>
      <c r="AH331" s="6"/>
    </row>
    <row r="332" ht="15.75" customHeight="1">
      <c r="A332" s="6"/>
      <c r="B332" s="25" t="s">
        <v>740</v>
      </c>
      <c r="C332" s="25"/>
      <c r="D332" s="25"/>
      <c r="E332" s="25" t="s">
        <v>741</v>
      </c>
      <c r="F332" s="25" t="s">
        <v>29</v>
      </c>
      <c r="G332" s="9">
        <v>1.626444E7</v>
      </c>
      <c r="H332" s="9">
        <v>7.9819877E7</v>
      </c>
      <c r="I332" s="9">
        <f t="shared" si="123"/>
        <v>1248897</v>
      </c>
      <c r="J332" s="9">
        <f>25483921+27444860+25642199</f>
        <v>78570980</v>
      </c>
      <c r="K332" s="6" t="s">
        <v>742</v>
      </c>
      <c r="L332" s="9"/>
      <c r="M332" s="10"/>
      <c r="N332" s="10"/>
      <c r="O332" s="9">
        <f t="shared" si="124"/>
        <v>17513337</v>
      </c>
      <c r="P332" s="38">
        <v>0.1128</v>
      </c>
      <c r="Q332" s="9">
        <f t="shared" si="125"/>
        <v>140875.5816</v>
      </c>
      <c r="R332" s="9">
        <f t="shared" si="126"/>
        <v>1975504.414</v>
      </c>
      <c r="S332" s="9">
        <f t="shared" si="127"/>
        <v>1975504.414</v>
      </c>
      <c r="T332" s="9"/>
      <c r="U332" s="40" t="s">
        <v>743</v>
      </c>
      <c r="V332" s="6"/>
      <c r="W332" s="6"/>
      <c r="X332" s="6"/>
      <c r="Y332" s="6"/>
      <c r="Z332" s="6"/>
      <c r="AA332" s="6"/>
      <c r="AB332" s="6"/>
      <c r="AC332" s="6"/>
      <c r="AD332" s="6"/>
      <c r="AE332" s="6"/>
      <c r="AF332" s="6"/>
      <c r="AG332" s="6"/>
      <c r="AH332" s="6"/>
    </row>
    <row r="333" ht="15.75" customHeight="1">
      <c r="A333" s="6"/>
      <c r="B333" s="25" t="s">
        <v>740</v>
      </c>
      <c r="C333" s="25"/>
      <c r="D333" s="25"/>
      <c r="E333" s="25" t="s">
        <v>744</v>
      </c>
      <c r="F333" s="25" t="s">
        <v>29</v>
      </c>
      <c r="G333" s="9"/>
      <c r="H333" s="9">
        <f>605844238+58547772+76475733+21424257</f>
        <v>762292000</v>
      </c>
      <c r="I333" s="9">
        <f t="shared" si="123"/>
        <v>664392010</v>
      </c>
      <c r="J333" s="9">
        <f>76475733+21424257</f>
        <v>97899990</v>
      </c>
      <c r="K333" s="6" t="s">
        <v>745</v>
      </c>
      <c r="L333" s="9"/>
      <c r="M333" s="10"/>
      <c r="N333" s="10"/>
      <c r="O333" s="9">
        <f t="shared" si="124"/>
        <v>664392010</v>
      </c>
      <c r="P333" s="38">
        <v>0.1128</v>
      </c>
      <c r="Q333" s="9">
        <f t="shared" si="125"/>
        <v>74943418.73</v>
      </c>
      <c r="R333" s="9">
        <f t="shared" si="126"/>
        <v>74943418.73</v>
      </c>
      <c r="S333" s="9">
        <f t="shared" si="127"/>
        <v>74943418.73</v>
      </c>
      <c r="T333" s="9"/>
      <c r="U333" s="40" t="s">
        <v>746</v>
      </c>
      <c r="V333" s="6"/>
      <c r="W333" s="6"/>
      <c r="X333" s="6"/>
      <c r="Y333" s="6"/>
      <c r="Z333" s="6"/>
      <c r="AA333" s="6"/>
      <c r="AB333" s="6"/>
      <c r="AC333" s="6"/>
      <c r="AD333" s="6"/>
      <c r="AE333" s="6"/>
      <c r="AF333" s="6"/>
      <c r="AG333" s="6"/>
      <c r="AH333" s="6"/>
    </row>
    <row r="334" ht="15.75" customHeight="1">
      <c r="A334" s="6"/>
      <c r="B334" s="25"/>
      <c r="C334" s="25"/>
      <c r="D334" s="25"/>
      <c r="E334" s="41" t="s">
        <v>35</v>
      </c>
      <c r="F334" s="25"/>
      <c r="G334" s="9"/>
      <c r="H334" s="9"/>
      <c r="I334" s="9"/>
      <c r="J334" s="9"/>
      <c r="K334" s="6"/>
      <c r="L334" s="9"/>
      <c r="M334" s="10"/>
      <c r="N334" s="10"/>
      <c r="O334" s="9"/>
      <c r="P334" s="26" t="s">
        <v>747</v>
      </c>
      <c r="Q334" s="19">
        <f t="shared" ref="Q334:S334" si="128">SUM(Q329:Q333)</f>
        <v>9204792922</v>
      </c>
      <c r="R334" s="19">
        <f t="shared" si="128"/>
        <v>10313149551</v>
      </c>
      <c r="S334" s="19">
        <f t="shared" si="128"/>
        <v>10411623551</v>
      </c>
      <c r="T334" s="19">
        <f>9133438568</f>
        <v>9133438568</v>
      </c>
      <c r="U334" s="6"/>
      <c r="V334" s="6"/>
      <c r="W334" s="6"/>
      <c r="X334" s="6"/>
      <c r="Y334" s="6"/>
      <c r="Z334" s="6"/>
      <c r="AA334" s="6"/>
      <c r="AB334" s="6"/>
      <c r="AC334" s="6"/>
      <c r="AD334" s="6"/>
      <c r="AE334" s="6"/>
      <c r="AF334" s="6"/>
      <c r="AG334" s="6"/>
      <c r="AH334" s="6"/>
    </row>
    <row r="335" ht="15.75" customHeight="1">
      <c r="A335" s="6">
        <v>21.0</v>
      </c>
      <c r="B335" s="25" t="s">
        <v>748</v>
      </c>
      <c r="C335" s="42" t="s">
        <v>749</v>
      </c>
      <c r="D335" s="25"/>
      <c r="E335" s="41"/>
      <c r="F335" s="42" t="s">
        <v>1</v>
      </c>
      <c r="G335" s="8">
        <v>1.6462247E10</v>
      </c>
      <c r="H335" s="8">
        <v>3.1985064E10</v>
      </c>
      <c r="I335" s="9">
        <f t="shared" ref="I335:I338" si="129">H335-J335</f>
        <v>31940791000</v>
      </c>
      <c r="J335" s="8">
        <v>4.4273E7</v>
      </c>
      <c r="K335" s="30" t="s">
        <v>750</v>
      </c>
      <c r="L335" s="9"/>
      <c r="M335" s="10"/>
      <c r="N335" s="10">
        <f>1388195000+822420000+822920000</f>
        <v>3033535000</v>
      </c>
      <c r="O335" s="9">
        <f t="shared" ref="O335:O338" si="130">G335+I335</f>
        <v>48403038000</v>
      </c>
      <c r="P335" s="31">
        <v>0.0985</v>
      </c>
      <c r="Q335" s="9">
        <f t="shared" ref="Q335:Q338" si="131">I335*P335</f>
        <v>3146167914</v>
      </c>
      <c r="R335" s="9">
        <f t="shared" ref="R335:R338" si="132">(O335-N335-M335)*P335</f>
        <v>4468896046</v>
      </c>
      <c r="S335" s="9">
        <f t="shared" ref="S335:S338" si="133">O335*P335</f>
        <v>4767699243</v>
      </c>
      <c r="T335" s="9"/>
      <c r="U335" s="40" t="s">
        <v>751</v>
      </c>
      <c r="V335" s="6"/>
      <c r="W335" s="6"/>
      <c r="X335" s="6"/>
      <c r="Y335" s="6"/>
      <c r="Z335" s="6"/>
      <c r="AA335" s="6"/>
      <c r="AB335" s="6"/>
      <c r="AC335" s="6"/>
      <c r="AD335" s="6"/>
      <c r="AE335" s="6"/>
      <c r="AF335" s="6"/>
      <c r="AG335" s="6"/>
      <c r="AH335" s="6"/>
    </row>
    <row r="336" ht="15.75" customHeight="1">
      <c r="A336" s="6"/>
      <c r="B336" s="25" t="s">
        <v>748</v>
      </c>
      <c r="C336" s="25"/>
      <c r="D336" s="25" t="s">
        <v>752</v>
      </c>
      <c r="E336" s="25"/>
      <c r="F336" s="25" t="s">
        <v>3</v>
      </c>
      <c r="G336" s="9">
        <v>3.05892E8</v>
      </c>
      <c r="H336" s="9">
        <v>3.126113E9</v>
      </c>
      <c r="I336" s="9">
        <f t="shared" si="129"/>
        <v>2880554000</v>
      </c>
      <c r="J336" s="9">
        <v>2.45559E8</v>
      </c>
      <c r="K336" s="6" t="s">
        <v>381</v>
      </c>
      <c r="L336" s="9"/>
      <c r="M336" s="10"/>
      <c r="N336" s="14">
        <v>0.0</v>
      </c>
      <c r="O336" s="9">
        <f t="shared" si="130"/>
        <v>3186446000</v>
      </c>
      <c r="P336" s="38">
        <v>1.0</v>
      </c>
      <c r="Q336" s="9">
        <f t="shared" si="131"/>
        <v>2880554000</v>
      </c>
      <c r="R336" s="9">
        <f t="shared" si="132"/>
        <v>3186446000</v>
      </c>
      <c r="S336" s="9">
        <f t="shared" si="133"/>
        <v>3186446000</v>
      </c>
      <c r="T336" s="9"/>
      <c r="U336" s="40" t="s">
        <v>753</v>
      </c>
      <c r="V336" s="6"/>
      <c r="W336" s="6"/>
      <c r="X336" s="6"/>
      <c r="Y336" s="6"/>
      <c r="Z336" s="6"/>
      <c r="AA336" s="6"/>
      <c r="AB336" s="6"/>
      <c r="AC336" s="6"/>
      <c r="AD336" s="6"/>
      <c r="AE336" s="6"/>
      <c r="AF336" s="6"/>
      <c r="AG336" s="6"/>
      <c r="AH336" s="6"/>
    </row>
    <row r="337" ht="15.75" customHeight="1">
      <c r="A337" s="6"/>
      <c r="B337" s="25" t="s">
        <v>748</v>
      </c>
      <c r="C337" s="25"/>
      <c r="D337" s="25"/>
      <c r="E337" s="35" t="s">
        <v>754</v>
      </c>
      <c r="F337" s="25" t="s">
        <v>43</v>
      </c>
      <c r="G337" s="9"/>
      <c r="H337" s="9"/>
      <c r="I337" s="9">
        <f t="shared" si="129"/>
        <v>0</v>
      </c>
      <c r="J337" s="9"/>
      <c r="K337" s="6"/>
      <c r="L337" s="9"/>
      <c r="M337" s="10"/>
      <c r="N337" s="10"/>
      <c r="O337" s="9">
        <f t="shared" si="130"/>
        <v>0</v>
      </c>
      <c r="P337" s="38">
        <v>0.8429</v>
      </c>
      <c r="Q337" s="9">
        <f t="shared" si="131"/>
        <v>0</v>
      </c>
      <c r="R337" s="9">
        <f t="shared" si="132"/>
        <v>0</v>
      </c>
      <c r="S337" s="9">
        <f t="shared" si="133"/>
        <v>0</v>
      </c>
      <c r="T337" s="9"/>
      <c r="U337" s="6" t="s">
        <v>60</v>
      </c>
      <c r="V337" s="6"/>
      <c r="W337" s="6"/>
      <c r="X337" s="6"/>
      <c r="Y337" s="6"/>
      <c r="Z337" s="6"/>
      <c r="AA337" s="6"/>
      <c r="AB337" s="6"/>
      <c r="AC337" s="6"/>
      <c r="AD337" s="6"/>
      <c r="AE337" s="6"/>
      <c r="AF337" s="6"/>
      <c r="AG337" s="6"/>
      <c r="AH337" s="6"/>
    </row>
    <row r="338" ht="15.75" customHeight="1">
      <c r="A338" s="6"/>
      <c r="B338" s="25" t="s">
        <v>748</v>
      </c>
      <c r="C338" s="25"/>
      <c r="D338" s="25"/>
      <c r="E338" s="25" t="s">
        <v>755</v>
      </c>
      <c r="F338" s="25" t="s">
        <v>29</v>
      </c>
      <c r="G338" s="9"/>
      <c r="H338" s="9">
        <f>456434188+2794005+ 232060</f>
        <v>459460253</v>
      </c>
      <c r="I338" s="9">
        <f t="shared" si="129"/>
        <v>78024547</v>
      </c>
      <c r="J338" s="9">
        <f>324948780+56486926</f>
        <v>381435706</v>
      </c>
      <c r="K338" s="6" t="s">
        <v>756</v>
      </c>
      <c r="L338" s="9"/>
      <c r="M338" s="10"/>
      <c r="N338" s="10"/>
      <c r="O338" s="9">
        <f t="shared" si="130"/>
        <v>78024547</v>
      </c>
      <c r="P338" s="38">
        <v>1.0</v>
      </c>
      <c r="Q338" s="9">
        <f t="shared" si="131"/>
        <v>78024547</v>
      </c>
      <c r="R338" s="9">
        <f t="shared" si="132"/>
        <v>78024547</v>
      </c>
      <c r="S338" s="9">
        <f t="shared" si="133"/>
        <v>78024547</v>
      </c>
      <c r="T338" s="9"/>
      <c r="U338" s="40" t="s">
        <v>757</v>
      </c>
      <c r="V338" s="6"/>
      <c r="W338" s="6"/>
      <c r="X338" s="6"/>
      <c r="Y338" s="6"/>
      <c r="Z338" s="6"/>
      <c r="AA338" s="6"/>
      <c r="AB338" s="6"/>
      <c r="AC338" s="6"/>
      <c r="AD338" s="6"/>
      <c r="AE338" s="6"/>
      <c r="AF338" s="6"/>
      <c r="AG338" s="6"/>
      <c r="AH338" s="6"/>
    </row>
    <row r="339" ht="15.75" customHeight="1">
      <c r="A339" s="6"/>
      <c r="B339" s="25"/>
      <c r="C339" s="25"/>
      <c r="D339" s="25"/>
      <c r="E339" s="41" t="s">
        <v>35</v>
      </c>
      <c r="F339" s="25"/>
      <c r="G339" s="9"/>
      <c r="H339" s="9"/>
      <c r="I339" s="9"/>
      <c r="J339" s="9"/>
      <c r="K339" s="6"/>
      <c r="L339" s="9"/>
      <c r="M339" s="10"/>
      <c r="N339" s="10"/>
      <c r="O339" s="9"/>
      <c r="P339" s="26" t="s">
        <v>758</v>
      </c>
      <c r="Q339" s="19">
        <f t="shared" ref="Q339:S339" si="134">SUM(Q335:Q338)</f>
        <v>6104746461</v>
      </c>
      <c r="R339" s="19">
        <f t="shared" si="134"/>
        <v>7733366593</v>
      </c>
      <c r="S339" s="19">
        <f t="shared" si="134"/>
        <v>8032169790</v>
      </c>
      <c r="T339" s="20">
        <v>2.905783822E9</v>
      </c>
      <c r="U339" s="6"/>
      <c r="V339" s="6"/>
      <c r="W339" s="6"/>
      <c r="X339" s="6"/>
      <c r="Y339" s="6"/>
      <c r="Z339" s="6"/>
      <c r="AA339" s="6"/>
      <c r="AB339" s="6"/>
      <c r="AC339" s="6"/>
      <c r="AD339" s="6"/>
      <c r="AE339" s="6"/>
      <c r="AF339" s="6"/>
      <c r="AG339" s="6"/>
      <c r="AH339" s="6"/>
    </row>
    <row r="340" ht="15.75" customHeight="1">
      <c r="A340" s="6">
        <v>22.0</v>
      </c>
      <c r="B340" s="25" t="s">
        <v>106</v>
      </c>
      <c r="C340" s="42" t="s">
        <v>107</v>
      </c>
      <c r="D340" s="25"/>
      <c r="E340" s="41"/>
      <c r="F340" s="7" t="s">
        <v>1</v>
      </c>
      <c r="G340" s="8">
        <v>3.9005005E10</v>
      </c>
      <c r="H340" s="8">
        <v>6.3331858E10</v>
      </c>
      <c r="I340" s="9">
        <f t="shared" ref="I340:I348" si="135">H340-J340</f>
        <v>63099627000</v>
      </c>
      <c r="J340" s="9">
        <f>23645000+207888000+698000</f>
        <v>232231000</v>
      </c>
      <c r="K340" s="28" t="s">
        <v>108</v>
      </c>
      <c r="L340" s="9"/>
      <c r="M340" s="10"/>
      <c r="N340" s="10">
        <f>5193922000+1989916000</f>
        <v>7183838000</v>
      </c>
      <c r="O340" s="9">
        <f t="shared" ref="O340:O348" si="136">G340+I340</f>
        <v>102104632000</v>
      </c>
      <c r="P340" s="31">
        <v>0.0233</v>
      </c>
      <c r="Q340" s="9">
        <f t="shared" ref="Q340:Q348" si="137">I340*P340</f>
        <v>1470221309</v>
      </c>
      <c r="R340" s="9">
        <f t="shared" ref="R340:R348" si="138">(O340-N340-M340)*P340</f>
        <v>2211654500</v>
      </c>
      <c r="S340" s="9">
        <f t="shared" ref="S340:S348" si="139">O340*P340</f>
        <v>2379037926</v>
      </c>
      <c r="T340" s="9"/>
      <c r="U340" s="16" t="s">
        <v>109</v>
      </c>
      <c r="V340" s="6"/>
      <c r="W340" s="6"/>
      <c r="X340" s="6"/>
      <c r="Y340" s="6"/>
      <c r="Z340" s="6"/>
      <c r="AA340" s="6"/>
      <c r="AB340" s="6"/>
      <c r="AC340" s="6"/>
      <c r="AD340" s="6"/>
      <c r="AE340" s="6"/>
      <c r="AF340" s="6"/>
      <c r="AG340" s="6"/>
      <c r="AH340" s="6"/>
    </row>
    <row r="341" ht="15.75" customHeight="1">
      <c r="A341" s="6"/>
      <c r="B341" s="25" t="s">
        <v>106</v>
      </c>
      <c r="C341" s="42"/>
      <c r="D341" s="25" t="s">
        <v>759</v>
      </c>
      <c r="E341" s="25"/>
      <c r="F341" s="25" t="s">
        <v>3</v>
      </c>
      <c r="G341" s="9">
        <v>2.4837014E8</v>
      </c>
      <c r="H341" s="9">
        <v>5.62855469E8</v>
      </c>
      <c r="I341" s="9">
        <f t="shared" si="135"/>
        <v>562855469</v>
      </c>
      <c r="J341" s="9"/>
      <c r="K341" s="6"/>
      <c r="L341" s="9"/>
      <c r="M341" s="10"/>
      <c r="N341" s="14">
        <v>9477748.0</v>
      </c>
      <c r="O341" s="9">
        <f t="shared" si="136"/>
        <v>811225609</v>
      </c>
      <c r="P341" s="38">
        <v>1.0</v>
      </c>
      <c r="Q341" s="9">
        <f t="shared" si="137"/>
        <v>562855469</v>
      </c>
      <c r="R341" s="9">
        <f t="shared" si="138"/>
        <v>801747861</v>
      </c>
      <c r="S341" s="9">
        <f t="shared" si="139"/>
        <v>811225609</v>
      </c>
      <c r="T341" s="9"/>
      <c r="U341" s="40" t="s">
        <v>760</v>
      </c>
      <c r="V341" s="6"/>
      <c r="W341" s="6"/>
      <c r="X341" s="6"/>
      <c r="Y341" s="6"/>
      <c r="Z341" s="6"/>
      <c r="AA341" s="6"/>
      <c r="AB341" s="6"/>
      <c r="AC341" s="6"/>
      <c r="AD341" s="6"/>
      <c r="AE341" s="6"/>
      <c r="AF341" s="6"/>
      <c r="AG341" s="6"/>
      <c r="AH341" s="6"/>
    </row>
    <row r="342" ht="15.75" customHeight="1">
      <c r="A342" s="6"/>
      <c r="B342" s="25" t="s">
        <v>106</v>
      </c>
      <c r="C342" s="25"/>
      <c r="D342" s="25"/>
      <c r="E342" s="35" t="s">
        <v>761</v>
      </c>
      <c r="F342" s="25" t="s">
        <v>43</v>
      </c>
      <c r="G342" s="9">
        <v>5.7505746E7</v>
      </c>
      <c r="H342" s="9">
        <v>2.85012985E8</v>
      </c>
      <c r="I342" s="9">
        <f t="shared" si="135"/>
        <v>285200985</v>
      </c>
      <c r="J342" s="9">
        <v>-188000.0</v>
      </c>
      <c r="K342" s="6" t="s">
        <v>762</v>
      </c>
      <c r="L342" s="9"/>
      <c r="M342" s="10"/>
      <c r="N342" s="14">
        <v>55926.0</v>
      </c>
      <c r="O342" s="9">
        <f t="shared" si="136"/>
        <v>342706731</v>
      </c>
      <c r="P342" s="38">
        <v>0.8069</v>
      </c>
      <c r="Q342" s="9">
        <f t="shared" si="137"/>
        <v>230128674.8</v>
      </c>
      <c r="R342" s="9">
        <f t="shared" si="138"/>
        <v>276484934.6</v>
      </c>
      <c r="S342" s="9">
        <f t="shared" si="139"/>
        <v>276530061.2</v>
      </c>
      <c r="T342" s="9"/>
      <c r="U342" s="40" t="s">
        <v>763</v>
      </c>
      <c r="V342" s="6"/>
      <c r="W342" s="6"/>
      <c r="X342" s="6"/>
      <c r="Y342" s="6"/>
      <c r="Z342" s="6"/>
      <c r="AA342" s="6"/>
      <c r="AB342" s="6"/>
      <c r="AC342" s="6"/>
      <c r="AD342" s="6"/>
      <c r="AE342" s="6"/>
      <c r="AF342" s="6"/>
      <c r="AG342" s="6"/>
      <c r="AH342" s="6"/>
    </row>
    <row r="343" ht="15.75" customHeight="1">
      <c r="A343" s="6"/>
      <c r="B343" s="25" t="s">
        <v>106</v>
      </c>
      <c r="C343" s="25"/>
      <c r="D343" s="25"/>
      <c r="E343" s="25" t="s">
        <v>764</v>
      </c>
      <c r="F343" s="25" t="s">
        <v>47</v>
      </c>
      <c r="G343" s="9">
        <v>2934846.0</v>
      </c>
      <c r="H343" s="9">
        <v>4.45999314E8</v>
      </c>
      <c r="I343" s="9">
        <f t="shared" si="135"/>
        <v>157323348</v>
      </c>
      <c r="J343" s="9">
        <v>2.88675966E8</v>
      </c>
      <c r="K343" s="6" t="s">
        <v>543</v>
      </c>
      <c r="L343" s="9"/>
      <c r="M343" s="10"/>
      <c r="N343" s="14">
        <v>0.0</v>
      </c>
      <c r="O343" s="9">
        <f t="shared" si="136"/>
        <v>160258194</v>
      </c>
      <c r="P343" s="38">
        <v>0.5915</v>
      </c>
      <c r="Q343" s="9">
        <f t="shared" si="137"/>
        <v>93056760.34</v>
      </c>
      <c r="R343" s="9">
        <f t="shared" si="138"/>
        <v>94792721.75</v>
      </c>
      <c r="S343" s="9">
        <f t="shared" si="139"/>
        <v>94792721.75</v>
      </c>
      <c r="T343" s="9"/>
      <c r="U343" s="40" t="s">
        <v>765</v>
      </c>
      <c r="V343" s="6"/>
      <c r="W343" s="6"/>
      <c r="X343" s="6"/>
      <c r="Y343" s="6"/>
      <c r="Z343" s="6"/>
      <c r="AA343" s="6"/>
      <c r="AB343" s="6"/>
      <c r="AC343" s="6"/>
      <c r="AD343" s="6"/>
      <c r="AE343" s="6"/>
      <c r="AF343" s="6"/>
      <c r="AG343" s="6"/>
      <c r="AH343" s="6"/>
    </row>
    <row r="344" ht="15.75" customHeight="1">
      <c r="A344" s="6"/>
      <c r="B344" s="25" t="s">
        <v>106</v>
      </c>
      <c r="C344" s="25"/>
      <c r="D344" s="25"/>
      <c r="E344" s="25" t="s">
        <v>766</v>
      </c>
      <c r="F344" s="25" t="s">
        <v>47</v>
      </c>
      <c r="G344" s="9">
        <v>640781.0</v>
      </c>
      <c r="H344" s="9">
        <v>6.4818178E7</v>
      </c>
      <c r="I344" s="9">
        <f t="shared" si="135"/>
        <v>35227985</v>
      </c>
      <c r="J344" s="9">
        <f>31615472+-2025279</f>
        <v>29590193</v>
      </c>
      <c r="K344" s="6" t="s">
        <v>767</v>
      </c>
      <c r="L344" s="9"/>
      <c r="M344" s="10"/>
      <c r="N344" s="14">
        <v>0.0</v>
      </c>
      <c r="O344" s="9">
        <f t="shared" si="136"/>
        <v>35868766</v>
      </c>
      <c r="P344" s="38">
        <v>0.7797</v>
      </c>
      <c r="Q344" s="9">
        <f t="shared" si="137"/>
        <v>27467259.9</v>
      </c>
      <c r="R344" s="9">
        <f t="shared" si="138"/>
        <v>27966876.85</v>
      </c>
      <c r="S344" s="9">
        <f t="shared" si="139"/>
        <v>27966876.85</v>
      </c>
      <c r="T344" s="9"/>
      <c r="U344" s="40" t="s">
        <v>768</v>
      </c>
      <c r="V344" s="6"/>
      <c r="W344" s="6"/>
      <c r="X344" s="6"/>
      <c r="Y344" s="6"/>
      <c r="Z344" s="6"/>
      <c r="AA344" s="6"/>
      <c r="AB344" s="6"/>
      <c r="AC344" s="6"/>
      <c r="AD344" s="6"/>
      <c r="AE344" s="6"/>
      <c r="AF344" s="6"/>
      <c r="AG344" s="6"/>
      <c r="AH344" s="6"/>
    </row>
    <row r="345" ht="15.75" customHeight="1">
      <c r="A345" s="6"/>
      <c r="B345" s="25" t="s">
        <v>106</v>
      </c>
      <c r="C345" s="25"/>
      <c r="D345" s="25"/>
      <c r="E345" s="25" t="s">
        <v>769</v>
      </c>
      <c r="F345" s="25" t="s">
        <v>47</v>
      </c>
      <c r="G345" s="9">
        <v>3031786.0</v>
      </c>
      <c r="H345" s="9">
        <v>4.00074475E8</v>
      </c>
      <c r="I345" s="9">
        <f t="shared" si="135"/>
        <v>102949750</v>
      </c>
      <c r="J345" s="9">
        <f>297122725+2000</f>
        <v>297124725</v>
      </c>
      <c r="K345" s="6" t="s">
        <v>770</v>
      </c>
      <c r="L345" s="9"/>
      <c r="M345" s="10"/>
      <c r="N345" s="14">
        <v>14797.0</v>
      </c>
      <c r="O345" s="9">
        <f t="shared" si="136"/>
        <v>105981536</v>
      </c>
      <c r="P345" s="38">
        <v>1.0</v>
      </c>
      <c r="Q345" s="9">
        <f t="shared" si="137"/>
        <v>102949750</v>
      </c>
      <c r="R345" s="9">
        <f t="shared" si="138"/>
        <v>105966739</v>
      </c>
      <c r="S345" s="9">
        <f t="shared" si="139"/>
        <v>105981536</v>
      </c>
      <c r="T345" s="9"/>
      <c r="U345" s="40" t="s">
        <v>771</v>
      </c>
      <c r="V345" s="6"/>
      <c r="W345" s="6"/>
      <c r="X345" s="6"/>
      <c r="Y345" s="6"/>
      <c r="Z345" s="6"/>
      <c r="AA345" s="6"/>
      <c r="AB345" s="6"/>
      <c r="AC345" s="6"/>
      <c r="AD345" s="6"/>
      <c r="AE345" s="6"/>
      <c r="AF345" s="6"/>
      <c r="AG345" s="6"/>
      <c r="AH345" s="6"/>
    </row>
    <row r="346" ht="15.75" customHeight="1">
      <c r="A346" s="6"/>
      <c r="B346" s="25" t="s">
        <v>106</v>
      </c>
      <c r="C346" s="25"/>
      <c r="D346" s="25"/>
      <c r="E346" s="25" t="s">
        <v>772</v>
      </c>
      <c r="F346" s="25" t="s">
        <v>47</v>
      </c>
      <c r="G346" s="9">
        <v>4682509.0</v>
      </c>
      <c r="H346" s="9">
        <v>5.39023388E8</v>
      </c>
      <c r="I346" s="9">
        <f t="shared" si="135"/>
        <v>222836203</v>
      </c>
      <c r="J346" s="9">
        <f>316739977+-552792</f>
        <v>316187185</v>
      </c>
      <c r="K346" s="6" t="s">
        <v>773</v>
      </c>
      <c r="L346" s="9"/>
      <c r="M346" s="10"/>
      <c r="N346" s="14">
        <v>0.0</v>
      </c>
      <c r="O346" s="9">
        <f t="shared" si="136"/>
        <v>227518712</v>
      </c>
      <c r="P346" s="38">
        <v>0.981</v>
      </c>
      <c r="Q346" s="9">
        <f t="shared" si="137"/>
        <v>218602315.1</v>
      </c>
      <c r="R346" s="9">
        <f t="shared" si="138"/>
        <v>223195856.5</v>
      </c>
      <c r="S346" s="9">
        <f t="shared" si="139"/>
        <v>223195856.5</v>
      </c>
      <c r="T346" s="9"/>
      <c r="U346" s="40" t="s">
        <v>774</v>
      </c>
      <c r="V346" s="6"/>
      <c r="W346" s="6"/>
      <c r="X346" s="6"/>
      <c r="Y346" s="6"/>
      <c r="Z346" s="6"/>
      <c r="AA346" s="6"/>
      <c r="AB346" s="6"/>
      <c r="AC346" s="6"/>
      <c r="AD346" s="6"/>
      <c r="AE346" s="6"/>
      <c r="AF346" s="6"/>
      <c r="AG346" s="6"/>
      <c r="AH346" s="6"/>
    </row>
    <row r="347" ht="15.75" customHeight="1">
      <c r="A347" s="6"/>
      <c r="B347" s="25" t="s">
        <v>106</v>
      </c>
      <c r="C347" s="25"/>
      <c r="D347" s="25"/>
      <c r="E347" s="25" t="s">
        <v>775</v>
      </c>
      <c r="F347" s="25" t="s">
        <v>29</v>
      </c>
      <c r="G347" s="9"/>
      <c r="H347" s="9"/>
      <c r="I347" s="9">
        <f t="shared" si="135"/>
        <v>0</v>
      </c>
      <c r="J347" s="9"/>
      <c r="K347" s="6"/>
      <c r="L347" s="9"/>
      <c r="M347" s="10"/>
      <c r="N347" s="10"/>
      <c r="O347" s="9">
        <f t="shared" si="136"/>
        <v>0</v>
      </c>
      <c r="P347" s="38">
        <v>1.0</v>
      </c>
      <c r="Q347" s="9">
        <f t="shared" si="137"/>
        <v>0</v>
      </c>
      <c r="R347" s="9">
        <f t="shared" si="138"/>
        <v>0</v>
      </c>
      <c r="S347" s="9">
        <f t="shared" si="139"/>
        <v>0</v>
      </c>
      <c r="T347" s="9"/>
      <c r="U347" s="6" t="s">
        <v>60</v>
      </c>
      <c r="V347" s="6"/>
      <c r="W347" s="6"/>
      <c r="X347" s="6"/>
      <c r="Y347" s="6"/>
      <c r="Z347" s="6"/>
      <c r="AA347" s="6"/>
      <c r="AB347" s="6"/>
      <c r="AC347" s="6"/>
      <c r="AD347" s="6"/>
      <c r="AE347" s="6"/>
      <c r="AF347" s="6"/>
      <c r="AG347" s="6"/>
      <c r="AH347" s="6"/>
    </row>
    <row r="348" ht="15.75" customHeight="1">
      <c r="A348" s="6"/>
      <c r="B348" s="25" t="s">
        <v>106</v>
      </c>
      <c r="C348" s="25"/>
      <c r="D348" s="25"/>
      <c r="E348" s="25" t="s">
        <v>776</v>
      </c>
      <c r="F348" s="25" t="s">
        <v>29</v>
      </c>
      <c r="G348" s="9"/>
      <c r="H348" s="9"/>
      <c r="I348" s="9">
        <f t="shared" si="135"/>
        <v>0</v>
      </c>
      <c r="J348" s="9"/>
      <c r="K348" s="6"/>
      <c r="L348" s="9"/>
      <c r="M348" s="10"/>
      <c r="N348" s="10"/>
      <c r="O348" s="9">
        <f t="shared" si="136"/>
        <v>0</v>
      </c>
      <c r="P348" s="38">
        <v>0.8144</v>
      </c>
      <c r="Q348" s="9">
        <f t="shared" si="137"/>
        <v>0</v>
      </c>
      <c r="R348" s="9">
        <f t="shared" si="138"/>
        <v>0</v>
      </c>
      <c r="S348" s="9">
        <f t="shared" si="139"/>
        <v>0</v>
      </c>
      <c r="T348" s="9"/>
      <c r="U348" s="6" t="s">
        <v>60</v>
      </c>
      <c r="V348" s="6"/>
      <c r="W348" s="6"/>
      <c r="X348" s="6"/>
      <c r="Y348" s="6"/>
      <c r="Z348" s="6"/>
      <c r="AA348" s="6"/>
      <c r="AB348" s="6"/>
      <c r="AC348" s="6"/>
      <c r="AD348" s="6"/>
      <c r="AE348" s="6"/>
      <c r="AF348" s="6"/>
      <c r="AG348" s="6"/>
      <c r="AH348" s="6"/>
    </row>
    <row r="349" ht="15.75" customHeight="1">
      <c r="A349" s="6"/>
      <c r="B349" s="25"/>
      <c r="C349" s="25"/>
      <c r="D349" s="25"/>
      <c r="E349" s="41" t="s">
        <v>35</v>
      </c>
      <c r="F349" s="25"/>
      <c r="G349" s="9"/>
      <c r="H349" s="9"/>
      <c r="I349" s="9"/>
      <c r="J349" s="9"/>
      <c r="K349" s="6"/>
      <c r="L349" s="9"/>
      <c r="M349" s="10"/>
      <c r="N349" s="10"/>
      <c r="O349" s="9"/>
      <c r="P349" s="26" t="s">
        <v>777</v>
      </c>
      <c r="Q349" s="19">
        <f t="shared" ref="Q349:S349" si="140">SUM(Q340:Q348)</f>
        <v>2705281538</v>
      </c>
      <c r="R349" s="19">
        <f t="shared" si="140"/>
        <v>3741809490</v>
      </c>
      <c r="S349" s="19">
        <f t="shared" si="140"/>
        <v>3918730587</v>
      </c>
      <c r="T349" s="20">
        <v>1.832145163E9</v>
      </c>
      <c r="U349" s="6"/>
      <c r="V349" s="6"/>
      <c r="W349" s="6"/>
      <c r="X349" s="6"/>
      <c r="Y349" s="6"/>
      <c r="Z349" s="6"/>
      <c r="AA349" s="6"/>
      <c r="AB349" s="6"/>
      <c r="AC349" s="6"/>
      <c r="AD349" s="6"/>
      <c r="AE349" s="6"/>
      <c r="AF349" s="6"/>
      <c r="AG349" s="6"/>
      <c r="AH349" s="6"/>
    </row>
    <row r="350" ht="15.75" customHeight="1">
      <c r="A350" s="6">
        <v>23.0</v>
      </c>
      <c r="B350" s="25" t="s">
        <v>778</v>
      </c>
      <c r="C350" s="42" t="s">
        <v>779</v>
      </c>
      <c r="D350" s="25"/>
      <c r="E350" s="41"/>
      <c r="F350" s="42" t="s">
        <v>1</v>
      </c>
      <c r="G350" s="8">
        <v>3.999999E9</v>
      </c>
      <c r="H350" s="8">
        <v>1.7253158E10</v>
      </c>
      <c r="I350" s="9">
        <f t="shared" ref="I350:I354" si="141">H350-J350</f>
        <v>17253015000</v>
      </c>
      <c r="J350" s="8">
        <v>143000.0</v>
      </c>
      <c r="K350" s="30" t="s">
        <v>629</v>
      </c>
      <c r="L350" s="9"/>
      <c r="M350" s="10"/>
      <c r="N350" s="8">
        <v>1.248321E9</v>
      </c>
      <c r="O350" s="9">
        <f t="shared" ref="O350:O354" si="142">G350+I350</f>
        <v>21253014000</v>
      </c>
      <c r="P350" s="31">
        <v>0.097</v>
      </c>
      <c r="Q350" s="9">
        <f t="shared" ref="Q350:Q354" si="143">I350*P350</f>
        <v>1673542455</v>
      </c>
      <c r="R350" s="9">
        <f t="shared" ref="R350:R354" si="144">(O350-N350-M350)*P350</f>
        <v>1940455221</v>
      </c>
      <c r="S350" s="9">
        <f t="shared" ref="S350:S354" si="145">O350*P350</f>
        <v>2061542358</v>
      </c>
      <c r="T350" s="9"/>
      <c r="U350" s="54" t="s">
        <v>780</v>
      </c>
      <c r="V350" s="6"/>
      <c r="W350" s="6"/>
      <c r="X350" s="6"/>
      <c r="Y350" s="6"/>
      <c r="Z350" s="6"/>
      <c r="AA350" s="6"/>
      <c r="AB350" s="6"/>
      <c r="AC350" s="6"/>
      <c r="AD350" s="6"/>
      <c r="AE350" s="6"/>
      <c r="AF350" s="6"/>
      <c r="AG350" s="6"/>
      <c r="AH350" s="6"/>
    </row>
    <row r="351" ht="15.75" customHeight="1">
      <c r="A351" s="6"/>
      <c r="B351" s="25" t="s">
        <v>778</v>
      </c>
      <c r="C351" s="25"/>
      <c r="D351" s="25" t="s">
        <v>781</v>
      </c>
      <c r="E351" s="25"/>
      <c r="F351" s="25" t="s">
        <v>3</v>
      </c>
      <c r="G351" s="9"/>
      <c r="H351" s="9"/>
      <c r="I351" s="9">
        <f t="shared" si="141"/>
        <v>0</v>
      </c>
      <c r="J351" s="9"/>
      <c r="K351" s="29"/>
      <c r="L351" s="9"/>
      <c r="M351" s="10"/>
      <c r="N351" s="10"/>
      <c r="O351" s="9">
        <f t="shared" si="142"/>
        <v>0</v>
      </c>
      <c r="P351" s="38">
        <v>1.0</v>
      </c>
      <c r="Q351" s="9">
        <f t="shared" si="143"/>
        <v>0</v>
      </c>
      <c r="R351" s="9">
        <f t="shared" si="144"/>
        <v>0</v>
      </c>
      <c r="S351" s="9">
        <f t="shared" si="145"/>
        <v>0</v>
      </c>
      <c r="T351" s="9"/>
      <c r="U351" s="6"/>
      <c r="V351" s="6"/>
      <c r="W351" s="6"/>
      <c r="X351" s="6"/>
      <c r="Y351" s="6"/>
      <c r="Z351" s="6"/>
      <c r="AA351" s="6"/>
      <c r="AB351" s="6"/>
      <c r="AC351" s="6"/>
      <c r="AD351" s="6"/>
      <c r="AE351" s="6"/>
      <c r="AF351" s="6"/>
      <c r="AG351" s="6"/>
      <c r="AH351" s="6"/>
    </row>
    <row r="352" ht="15.75" customHeight="1">
      <c r="A352" s="6"/>
      <c r="B352" s="42" t="s">
        <v>778</v>
      </c>
      <c r="C352" s="25"/>
      <c r="D352" s="25"/>
      <c r="E352" s="35" t="s">
        <v>782</v>
      </c>
      <c r="F352" s="25" t="s">
        <v>43</v>
      </c>
      <c r="G352" s="22">
        <v>1.80164425E8</v>
      </c>
      <c r="H352" s="22">
        <v>1.880247448E9</v>
      </c>
      <c r="I352" s="9">
        <f t="shared" si="141"/>
        <v>1759899054</v>
      </c>
      <c r="J352" s="9">
        <f> 9437564 + 106863905 + 4046925</f>
        <v>120348394</v>
      </c>
      <c r="K352" s="55" t="s">
        <v>783</v>
      </c>
      <c r="L352" s="9"/>
      <c r="M352" s="10"/>
      <c r="N352" s="14">
        <v>1.0960625E7</v>
      </c>
      <c r="O352" s="9">
        <f t="shared" si="142"/>
        <v>1940063479</v>
      </c>
      <c r="P352" s="38">
        <v>1.0</v>
      </c>
      <c r="Q352" s="9">
        <f t="shared" si="143"/>
        <v>1759899054</v>
      </c>
      <c r="R352" s="9">
        <f t="shared" si="144"/>
        <v>1929102854</v>
      </c>
      <c r="S352" s="9">
        <f t="shared" si="145"/>
        <v>1940063479</v>
      </c>
      <c r="T352" s="9"/>
      <c r="U352" s="54" t="s">
        <v>784</v>
      </c>
      <c r="V352" s="6"/>
      <c r="W352" s="6"/>
      <c r="X352" s="6"/>
      <c r="Y352" s="6"/>
      <c r="Z352" s="6"/>
      <c r="AA352" s="6"/>
      <c r="AB352" s="6"/>
      <c r="AC352" s="6"/>
      <c r="AD352" s="6"/>
      <c r="AE352" s="6"/>
      <c r="AF352" s="6"/>
      <c r="AG352" s="6"/>
      <c r="AH352" s="6"/>
    </row>
    <row r="353" ht="15.75" customHeight="1">
      <c r="A353" s="6"/>
      <c r="B353" s="25" t="s">
        <v>778</v>
      </c>
      <c r="C353" s="25"/>
      <c r="D353" s="25"/>
      <c r="E353" s="25" t="s">
        <v>785</v>
      </c>
      <c r="F353" s="25" t="s">
        <v>29</v>
      </c>
      <c r="G353" s="9"/>
      <c r="H353" s="9">
        <f>155056123+862195+37252</f>
        <v>155955570</v>
      </c>
      <c r="I353" s="9">
        <f t="shared" si="141"/>
        <v>155955570</v>
      </c>
      <c r="J353" s="9"/>
      <c r="K353" s="29"/>
      <c r="L353" s="9"/>
      <c r="M353" s="10"/>
      <c r="N353" s="10"/>
      <c r="O353" s="9">
        <f t="shared" si="142"/>
        <v>155955570</v>
      </c>
      <c r="P353" s="38">
        <v>1.0</v>
      </c>
      <c r="Q353" s="9">
        <f t="shared" si="143"/>
        <v>155955570</v>
      </c>
      <c r="R353" s="9">
        <f t="shared" si="144"/>
        <v>155955570</v>
      </c>
      <c r="S353" s="9">
        <f t="shared" si="145"/>
        <v>155955570</v>
      </c>
      <c r="T353" s="9"/>
      <c r="U353" s="32" t="s">
        <v>786</v>
      </c>
      <c r="V353" s="6"/>
      <c r="W353" s="6"/>
      <c r="X353" s="6"/>
      <c r="Y353" s="6"/>
      <c r="Z353" s="6"/>
      <c r="AA353" s="6"/>
      <c r="AB353" s="6"/>
      <c r="AC353" s="6"/>
      <c r="AD353" s="6"/>
      <c r="AE353" s="6"/>
      <c r="AF353" s="6"/>
      <c r="AG353" s="6"/>
      <c r="AH353" s="6"/>
    </row>
    <row r="354" ht="15.75" customHeight="1">
      <c r="A354" s="6"/>
      <c r="B354" s="25" t="s">
        <v>778</v>
      </c>
      <c r="C354" s="25"/>
      <c r="D354" s="25"/>
      <c r="E354" s="25" t="s">
        <v>787</v>
      </c>
      <c r="F354" s="25" t="s">
        <v>29</v>
      </c>
      <c r="G354" s="9"/>
      <c r="H354" s="9">
        <f>143918638+3125867+11827674+26384555+23723090+8906194</f>
        <v>217886018</v>
      </c>
      <c r="I354" s="9">
        <f t="shared" si="141"/>
        <v>208979824</v>
      </c>
      <c r="J354" s="9">
        <v>8906194.0</v>
      </c>
      <c r="K354" s="29" t="s">
        <v>788</v>
      </c>
      <c r="L354" s="9"/>
      <c r="M354" s="10"/>
      <c r="N354" s="10"/>
      <c r="O354" s="9">
        <f t="shared" si="142"/>
        <v>208979824</v>
      </c>
      <c r="P354" s="38">
        <v>0.3861</v>
      </c>
      <c r="Q354" s="9">
        <f t="shared" si="143"/>
        <v>80687110.05</v>
      </c>
      <c r="R354" s="9">
        <f t="shared" si="144"/>
        <v>80687110.05</v>
      </c>
      <c r="S354" s="9">
        <f t="shared" si="145"/>
        <v>80687110.05</v>
      </c>
      <c r="T354" s="9"/>
      <c r="U354" s="32" t="s">
        <v>789</v>
      </c>
      <c r="V354" s="6"/>
      <c r="W354" s="6"/>
      <c r="X354" s="6"/>
      <c r="Y354" s="6"/>
      <c r="Z354" s="6"/>
      <c r="AA354" s="6"/>
      <c r="AB354" s="6"/>
      <c r="AC354" s="6"/>
      <c r="AD354" s="6"/>
      <c r="AE354" s="6"/>
      <c r="AF354" s="6"/>
      <c r="AG354" s="6"/>
      <c r="AH354" s="6"/>
    </row>
    <row r="355" ht="15.75" customHeight="1">
      <c r="A355" s="6"/>
      <c r="B355" s="25"/>
      <c r="C355" s="25"/>
      <c r="D355" s="25"/>
      <c r="E355" s="41" t="s">
        <v>35</v>
      </c>
      <c r="F355" s="25"/>
      <c r="G355" s="9"/>
      <c r="H355" s="9"/>
      <c r="I355" s="9"/>
      <c r="J355" s="9"/>
      <c r="K355" s="29"/>
      <c r="L355" s="9"/>
      <c r="M355" s="10"/>
      <c r="N355" s="10"/>
      <c r="O355" s="9"/>
      <c r="P355" s="26" t="s">
        <v>790</v>
      </c>
      <c r="Q355" s="19">
        <f t="shared" ref="Q355:S355" si="146">SUM(Q350:Q354)</f>
        <v>3670084189</v>
      </c>
      <c r="R355" s="19">
        <f t="shared" si="146"/>
        <v>4106200755</v>
      </c>
      <c r="S355" s="19">
        <f t="shared" si="146"/>
        <v>4238248517</v>
      </c>
      <c r="T355" s="20">
        <v>2.118033699E9</v>
      </c>
      <c r="U355" s="6"/>
      <c r="V355" s="6"/>
      <c r="W355" s="6"/>
      <c r="X355" s="6"/>
      <c r="Y355" s="6"/>
      <c r="Z355" s="6"/>
      <c r="AA355" s="6"/>
      <c r="AB355" s="6"/>
      <c r="AC355" s="6"/>
      <c r="AD355" s="6"/>
      <c r="AE355" s="6"/>
      <c r="AF355" s="6"/>
      <c r="AG355" s="6"/>
      <c r="AH355" s="6"/>
    </row>
    <row r="356" ht="15.75" customHeight="1">
      <c r="A356" s="6">
        <v>24.0</v>
      </c>
      <c r="B356" s="25" t="s">
        <v>791</v>
      </c>
      <c r="C356" s="42" t="s">
        <v>792</v>
      </c>
      <c r="D356" s="25"/>
      <c r="E356" s="25"/>
      <c r="F356" s="42" t="s">
        <v>1</v>
      </c>
      <c r="G356" s="8">
        <v>2.9249298E10</v>
      </c>
      <c r="H356" s="8">
        <v>3.1965132E10</v>
      </c>
      <c r="I356" s="9">
        <f t="shared" ref="I356:I361" si="147">H356-J356</f>
        <v>31956113000</v>
      </c>
      <c r="J356" s="8">
        <v>9019000.0</v>
      </c>
      <c r="K356" s="28" t="s">
        <v>793</v>
      </c>
      <c r="L356" s="9"/>
      <c r="M356" s="10"/>
      <c r="N356" s="8">
        <v>1.76825E8</v>
      </c>
      <c r="O356" s="9">
        <f t="shared" ref="O356:O361" si="148">G356+I356</f>
        <v>61205411000</v>
      </c>
      <c r="P356" s="31">
        <v>0.0661</v>
      </c>
      <c r="Q356" s="9">
        <f t="shared" ref="Q356:Q361" si="149">I356*P356</f>
        <v>2112299069</v>
      </c>
      <c r="R356" s="9">
        <f t="shared" ref="R356:R361" si="150">(O356-N356-M356)*P356</f>
        <v>4033989535</v>
      </c>
      <c r="S356" s="9">
        <f t="shared" ref="S356:S361" si="151">O356*P356</f>
        <v>4045677667</v>
      </c>
      <c r="T356" s="9"/>
      <c r="U356" s="32" t="s">
        <v>794</v>
      </c>
      <c r="V356" s="6"/>
      <c r="W356" s="6"/>
      <c r="X356" s="6"/>
      <c r="Y356" s="6"/>
      <c r="Z356" s="6"/>
      <c r="AA356" s="6"/>
      <c r="AB356" s="6"/>
      <c r="AC356" s="6"/>
      <c r="AD356" s="6"/>
      <c r="AE356" s="6"/>
      <c r="AF356" s="6"/>
      <c r="AG356" s="6"/>
      <c r="AH356" s="6"/>
    </row>
    <row r="357" ht="15.75" customHeight="1">
      <c r="A357" s="6"/>
      <c r="B357" s="25" t="s">
        <v>791</v>
      </c>
      <c r="C357" s="25"/>
      <c r="D357" s="25" t="s">
        <v>795</v>
      </c>
      <c r="E357" s="25"/>
      <c r="F357" s="25" t="s">
        <v>3</v>
      </c>
      <c r="G357" s="9">
        <v>7.83231122E8</v>
      </c>
      <c r="H357" s="9">
        <v>9.91664813E8</v>
      </c>
      <c r="I357" s="9">
        <f t="shared" si="147"/>
        <v>797521920</v>
      </c>
      <c r="J357" s="9">
        <v>1.94142893E8</v>
      </c>
      <c r="K357" s="29" t="s">
        <v>796</v>
      </c>
      <c r="L357" s="9"/>
      <c r="M357" s="10"/>
      <c r="N357" s="14">
        <v>1440641.0</v>
      </c>
      <c r="O357" s="9">
        <f t="shared" si="148"/>
        <v>1580753042</v>
      </c>
      <c r="P357" s="38">
        <v>1.0</v>
      </c>
      <c r="Q357" s="9">
        <f t="shared" si="149"/>
        <v>797521920</v>
      </c>
      <c r="R357" s="9">
        <f t="shared" si="150"/>
        <v>1579312401</v>
      </c>
      <c r="S357" s="9">
        <f t="shared" si="151"/>
        <v>1580753042</v>
      </c>
      <c r="T357" s="9"/>
      <c r="U357" s="32" t="s">
        <v>797</v>
      </c>
      <c r="V357" s="6"/>
      <c r="W357" s="6"/>
      <c r="X357" s="6"/>
      <c r="Y357" s="6"/>
      <c r="Z357" s="6"/>
      <c r="AA357" s="6"/>
      <c r="AB357" s="6"/>
      <c r="AC357" s="6"/>
      <c r="AD357" s="6"/>
      <c r="AE357" s="6"/>
      <c r="AF357" s="6"/>
      <c r="AG357" s="6"/>
      <c r="AH357" s="6"/>
    </row>
    <row r="358" ht="15.75" customHeight="1">
      <c r="A358" s="6"/>
      <c r="B358" s="25" t="s">
        <v>791</v>
      </c>
      <c r="C358" s="25"/>
      <c r="D358" s="25"/>
      <c r="E358" s="25" t="s">
        <v>798</v>
      </c>
      <c r="F358" s="25" t="s">
        <v>43</v>
      </c>
      <c r="G358" s="9">
        <v>1.98890166E8</v>
      </c>
      <c r="H358" s="9">
        <v>4.40122978E8</v>
      </c>
      <c r="I358" s="9">
        <f t="shared" si="147"/>
        <v>431256204</v>
      </c>
      <c r="J358" s="9">
        <f>8866774</f>
        <v>8866774</v>
      </c>
      <c r="K358" s="29" t="s">
        <v>799</v>
      </c>
      <c r="L358" s="9"/>
      <c r="M358" s="10"/>
      <c r="N358" s="14">
        <v>1.3821439E7</v>
      </c>
      <c r="O358" s="9">
        <f t="shared" si="148"/>
        <v>630146370</v>
      </c>
      <c r="P358" s="38">
        <v>0.3672</v>
      </c>
      <c r="Q358" s="9">
        <f t="shared" si="149"/>
        <v>158357278.1</v>
      </c>
      <c r="R358" s="9">
        <f t="shared" si="150"/>
        <v>226314514.7</v>
      </c>
      <c r="S358" s="9">
        <f t="shared" si="151"/>
        <v>231389747.1</v>
      </c>
      <c r="T358" s="9"/>
      <c r="U358" s="32" t="s">
        <v>800</v>
      </c>
      <c r="V358" s="6"/>
      <c r="W358" s="6"/>
      <c r="X358" s="6"/>
      <c r="Y358" s="6"/>
      <c r="Z358" s="6"/>
      <c r="AA358" s="6"/>
      <c r="AB358" s="6"/>
      <c r="AC358" s="6"/>
      <c r="AD358" s="6"/>
      <c r="AE358" s="6"/>
      <c r="AF358" s="6"/>
      <c r="AG358" s="6"/>
      <c r="AH358" s="6"/>
    </row>
    <row r="359" ht="15.75" customHeight="1">
      <c r="A359" s="6"/>
      <c r="B359" s="25" t="s">
        <v>791</v>
      </c>
      <c r="C359" s="25"/>
      <c r="D359" s="25"/>
      <c r="E359" s="25" t="s">
        <v>801</v>
      </c>
      <c r="F359" s="25" t="s">
        <v>47</v>
      </c>
      <c r="G359" s="9">
        <v>6111684.0</v>
      </c>
      <c r="H359" s="9">
        <f>406311542</f>
        <v>406311542</v>
      </c>
      <c r="I359" s="9">
        <f t="shared" si="147"/>
        <v>32525125</v>
      </c>
      <c r="J359" s="9">
        <v>3.73786417E8</v>
      </c>
      <c r="K359" s="29" t="s">
        <v>802</v>
      </c>
      <c r="L359" s="9"/>
      <c r="M359" s="10"/>
      <c r="N359" s="10"/>
      <c r="O359" s="9">
        <f t="shared" si="148"/>
        <v>38636809</v>
      </c>
      <c r="P359" s="38">
        <v>1.0</v>
      </c>
      <c r="Q359" s="9">
        <f t="shared" si="149"/>
        <v>32525125</v>
      </c>
      <c r="R359" s="9">
        <f t="shared" si="150"/>
        <v>38636809</v>
      </c>
      <c r="S359" s="9">
        <f t="shared" si="151"/>
        <v>38636809</v>
      </c>
      <c r="T359" s="9"/>
      <c r="U359" s="32" t="s">
        <v>803</v>
      </c>
      <c r="V359" s="6"/>
      <c r="W359" s="6"/>
      <c r="X359" s="6"/>
      <c r="Y359" s="6"/>
      <c r="Z359" s="6"/>
      <c r="AA359" s="6"/>
      <c r="AB359" s="6"/>
      <c r="AC359" s="6"/>
      <c r="AD359" s="6"/>
      <c r="AE359" s="6"/>
      <c r="AF359" s="6"/>
      <c r="AG359" s="6"/>
      <c r="AH359" s="6"/>
    </row>
    <row r="360" ht="15.75" customHeight="1">
      <c r="A360" s="6"/>
      <c r="B360" s="25" t="s">
        <v>791</v>
      </c>
      <c r="C360" s="25"/>
      <c r="D360" s="25"/>
      <c r="E360" s="25" t="s">
        <v>804</v>
      </c>
      <c r="F360" s="25" t="s">
        <v>29</v>
      </c>
      <c r="G360" s="9"/>
      <c r="H360" s="9">
        <f>258207158+28407906+4950594+458728+4551928+118326432</f>
        <v>414902746</v>
      </c>
      <c r="I360" s="9">
        <f t="shared" si="147"/>
        <v>296576314</v>
      </c>
      <c r="J360" s="9">
        <v>1.18326432E8</v>
      </c>
      <c r="K360" s="29" t="s">
        <v>805</v>
      </c>
      <c r="L360" s="9"/>
      <c r="M360" s="10"/>
      <c r="N360" s="10"/>
      <c r="O360" s="9">
        <f t="shared" si="148"/>
        <v>296576314</v>
      </c>
      <c r="P360" s="38">
        <v>0.1569</v>
      </c>
      <c r="Q360" s="9">
        <f t="shared" si="149"/>
        <v>46532823.67</v>
      </c>
      <c r="R360" s="9">
        <f t="shared" si="150"/>
        <v>46532823.67</v>
      </c>
      <c r="S360" s="9">
        <f t="shared" si="151"/>
        <v>46532823.67</v>
      </c>
      <c r="T360" s="9"/>
      <c r="U360" s="32" t="s">
        <v>806</v>
      </c>
      <c r="V360" s="6"/>
      <c r="W360" s="6"/>
      <c r="X360" s="6"/>
      <c r="Y360" s="6"/>
      <c r="Z360" s="6"/>
      <c r="AA360" s="6"/>
      <c r="AB360" s="6"/>
      <c r="AC360" s="6"/>
      <c r="AD360" s="6"/>
      <c r="AE360" s="6"/>
      <c r="AF360" s="6"/>
      <c r="AG360" s="6"/>
      <c r="AH360" s="6"/>
    </row>
    <row r="361" ht="15.75" customHeight="1">
      <c r="A361" s="6"/>
      <c r="B361" s="25" t="s">
        <v>791</v>
      </c>
      <c r="C361" s="25"/>
      <c r="D361" s="25"/>
      <c r="E361" s="25" t="s">
        <v>807</v>
      </c>
      <c r="F361" s="25" t="s">
        <v>29</v>
      </c>
      <c r="G361" s="9"/>
      <c r="H361" s="9"/>
      <c r="I361" s="9">
        <f t="shared" si="147"/>
        <v>0</v>
      </c>
      <c r="J361" s="9"/>
      <c r="K361" s="29"/>
      <c r="L361" s="9"/>
      <c r="M361" s="10"/>
      <c r="N361" s="10"/>
      <c r="O361" s="9">
        <f t="shared" si="148"/>
        <v>0</v>
      </c>
      <c r="P361" s="38">
        <v>1.0</v>
      </c>
      <c r="Q361" s="9">
        <f t="shared" si="149"/>
        <v>0</v>
      </c>
      <c r="R361" s="9">
        <f t="shared" si="150"/>
        <v>0</v>
      </c>
      <c r="S361" s="9">
        <f t="shared" si="151"/>
        <v>0</v>
      </c>
      <c r="T361" s="9"/>
      <c r="U361" s="6" t="s">
        <v>60</v>
      </c>
      <c r="V361" s="6"/>
      <c r="W361" s="6"/>
      <c r="X361" s="6"/>
      <c r="Y361" s="6"/>
      <c r="Z361" s="6"/>
      <c r="AA361" s="6"/>
      <c r="AB361" s="6"/>
      <c r="AC361" s="6"/>
      <c r="AD361" s="6"/>
      <c r="AE361" s="6"/>
      <c r="AF361" s="6"/>
      <c r="AG361" s="6"/>
      <c r="AH361" s="6"/>
    </row>
    <row r="362" ht="15.75" customHeight="1">
      <c r="A362" s="6"/>
      <c r="B362" s="25"/>
      <c r="C362" s="25"/>
      <c r="D362" s="25"/>
      <c r="E362" s="41" t="s">
        <v>35</v>
      </c>
      <c r="F362" s="25"/>
      <c r="G362" s="9"/>
      <c r="H362" s="9"/>
      <c r="I362" s="9"/>
      <c r="J362" s="9"/>
      <c r="K362" s="29"/>
      <c r="L362" s="9"/>
      <c r="M362" s="10"/>
      <c r="N362" s="10"/>
      <c r="O362" s="9"/>
      <c r="P362" s="26" t="s">
        <v>808</v>
      </c>
      <c r="Q362" s="19">
        <f t="shared" ref="Q362:S362" si="152">SUM(Q356:Q361)</f>
        <v>3147236216</v>
      </c>
      <c r="R362" s="19">
        <f t="shared" si="152"/>
        <v>5924786083</v>
      </c>
      <c r="S362" s="19">
        <f t="shared" si="152"/>
        <v>5942990089</v>
      </c>
      <c r="T362" s="20">
        <v>1.884259514E9</v>
      </c>
      <c r="U362" s="6"/>
      <c r="V362" s="6"/>
      <c r="W362" s="6"/>
      <c r="X362" s="6"/>
      <c r="Y362" s="6"/>
      <c r="Z362" s="6"/>
      <c r="AA362" s="6"/>
      <c r="AB362" s="6"/>
      <c r="AC362" s="6"/>
      <c r="AD362" s="6"/>
      <c r="AE362" s="6"/>
      <c r="AF362" s="6"/>
      <c r="AG362" s="6"/>
      <c r="AH362" s="6"/>
    </row>
    <row r="363" ht="15.75" customHeight="1">
      <c r="A363" s="6">
        <v>25.0</v>
      </c>
      <c r="B363" s="25" t="s">
        <v>809</v>
      </c>
      <c r="C363" s="42" t="s">
        <v>810</v>
      </c>
      <c r="D363" s="25"/>
      <c r="E363" s="25"/>
      <c r="F363" s="42" t="s">
        <v>1</v>
      </c>
      <c r="G363" s="8">
        <v>1.04168E9</v>
      </c>
      <c r="H363" s="8">
        <v>6.156975E9</v>
      </c>
      <c r="I363" s="9">
        <f t="shared" ref="I363:I369" si="153">H363-J363</f>
        <v>6140386000</v>
      </c>
      <c r="J363" s="8">
        <v>1.6589E7</v>
      </c>
      <c r="K363" s="28" t="s">
        <v>629</v>
      </c>
      <c r="L363" s="9"/>
      <c r="M363" s="10"/>
      <c r="N363" s="8">
        <v>1.65324E8</v>
      </c>
      <c r="O363" s="9">
        <f t="shared" ref="O363:O369" si="154">G363+I363</f>
        <v>7182066000</v>
      </c>
      <c r="P363" s="31">
        <v>0.2127</v>
      </c>
      <c r="Q363" s="9">
        <f t="shared" ref="Q363:Q369" si="155">I363*P363</f>
        <v>1306060102</v>
      </c>
      <c r="R363" s="9">
        <f t="shared" ref="R363:R369" si="156">(O363-N363-M363)*P363</f>
        <v>1492461023</v>
      </c>
      <c r="S363" s="9">
        <f t="shared" ref="S363:S369" si="157">O363*P363</f>
        <v>1527625438</v>
      </c>
      <c r="T363" s="9"/>
      <c r="U363" s="32" t="s">
        <v>811</v>
      </c>
      <c r="V363" s="6"/>
      <c r="W363" s="6"/>
      <c r="X363" s="6"/>
      <c r="Y363" s="6"/>
      <c r="Z363" s="6"/>
      <c r="AA363" s="6"/>
      <c r="AB363" s="6"/>
      <c r="AC363" s="6"/>
      <c r="AD363" s="6"/>
      <c r="AE363" s="6"/>
      <c r="AF363" s="6"/>
      <c r="AG363" s="6"/>
      <c r="AH363" s="6"/>
    </row>
    <row r="364" ht="15.75" customHeight="1">
      <c r="A364" s="6"/>
      <c r="B364" s="25" t="s">
        <v>809</v>
      </c>
      <c r="C364" s="25"/>
      <c r="D364" s="25" t="s">
        <v>812</v>
      </c>
      <c r="E364" s="25"/>
      <c r="F364" s="25" t="s">
        <v>3</v>
      </c>
      <c r="G364" s="9">
        <v>3.30284946E8</v>
      </c>
      <c r="H364" s="9">
        <v>4.96501417E8</v>
      </c>
      <c r="I364" s="9">
        <f t="shared" si="153"/>
        <v>185547807</v>
      </c>
      <c r="J364" s="9">
        <v>3.1095361E8</v>
      </c>
      <c r="K364" s="29" t="s">
        <v>813</v>
      </c>
      <c r="L364" s="9"/>
      <c r="M364" s="10"/>
      <c r="N364" s="14">
        <v>852421.0</v>
      </c>
      <c r="O364" s="9">
        <f t="shared" si="154"/>
        <v>515832753</v>
      </c>
      <c r="P364" s="38">
        <v>1.0</v>
      </c>
      <c r="Q364" s="9">
        <f t="shared" si="155"/>
        <v>185547807</v>
      </c>
      <c r="R364" s="9">
        <f t="shared" si="156"/>
        <v>514980332</v>
      </c>
      <c r="S364" s="9">
        <f t="shared" si="157"/>
        <v>515832753</v>
      </c>
      <c r="T364" s="9"/>
      <c r="U364" s="32" t="s">
        <v>814</v>
      </c>
      <c r="V364" s="6"/>
      <c r="W364" s="6"/>
      <c r="X364" s="6"/>
      <c r="Y364" s="6"/>
      <c r="Z364" s="6"/>
      <c r="AA364" s="6"/>
      <c r="AB364" s="6"/>
      <c r="AC364" s="6"/>
      <c r="AD364" s="6"/>
      <c r="AE364" s="6"/>
      <c r="AF364" s="6"/>
      <c r="AG364" s="6"/>
      <c r="AH364" s="6"/>
    </row>
    <row r="365" ht="15.75" customHeight="1">
      <c r="A365" s="6"/>
      <c r="B365" s="25" t="s">
        <v>809</v>
      </c>
      <c r="C365" s="25"/>
      <c r="D365" s="25"/>
      <c r="E365" s="25" t="s">
        <v>815</v>
      </c>
      <c r="F365" s="25" t="s">
        <v>43</v>
      </c>
      <c r="G365" s="9">
        <v>1.939388464E9</v>
      </c>
      <c r="H365" s="9">
        <v>2.386433924E9</v>
      </c>
      <c r="I365" s="9">
        <f t="shared" si="153"/>
        <v>1786419438</v>
      </c>
      <c r="J365" s="9">
        <v>6.00014486E8</v>
      </c>
      <c r="K365" s="29" t="s">
        <v>816</v>
      </c>
      <c r="L365" s="9"/>
      <c r="M365" s="10"/>
      <c r="N365" s="14">
        <f>10023981+600469939</f>
        <v>610493920</v>
      </c>
      <c r="O365" s="9">
        <f t="shared" si="154"/>
        <v>3725807902</v>
      </c>
      <c r="P365" s="38">
        <v>0.2772</v>
      </c>
      <c r="Q365" s="9">
        <f t="shared" si="155"/>
        <v>495195468.2</v>
      </c>
      <c r="R365" s="9">
        <f t="shared" si="156"/>
        <v>863565035.8</v>
      </c>
      <c r="S365" s="9">
        <f t="shared" si="157"/>
        <v>1032793950</v>
      </c>
      <c r="T365" s="9"/>
      <c r="U365" s="32" t="s">
        <v>817</v>
      </c>
      <c r="V365" s="6"/>
      <c r="W365" s="6"/>
      <c r="X365" s="6"/>
      <c r="Y365" s="6"/>
      <c r="Z365" s="6"/>
      <c r="AA365" s="6"/>
      <c r="AB365" s="6"/>
      <c r="AC365" s="6"/>
      <c r="AD365" s="6"/>
      <c r="AE365" s="6"/>
      <c r="AF365" s="6"/>
      <c r="AG365" s="6"/>
      <c r="AH365" s="6"/>
    </row>
    <row r="366" ht="15.75" customHeight="1">
      <c r="A366" s="6"/>
      <c r="B366" s="25" t="s">
        <v>809</v>
      </c>
      <c r="C366" s="25"/>
      <c r="D366" s="25"/>
      <c r="E366" s="25" t="s">
        <v>818</v>
      </c>
      <c r="F366" s="25" t="s">
        <v>47</v>
      </c>
      <c r="G366" s="9">
        <v>7.2448329E7</v>
      </c>
      <c r="H366" s="9">
        <v>2.87582259E9</v>
      </c>
      <c r="I366" s="9">
        <f t="shared" si="153"/>
        <v>2178290851</v>
      </c>
      <c r="J366" s="9">
        <f>342099+697067316+122324</f>
        <v>697531739</v>
      </c>
      <c r="K366" s="29" t="s">
        <v>819</v>
      </c>
      <c r="L366" s="9"/>
      <c r="M366" s="10"/>
      <c r="N366" s="10"/>
      <c r="O366" s="9">
        <f t="shared" si="154"/>
        <v>2250739180</v>
      </c>
      <c r="P366" s="38">
        <v>0.309</v>
      </c>
      <c r="Q366" s="9">
        <f t="shared" si="155"/>
        <v>673091873</v>
      </c>
      <c r="R366" s="9">
        <f t="shared" si="156"/>
        <v>695478406.6</v>
      </c>
      <c r="S366" s="9">
        <f t="shared" si="157"/>
        <v>695478406.6</v>
      </c>
      <c r="T366" s="9"/>
      <c r="U366" s="32" t="s">
        <v>820</v>
      </c>
      <c r="V366" s="6"/>
      <c r="W366" s="6"/>
      <c r="X366" s="6"/>
      <c r="Y366" s="6"/>
      <c r="Z366" s="6"/>
      <c r="AA366" s="6"/>
      <c r="AB366" s="6"/>
      <c r="AC366" s="6"/>
      <c r="AD366" s="6"/>
      <c r="AE366" s="6"/>
      <c r="AF366" s="6"/>
      <c r="AG366" s="6"/>
      <c r="AH366" s="6"/>
    </row>
    <row r="367" ht="15.75" customHeight="1">
      <c r="A367" s="6"/>
      <c r="B367" s="25" t="s">
        <v>809</v>
      </c>
      <c r="C367" s="25"/>
      <c r="D367" s="25"/>
      <c r="E367" s="25" t="s">
        <v>821</v>
      </c>
      <c r="F367" s="25" t="s">
        <v>29</v>
      </c>
      <c r="G367" s="9"/>
      <c r="H367" s="9">
        <f>156939707+
1090717+1474957</f>
        <v>159505381</v>
      </c>
      <c r="I367" s="9">
        <f t="shared" si="153"/>
        <v>19736708</v>
      </c>
      <c r="J367" s="9">
        <v>1.39768673E8</v>
      </c>
      <c r="K367" s="29" t="s">
        <v>822</v>
      </c>
      <c r="L367" s="9"/>
      <c r="M367" s="10"/>
      <c r="N367" s="10"/>
      <c r="O367" s="9">
        <f t="shared" si="154"/>
        <v>19736708</v>
      </c>
      <c r="P367" s="38">
        <v>0.2929</v>
      </c>
      <c r="Q367" s="9">
        <f t="shared" si="155"/>
        <v>5780881.773</v>
      </c>
      <c r="R367" s="9">
        <f t="shared" si="156"/>
        <v>5780881.773</v>
      </c>
      <c r="S367" s="9">
        <f t="shared" si="157"/>
        <v>5780881.773</v>
      </c>
      <c r="T367" s="9"/>
      <c r="U367" s="32" t="s">
        <v>823</v>
      </c>
      <c r="V367" s="6"/>
      <c r="W367" s="6"/>
      <c r="X367" s="6"/>
      <c r="Y367" s="6"/>
      <c r="Z367" s="6"/>
      <c r="AA367" s="6"/>
      <c r="AB367" s="6"/>
      <c r="AC367" s="6"/>
      <c r="AD367" s="6"/>
      <c r="AE367" s="6"/>
      <c r="AF367" s="6"/>
      <c r="AG367" s="6"/>
      <c r="AH367" s="6"/>
    </row>
    <row r="368" ht="15.75" customHeight="1">
      <c r="A368" s="6"/>
      <c r="B368" s="25" t="s">
        <v>809</v>
      </c>
      <c r="C368" s="25"/>
      <c r="D368" s="25"/>
      <c r="E368" s="25" t="s">
        <v>824</v>
      </c>
      <c r="F368" s="25" t="s">
        <v>29</v>
      </c>
      <c r="G368" s="9"/>
      <c r="H368" s="9">
        <f>153499519+31356661+73806092+122823</f>
        <v>258785095</v>
      </c>
      <c r="I368" s="9">
        <f t="shared" si="153"/>
        <v>258785095</v>
      </c>
      <c r="J368" s="9"/>
      <c r="K368" s="29"/>
      <c r="L368" s="9"/>
      <c r="M368" s="10"/>
      <c r="N368" s="10"/>
      <c r="O368" s="9">
        <f t="shared" si="154"/>
        <v>258785095</v>
      </c>
      <c r="P368" s="38">
        <v>0.2929</v>
      </c>
      <c r="Q368" s="9">
        <f t="shared" si="155"/>
        <v>75798154.33</v>
      </c>
      <c r="R368" s="9">
        <f t="shared" si="156"/>
        <v>75798154.33</v>
      </c>
      <c r="S368" s="9">
        <f t="shared" si="157"/>
        <v>75798154.33</v>
      </c>
      <c r="T368" s="9"/>
      <c r="U368" s="32" t="s">
        <v>825</v>
      </c>
      <c r="V368" s="6"/>
      <c r="W368" s="6"/>
      <c r="X368" s="6"/>
      <c r="Y368" s="6"/>
      <c r="Z368" s="6"/>
      <c r="AA368" s="6"/>
      <c r="AB368" s="6"/>
      <c r="AC368" s="6"/>
      <c r="AD368" s="6"/>
      <c r="AE368" s="6"/>
      <c r="AF368" s="6"/>
      <c r="AG368" s="6"/>
      <c r="AH368" s="6"/>
    </row>
    <row r="369" ht="15.75" customHeight="1">
      <c r="A369" s="6"/>
      <c r="B369" s="25" t="s">
        <v>809</v>
      </c>
      <c r="C369" s="25"/>
      <c r="D369" s="25"/>
      <c r="E369" s="25" t="s">
        <v>826</v>
      </c>
      <c r="F369" s="25" t="s">
        <v>29</v>
      </c>
      <c r="G369" s="9">
        <v>1035009.0</v>
      </c>
      <c r="H369" s="9">
        <v>7.0531917E7</v>
      </c>
      <c r="I369" s="9">
        <f t="shared" si="153"/>
        <v>48116959</v>
      </c>
      <c r="J369" s="9">
        <v>2.2414958E7</v>
      </c>
      <c r="K369" s="29" t="s">
        <v>827</v>
      </c>
      <c r="L369" s="9"/>
      <c r="M369" s="10"/>
      <c r="N369" s="10"/>
      <c r="O369" s="9">
        <f t="shared" si="154"/>
        <v>49151968</v>
      </c>
      <c r="P369" s="38">
        <v>0.2929</v>
      </c>
      <c r="Q369" s="9">
        <f t="shared" si="155"/>
        <v>14093457.29</v>
      </c>
      <c r="R369" s="9">
        <f t="shared" si="156"/>
        <v>14396611.43</v>
      </c>
      <c r="S369" s="9">
        <f t="shared" si="157"/>
        <v>14396611.43</v>
      </c>
      <c r="T369" s="9"/>
      <c r="U369" s="32" t="s">
        <v>828</v>
      </c>
      <c r="V369" s="6"/>
      <c r="W369" s="6"/>
      <c r="X369" s="6"/>
      <c r="Y369" s="6"/>
      <c r="Z369" s="6"/>
      <c r="AA369" s="6"/>
      <c r="AB369" s="6"/>
      <c r="AC369" s="6"/>
      <c r="AD369" s="6"/>
      <c r="AE369" s="6"/>
      <c r="AF369" s="6"/>
      <c r="AG369" s="6"/>
      <c r="AH369" s="6"/>
    </row>
    <row r="370" ht="15.75" customHeight="1">
      <c r="A370" s="6"/>
      <c r="B370" s="25"/>
      <c r="C370" s="25"/>
      <c r="D370" s="25"/>
      <c r="E370" s="41" t="s">
        <v>35</v>
      </c>
      <c r="F370" s="25"/>
      <c r="G370" s="9"/>
      <c r="H370" s="9"/>
      <c r="I370" s="9"/>
      <c r="J370" s="9"/>
      <c r="K370" s="29"/>
      <c r="L370" s="9"/>
      <c r="M370" s="10"/>
      <c r="N370" s="10"/>
      <c r="O370" s="9"/>
      <c r="P370" s="26" t="s">
        <v>829</v>
      </c>
      <c r="Q370" s="19">
        <f t="shared" ref="Q370:S370" si="158">SUM(Q363:Q369)</f>
        <v>2755567744</v>
      </c>
      <c r="R370" s="19">
        <f t="shared" si="158"/>
        <v>3662460445</v>
      </c>
      <c r="S370" s="19">
        <f t="shared" si="158"/>
        <v>3867706196</v>
      </c>
      <c r="T370" s="20">
        <v>2.009355942E9</v>
      </c>
      <c r="U370" s="6"/>
      <c r="V370" s="6"/>
      <c r="W370" s="6"/>
      <c r="X370" s="6"/>
      <c r="Y370" s="6"/>
      <c r="Z370" s="6"/>
      <c r="AA370" s="6"/>
      <c r="AB370" s="6"/>
      <c r="AC370" s="6"/>
      <c r="AD370" s="6"/>
      <c r="AE370" s="6"/>
      <c r="AF370" s="6"/>
      <c r="AG370" s="6"/>
      <c r="AH370" s="6"/>
    </row>
    <row r="371" ht="15.75" customHeight="1">
      <c r="A371" s="6">
        <v>26.0</v>
      </c>
      <c r="B371" s="25" t="s">
        <v>830</v>
      </c>
      <c r="C371" s="42" t="s">
        <v>831</v>
      </c>
      <c r="D371" s="25"/>
      <c r="E371" s="41"/>
      <c r="F371" s="42" t="s">
        <v>1</v>
      </c>
      <c r="G371" s="8">
        <v>3.575443E9</v>
      </c>
      <c r="H371" s="8">
        <v>1.0026298E10</v>
      </c>
      <c r="I371" s="9">
        <f t="shared" ref="I371:I395" si="159">H371-J371</f>
        <v>9971734000</v>
      </c>
      <c r="J371" s="8">
        <v>5.4564E7</v>
      </c>
      <c r="K371" s="28" t="s">
        <v>629</v>
      </c>
      <c r="L371" s="9"/>
      <c r="M371" s="10"/>
      <c r="N371" s="8">
        <v>6.04394E8</v>
      </c>
      <c r="O371" s="9">
        <f t="shared" ref="O371:O395" si="160">G371+I371</f>
        <v>13547177000</v>
      </c>
      <c r="P371" s="31">
        <v>0.1672</v>
      </c>
      <c r="Q371" s="9">
        <f t="shared" ref="Q371:Q395" si="161">I371*P371</f>
        <v>1667273925</v>
      </c>
      <c r="R371" s="9">
        <f t="shared" ref="R371:R395" si="162">(O371-N371-M371)*P371</f>
        <v>2164033318</v>
      </c>
      <c r="S371" s="9">
        <f t="shared" ref="S371:S395" si="163">O371*P371</f>
        <v>2265087994</v>
      </c>
      <c r="T371" s="9"/>
      <c r="U371" s="40" t="s">
        <v>832</v>
      </c>
      <c r="V371" s="6"/>
      <c r="W371" s="6"/>
      <c r="X371" s="6"/>
      <c r="Y371" s="6"/>
      <c r="Z371" s="6"/>
      <c r="AA371" s="6"/>
      <c r="AB371" s="6"/>
      <c r="AC371" s="6"/>
      <c r="AD371" s="6"/>
      <c r="AE371" s="6"/>
      <c r="AF371" s="6"/>
      <c r="AG371" s="6"/>
      <c r="AH371" s="6"/>
    </row>
    <row r="372" ht="15.75" customHeight="1">
      <c r="A372" s="6"/>
      <c r="B372" s="25" t="s">
        <v>830</v>
      </c>
      <c r="C372" s="25"/>
      <c r="D372" s="25" t="s">
        <v>833</v>
      </c>
      <c r="E372" s="25"/>
      <c r="F372" s="25" t="s">
        <v>3</v>
      </c>
      <c r="G372" s="9">
        <v>1.87223E8</v>
      </c>
      <c r="H372" s="9">
        <v>7.32291E8</v>
      </c>
      <c r="I372" s="9">
        <f t="shared" si="159"/>
        <v>732291000</v>
      </c>
      <c r="J372" s="9"/>
      <c r="K372" s="6"/>
      <c r="L372" s="9"/>
      <c r="M372" s="10"/>
      <c r="N372" s="10"/>
      <c r="O372" s="9">
        <f t="shared" si="160"/>
        <v>919514000</v>
      </c>
      <c r="P372" s="38">
        <v>1.0</v>
      </c>
      <c r="Q372" s="9">
        <f t="shared" si="161"/>
        <v>732291000</v>
      </c>
      <c r="R372" s="9">
        <f t="shared" si="162"/>
        <v>919514000</v>
      </c>
      <c r="S372" s="9">
        <f t="shared" si="163"/>
        <v>919514000</v>
      </c>
      <c r="T372" s="9"/>
      <c r="U372" s="40" t="s">
        <v>834</v>
      </c>
      <c r="V372" s="6"/>
      <c r="W372" s="6"/>
      <c r="X372" s="6"/>
      <c r="Y372" s="6"/>
      <c r="Z372" s="6"/>
      <c r="AA372" s="6"/>
      <c r="AB372" s="6"/>
      <c r="AC372" s="6"/>
      <c r="AD372" s="6"/>
      <c r="AE372" s="6"/>
      <c r="AF372" s="6"/>
      <c r="AG372" s="6"/>
      <c r="AH372" s="6"/>
    </row>
    <row r="373" ht="15.75" customHeight="1">
      <c r="A373" s="6"/>
      <c r="B373" s="25" t="s">
        <v>830</v>
      </c>
      <c r="C373" s="25"/>
      <c r="D373" s="25"/>
      <c r="E373" s="25" t="s">
        <v>835</v>
      </c>
      <c r="F373" s="25" t="s">
        <v>43</v>
      </c>
      <c r="G373" s="9"/>
      <c r="H373" s="9"/>
      <c r="I373" s="9">
        <f t="shared" si="159"/>
        <v>0</v>
      </c>
      <c r="J373" s="9"/>
      <c r="K373" s="6"/>
      <c r="L373" s="9"/>
      <c r="M373" s="10"/>
      <c r="N373" s="10"/>
      <c r="O373" s="9">
        <f t="shared" si="160"/>
        <v>0</v>
      </c>
      <c r="P373" s="38">
        <v>0.6542</v>
      </c>
      <c r="Q373" s="9">
        <f t="shared" si="161"/>
        <v>0</v>
      </c>
      <c r="R373" s="9">
        <f t="shared" si="162"/>
        <v>0</v>
      </c>
      <c r="S373" s="9">
        <f t="shared" si="163"/>
        <v>0</v>
      </c>
      <c r="T373" s="9"/>
      <c r="U373" s="6" t="s">
        <v>60</v>
      </c>
      <c r="V373" s="6"/>
      <c r="W373" s="6"/>
      <c r="X373" s="6"/>
      <c r="Y373" s="6"/>
      <c r="Z373" s="6"/>
      <c r="AA373" s="6"/>
      <c r="AB373" s="6"/>
      <c r="AC373" s="6"/>
      <c r="AD373" s="6"/>
      <c r="AE373" s="6"/>
      <c r="AF373" s="6"/>
      <c r="AG373" s="6"/>
      <c r="AH373" s="6"/>
    </row>
    <row r="374" ht="15.75" customHeight="1">
      <c r="A374" s="6"/>
      <c r="B374" s="25" t="s">
        <v>830</v>
      </c>
      <c r="C374" s="25"/>
      <c r="D374" s="25"/>
      <c r="E374" s="25" t="s">
        <v>836</v>
      </c>
      <c r="F374" s="25" t="s">
        <v>43</v>
      </c>
      <c r="G374" s="9"/>
      <c r="H374" s="9"/>
      <c r="I374" s="9">
        <f t="shared" si="159"/>
        <v>0</v>
      </c>
      <c r="J374" s="9"/>
      <c r="K374" s="6"/>
      <c r="L374" s="9"/>
      <c r="M374" s="10"/>
      <c r="N374" s="10"/>
      <c r="O374" s="9">
        <f t="shared" si="160"/>
        <v>0</v>
      </c>
      <c r="P374" s="38">
        <v>0.271</v>
      </c>
      <c r="Q374" s="9">
        <f t="shared" si="161"/>
        <v>0</v>
      </c>
      <c r="R374" s="9">
        <f t="shared" si="162"/>
        <v>0</v>
      </c>
      <c r="S374" s="9">
        <f t="shared" si="163"/>
        <v>0</v>
      </c>
      <c r="T374" s="9"/>
      <c r="U374" s="40" t="s">
        <v>837</v>
      </c>
      <c r="V374" s="6" t="s">
        <v>838</v>
      </c>
      <c r="W374" s="6"/>
      <c r="X374" s="6"/>
      <c r="Y374" s="6"/>
      <c r="Z374" s="6"/>
      <c r="AA374" s="6"/>
      <c r="AB374" s="6"/>
      <c r="AC374" s="6"/>
      <c r="AD374" s="6"/>
      <c r="AE374" s="6"/>
      <c r="AF374" s="6"/>
      <c r="AG374" s="6"/>
      <c r="AH374" s="6"/>
    </row>
    <row r="375" ht="15.75" customHeight="1">
      <c r="A375" s="6"/>
      <c r="B375" s="25" t="s">
        <v>830</v>
      </c>
      <c r="C375" s="25"/>
      <c r="D375" s="25"/>
      <c r="E375" s="25" t="s">
        <v>839</v>
      </c>
      <c r="F375" s="25" t="s">
        <v>43</v>
      </c>
      <c r="G375" s="9"/>
      <c r="H375" s="9">
        <f>51281870+11350094</f>
        <v>62631964</v>
      </c>
      <c r="I375" s="9">
        <f t="shared" si="159"/>
        <v>51281870</v>
      </c>
      <c r="J375" s="9">
        <v>1.1350094E7</v>
      </c>
      <c r="K375" s="6" t="s">
        <v>840</v>
      </c>
      <c r="L375" s="9"/>
      <c r="M375" s="10"/>
      <c r="N375" s="14">
        <v>2792131.0</v>
      </c>
      <c r="O375" s="9">
        <f t="shared" si="160"/>
        <v>51281870</v>
      </c>
      <c r="P375" s="38">
        <v>0.5041</v>
      </c>
      <c r="Q375" s="9">
        <f t="shared" si="161"/>
        <v>25851190.67</v>
      </c>
      <c r="R375" s="9">
        <f t="shared" si="162"/>
        <v>24443677.43</v>
      </c>
      <c r="S375" s="9">
        <f t="shared" si="163"/>
        <v>25851190.67</v>
      </c>
      <c r="T375" s="9"/>
      <c r="U375" s="40" t="s">
        <v>841</v>
      </c>
      <c r="V375" s="6"/>
      <c r="W375" s="6"/>
      <c r="X375" s="6"/>
      <c r="Y375" s="6"/>
      <c r="Z375" s="6"/>
      <c r="AA375" s="6"/>
      <c r="AB375" s="6"/>
      <c r="AC375" s="6"/>
      <c r="AD375" s="6"/>
      <c r="AE375" s="6"/>
      <c r="AF375" s="6"/>
      <c r="AG375" s="6"/>
      <c r="AH375" s="6"/>
    </row>
    <row r="376" ht="15.75" customHeight="1">
      <c r="A376" s="6"/>
      <c r="B376" s="25" t="s">
        <v>830</v>
      </c>
      <c r="C376" s="25"/>
      <c r="D376" s="25"/>
      <c r="E376" s="25" t="s">
        <v>842</v>
      </c>
      <c r="F376" s="25" t="s">
        <v>43</v>
      </c>
      <c r="G376" s="9"/>
      <c r="H376" s="9"/>
      <c r="I376" s="9">
        <f t="shared" si="159"/>
        <v>0</v>
      </c>
      <c r="J376" s="9"/>
      <c r="K376" s="6"/>
      <c r="L376" s="9"/>
      <c r="M376" s="10"/>
      <c r="N376" s="10"/>
      <c r="O376" s="9">
        <f t="shared" si="160"/>
        <v>0</v>
      </c>
      <c r="P376" s="38">
        <v>0.001</v>
      </c>
      <c r="Q376" s="9">
        <f t="shared" si="161"/>
        <v>0</v>
      </c>
      <c r="R376" s="9">
        <f t="shared" si="162"/>
        <v>0</v>
      </c>
      <c r="S376" s="9">
        <f t="shared" si="163"/>
        <v>0</v>
      </c>
      <c r="T376" s="9"/>
      <c r="U376" s="6" t="s">
        <v>60</v>
      </c>
      <c r="V376" s="6"/>
      <c r="W376" s="6"/>
      <c r="X376" s="6"/>
      <c r="Y376" s="6"/>
      <c r="Z376" s="6"/>
      <c r="AA376" s="6"/>
      <c r="AB376" s="6"/>
      <c r="AC376" s="6"/>
      <c r="AD376" s="6"/>
      <c r="AE376" s="6"/>
      <c r="AF376" s="6"/>
      <c r="AG376" s="6"/>
      <c r="AH376" s="6"/>
    </row>
    <row r="377" ht="15.75" customHeight="1">
      <c r="A377" s="6"/>
      <c r="B377" s="25" t="s">
        <v>830</v>
      </c>
      <c r="C377" s="25"/>
      <c r="D377" s="25"/>
      <c r="E377" s="25" t="s">
        <v>843</v>
      </c>
      <c r="F377" s="25" t="s">
        <v>47</v>
      </c>
      <c r="G377" s="9"/>
      <c r="H377" s="9">
        <f>107390359+19918509</f>
        <v>127308868</v>
      </c>
      <c r="I377" s="9">
        <f t="shared" si="159"/>
        <v>69097388</v>
      </c>
      <c r="J377" s="9">
        <f>52893627+5317853</f>
        <v>58211480</v>
      </c>
      <c r="K377" s="6" t="s">
        <v>844</v>
      </c>
      <c r="L377" s="9"/>
      <c r="M377" s="10"/>
      <c r="N377" s="10"/>
      <c r="O377" s="9">
        <f t="shared" si="160"/>
        <v>69097388</v>
      </c>
      <c r="P377" s="38">
        <v>0.5965</v>
      </c>
      <c r="Q377" s="9">
        <f t="shared" si="161"/>
        <v>41216591.94</v>
      </c>
      <c r="R377" s="9">
        <f t="shared" si="162"/>
        <v>41216591.94</v>
      </c>
      <c r="S377" s="9">
        <f t="shared" si="163"/>
        <v>41216591.94</v>
      </c>
      <c r="T377" s="9"/>
      <c r="U377" s="40" t="s">
        <v>845</v>
      </c>
      <c r="V377" s="6"/>
      <c r="W377" s="6"/>
      <c r="X377" s="6"/>
      <c r="Y377" s="6"/>
      <c r="Z377" s="6"/>
      <c r="AA377" s="6"/>
      <c r="AB377" s="6"/>
      <c r="AC377" s="6"/>
      <c r="AD377" s="6"/>
      <c r="AE377" s="6"/>
      <c r="AF377" s="6"/>
      <c r="AG377" s="6"/>
      <c r="AH377" s="6"/>
    </row>
    <row r="378" ht="15.75" customHeight="1">
      <c r="A378" s="6"/>
      <c r="B378" s="25" t="s">
        <v>830</v>
      </c>
      <c r="C378" s="25"/>
      <c r="D378" s="25"/>
      <c r="E378" s="25" t="s">
        <v>846</v>
      </c>
      <c r="F378" s="25" t="s">
        <v>47</v>
      </c>
      <c r="G378" s="9"/>
      <c r="H378" s="9">
        <f>37723599+14578371</f>
        <v>52301970</v>
      </c>
      <c r="I378" s="9">
        <f t="shared" si="159"/>
        <v>32682950</v>
      </c>
      <c r="J378" s="9">
        <f>18154468+1464552</f>
        <v>19619020</v>
      </c>
      <c r="K378" s="6" t="s">
        <v>844</v>
      </c>
      <c r="L378" s="9"/>
      <c r="M378" s="10"/>
      <c r="N378" s="10"/>
      <c r="O378" s="9">
        <f t="shared" si="160"/>
        <v>32682950</v>
      </c>
      <c r="P378" s="38">
        <v>0.3801</v>
      </c>
      <c r="Q378" s="9">
        <f t="shared" si="161"/>
        <v>12422789.3</v>
      </c>
      <c r="R378" s="9">
        <f t="shared" si="162"/>
        <v>12422789.3</v>
      </c>
      <c r="S378" s="9">
        <f t="shared" si="163"/>
        <v>12422789.3</v>
      </c>
      <c r="T378" s="9"/>
      <c r="U378" s="40" t="s">
        <v>847</v>
      </c>
      <c r="V378" s="6"/>
      <c r="W378" s="6"/>
      <c r="X378" s="6"/>
      <c r="Y378" s="6"/>
      <c r="Z378" s="6"/>
      <c r="AA378" s="6"/>
      <c r="AB378" s="6"/>
      <c r="AC378" s="6"/>
      <c r="AD378" s="6"/>
      <c r="AE378" s="6"/>
      <c r="AF378" s="6"/>
      <c r="AG378" s="6"/>
      <c r="AH378" s="6"/>
    </row>
    <row r="379" ht="15.75" customHeight="1">
      <c r="A379" s="6"/>
      <c r="B379" s="25" t="s">
        <v>830</v>
      </c>
      <c r="C379" s="25"/>
      <c r="D379" s="25"/>
      <c r="E379" s="25" t="s">
        <v>848</v>
      </c>
      <c r="F379" s="25" t="s">
        <v>47</v>
      </c>
      <c r="G379" s="9"/>
      <c r="H379" s="9">
        <f>63978954+4446503+13824427+316825+1843909+588824+6812+17339896</f>
        <v>102346150</v>
      </c>
      <c r="I379" s="9">
        <f t="shared" si="159"/>
        <v>56884818</v>
      </c>
      <c r="J379" s="9">
        <f>40357417+33917+3097908+1972090</f>
        <v>45461332</v>
      </c>
      <c r="K379" s="6" t="s">
        <v>849</v>
      </c>
      <c r="L379" s="9"/>
      <c r="M379" s="10"/>
      <c r="N379" s="10"/>
      <c r="O379" s="9">
        <f t="shared" si="160"/>
        <v>56884818</v>
      </c>
      <c r="P379" s="38">
        <v>0.5454</v>
      </c>
      <c r="Q379" s="9">
        <f t="shared" si="161"/>
        <v>31024979.74</v>
      </c>
      <c r="R379" s="9">
        <f t="shared" si="162"/>
        <v>31024979.74</v>
      </c>
      <c r="S379" s="9">
        <f t="shared" si="163"/>
        <v>31024979.74</v>
      </c>
      <c r="T379" s="9"/>
      <c r="U379" s="40" t="s">
        <v>850</v>
      </c>
      <c r="V379" s="6"/>
      <c r="W379" s="6"/>
      <c r="X379" s="6"/>
      <c r="Y379" s="6"/>
      <c r="Z379" s="6"/>
      <c r="AA379" s="6"/>
      <c r="AB379" s="6"/>
      <c r="AC379" s="6"/>
      <c r="AD379" s="6"/>
      <c r="AE379" s="6"/>
      <c r="AF379" s="6"/>
      <c r="AG379" s="6"/>
      <c r="AH379" s="6"/>
    </row>
    <row r="380" ht="15.75" customHeight="1">
      <c r="A380" s="6"/>
      <c r="B380" s="25" t="s">
        <v>830</v>
      </c>
      <c r="C380" s="25"/>
      <c r="D380" s="25"/>
      <c r="E380" s="25" t="s">
        <v>851</v>
      </c>
      <c r="F380" s="25" t="s">
        <v>47</v>
      </c>
      <c r="G380" s="9"/>
      <c r="H380" s="9">
        <f>11559018+998766</f>
        <v>12557784</v>
      </c>
      <c r="I380" s="9">
        <f t="shared" si="159"/>
        <v>3838789</v>
      </c>
      <c r="J380" s="9">
        <f>7617281+1101714</f>
        <v>8718995</v>
      </c>
      <c r="K380" s="6" t="s">
        <v>849</v>
      </c>
      <c r="L380" s="9"/>
      <c r="M380" s="10"/>
      <c r="N380" s="10"/>
      <c r="O380" s="9">
        <f t="shared" si="160"/>
        <v>3838789</v>
      </c>
      <c r="P380" s="38">
        <v>0.4536</v>
      </c>
      <c r="Q380" s="9">
        <f t="shared" si="161"/>
        <v>1741274.69</v>
      </c>
      <c r="R380" s="9">
        <f t="shared" si="162"/>
        <v>1741274.69</v>
      </c>
      <c r="S380" s="9">
        <f t="shared" si="163"/>
        <v>1741274.69</v>
      </c>
      <c r="T380" s="9"/>
      <c r="U380" s="40" t="s">
        <v>852</v>
      </c>
      <c r="V380" s="6"/>
      <c r="W380" s="6"/>
      <c r="X380" s="6"/>
      <c r="Y380" s="6"/>
      <c r="Z380" s="6"/>
      <c r="AA380" s="6"/>
      <c r="AB380" s="6"/>
      <c r="AC380" s="6"/>
      <c r="AD380" s="6"/>
      <c r="AE380" s="6"/>
      <c r="AF380" s="6"/>
      <c r="AG380" s="6"/>
      <c r="AH380" s="6"/>
    </row>
    <row r="381" ht="15.75" customHeight="1">
      <c r="A381" s="6"/>
      <c r="B381" s="25" t="s">
        <v>830</v>
      </c>
      <c r="C381" s="25"/>
      <c r="D381" s="25"/>
      <c r="E381" s="25" t="s">
        <v>853</v>
      </c>
      <c r="F381" s="25" t="s">
        <v>47</v>
      </c>
      <c r="G381" s="9"/>
      <c r="H381" s="9">
        <f>223792289+21721438</f>
        <v>245513727</v>
      </c>
      <c r="I381" s="9">
        <f t="shared" si="159"/>
        <v>122261530</v>
      </c>
      <c r="J381" s="9">
        <f>109566078+13686119</f>
        <v>123252197</v>
      </c>
      <c r="K381" s="6" t="s">
        <v>849</v>
      </c>
      <c r="L381" s="9"/>
      <c r="M381" s="10"/>
      <c r="N381" s="10"/>
      <c r="O381" s="9">
        <f t="shared" si="160"/>
        <v>122261530</v>
      </c>
      <c r="P381" s="38">
        <v>0.5328</v>
      </c>
      <c r="Q381" s="9">
        <f t="shared" si="161"/>
        <v>65140943.18</v>
      </c>
      <c r="R381" s="9">
        <f t="shared" si="162"/>
        <v>65140943.18</v>
      </c>
      <c r="S381" s="9">
        <f t="shared" si="163"/>
        <v>65140943.18</v>
      </c>
      <c r="T381" s="9"/>
      <c r="U381" s="40" t="s">
        <v>854</v>
      </c>
      <c r="V381" s="6"/>
      <c r="W381" s="6"/>
      <c r="X381" s="6"/>
      <c r="Y381" s="6"/>
      <c r="Z381" s="6"/>
      <c r="AA381" s="6"/>
      <c r="AB381" s="6"/>
      <c r="AC381" s="6"/>
      <c r="AD381" s="6"/>
      <c r="AE381" s="6"/>
      <c r="AF381" s="6"/>
      <c r="AG381" s="6"/>
      <c r="AH381" s="6"/>
    </row>
    <row r="382" ht="15.75" customHeight="1">
      <c r="A382" s="6"/>
      <c r="B382" s="25" t="s">
        <v>830</v>
      </c>
      <c r="C382" s="25"/>
      <c r="D382" s="25"/>
      <c r="E382" s="25" t="s">
        <v>855</v>
      </c>
      <c r="F382" s="25" t="s">
        <v>47</v>
      </c>
      <c r="G382" s="9"/>
      <c r="H382" s="9">
        <f>2799556+2217</f>
        <v>2801773</v>
      </c>
      <c r="I382" s="9">
        <f t="shared" si="159"/>
        <v>797495</v>
      </c>
      <c r="J382" s="9">
        <f>1805320+198958</f>
        <v>2004278</v>
      </c>
      <c r="K382" s="6" t="s">
        <v>849</v>
      </c>
      <c r="L382" s="9"/>
      <c r="M382" s="10"/>
      <c r="N382" s="10"/>
      <c r="O382" s="9">
        <f t="shared" si="160"/>
        <v>797495</v>
      </c>
      <c r="P382" s="38">
        <v>0.5229</v>
      </c>
      <c r="Q382" s="9">
        <f t="shared" si="161"/>
        <v>417010.1355</v>
      </c>
      <c r="R382" s="9">
        <f t="shared" si="162"/>
        <v>417010.1355</v>
      </c>
      <c r="S382" s="9">
        <f t="shared" si="163"/>
        <v>417010.1355</v>
      </c>
      <c r="T382" s="9"/>
      <c r="U382" s="40" t="s">
        <v>856</v>
      </c>
      <c r="V382" s="6"/>
      <c r="W382" s="6"/>
      <c r="X382" s="6"/>
      <c r="Y382" s="6"/>
      <c r="Z382" s="6"/>
      <c r="AA382" s="6"/>
      <c r="AB382" s="6"/>
      <c r="AC382" s="6"/>
      <c r="AD382" s="6"/>
      <c r="AE382" s="6"/>
      <c r="AF382" s="6"/>
      <c r="AG382" s="6"/>
      <c r="AH382" s="6"/>
    </row>
    <row r="383" ht="15.75" customHeight="1">
      <c r="A383" s="6"/>
      <c r="B383" s="25" t="s">
        <v>830</v>
      </c>
      <c r="C383" s="25"/>
      <c r="D383" s="25"/>
      <c r="E383" s="25" t="s">
        <v>857</v>
      </c>
      <c r="F383" s="25" t="s">
        <v>47</v>
      </c>
      <c r="G383" s="9"/>
      <c r="H383" s="9">
        <f>38389862+3044760+8296263+63572+23690+8800000</f>
        <v>58618147</v>
      </c>
      <c r="I383" s="9">
        <f t="shared" si="159"/>
        <v>30358804</v>
      </c>
      <c r="J383" s="9">
        <f>25169609+119817+2104859+865058</f>
        <v>28259343</v>
      </c>
      <c r="K383" s="6" t="s">
        <v>849</v>
      </c>
      <c r="L383" s="9"/>
      <c r="M383" s="10"/>
      <c r="N383" s="10"/>
      <c r="O383" s="9">
        <f t="shared" si="160"/>
        <v>30358804</v>
      </c>
      <c r="P383" s="38">
        <v>0.136</v>
      </c>
      <c r="Q383" s="9">
        <f t="shared" si="161"/>
        <v>4128797.344</v>
      </c>
      <c r="R383" s="9">
        <f t="shared" si="162"/>
        <v>4128797.344</v>
      </c>
      <c r="S383" s="9">
        <f t="shared" si="163"/>
        <v>4128797.344</v>
      </c>
      <c r="T383" s="9"/>
      <c r="U383" s="40" t="s">
        <v>858</v>
      </c>
      <c r="V383" s="6"/>
      <c r="W383" s="6"/>
      <c r="X383" s="6"/>
      <c r="Y383" s="6"/>
      <c r="Z383" s="6"/>
      <c r="AA383" s="6"/>
      <c r="AB383" s="6"/>
      <c r="AC383" s="6"/>
      <c r="AD383" s="6"/>
      <c r="AE383" s="6"/>
      <c r="AF383" s="6"/>
      <c r="AG383" s="6"/>
      <c r="AH383" s="6"/>
    </row>
    <row r="384" ht="15.75" customHeight="1">
      <c r="A384" s="6"/>
      <c r="B384" s="25" t="s">
        <v>830</v>
      </c>
      <c r="C384" s="25"/>
      <c r="D384" s="25"/>
      <c r="E384" s="25" t="s">
        <v>859</v>
      </c>
      <c r="F384" s="25" t="s">
        <v>47</v>
      </c>
      <c r="G384" s="9"/>
      <c r="H384" s="9">
        <f>13430379+3401970+25439</f>
        <v>16857788</v>
      </c>
      <c r="I384" s="9">
        <f t="shared" si="159"/>
        <v>8722086</v>
      </c>
      <c r="J384" s="9">
        <f>6389693+1746009</f>
        <v>8135702</v>
      </c>
      <c r="K384" s="6" t="s">
        <v>849</v>
      </c>
      <c r="L384" s="9"/>
      <c r="M384" s="10"/>
      <c r="N384" s="10"/>
      <c r="O384" s="9">
        <f t="shared" si="160"/>
        <v>8722086</v>
      </c>
      <c r="P384" s="38">
        <v>1.0</v>
      </c>
      <c r="Q384" s="9">
        <f t="shared" si="161"/>
        <v>8722086</v>
      </c>
      <c r="R384" s="9">
        <f t="shared" si="162"/>
        <v>8722086</v>
      </c>
      <c r="S384" s="9">
        <f t="shared" si="163"/>
        <v>8722086</v>
      </c>
      <c r="T384" s="9"/>
      <c r="U384" s="40" t="s">
        <v>860</v>
      </c>
      <c r="V384" s="6"/>
      <c r="W384" s="6"/>
      <c r="X384" s="6"/>
      <c r="Y384" s="6"/>
      <c r="Z384" s="6"/>
      <c r="AA384" s="6"/>
      <c r="AB384" s="6"/>
      <c r="AC384" s="6"/>
      <c r="AD384" s="6"/>
      <c r="AE384" s="6"/>
      <c r="AF384" s="6"/>
      <c r="AG384" s="6"/>
      <c r="AH384" s="6"/>
    </row>
    <row r="385" ht="15.75" customHeight="1">
      <c r="A385" s="6"/>
      <c r="B385" s="25" t="s">
        <v>830</v>
      </c>
      <c r="C385" s="25"/>
      <c r="D385" s="25"/>
      <c r="E385" s="25" t="s">
        <v>861</v>
      </c>
      <c r="F385" s="25" t="s">
        <v>47</v>
      </c>
      <c r="G385" s="9"/>
      <c r="H385" s="9">
        <f>40348969+4152419+16797643+47029+765953+37228+3477+16555000</f>
        <v>78707718</v>
      </c>
      <c r="I385" s="9">
        <f t="shared" si="159"/>
        <v>56532076</v>
      </c>
      <c r="J385" s="9">
        <f>20263326+25097+1411033+476186</f>
        <v>22175642</v>
      </c>
      <c r="K385" s="6" t="s">
        <v>849</v>
      </c>
      <c r="L385" s="9"/>
      <c r="M385" s="10"/>
      <c r="N385" s="10"/>
      <c r="O385" s="9">
        <f t="shared" si="160"/>
        <v>56532076</v>
      </c>
      <c r="P385" s="38">
        <v>0.3667</v>
      </c>
      <c r="Q385" s="9">
        <f t="shared" si="161"/>
        <v>20730312.27</v>
      </c>
      <c r="R385" s="9">
        <f t="shared" si="162"/>
        <v>20730312.27</v>
      </c>
      <c r="S385" s="9">
        <f t="shared" si="163"/>
        <v>20730312.27</v>
      </c>
      <c r="T385" s="9"/>
      <c r="U385" s="40" t="s">
        <v>862</v>
      </c>
      <c r="V385" s="6"/>
      <c r="W385" s="6"/>
      <c r="X385" s="6"/>
      <c r="Y385" s="6"/>
      <c r="Z385" s="6"/>
      <c r="AA385" s="6"/>
      <c r="AB385" s="6"/>
      <c r="AC385" s="6"/>
      <c r="AD385" s="6"/>
      <c r="AE385" s="6"/>
      <c r="AF385" s="6"/>
      <c r="AG385" s="6"/>
      <c r="AH385" s="6"/>
    </row>
    <row r="386" ht="15.75" customHeight="1">
      <c r="A386" s="6"/>
      <c r="B386" s="25" t="s">
        <v>830</v>
      </c>
      <c r="C386" s="25"/>
      <c r="D386" s="25"/>
      <c r="E386" s="25" t="s">
        <v>863</v>
      </c>
      <c r="F386" s="25" t="s">
        <v>47</v>
      </c>
      <c r="G386" s="9">
        <v>1.2444613E7</v>
      </c>
      <c r="H386" s="9">
        <v>2.24415781E8</v>
      </c>
      <c r="I386" s="9">
        <f t="shared" si="159"/>
        <v>160433573</v>
      </c>
      <c r="J386" s="9">
        <v>6.3982208E7</v>
      </c>
      <c r="K386" s="6" t="s">
        <v>864</v>
      </c>
      <c r="L386" s="9"/>
      <c r="M386" s="10"/>
      <c r="N386" s="10"/>
      <c r="O386" s="9">
        <f t="shared" si="160"/>
        <v>172878186</v>
      </c>
      <c r="P386" s="38">
        <v>0.2897</v>
      </c>
      <c r="Q386" s="9">
        <f t="shared" si="161"/>
        <v>46477606.1</v>
      </c>
      <c r="R386" s="9">
        <f t="shared" si="162"/>
        <v>50082810.48</v>
      </c>
      <c r="S386" s="9">
        <f t="shared" si="163"/>
        <v>50082810.48</v>
      </c>
      <c r="T386" s="9"/>
      <c r="U386" s="40" t="s">
        <v>865</v>
      </c>
      <c r="V386" s="6"/>
      <c r="W386" s="6"/>
      <c r="X386" s="6"/>
      <c r="Y386" s="6"/>
      <c r="Z386" s="6"/>
      <c r="AA386" s="6"/>
      <c r="AB386" s="6"/>
      <c r="AC386" s="6"/>
      <c r="AD386" s="6"/>
      <c r="AE386" s="6"/>
      <c r="AF386" s="6"/>
      <c r="AG386" s="6"/>
      <c r="AH386" s="6"/>
    </row>
    <row r="387" ht="15.75" customHeight="1">
      <c r="A387" s="6"/>
      <c r="B387" s="25" t="s">
        <v>830</v>
      </c>
      <c r="C387" s="25"/>
      <c r="D387" s="25"/>
      <c r="E387" s="25" t="s">
        <v>866</v>
      </c>
      <c r="F387" s="25" t="s">
        <v>47</v>
      </c>
      <c r="G387" s="9"/>
      <c r="H387" s="9">
        <f>15840716+1443537+1763084+82448+5060+96+13058</f>
        <v>19147999</v>
      </c>
      <c r="I387" s="9">
        <f t="shared" si="159"/>
        <v>6262431</v>
      </c>
      <c r="J387" s="9">
        <f>11177921+53446+1054075+600126</f>
        <v>12885568</v>
      </c>
      <c r="K387" s="6" t="s">
        <v>849</v>
      </c>
      <c r="L387" s="9"/>
      <c r="M387" s="10"/>
      <c r="N387" s="10"/>
      <c r="O387" s="9">
        <f t="shared" si="160"/>
        <v>6262431</v>
      </c>
      <c r="P387" s="38">
        <v>0.2866</v>
      </c>
      <c r="Q387" s="9">
        <f t="shared" si="161"/>
        <v>1794812.725</v>
      </c>
      <c r="R387" s="9">
        <f t="shared" si="162"/>
        <v>1794812.725</v>
      </c>
      <c r="S387" s="9">
        <f t="shared" si="163"/>
        <v>1794812.725</v>
      </c>
      <c r="T387" s="9"/>
      <c r="U387" s="40" t="s">
        <v>867</v>
      </c>
      <c r="V387" s="6"/>
      <c r="W387" s="6"/>
      <c r="X387" s="6"/>
      <c r="Y387" s="6"/>
      <c r="Z387" s="6"/>
      <c r="AA387" s="6"/>
      <c r="AB387" s="6"/>
      <c r="AC387" s="6"/>
      <c r="AD387" s="6"/>
      <c r="AE387" s="6"/>
      <c r="AF387" s="6"/>
      <c r="AG387" s="6"/>
      <c r="AH387" s="6"/>
    </row>
    <row r="388" ht="15.75" customHeight="1">
      <c r="A388" s="6"/>
      <c r="B388" s="25" t="s">
        <v>830</v>
      </c>
      <c r="C388" s="25"/>
      <c r="D388" s="25"/>
      <c r="E388" s="25" t="s">
        <v>868</v>
      </c>
      <c r="F388" s="25" t="s">
        <v>47</v>
      </c>
      <c r="G388" s="9"/>
      <c r="H388" s="9">
        <f>9491665+1143354+18242+5384</f>
        <v>10658645</v>
      </c>
      <c r="I388" s="9">
        <f t="shared" si="159"/>
        <v>4785045</v>
      </c>
      <c r="J388" s="9">
        <f>90667+5019242+763691</f>
        <v>5873600</v>
      </c>
      <c r="K388" s="6" t="s">
        <v>869</v>
      </c>
      <c r="L388" s="9"/>
      <c r="M388" s="10"/>
      <c r="N388" s="10"/>
      <c r="O388" s="9">
        <f t="shared" si="160"/>
        <v>4785045</v>
      </c>
      <c r="P388" s="38">
        <v>0.3731</v>
      </c>
      <c r="Q388" s="9">
        <f t="shared" si="161"/>
        <v>1785300.29</v>
      </c>
      <c r="R388" s="9">
        <f t="shared" si="162"/>
        <v>1785300.29</v>
      </c>
      <c r="S388" s="9">
        <f t="shared" si="163"/>
        <v>1785300.29</v>
      </c>
      <c r="T388" s="9"/>
      <c r="U388" s="40" t="s">
        <v>870</v>
      </c>
      <c r="V388" s="6"/>
      <c r="W388" s="6"/>
      <c r="X388" s="6"/>
      <c r="Y388" s="6"/>
      <c r="Z388" s="6"/>
      <c r="AA388" s="6"/>
      <c r="AB388" s="6"/>
      <c r="AC388" s="6"/>
      <c r="AD388" s="6"/>
      <c r="AE388" s="6"/>
      <c r="AF388" s="6"/>
      <c r="AG388" s="6"/>
      <c r="AH388" s="6"/>
    </row>
    <row r="389" ht="15.75" customHeight="1">
      <c r="A389" s="6"/>
      <c r="B389" s="25" t="s">
        <v>830</v>
      </c>
      <c r="C389" s="25"/>
      <c r="D389" s="25"/>
      <c r="E389" s="25" t="s">
        <v>871</v>
      </c>
      <c r="F389" s="25" t="s">
        <v>47</v>
      </c>
      <c r="G389" s="9">
        <v>6514221.0</v>
      </c>
      <c r="H389" s="9">
        <v>1.24971133E8</v>
      </c>
      <c r="I389" s="9">
        <f t="shared" si="159"/>
        <v>57329269</v>
      </c>
      <c r="J389" s="9">
        <v>6.7641864E7</v>
      </c>
      <c r="K389" s="6" t="s">
        <v>872</v>
      </c>
      <c r="L389" s="9"/>
      <c r="M389" s="10"/>
      <c r="N389" s="10"/>
      <c r="O389" s="9">
        <f t="shared" si="160"/>
        <v>63843490</v>
      </c>
      <c r="P389" s="38">
        <v>0.2858</v>
      </c>
      <c r="Q389" s="9">
        <f t="shared" si="161"/>
        <v>16384705.08</v>
      </c>
      <c r="R389" s="9">
        <f t="shared" si="162"/>
        <v>18246469.44</v>
      </c>
      <c r="S389" s="9">
        <f t="shared" si="163"/>
        <v>18246469.44</v>
      </c>
      <c r="T389" s="9"/>
      <c r="U389" s="40" t="s">
        <v>873</v>
      </c>
      <c r="V389" s="6"/>
      <c r="W389" s="6"/>
      <c r="X389" s="6"/>
      <c r="Y389" s="6"/>
      <c r="Z389" s="6"/>
      <c r="AA389" s="6"/>
      <c r="AB389" s="6"/>
      <c r="AC389" s="6"/>
      <c r="AD389" s="6"/>
      <c r="AE389" s="6"/>
      <c r="AF389" s="6"/>
      <c r="AG389" s="6"/>
      <c r="AH389" s="6"/>
    </row>
    <row r="390" ht="15.75" customHeight="1">
      <c r="A390" s="6"/>
      <c r="B390" s="25" t="s">
        <v>830</v>
      </c>
      <c r="C390" s="25"/>
      <c r="D390" s="25"/>
      <c r="E390" s="25" t="s">
        <v>874</v>
      </c>
      <c r="F390" s="25" t="s">
        <v>47</v>
      </c>
      <c r="G390" s="9"/>
      <c r="H390" s="9">
        <f>7567222+671597+1179788+38744+82325+7807+2771+3105000</f>
        <v>12655254</v>
      </c>
      <c r="I390" s="9">
        <f t="shared" si="159"/>
        <v>7178537</v>
      </c>
      <c r="J390" s="9">
        <f>4285382+5381+798242+387712</f>
        <v>5476717</v>
      </c>
      <c r="K390" s="6" t="s">
        <v>849</v>
      </c>
      <c r="L390" s="9"/>
      <c r="M390" s="10"/>
      <c r="N390" s="10"/>
      <c r="O390" s="9">
        <f t="shared" si="160"/>
        <v>7178537</v>
      </c>
      <c r="P390" s="38">
        <v>1.0</v>
      </c>
      <c r="Q390" s="9">
        <f t="shared" si="161"/>
        <v>7178537</v>
      </c>
      <c r="R390" s="9">
        <f t="shared" si="162"/>
        <v>7178537</v>
      </c>
      <c r="S390" s="9">
        <f t="shared" si="163"/>
        <v>7178537</v>
      </c>
      <c r="T390" s="9"/>
      <c r="U390" s="40" t="s">
        <v>875</v>
      </c>
      <c r="V390" s="6"/>
      <c r="W390" s="6"/>
      <c r="X390" s="6"/>
      <c r="Y390" s="6"/>
      <c r="Z390" s="6"/>
      <c r="AA390" s="6"/>
      <c r="AB390" s="6"/>
      <c r="AC390" s="6"/>
      <c r="AD390" s="6"/>
      <c r="AE390" s="6"/>
      <c r="AF390" s="6"/>
      <c r="AG390" s="6"/>
      <c r="AH390" s="6"/>
    </row>
    <row r="391" ht="15.75" customHeight="1">
      <c r="A391" s="6"/>
      <c r="B391" s="25" t="s">
        <v>830</v>
      </c>
      <c r="C391" s="25"/>
      <c r="D391" s="25"/>
      <c r="E391" s="25" t="s">
        <v>876</v>
      </c>
      <c r="F391" s="25" t="s">
        <v>47</v>
      </c>
      <c r="G391" s="9"/>
      <c r="H391" s="9">
        <f>5123750+561900+2876812+10176+42+603482</f>
        <v>9176162</v>
      </c>
      <c r="I391" s="9">
        <f t="shared" si="159"/>
        <v>8338986</v>
      </c>
      <c r="J391" s="9">
        <f>589560+247616</f>
        <v>837176</v>
      </c>
      <c r="K391" s="6" t="s">
        <v>849</v>
      </c>
      <c r="L391" s="9"/>
      <c r="M391" s="10"/>
      <c r="N391" s="10"/>
      <c r="O391" s="9">
        <f t="shared" si="160"/>
        <v>8338986</v>
      </c>
      <c r="P391" s="38">
        <v>1.0</v>
      </c>
      <c r="Q391" s="9">
        <f t="shared" si="161"/>
        <v>8338986</v>
      </c>
      <c r="R391" s="9">
        <f t="shared" si="162"/>
        <v>8338986</v>
      </c>
      <c r="S391" s="9">
        <f t="shared" si="163"/>
        <v>8338986</v>
      </c>
      <c r="T391" s="9"/>
      <c r="U391" s="40" t="s">
        <v>877</v>
      </c>
      <c r="V391" s="6"/>
      <c r="W391" s="6"/>
      <c r="X391" s="6"/>
      <c r="Y391" s="6"/>
      <c r="Z391" s="6"/>
      <c r="AA391" s="6"/>
      <c r="AB391" s="6"/>
      <c r="AC391" s="6"/>
      <c r="AD391" s="6"/>
      <c r="AE391" s="6"/>
      <c r="AF391" s="6"/>
      <c r="AG391" s="6"/>
      <c r="AH391" s="6"/>
    </row>
    <row r="392" ht="15.75" customHeight="1">
      <c r="A392" s="6"/>
      <c r="B392" s="25" t="s">
        <v>830</v>
      </c>
      <c r="C392" s="25"/>
      <c r="D392" s="25"/>
      <c r="E392" s="25" t="s">
        <v>878</v>
      </c>
      <c r="F392" s="25" t="s">
        <v>47</v>
      </c>
      <c r="G392" s="9">
        <v>3887000.0</v>
      </c>
      <c r="H392" s="9">
        <v>3.76983E8</v>
      </c>
      <c r="I392" s="9">
        <f t="shared" si="159"/>
        <v>176542000</v>
      </c>
      <c r="J392" s="9">
        <f>44836000+148009000+7596000</f>
        <v>200441000</v>
      </c>
      <c r="K392" s="6" t="s">
        <v>879</v>
      </c>
      <c r="L392" s="9"/>
      <c r="M392" s="10"/>
      <c r="N392" s="10"/>
      <c r="O392" s="9">
        <f t="shared" si="160"/>
        <v>180429000</v>
      </c>
      <c r="P392" s="38">
        <v>0.9339</v>
      </c>
      <c r="Q392" s="9">
        <f t="shared" si="161"/>
        <v>164872573.8</v>
      </c>
      <c r="R392" s="9">
        <f t="shared" si="162"/>
        <v>168502643.1</v>
      </c>
      <c r="S392" s="9">
        <f t="shared" si="163"/>
        <v>168502643.1</v>
      </c>
      <c r="T392" s="9"/>
      <c r="U392" s="40" t="s">
        <v>880</v>
      </c>
      <c r="V392" s="6"/>
      <c r="W392" s="6"/>
      <c r="X392" s="6"/>
      <c r="Y392" s="6"/>
      <c r="Z392" s="6"/>
      <c r="AA392" s="6"/>
      <c r="AB392" s="6"/>
      <c r="AC392" s="6"/>
      <c r="AD392" s="6"/>
      <c r="AE392" s="6"/>
      <c r="AF392" s="6"/>
      <c r="AG392" s="6"/>
      <c r="AH392" s="6"/>
    </row>
    <row r="393" ht="15.75" customHeight="1">
      <c r="A393" s="6"/>
      <c r="B393" s="25" t="s">
        <v>830</v>
      </c>
      <c r="C393" s="25"/>
      <c r="D393" s="25"/>
      <c r="E393" s="25" t="s">
        <v>881</v>
      </c>
      <c r="F393" s="25" t="s">
        <v>47</v>
      </c>
      <c r="G393" s="9">
        <v>5182964.0</v>
      </c>
      <c r="H393" s="9">
        <v>1.72057773E8</v>
      </c>
      <c r="I393" s="9">
        <f t="shared" si="159"/>
        <v>90528430</v>
      </c>
      <c r="J393" s="9">
        <v>8.1529343E7</v>
      </c>
      <c r="K393" s="6" t="s">
        <v>882</v>
      </c>
      <c r="L393" s="9"/>
      <c r="M393" s="10"/>
      <c r="N393" s="10"/>
      <c r="O393" s="9">
        <f t="shared" si="160"/>
        <v>95711394</v>
      </c>
      <c r="P393" s="38">
        <v>0.7733</v>
      </c>
      <c r="Q393" s="9">
        <f t="shared" si="161"/>
        <v>70005634.92</v>
      </c>
      <c r="R393" s="9">
        <f t="shared" si="162"/>
        <v>74013620.98</v>
      </c>
      <c r="S393" s="9">
        <f t="shared" si="163"/>
        <v>74013620.98</v>
      </c>
      <c r="T393" s="9"/>
      <c r="U393" s="40" t="s">
        <v>883</v>
      </c>
      <c r="V393" s="6"/>
      <c r="W393" s="6"/>
      <c r="X393" s="6"/>
      <c r="Y393" s="6"/>
      <c r="Z393" s="6"/>
      <c r="AA393" s="6"/>
      <c r="AB393" s="6"/>
      <c r="AC393" s="6"/>
      <c r="AD393" s="6"/>
      <c r="AE393" s="6"/>
      <c r="AF393" s="6"/>
      <c r="AG393" s="6"/>
      <c r="AH393" s="6"/>
    </row>
    <row r="394" ht="15.75" customHeight="1">
      <c r="A394" s="6"/>
      <c r="B394" s="25" t="s">
        <v>830</v>
      </c>
      <c r="C394" s="25"/>
      <c r="D394" s="25"/>
      <c r="E394" s="25" t="s">
        <v>884</v>
      </c>
      <c r="F394" s="25" t="s">
        <v>47</v>
      </c>
      <c r="G394" s="9"/>
      <c r="H394" s="9">
        <f>42827444+227427+10935000+5779</f>
        <v>53995650</v>
      </c>
      <c r="I394" s="9">
        <f t="shared" si="159"/>
        <v>39443345</v>
      </c>
      <c r="J394" s="9">
        <f>5779+9978980+4567546</f>
        <v>14552305</v>
      </c>
      <c r="K394" s="6" t="s">
        <v>885</v>
      </c>
      <c r="L394" s="9"/>
      <c r="M394" s="10"/>
      <c r="N394" s="10"/>
      <c r="O394" s="9">
        <f t="shared" si="160"/>
        <v>39443345</v>
      </c>
      <c r="P394" s="38">
        <v>1.0</v>
      </c>
      <c r="Q394" s="9">
        <f t="shared" si="161"/>
        <v>39443345</v>
      </c>
      <c r="R394" s="9">
        <f t="shared" si="162"/>
        <v>39443345</v>
      </c>
      <c r="S394" s="9">
        <f t="shared" si="163"/>
        <v>39443345</v>
      </c>
      <c r="T394" s="9"/>
      <c r="U394" s="40" t="s">
        <v>886</v>
      </c>
      <c r="V394" s="6"/>
      <c r="W394" s="6"/>
      <c r="X394" s="6"/>
      <c r="Y394" s="6"/>
      <c r="Z394" s="6"/>
      <c r="AA394" s="6"/>
      <c r="AB394" s="6"/>
      <c r="AC394" s="6"/>
      <c r="AD394" s="6"/>
      <c r="AE394" s="6"/>
      <c r="AF394" s="6"/>
      <c r="AG394" s="6"/>
      <c r="AH394" s="6"/>
    </row>
    <row r="395" ht="15.75" customHeight="1">
      <c r="A395" s="6"/>
      <c r="B395" s="25" t="s">
        <v>830</v>
      </c>
      <c r="C395" s="25"/>
      <c r="D395" s="25"/>
      <c r="E395" s="25" t="s">
        <v>887</v>
      </c>
      <c r="F395" s="25" t="s">
        <v>29</v>
      </c>
      <c r="G395" s="9"/>
      <c r="H395" s="9"/>
      <c r="I395" s="9">
        <f t="shared" si="159"/>
        <v>0</v>
      </c>
      <c r="J395" s="9"/>
      <c r="K395" s="6"/>
      <c r="L395" s="9"/>
      <c r="M395" s="10"/>
      <c r="N395" s="10"/>
      <c r="O395" s="9">
        <f t="shared" si="160"/>
        <v>0</v>
      </c>
      <c r="P395" s="38">
        <v>1.0</v>
      </c>
      <c r="Q395" s="9">
        <f t="shared" si="161"/>
        <v>0</v>
      </c>
      <c r="R395" s="9">
        <f t="shared" si="162"/>
        <v>0</v>
      </c>
      <c r="S395" s="9">
        <f t="shared" si="163"/>
        <v>0</v>
      </c>
      <c r="T395" s="9"/>
      <c r="U395" s="6" t="s">
        <v>60</v>
      </c>
      <c r="V395" s="6"/>
      <c r="W395" s="6"/>
      <c r="X395" s="6"/>
      <c r="Y395" s="6"/>
      <c r="Z395" s="6"/>
      <c r="AA395" s="6"/>
      <c r="AB395" s="6"/>
      <c r="AC395" s="6"/>
      <c r="AD395" s="6"/>
      <c r="AE395" s="6"/>
      <c r="AF395" s="6"/>
      <c r="AG395" s="6"/>
      <c r="AH395" s="6"/>
    </row>
    <row r="396" ht="15.75" customHeight="1">
      <c r="A396" s="6"/>
      <c r="B396" s="25"/>
      <c r="C396" s="25"/>
      <c r="D396" s="25"/>
      <c r="E396" s="41" t="s">
        <v>35</v>
      </c>
      <c r="F396" s="25"/>
      <c r="G396" s="9"/>
      <c r="H396" s="9"/>
      <c r="I396" s="9"/>
      <c r="J396" s="9"/>
      <c r="K396" s="6"/>
      <c r="L396" s="9"/>
      <c r="M396" s="10"/>
      <c r="N396" s="10"/>
      <c r="O396" s="9"/>
      <c r="P396" s="26" t="s">
        <v>888</v>
      </c>
      <c r="Q396" s="19">
        <f t="shared" ref="Q396:S396" si="164">SUM(Q371:Q395)</f>
        <v>2967242401</v>
      </c>
      <c r="R396" s="19">
        <f t="shared" si="164"/>
        <v>3662922305</v>
      </c>
      <c r="S396" s="19">
        <f t="shared" si="164"/>
        <v>3765384495</v>
      </c>
      <c r="T396" s="20">
        <v>1.549436545E9</v>
      </c>
      <c r="U396" s="6"/>
      <c r="V396" s="6"/>
      <c r="W396" s="6"/>
      <c r="X396" s="6"/>
      <c r="Y396" s="6"/>
      <c r="Z396" s="6"/>
      <c r="AA396" s="6"/>
      <c r="AB396" s="6"/>
      <c r="AC396" s="6"/>
      <c r="AD396" s="6"/>
      <c r="AE396" s="6"/>
      <c r="AF396" s="6"/>
      <c r="AG396" s="6"/>
      <c r="AH396" s="6"/>
    </row>
    <row r="397" ht="15.75" customHeight="1">
      <c r="A397" s="6">
        <v>27.0</v>
      </c>
      <c r="B397" s="25" t="s">
        <v>889</v>
      </c>
      <c r="C397" s="42" t="s">
        <v>890</v>
      </c>
      <c r="D397" s="25"/>
      <c r="E397" s="25"/>
      <c r="F397" s="42" t="s">
        <v>1</v>
      </c>
      <c r="G397" s="8">
        <v>5.411052E9</v>
      </c>
      <c r="H397" s="8">
        <v>1.3686491E10</v>
      </c>
      <c r="I397" s="9">
        <f t="shared" ref="I397:I412" si="165">H397-J397</f>
        <v>13686485000</v>
      </c>
      <c r="J397" s="22">
        <v>6000.0</v>
      </c>
      <c r="K397" s="30" t="s">
        <v>891</v>
      </c>
      <c r="L397" s="9"/>
      <c r="M397" s="10"/>
      <c r="N397" s="8">
        <v>1.0802E8</v>
      </c>
      <c r="O397" s="9">
        <f t="shared" ref="O397:O412" si="166">G397+I397</f>
        <v>19097537000</v>
      </c>
      <c r="P397" s="31">
        <v>0.1548</v>
      </c>
      <c r="Q397" s="9">
        <f t="shared" ref="Q397:Q412" si="167">I397*P397</f>
        <v>2118667878</v>
      </c>
      <c r="R397" s="9">
        <f t="shared" ref="R397:R412" si="168">(O397-N397-M397)*P397</f>
        <v>2939577232</v>
      </c>
      <c r="S397" s="9">
        <f t="shared" ref="S397:S412" si="169">O397*P397</f>
        <v>2956298728</v>
      </c>
      <c r="T397" s="9"/>
      <c r="U397" s="40" t="s">
        <v>892</v>
      </c>
      <c r="V397" s="6"/>
      <c r="W397" s="6"/>
      <c r="X397" s="6"/>
      <c r="Y397" s="6"/>
      <c r="Z397" s="6"/>
      <c r="AA397" s="6"/>
      <c r="AB397" s="6"/>
      <c r="AC397" s="6"/>
      <c r="AD397" s="6"/>
      <c r="AE397" s="6"/>
      <c r="AF397" s="6"/>
      <c r="AG397" s="6"/>
      <c r="AH397" s="6"/>
    </row>
    <row r="398" ht="15.75" customHeight="1">
      <c r="A398" s="6"/>
      <c r="B398" s="25" t="s">
        <v>889</v>
      </c>
      <c r="C398" s="25"/>
      <c r="D398" s="25" t="s">
        <v>893</v>
      </c>
      <c r="E398" s="25"/>
      <c r="F398" s="25" t="s">
        <v>3</v>
      </c>
      <c r="G398" s="9">
        <v>1.20056677E9</v>
      </c>
      <c r="H398" s="9">
        <v>8.49680285E8</v>
      </c>
      <c r="I398" s="9">
        <f t="shared" si="165"/>
        <v>849680285</v>
      </c>
      <c r="J398" s="9"/>
      <c r="K398" s="6"/>
      <c r="L398" s="9"/>
      <c r="M398" s="14">
        <v>2104509.0</v>
      </c>
      <c r="N398" s="10"/>
      <c r="O398" s="9">
        <f t="shared" si="166"/>
        <v>2050247055</v>
      </c>
      <c r="P398" s="38">
        <v>1.0</v>
      </c>
      <c r="Q398" s="9">
        <f t="shared" si="167"/>
        <v>849680285</v>
      </c>
      <c r="R398" s="9">
        <f t="shared" si="168"/>
        <v>2048142546</v>
      </c>
      <c r="S398" s="9">
        <f t="shared" si="169"/>
        <v>2050247055</v>
      </c>
      <c r="T398" s="9"/>
      <c r="U398" s="40" t="s">
        <v>894</v>
      </c>
      <c r="V398" s="6"/>
      <c r="W398" s="6"/>
      <c r="X398" s="6"/>
      <c r="Y398" s="6"/>
      <c r="Z398" s="6"/>
      <c r="AA398" s="6"/>
      <c r="AB398" s="6"/>
      <c r="AC398" s="6"/>
      <c r="AD398" s="6"/>
      <c r="AE398" s="6"/>
      <c r="AF398" s="6"/>
      <c r="AG398" s="6"/>
      <c r="AH398" s="6"/>
    </row>
    <row r="399" ht="15.75" customHeight="1">
      <c r="A399" s="6"/>
      <c r="B399" s="25" t="s">
        <v>889</v>
      </c>
      <c r="C399" s="25"/>
      <c r="D399" s="25"/>
      <c r="E399" s="25" t="s">
        <v>895</v>
      </c>
      <c r="F399" s="25" t="s">
        <v>43</v>
      </c>
      <c r="G399" s="9">
        <v>2.99879E8</v>
      </c>
      <c r="H399" s="9">
        <v>6.10417E8</v>
      </c>
      <c r="I399" s="9">
        <f t="shared" si="165"/>
        <v>598010000</v>
      </c>
      <c r="J399" s="9">
        <f>12399000+8000</f>
        <v>12407000</v>
      </c>
      <c r="K399" s="6" t="s">
        <v>896</v>
      </c>
      <c r="L399" s="9"/>
      <c r="M399" s="10"/>
      <c r="N399" s="14">
        <f>107636000+26633000</f>
        <v>134269000</v>
      </c>
      <c r="O399" s="9">
        <f t="shared" si="166"/>
        <v>897889000</v>
      </c>
      <c r="P399" s="38">
        <v>0.7969</v>
      </c>
      <c r="Q399" s="9">
        <f t="shared" si="167"/>
        <v>476554169</v>
      </c>
      <c r="R399" s="9">
        <f t="shared" si="168"/>
        <v>608528778</v>
      </c>
      <c r="S399" s="9">
        <f t="shared" si="169"/>
        <v>715527744.1</v>
      </c>
      <c r="T399" s="9"/>
      <c r="U399" s="40" t="s">
        <v>897</v>
      </c>
      <c r="V399" s="6"/>
      <c r="W399" s="6"/>
      <c r="X399" s="6"/>
      <c r="Y399" s="6"/>
      <c r="Z399" s="6"/>
      <c r="AA399" s="6"/>
      <c r="AB399" s="6"/>
      <c r="AC399" s="6"/>
      <c r="AD399" s="6"/>
      <c r="AE399" s="6"/>
      <c r="AF399" s="6"/>
      <c r="AG399" s="6"/>
      <c r="AH399" s="6"/>
    </row>
    <row r="400" ht="15.75" customHeight="1">
      <c r="A400" s="6"/>
      <c r="B400" s="25" t="s">
        <v>889</v>
      </c>
      <c r="C400" s="25"/>
      <c r="D400" s="25"/>
      <c r="E400" s="25" t="s">
        <v>898</v>
      </c>
      <c r="F400" s="25" t="s">
        <v>43</v>
      </c>
      <c r="G400" s="9">
        <v>1.11253E8</v>
      </c>
      <c r="H400" s="9">
        <v>2.70749E8</v>
      </c>
      <c r="I400" s="9">
        <f t="shared" si="165"/>
        <v>270749000</v>
      </c>
      <c r="J400" s="9"/>
      <c r="K400" s="6"/>
      <c r="L400" s="9"/>
      <c r="M400" s="10"/>
      <c r="N400" s="14">
        <v>2.361E7</v>
      </c>
      <c r="O400" s="9">
        <f t="shared" si="166"/>
        <v>382002000</v>
      </c>
      <c r="P400" s="38">
        <v>0.0027</v>
      </c>
      <c r="Q400" s="9">
        <f t="shared" si="167"/>
        <v>731022.3</v>
      </c>
      <c r="R400" s="9">
        <f t="shared" si="168"/>
        <v>967658.4</v>
      </c>
      <c r="S400" s="9">
        <f t="shared" si="169"/>
        <v>1031405.4</v>
      </c>
      <c r="T400" s="9"/>
      <c r="U400" s="40" t="s">
        <v>899</v>
      </c>
      <c r="V400" s="6"/>
      <c r="W400" s="6"/>
      <c r="X400" s="6"/>
      <c r="Y400" s="6"/>
      <c r="Z400" s="6"/>
      <c r="AA400" s="6"/>
      <c r="AB400" s="6"/>
      <c r="AC400" s="6"/>
      <c r="AD400" s="6"/>
      <c r="AE400" s="6"/>
      <c r="AF400" s="6"/>
      <c r="AG400" s="6"/>
      <c r="AH400" s="6"/>
    </row>
    <row r="401" ht="15.75" customHeight="1">
      <c r="A401" s="6"/>
      <c r="B401" s="25" t="s">
        <v>889</v>
      </c>
      <c r="C401" s="25"/>
      <c r="D401" s="25"/>
      <c r="E401" s="25" t="s">
        <v>900</v>
      </c>
      <c r="F401" s="25" t="s">
        <v>43</v>
      </c>
      <c r="G401" s="9">
        <v>1.50740708E8</v>
      </c>
      <c r="H401" s="9">
        <v>2.0612545E8</v>
      </c>
      <c r="I401" s="9">
        <f t="shared" si="165"/>
        <v>206125450</v>
      </c>
      <c r="J401" s="9"/>
      <c r="K401" s="6"/>
      <c r="L401" s="9"/>
      <c r="M401" s="10"/>
      <c r="N401" s="14">
        <v>3.3556676E7</v>
      </c>
      <c r="O401" s="9">
        <f t="shared" si="166"/>
        <v>356866158</v>
      </c>
      <c r="P401" s="38">
        <v>0.002</v>
      </c>
      <c r="Q401" s="9">
        <f t="shared" si="167"/>
        <v>412250.9</v>
      </c>
      <c r="R401" s="9">
        <f t="shared" si="168"/>
        <v>646618.964</v>
      </c>
      <c r="S401" s="9">
        <f t="shared" si="169"/>
        <v>713732.316</v>
      </c>
      <c r="T401" s="9"/>
      <c r="U401" s="40" t="s">
        <v>901</v>
      </c>
      <c r="V401" s="6"/>
      <c r="W401" s="6"/>
      <c r="X401" s="6"/>
      <c r="Y401" s="6"/>
      <c r="Z401" s="6"/>
      <c r="AA401" s="6"/>
      <c r="AB401" s="6"/>
      <c r="AC401" s="6"/>
      <c r="AD401" s="6"/>
      <c r="AE401" s="6"/>
      <c r="AF401" s="6"/>
      <c r="AG401" s="6"/>
      <c r="AH401" s="6"/>
    </row>
    <row r="402" ht="15.75" customHeight="1">
      <c r="A402" s="6"/>
      <c r="B402" s="25" t="s">
        <v>889</v>
      </c>
      <c r="C402" s="25"/>
      <c r="D402" s="25"/>
      <c r="E402" s="25" t="s">
        <v>902</v>
      </c>
      <c r="F402" s="25" t="s">
        <v>47</v>
      </c>
      <c r="G402" s="9">
        <v>3930007.0</v>
      </c>
      <c r="H402" s="9">
        <v>1.20554711E8</v>
      </c>
      <c r="I402" s="9">
        <f t="shared" si="165"/>
        <v>23021737</v>
      </c>
      <c r="J402" s="9">
        <v>9.7532974E7</v>
      </c>
      <c r="K402" s="6" t="s">
        <v>903</v>
      </c>
      <c r="L402" s="9"/>
      <c r="M402" s="10"/>
      <c r="N402" s="10"/>
      <c r="O402" s="9">
        <f t="shared" si="166"/>
        <v>26951744</v>
      </c>
      <c r="P402" s="38">
        <v>1.0</v>
      </c>
      <c r="Q402" s="9">
        <f t="shared" si="167"/>
        <v>23021737</v>
      </c>
      <c r="R402" s="9">
        <f t="shared" si="168"/>
        <v>26951744</v>
      </c>
      <c r="S402" s="9">
        <f t="shared" si="169"/>
        <v>26951744</v>
      </c>
      <c r="T402" s="9"/>
      <c r="U402" s="40" t="s">
        <v>904</v>
      </c>
      <c r="V402" s="6"/>
      <c r="W402" s="6"/>
      <c r="X402" s="6"/>
      <c r="Y402" s="6"/>
      <c r="Z402" s="6"/>
      <c r="AA402" s="6"/>
      <c r="AB402" s="6"/>
      <c r="AC402" s="6"/>
      <c r="AD402" s="6"/>
      <c r="AE402" s="6"/>
      <c r="AF402" s="6"/>
      <c r="AG402" s="6"/>
      <c r="AH402" s="6"/>
    </row>
    <row r="403" ht="15.75" customHeight="1">
      <c r="A403" s="6"/>
      <c r="B403" s="25" t="s">
        <v>889</v>
      </c>
      <c r="C403" s="25"/>
      <c r="D403" s="25"/>
      <c r="E403" s="25" t="s">
        <v>905</v>
      </c>
      <c r="F403" s="25" t="s">
        <v>47</v>
      </c>
      <c r="G403" s="9">
        <v>1979969.0</v>
      </c>
      <c r="H403" s="9">
        <v>7.7238031E7</v>
      </c>
      <c r="I403" s="9">
        <f t="shared" si="165"/>
        <v>17008357</v>
      </c>
      <c r="J403" s="9">
        <f>57667020+2562654</f>
        <v>60229674</v>
      </c>
      <c r="K403" s="6" t="s">
        <v>906</v>
      </c>
      <c r="L403" s="9"/>
      <c r="M403" s="10"/>
      <c r="N403" s="10"/>
      <c r="O403" s="9">
        <f t="shared" si="166"/>
        <v>18988326</v>
      </c>
      <c r="P403" s="38">
        <v>0.6442</v>
      </c>
      <c r="Q403" s="9">
        <f t="shared" si="167"/>
        <v>10956783.58</v>
      </c>
      <c r="R403" s="9">
        <f t="shared" si="168"/>
        <v>12232279.61</v>
      </c>
      <c r="S403" s="9">
        <f t="shared" si="169"/>
        <v>12232279.61</v>
      </c>
      <c r="T403" s="9"/>
      <c r="U403" s="40" t="s">
        <v>907</v>
      </c>
      <c r="V403" s="6"/>
      <c r="W403" s="6"/>
      <c r="X403" s="6"/>
      <c r="Y403" s="6"/>
      <c r="Z403" s="6"/>
      <c r="AA403" s="6"/>
      <c r="AB403" s="6"/>
      <c r="AC403" s="6"/>
      <c r="AD403" s="6"/>
      <c r="AE403" s="6"/>
      <c r="AF403" s="6"/>
      <c r="AG403" s="6"/>
      <c r="AH403" s="6"/>
    </row>
    <row r="404" ht="15.75" customHeight="1">
      <c r="A404" s="6"/>
      <c r="B404" s="25" t="s">
        <v>889</v>
      </c>
      <c r="C404" s="25"/>
      <c r="D404" s="25"/>
      <c r="E404" s="25" t="s">
        <v>908</v>
      </c>
      <c r="F404" s="25" t="s">
        <v>47</v>
      </c>
      <c r="G404" s="9">
        <v>704667.0</v>
      </c>
      <c r="H404" s="9">
        <v>1.42532433E8</v>
      </c>
      <c r="I404" s="9">
        <f t="shared" si="165"/>
        <v>42284523</v>
      </c>
      <c r="J404" s="9">
        <f>100194901+53009</f>
        <v>100247910</v>
      </c>
      <c r="K404" s="6" t="s">
        <v>909</v>
      </c>
      <c r="L404" s="9"/>
      <c r="M404" s="10"/>
      <c r="N404" s="10"/>
      <c r="O404" s="9">
        <f t="shared" si="166"/>
        <v>42989190</v>
      </c>
      <c r="P404" s="38">
        <v>0.1549</v>
      </c>
      <c r="Q404" s="9">
        <f t="shared" si="167"/>
        <v>6549872.613</v>
      </c>
      <c r="R404" s="9">
        <f t="shared" si="168"/>
        <v>6659025.531</v>
      </c>
      <c r="S404" s="9">
        <f t="shared" si="169"/>
        <v>6659025.531</v>
      </c>
      <c r="T404" s="9"/>
      <c r="U404" s="40" t="s">
        <v>910</v>
      </c>
      <c r="V404" s="6"/>
      <c r="W404" s="6"/>
      <c r="X404" s="6"/>
      <c r="Y404" s="6"/>
      <c r="Z404" s="6"/>
      <c r="AA404" s="6"/>
      <c r="AB404" s="6"/>
      <c r="AC404" s="6"/>
      <c r="AD404" s="6"/>
      <c r="AE404" s="6"/>
      <c r="AF404" s="6"/>
      <c r="AG404" s="6"/>
      <c r="AH404" s="6"/>
    </row>
    <row r="405" ht="15.75" customHeight="1">
      <c r="A405" s="6"/>
      <c r="B405" s="25" t="s">
        <v>889</v>
      </c>
      <c r="C405" s="25"/>
      <c r="D405" s="25"/>
      <c r="E405" s="25" t="s">
        <v>911</v>
      </c>
      <c r="F405" s="25" t="s">
        <v>47</v>
      </c>
      <c r="G405" s="9"/>
      <c r="H405" s="9"/>
      <c r="I405" s="9">
        <f t="shared" si="165"/>
        <v>0</v>
      </c>
      <c r="J405" s="9"/>
      <c r="K405" s="6"/>
      <c r="L405" s="9"/>
      <c r="M405" s="10"/>
      <c r="N405" s="10"/>
      <c r="O405" s="9">
        <f t="shared" si="166"/>
        <v>0</v>
      </c>
      <c r="P405" s="38">
        <v>0.9433</v>
      </c>
      <c r="Q405" s="9">
        <f t="shared" si="167"/>
        <v>0</v>
      </c>
      <c r="R405" s="9">
        <f t="shared" si="168"/>
        <v>0</v>
      </c>
      <c r="S405" s="9">
        <f t="shared" si="169"/>
        <v>0</v>
      </c>
      <c r="T405" s="9"/>
      <c r="U405" s="6" t="s">
        <v>60</v>
      </c>
      <c r="V405" s="6"/>
      <c r="W405" s="6"/>
      <c r="X405" s="6"/>
      <c r="Y405" s="6"/>
      <c r="Z405" s="6"/>
      <c r="AA405" s="6"/>
      <c r="AB405" s="6"/>
      <c r="AC405" s="6"/>
      <c r="AD405" s="6"/>
      <c r="AE405" s="6"/>
      <c r="AF405" s="6"/>
      <c r="AG405" s="6"/>
      <c r="AH405" s="6"/>
    </row>
    <row r="406" ht="15.75" customHeight="1">
      <c r="A406" s="6"/>
      <c r="B406" s="25" t="s">
        <v>889</v>
      </c>
      <c r="C406" s="25"/>
      <c r="D406" s="25"/>
      <c r="E406" s="25" t="s">
        <v>912</v>
      </c>
      <c r="F406" s="25" t="s">
        <v>47</v>
      </c>
      <c r="G406" s="9"/>
      <c r="H406" s="9"/>
      <c r="I406" s="9">
        <f t="shared" si="165"/>
        <v>0</v>
      </c>
      <c r="J406" s="9"/>
      <c r="K406" s="6"/>
      <c r="L406" s="9"/>
      <c r="M406" s="10"/>
      <c r="N406" s="10"/>
      <c r="O406" s="9">
        <f t="shared" si="166"/>
        <v>0</v>
      </c>
      <c r="P406" s="38">
        <v>0.9978</v>
      </c>
      <c r="Q406" s="9">
        <f t="shared" si="167"/>
        <v>0</v>
      </c>
      <c r="R406" s="9">
        <f t="shared" si="168"/>
        <v>0</v>
      </c>
      <c r="S406" s="9">
        <f t="shared" si="169"/>
        <v>0</v>
      </c>
      <c r="T406" s="9"/>
      <c r="U406" s="6" t="s">
        <v>60</v>
      </c>
      <c r="V406" s="6"/>
      <c r="W406" s="6"/>
      <c r="X406" s="6"/>
      <c r="Y406" s="6"/>
      <c r="Z406" s="6"/>
      <c r="AA406" s="6"/>
      <c r="AB406" s="6"/>
      <c r="AC406" s="6"/>
      <c r="AD406" s="6"/>
      <c r="AE406" s="6"/>
      <c r="AF406" s="6"/>
      <c r="AG406" s="6"/>
      <c r="AH406" s="6"/>
    </row>
    <row r="407" ht="15.75" customHeight="1">
      <c r="A407" s="6"/>
      <c r="B407" s="25" t="s">
        <v>889</v>
      </c>
      <c r="C407" s="25"/>
      <c r="D407" s="25"/>
      <c r="E407" s="25" t="s">
        <v>913</v>
      </c>
      <c r="F407" s="25" t="s">
        <v>29</v>
      </c>
      <c r="G407" s="9"/>
      <c r="H407" s="9"/>
      <c r="I407" s="9">
        <f t="shared" si="165"/>
        <v>0</v>
      </c>
      <c r="J407" s="9"/>
      <c r="K407" s="6"/>
      <c r="L407" s="9"/>
      <c r="M407" s="10"/>
      <c r="N407" s="10"/>
      <c r="O407" s="9">
        <f t="shared" si="166"/>
        <v>0</v>
      </c>
      <c r="P407" s="38">
        <v>1.0</v>
      </c>
      <c r="Q407" s="9">
        <f t="shared" si="167"/>
        <v>0</v>
      </c>
      <c r="R407" s="9">
        <f t="shared" si="168"/>
        <v>0</v>
      </c>
      <c r="S407" s="9">
        <f t="shared" si="169"/>
        <v>0</v>
      </c>
      <c r="T407" s="9"/>
      <c r="U407" s="6" t="s">
        <v>60</v>
      </c>
      <c r="V407" s="6"/>
      <c r="W407" s="6"/>
      <c r="X407" s="6"/>
      <c r="Y407" s="6"/>
      <c r="Z407" s="6"/>
      <c r="AA407" s="6"/>
      <c r="AB407" s="6"/>
      <c r="AC407" s="6"/>
      <c r="AD407" s="6"/>
      <c r="AE407" s="6"/>
      <c r="AF407" s="6"/>
      <c r="AG407" s="6"/>
      <c r="AH407" s="6"/>
    </row>
    <row r="408" ht="15.75" customHeight="1">
      <c r="A408" s="6"/>
      <c r="B408" s="25" t="s">
        <v>889</v>
      </c>
      <c r="C408" s="25"/>
      <c r="D408" s="25"/>
      <c r="E408" s="25" t="s">
        <v>914</v>
      </c>
      <c r="F408" s="25" t="s">
        <v>29</v>
      </c>
      <c r="G408" s="9"/>
      <c r="H408" s="9">
        <f>212786267+2961083+2838453</f>
        <v>218585803</v>
      </c>
      <c r="I408" s="9">
        <f t="shared" si="165"/>
        <v>176187838</v>
      </c>
      <c r="J408" s="9">
        <f>13097398+29300567</f>
        <v>42397965</v>
      </c>
      <c r="K408" s="9" t="s">
        <v>915</v>
      </c>
      <c r="L408" s="9"/>
      <c r="M408" s="10"/>
      <c r="N408" s="10"/>
      <c r="O408" s="9">
        <f t="shared" si="166"/>
        <v>176187838</v>
      </c>
      <c r="P408" s="38">
        <v>1.0</v>
      </c>
      <c r="Q408" s="9">
        <f t="shared" si="167"/>
        <v>176187838</v>
      </c>
      <c r="R408" s="9">
        <f t="shared" si="168"/>
        <v>176187838</v>
      </c>
      <c r="S408" s="9">
        <f t="shared" si="169"/>
        <v>176187838</v>
      </c>
      <c r="T408" s="9"/>
      <c r="U408" s="40" t="s">
        <v>916</v>
      </c>
      <c r="V408" s="6"/>
      <c r="W408" s="6"/>
      <c r="X408" s="6"/>
      <c r="Y408" s="6"/>
      <c r="Z408" s="6"/>
      <c r="AA408" s="6"/>
      <c r="AB408" s="6"/>
      <c r="AC408" s="6"/>
      <c r="AD408" s="6"/>
      <c r="AE408" s="6"/>
      <c r="AF408" s="6"/>
      <c r="AG408" s="6"/>
      <c r="AH408" s="6"/>
    </row>
    <row r="409" ht="15.75" customHeight="1">
      <c r="A409" s="6"/>
      <c r="B409" s="25" t="s">
        <v>889</v>
      </c>
      <c r="C409" s="25"/>
      <c r="D409" s="25"/>
      <c r="E409" s="25" t="s">
        <v>917</v>
      </c>
      <c r="F409" s="25" t="s">
        <v>29</v>
      </c>
      <c r="G409" s="9">
        <v>2.85284989E8</v>
      </c>
      <c r="H409" s="9">
        <f>415301+13125017+26780083+11915832+27002915+33080722</f>
        <v>112319870</v>
      </c>
      <c r="I409" s="9">
        <f t="shared" si="165"/>
        <v>112319870</v>
      </c>
      <c r="J409" s="9"/>
      <c r="K409" s="6"/>
      <c r="L409" s="9"/>
      <c r="M409" s="10"/>
      <c r="N409" s="10"/>
      <c r="O409" s="9">
        <f t="shared" si="166"/>
        <v>397604859</v>
      </c>
      <c r="P409" s="38">
        <v>0.2649</v>
      </c>
      <c r="Q409" s="9">
        <f t="shared" si="167"/>
        <v>29753533.56</v>
      </c>
      <c r="R409" s="9">
        <f t="shared" si="168"/>
        <v>105325527.1</v>
      </c>
      <c r="S409" s="9">
        <f t="shared" si="169"/>
        <v>105325527.1</v>
      </c>
      <c r="T409" s="9"/>
      <c r="U409" s="40" t="s">
        <v>918</v>
      </c>
      <c r="V409" s="6"/>
      <c r="W409" s="6"/>
      <c r="X409" s="6"/>
      <c r="Y409" s="6"/>
      <c r="Z409" s="6"/>
      <c r="AA409" s="6"/>
      <c r="AB409" s="6"/>
      <c r="AC409" s="6"/>
      <c r="AD409" s="6"/>
      <c r="AE409" s="6"/>
      <c r="AF409" s="6"/>
      <c r="AG409" s="6"/>
      <c r="AH409" s="6"/>
    </row>
    <row r="410" ht="15.75" customHeight="1">
      <c r="A410" s="6"/>
      <c r="B410" s="25" t="s">
        <v>889</v>
      </c>
      <c r="C410" s="25"/>
      <c r="D410" s="25"/>
      <c r="E410" s="25" t="s">
        <v>919</v>
      </c>
      <c r="F410" s="25" t="s">
        <v>29</v>
      </c>
      <c r="G410" s="9"/>
      <c r="H410" s="9">
        <f>114935000+398353000+110065000+118200000+17953000+844000+4599000+13258000</f>
        <v>778207000</v>
      </c>
      <c r="I410" s="9">
        <f t="shared" si="165"/>
        <v>549942000</v>
      </c>
      <c r="J410" s="9">
        <f>110065000+118200000</f>
        <v>228265000</v>
      </c>
      <c r="K410" s="6" t="s">
        <v>920</v>
      </c>
      <c r="L410" s="9"/>
      <c r="M410" s="10"/>
      <c r="N410" s="10"/>
      <c r="O410" s="9">
        <f t="shared" si="166"/>
        <v>549942000</v>
      </c>
      <c r="P410" s="38">
        <v>0.2649</v>
      </c>
      <c r="Q410" s="9">
        <f t="shared" si="167"/>
        <v>145679635.8</v>
      </c>
      <c r="R410" s="9">
        <f t="shared" si="168"/>
        <v>145679635.8</v>
      </c>
      <c r="S410" s="9">
        <f t="shared" si="169"/>
        <v>145679635.8</v>
      </c>
      <c r="T410" s="9"/>
      <c r="U410" s="40" t="s">
        <v>921</v>
      </c>
      <c r="V410" s="6"/>
      <c r="W410" s="6"/>
      <c r="X410" s="6"/>
      <c r="Y410" s="6"/>
      <c r="Z410" s="6"/>
      <c r="AA410" s="6"/>
      <c r="AB410" s="6"/>
      <c r="AC410" s="6"/>
      <c r="AD410" s="6"/>
      <c r="AE410" s="6"/>
      <c r="AF410" s="6"/>
      <c r="AG410" s="6"/>
      <c r="AH410" s="6"/>
    </row>
    <row r="411" ht="15.75" customHeight="1">
      <c r="A411" s="6"/>
      <c r="B411" s="25" t="s">
        <v>889</v>
      </c>
      <c r="C411" s="25"/>
      <c r="D411" s="25"/>
      <c r="E411" s="25" t="s">
        <v>922</v>
      </c>
      <c r="F411" s="25" t="s">
        <v>29</v>
      </c>
      <c r="G411" s="9">
        <v>1.49088712E8</v>
      </c>
      <c r="H411" s="9">
        <v>1.68836059E8</v>
      </c>
      <c r="I411" s="9">
        <f t="shared" si="165"/>
        <v>168836059</v>
      </c>
      <c r="J411" s="9"/>
      <c r="K411" s="6"/>
      <c r="L411" s="9"/>
      <c r="M411" s="10"/>
      <c r="N411" s="10"/>
      <c r="O411" s="9">
        <f t="shared" si="166"/>
        <v>317924771</v>
      </c>
      <c r="P411" s="38">
        <v>0.3278</v>
      </c>
      <c r="Q411" s="9">
        <f t="shared" si="167"/>
        <v>55344460.14</v>
      </c>
      <c r="R411" s="9">
        <f t="shared" si="168"/>
        <v>104215739.9</v>
      </c>
      <c r="S411" s="9">
        <f t="shared" si="169"/>
        <v>104215739.9</v>
      </c>
      <c r="T411" s="9"/>
      <c r="U411" s="40" t="s">
        <v>923</v>
      </c>
      <c r="V411" s="6"/>
      <c r="W411" s="6"/>
      <c r="X411" s="6"/>
      <c r="Y411" s="6"/>
      <c r="Z411" s="6"/>
      <c r="AA411" s="6"/>
      <c r="AB411" s="6"/>
      <c r="AC411" s="6"/>
      <c r="AD411" s="6"/>
      <c r="AE411" s="6"/>
      <c r="AF411" s="6"/>
      <c r="AG411" s="6"/>
      <c r="AH411" s="6"/>
    </row>
    <row r="412" ht="15.75" customHeight="1">
      <c r="A412" s="6"/>
      <c r="B412" s="25" t="s">
        <v>889</v>
      </c>
      <c r="C412" s="25"/>
      <c r="D412" s="25"/>
      <c r="E412" s="25" t="s">
        <v>924</v>
      </c>
      <c r="F412" s="25" t="s">
        <v>29</v>
      </c>
      <c r="G412" s="9"/>
      <c r="H412" s="9"/>
      <c r="I412" s="9">
        <f t="shared" si="165"/>
        <v>0</v>
      </c>
      <c r="J412" s="9"/>
      <c r="K412" s="6"/>
      <c r="L412" s="9"/>
      <c r="M412" s="10"/>
      <c r="N412" s="10"/>
      <c r="O412" s="9">
        <f t="shared" si="166"/>
        <v>0</v>
      </c>
      <c r="P412" s="38">
        <v>0.2649</v>
      </c>
      <c r="Q412" s="9">
        <f t="shared" si="167"/>
        <v>0</v>
      </c>
      <c r="R412" s="9">
        <f t="shared" si="168"/>
        <v>0</v>
      </c>
      <c r="S412" s="9">
        <f t="shared" si="169"/>
        <v>0</v>
      </c>
      <c r="T412" s="9"/>
      <c r="U412" s="6" t="s">
        <v>60</v>
      </c>
      <c r="V412" s="6"/>
      <c r="W412" s="6"/>
      <c r="X412" s="6"/>
      <c r="Y412" s="6"/>
      <c r="Z412" s="6"/>
      <c r="AA412" s="6"/>
      <c r="AB412" s="6"/>
      <c r="AC412" s="6"/>
      <c r="AD412" s="6"/>
      <c r="AE412" s="6"/>
      <c r="AF412" s="6"/>
      <c r="AG412" s="6"/>
      <c r="AH412" s="6"/>
    </row>
    <row r="413" ht="15.75" customHeight="1">
      <c r="A413" s="6"/>
      <c r="B413" s="25"/>
      <c r="C413" s="25"/>
      <c r="D413" s="25"/>
      <c r="E413" s="41" t="s">
        <v>35</v>
      </c>
      <c r="F413" s="25"/>
      <c r="G413" s="9"/>
      <c r="H413" s="9"/>
      <c r="I413" s="9"/>
      <c r="J413" s="9"/>
      <c r="K413" s="6"/>
      <c r="L413" s="9"/>
      <c r="M413" s="10"/>
      <c r="N413" s="10"/>
      <c r="O413" s="9"/>
      <c r="P413" s="26" t="s">
        <v>925</v>
      </c>
      <c r="Q413" s="19">
        <f t="shared" ref="Q413:S413" si="170">SUM(Q397:Q412)</f>
        <v>3893539466</v>
      </c>
      <c r="R413" s="19">
        <f t="shared" si="170"/>
        <v>6175114623</v>
      </c>
      <c r="S413" s="19">
        <f t="shared" si="170"/>
        <v>6301070454</v>
      </c>
      <c r="T413" s="20">
        <v>2.817842502E9</v>
      </c>
      <c r="U413" s="6"/>
      <c r="V413" s="6"/>
      <c r="W413" s="6"/>
      <c r="X413" s="6"/>
      <c r="Y413" s="6"/>
      <c r="Z413" s="6"/>
      <c r="AA413" s="6"/>
      <c r="AB413" s="6"/>
      <c r="AC413" s="6"/>
      <c r="AD413" s="6"/>
      <c r="AE413" s="6"/>
      <c r="AF413" s="6"/>
      <c r="AG413" s="6"/>
      <c r="AH413" s="6"/>
    </row>
    <row r="414" ht="15.75" customHeight="1">
      <c r="A414" s="6">
        <v>28.0</v>
      </c>
      <c r="B414" s="25" t="s">
        <v>778</v>
      </c>
      <c r="C414" s="42" t="s">
        <v>779</v>
      </c>
      <c r="D414" s="25"/>
      <c r="E414" s="25"/>
      <c r="F414" s="42" t="s">
        <v>1</v>
      </c>
      <c r="G414" s="8">
        <v>3.999999E9</v>
      </c>
      <c r="H414" s="8">
        <v>1.7253158E10</v>
      </c>
      <c r="I414" s="9">
        <f t="shared" ref="I414:I418" si="171">H414-J414</f>
        <v>17253015000</v>
      </c>
      <c r="J414" s="8">
        <v>143000.0</v>
      </c>
      <c r="K414" s="30" t="s">
        <v>629</v>
      </c>
      <c r="L414" s="9"/>
      <c r="M414" s="10"/>
      <c r="N414" s="8">
        <v>1.248321E9</v>
      </c>
      <c r="O414" s="9">
        <f t="shared" ref="O414:O418" si="172">G414+I414</f>
        <v>21253014000</v>
      </c>
      <c r="P414" s="31">
        <v>0.0939</v>
      </c>
      <c r="Q414" s="9">
        <f t="shared" ref="Q414:Q418" si="173">I414*P414</f>
        <v>1620058109</v>
      </c>
      <c r="R414" s="9">
        <f t="shared" ref="R414:R418" si="174">(O414-N414-M414)*P414</f>
        <v>1878440673</v>
      </c>
      <c r="S414" s="9">
        <f t="shared" ref="S414:S418" si="175">O414*P414</f>
        <v>1995658015</v>
      </c>
      <c r="T414" s="9"/>
      <c r="U414" s="54" t="s">
        <v>780</v>
      </c>
      <c r="V414" s="6"/>
      <c r="W414" s="6"/>
      <c r="X414" s="6"/>
      <c r="Y414" s="6"/>
      <c r="Z414" s="6"/>
      <c r="AA414" s="6"/>
      <c r="AB414" s="6"/>
      <c r="AC414" s="6"/>
      <c r="AD414" s="6"/>
      <c r="AE414" s="6"/>
      <c r="AF414" s="6"/>
      <c r="AG414" s="6"/>
      <c r="AH414" s="6"/>
    </row>
    <row r="415" ht="15.75" customHeight="1">
      <c r="A415" s="6"/>
      <c r="B415" s="25" t="s">
        <v>778</v>
      </c>
      <c r="C415" s="25"/>
      <c r="D415" s="25" t="s">
        <v>926</v>
      </c>
      <c r="E415" s="25"/>
      <c r="F415" s="25" t="s">
        <v>3</v>
      </c>
      <c r="G415" s="9">
        <v>2.002165E9</v>
      </c>
      <c r="H415" s="9">
        <v>7.92533E8</v>
      </c>
      <c r="I415" s="9">
        <f t="shared" si="171"/>
        <v>842744000</v>
      </c>
      <c r="J415" s="9">
        <v>-5.0211E7</v>
      </c>
      <c r="K415" s="6" t="s">
        <v>762</v>
      </c>
      <c r="L415" s="9"/>
      <c r="M415" s="10"/>
      <c r="N415" s="10"/>
      <c r="O415" s="9">
        <f t="shared" si="172"/>
        <v>2844909000</v>
      </c>
      <c r="P415" s="38">
        <v>1.0</v>
      </c>
      <c r="Q415" s="9">
        <f t="shared" si="173"/>
        <v>842744000</v>
      </c>
      <c r="R415" s="9">
        <f t="shared" si="174"/>
        <v>2844909000</v>
      </c>
      <c r="S415" s="9">
        <f t="shared" si="175"/>
        <v>2844909000</v>
      </c>
      <c r="T415" s="9"/>
      <c r="U415" s="40" t="s">
        <v>927</v>
      </c>
      <c r="V415" s="6"/>
      <c r="W415" s="6"/>
      <c r="X415" s="6"/>
      <c r="Y415" s="6"/>
      <c r="Z415" s="6"/>
      <c r="AA415" s="6"/>
      <c r="AB415" s="6"/>
      <c r="AC415" s="6"/>
      <c r="AD415" s="6"/>
      <c r="AE415" s="6"/>
      <c r="AF415" s="6"/>
      <c r="AG415" s="6"/>
      <c r="AH415" s="6"/>
    </row>
    <row r="416" ht="15.75" customHeight="1">
      <c r="A416" s="6"/>
      <c r="B416" s="25" t="s">
        <v>778</v>
      </c>
      <c r="C416" s="25"/>
      <c r="D416" s="25"/>
      <c r="E416" s="25" t="s">
        <v>928</v>
      </c>
      <c r="F416" s="25" t="s">
        <v>43</v>
      </c>
      <c r="G416" s="9"/>
      <c r="H416" s="9"/>
      <c r="I416" s="9">
        <f t="shared" si="171"/>
        <v>0</v>
      </c>
      <c r="J416" s="9"/>
      <c r="K416" s="6"/>
      <c r="L416" s="9"/>
      <c r="M416" s="10"/>
      <c r="N416" s="10"/>
      <c r="O416" s="9">
        <f t="shared" si="172"/>
        <v>0</v>
      </c>
      <c r="P416" s="38">
        <v>0.6764</v>
      </c>
      <c r="Q416" s="9">
        <f t="shared" si="173"/>
        <v>0</v>
      </c>
      <c r="R416" s="9">
        <f t="shared" si="174"/>
        <v>0</v>
      </c>
      <c r="S416" s="9">
        <f t="shared" si="175"/>
        <v>0</v>
      </c>
      <c r="T416" s="9"/>
      <c r="U416" s="40" t="s">
        <v>929</v>
      </c>
      <c r="V416" s="6" t="s">
        <v>838</v>
      </c>
      <c r="W416" s="6"/>
      <c r="X416" s="6"/>
      <c r="Y416" s="6"/>
      <c r="Z416" s="6"/>
      <c r="AA416" s="6"/>
      <c r="AB416" s="6"/>
      <c r="AC416" s="6"/>
      <c r="AD416" s="6"/>
      <c r="AE416" s="6"/>
      <c r="AF416" s="6"/>
      <c r="AG416" s="6"/>
      <c r="AH416" s="6"/>
    </row>
    <row r="417" ht="15.75" customHeight="1">
      <c r="A417" s="6"/>
      <c r="B417" s="25" t="s">
        <v>778</v>
      </c>
      <c r="C417" s="25"/>
      <c r="D417" s="25"/>
      <c r="E417" s="25" t="s">
        <v>930</v>
      </c>
      <c r="F417" s="25" t="s">
        <v>29</v>
      </c>
      <c r="G417" s="9"/>
      <c r="H417" s="9">
        <f>91789457+28402</f>
        <v>91817859</v>
      </c>
      <c r="I417" s="9">
        <f t="shared" si="171"/>
        <v>11506796</v>
      </c>
      <c r="J417" s="9">
        <v>8.0311063E7</v>
      </c>
      <c r="K417" s="6" t="s">
        <v>931</v>
      </c>
      <c r="L417" s="9"/>
      <c r="M417" s="10"/>
      <c r="N417" s="10"/>
      <c r="O417" s="9">
        <f t="shared" si="172"/>
        <v>11506796</v>
      </c>
      <c r="P417" s="38">
        <v>1.0</v>
      </c>
      <c r="Q417" s="9">
        <f t="shared" si="173"/>
        <v>11506796</v>
      </c>
      <c r="R417" s="9">
        <f t="shared" si="174"/>
        <v>11506796</v>
      </c>
      <c r="S417" s="9">
        <f t="shared" si="175"/>
        <v>11506796</v>
      </c>
      <c r="T417" s="9"/>
      <c r="U417" s="40" t="s">
        <v>932</v>
      </c>
      <c r="V417" s="6"/>
      <c r="W417" s="6"/>
      <c r="X417" s="6"/>
      <c r="Y417" s="6"/>
      <c r="Z417" s="6"/>
      <c r="AA417" s="6"/>
      <c r="AB417" s="6"/>
      <c r="AC417" s="6"/>
      <c r="AD417" s="6"/>
      <c r="AE417" s="6"/>
      <c r="AF417" s="6"/>
      <c r="AG417" s="6"/>
      <c r="AH417" s="6"/>
    </row>
    <row r="418" ht="15.75" customHeight="1">
      <c r="A418" s="6"/>
      <c r="B418" s="25" t="s">
        <v>778</v>
      </c>
      <c r="C418" s="25"/>
      <c r="D418" s="25"/>
      <c r="E418" s="25" t="s">
        <v>933</v>
      </c>
      <c r="F418" s="25" t="s">
        <v>29</v>
      </c>
      <c r="G418" s="9"/>
      <c r="H418" s="9">
        <f>105160000+7522000+5306000+7238000+52000+90000</f>
        <v>125368000</v>
      </c>
      <c r="I418" s="9">
        <f t="shared" si="171"/>
        <v>125316000</v>
      </c>
      <c r="J418" s="9">
        <v>52000.0</v>
      </c>
      <c r="K418" s="6" t="s">
        <v>934</v>
      </c>
      <c r="L418" s="9"/>
      <c r="M418" s="10"/>
      <c r="N418" s="10"/>
      <c r="O418" s="9">
        <f t="shared" si="172"/>
        <v>125316000</v>
      </c>
      <c r="P418" s="38">
        <v>0.4884</v>
      </c>
      <c r="Q418" s="9">
        <f t="shared" si="173"/>
        <v>61204334.4</v>
      </c>
      <c r="R418" s="9">
        <f t="shared" si="174"/>
        <v>61204334.4</v>
      </c>
      <c r="S418" s="9">
        <f t="shared" si="175"/>
        <v>61204334.4</v>
      </c>
      <c r="T418" s="9"/>
      <c r="U418" s="40" t="s">
        <v>935</v>
      </c>
      <c r="V418" s="6"/>
      <c r="W418" s="6"/>
      <c r="X418" s="6"/>
      <c r="Y418" s="6"/>
      <c r="Z418" s="6"/>
      <c r="AA418" s="6"/>
      <c r="AB418" s="6"/>
      <c r="AC418" s="6"/>
      <c r="AD418" s="6"/>
      <c r="AE418" s="6"/>
      <c r="AF418" s="6"/>
      <c r="AG418" s="6"/>
      <c r="AH418" s="6"/>
    </row>
    <row r="419" ht="15.75" customHeight="1">
      <c r="A419" s="6"/>
      <c r="B419" s="25"/>
      <c r="C419" s="25"/>
      <c r="D419" s="25"/>
      <c r="E419" s="41" t="s">
        <v>35</v>
      </c>
      <c r="F419" s="25"/>
      <c r="G419" s="9"/>
      <c r="H419" s="9"/>
      <c r="I419" s="9"/>
      <c r="J419" s="9"/>
      <c r="K419" s="6"/>
      <c r="L419" s="9"/>
      <c r="M419" s="10"/>
      <c r="N419" s="10"/>
      <c r="O419" s="9"/>
      <c r="P419" s="26" t="s">
        <v>936</v>
      </c>
      <c r="Q419" s="19">
        <f t="shared" ref="Q419:S419" si="176">SUM(Q414:Q418)</f>
        <v>2535513239</v>
      </c>
      <c r="R419" s="19">
        <f t="shared" si="176"/>
        <v>4796060803</v>
      </c>
      <c r="S419" s="19">
        <f t="shared" si="176"/>
        <v>4913278145</v>
      </c>
      <c r="T419" s="20">
        <v>2.167016302E9</v>
      </c>
      <c r="U419" s="6"/>
      <c r="V419" s="6"/>
      <c r="W419" s="6"/>
      <c r="X419" s="6"/>
      <c r="Y419" s="6"/>
      <c r="Z419" s="6"/>
      <c r="AA419" s="6"/>
      <c r="AB419" s="6"/>
      <c r="AC419" s="6"/>
      <c r="AD419" s="6"/>
      <c r="AE419" s="6"/>
      <c r="AF419" s="6"/>
      <c r="AG419" s="6"/>
      <c r="AH419" s="6"/>
    </row>
    <row r="420" ht="15.75" customHeight="1">
      <c r="A420" s="6">
        <v>29.0</v>
      </c>
      <c r="B420" s="25" t="s">
        <v>937</v>
      </c>
      <c r="C420" s="42" t="s">
        <v>938</v>
      </c>
      <c r="D420" s="25"/>
      <c r="E420" s="25"/>
      <c r="F420" s="42" t="s">
        <v>1</v>
      </c>
      <c r="G420" s="8">
        <v>3.884857E9</v>
      </c>
      <c r="H420" s="8">
        <v>1.6654065E10</v>
      </c>
      <c r="I420" s="9">
        <f t="shared" ref="I420:I424" si="177">H420-J420</f>
        <v>13904535000</v>
      </c>
      <c r="J420" s="9">
        <f>2749530000</f>
        <v>2749530000</v>
      </c>
      <c r="K420" s="30" t="s">
        <v>939</v>
      </c>
      <c r="L420" s="9"/>
      <c r="M420" s="10"/>
      <c r="N420" s="8">
        <v>1.851183E9</v>
      </c>
      <c r="O420" s="9">
        <f t="shared" ref="O420:O424" si="178">G420+I420</f>
        <v>17789392000</v>
      </c>
      <c r="P420" s="31">
        <v>0.1373</v>
      </c>
      <c r="Q420" s="9">
        <f t="shared" ref="Q420:Q424" si="179">I420*P420</f>
        <v>1909092656</v>
      </c>
      <c r="R420" s="9">
        <f t="shared" ref="R420:R424" si="180">(O420-N420-M420)*P420</f>
        <v>2188316096</v>
      </c>
      <c r="S420" s="9">
        <f t="shared" ref="S420:S424" si="181">O420*P420</f>
        <v>2442483522</v>
      </c>
      <c r="T420" s="9"/>
      <c r="U420" s="40" t="s">
        <v>940</v>
      </c>
      <c r="V420" s="6"/>
      <c r="W420" s="6"/>
      <c r="X420" s="6"/>
      <c r="Y420" s="6"/>
      <c r="Z420" s="6"/>
      <c r="AA420" s="6"/>
      <c r="AB420" s="6"/>
      <c r="AC420" s="6"/>
      <c r="AD420" s="6"/>
      <c r="AE420" s="6"/>
      <c r="AF420" s="6"/>
      <c r="AG420" s="6"/>
      <c r="AH420" s="6"/>
    </row>
    <row r="421" ht="15.75" customHeight="1">
      <c r="A421" s="6"/>
      <c r="B421" s="25" t="s">
        <v>937</v>
      </c>
      <c r="C421" s="25"/>
      <c r="D421" s="25" t="s">
        <v>941</v>
      </c>
      <c r="E421" s="25"/>
      <c r="F421" s="25" t="s">
        <v>3</v>
      </c>
      <c r="G421" s="9">
        <v>7.0530441E7</v>
      </c>
      <c r="H421" s="9">
        <v>7.6746868E8</v>
      </c>
      <c r="I421" s="9">
        <f t="shared" si="177"/>
        <v>657935908</v>
      </c>
      <c r="J421" s="9">
        <v>1.09532772E8</v>
      </c>
      <c r="K421" s="6" t="s">
        <v>942</v>
      </c>
      <c r="L421" s="9"/>
      <c r="M421" s="10"/>
      <c r="N421" s="14">
        <f>11734046+1226801</f>
        <v>12960847</v>
      </c>
      <c r="O421" s="9">
        <f t="shared" si="178"/>
        <v>728466349</v>
      </c>
      <c r="P421" s="38">
        <v>1.0</v>
      </c>
      <c r="Q421" s="9">
        <f t="shared" si="179"/>
        <v>657935908</v>
      </c>
      <c r="R421" s="9">
        <f t="shared" si="180"/>
        <v>715505502</v>
      </c>
      <c r="S421" s="9">
        <f t="shared" si="181"/>
        <v>728466349</v>
      </c>
      <c r="T421" s="9"/>
      <c r="U421" s="40" t="s">
        <v>943</v>
      </c>
      <c r="V421" s="6"/>
      <c r="W421" s="6"/>
      <c r="X421" s="6"/>
      <c r="Y421" s="6"/>
      <c r="Z421" s="6"/>
      <c r="AA421" s="6"/>
      <c r="AB421" s="6"/>
      <c r="AC421" s="6"/>
      <c r="AD421" s="6"/>
      <c r="AE421" s="6"/>
      <c r="AF421" s="6"/>
      <c r="AG421" s="6"/>
      <c r="AH421" s="6"/>
    </row>
    <row r="422" ht="15.75" customHeight="1">
      <c r="A422" s="6"/>
      <c r="B422" s="25" t="s">
        <v>937</v>
      </c>
      <c r="C422" s="25"/>
      <c r="D422" s="25"/>
      <c r="E422" s="25" t="s">
        <v>944</v>
      </c>
      <c r="F422" s="25" t="s">
        <v>43</v>
      </c>
      <c r="G422" s="9"/>
      <c r="H422" s="9"/>
      <c r="I422" s="9">
        <f t="shared" si="177"/>
        <v>0</v>
      </c>
      <c r="J422" s="9"/>
      <c r="K422" s="6"/>
      <c r="L422" s="9"/>
      <c r="M422" s="10"/>
      <c r="N422" s="10"/>
      <c r="O422" s="9">
        <f t="shared" si="178"/>
        <v>0</v>
      </c>
      <c r="P422" s="38">
        <v>0.3208</v>
      </c>
      <c r="Q422" s="9">
        <f t="shared" si="179"/>
        <v>0</v>
      </c>
      <c r="R422" s="9">
        <f t="shared" si="180"/>
        <v>0</v>
      </c>
      <c r="S422" s="9">
        <f t="shared" si="181"/>
        <v>0</v>
      </c>
      <c r="T422" s="9"/>
      <c r="U422" s="6" t="s">
        <v>60</v>
      </c>
      <c r="V422" s="6"/>
      <c r="W422" s="6"/>
      <c r="X422" s="6"/>
      <c r="Y422" s="6"/>
      <c r="Z422" s="6"/>
      <c r="AA422" s="6"/>
      <c r="AB422" s="6"/>
      <c r="AC422" s="6"/>
      <c r="AD422" s="6"/>
      <c r="AE422" s="6"/>
      <c r="AF422" s="6"/>
      <c r="AG422" s="6"/>
      <c r="AH422" s="6"/>
    </row>
    <row r="423" ht="15.75" customHeight="1">
      <c r="A423" s="6"/>
      <c r="B423" s="25" t="s">
        <v>937</v>
      </c>
      <c r="C423" s="25"/>
      <c r="D423" s="25"/>
      <c r="E423" s="25" t="s">
        <v>945</v>
      </c>
      <c r="F423" s="25" t="s">
        <v>47</v>
      </c>
      <c r="G423" s="9">
        <v>3534142.0</v>
      </c>
      <c r="H423" s="9">
        <v>1.41500003E9</v>
      </c>
      <c r="I423" s="9">
        <f t="shared" si="177"/>
        <v>746422341</v>
      </c>
      <c r="J423" s="9">
        <f>434461333+234116356</f>
        <v>668577689</v>
      </c>
      <c r="K423" s="6" t="s">
        <v>946</v>
      </c>
      <c r="L423" s="9"/>
      <c r="M423" s="10"/>
      <c r="N423" s="10"/>
      <c r="O423" s="9">
        <f t="shared" si="178"/>
        <v>749956483</v>
      </c>
      <c r="P423" s="38">
        <v>1.0</v>
      </c>
      <c r="Q423" s="9">
        <f t="shared" si="179"/>
        <v>746422341</v>
      </c>
      <c r="R423" s="9">
        <f t="shared" si="180"/>
        <v>749956483</v>
      </c>
      <c r="S423" s="9">
        <f t="shared" si="181"/>
        <v>749956483</v>
      </c>
      <c r="T423" s="9"/>
      <c r="U423" s="40" t="s">
        <v>947</v>
      </c>
      <c r="V423" s="6"/>
      <c r="W423" s="6"/>
      <c r="X423" s="6"/>
      <c r="Y423" s="6"/>
      <c r="Z423" s="6"/>
      <c r="AA423" s="6"/>
      <c r="AB423" s="6"/>
      <c r="AC423" s="6"/>
      <c r="AD423" s="6"/>
      <c r="AE423" s="6"/>
      <c r="AF423" s="6"/>
      <c r="AG423" s="6"/>
      <c r="AH423" s="6"/>
    </row>
    <row r="424" ht="15.75" customHeight="1">
      <c r="A424" s="6"/>
      <c r="B424" s="25" t="s">
        <v>937</v>
      </c>
      <c r="C424" s="25"/>
      <c r="D424" s="25"/>
      <c r="E424" s="25" t="s">
        <v>948</v>
      </c>
      <c r="F424" s="25" t="s">
        <v>29</v>
      </c>
      <c r="G424" s="9">
        <f>237807000+75052000</f>
        <v>312859000</v>
      </c>
      <c r="H424" s="9">
        <f>6198000+5275000+10325000+12688000+13043000+812000</f>
        <v>48341000</v>
      </c>
      <c r="I424" s="9">
        <f t="shared" si="177"/>
        <v>48341000</v>
      </c>
      <c r="J424" s="9"/>
      <c r="K424" s="6"/>
      <c r="L424" s="9"/>
      <c r="M424" s="10"/>
      <c r="N424" s="10"/>
      <c r="O424" s="9">
        <f t="shared" si="178"/>
        <v>361200000</v>
      </c>
      <c r="P424" s="38">
        <v>1.0</v>
      </c>
      <c r="Q424" s="9">
        <f t="shared" si="179"/>
        <v>48341000</v>
      </c>
      <c r="R424" s="9">
        <f t="shared" si="180"/>
        <v>361200000</v>
      </c>
      <c r="S424" s="9">
        <f t="shared" si="181"/>
        <v>361200000</v>
      </c>
      <c r="T424" s="9"/>
      <c r="U424" s="40" t="s">
        <v>949</v>
      </c>
      <c r="V424" s="6"/>
      <c r="W424" s="6"/>
      <c r="X424" s="6"/>
      <c r="Y424" s="6"/>
      <c r="Z424" s="6"/>
      <c r="AA424" s="6"/>
      <c r="AB424" s="6"/>
      <c r="AC424" s="6"/>
      <c r="AD424" s="6"/>
      <c r="AE424" s="6"/>
      <c r="AF424" s="6"/>
      <c r="AG424" s="6"/>
      <c r="AH424" s="6"/>
    </row>
    <row r="425" ht="15.75" customHeight="1">
      <c r="A425" s="6"/>
      <c r="B425" s="25"/>
      <c r="C425" s="25"/>
      <c r="D425" s="25"/>
      <c r="E425" s="41" t="s">
        <v>35</v>
      </c>
      <c r="F425" s="25"/>
      <c r="G425" s="9"/>
      <c r="H425" s="9"/>
      <c r="I425" s="9"/>
      <c r="J425" s="9"/>
      <c r="K425" s="6"/>
      <c r="L425" s="9"/>
      <c r="M425" s="10"/>
      <c r="N425" s="10"/>
      <c r="O425" s="9"/>
      <c r="P425" s="26" t="s">
        <v>950</v>
      </c>
      <c r="Q425" s="19">
        <f t="shared" ref="Q425:S425" si="182">SUM(Q420:Q424)</f>
        <v>3361791905</v>
      </c>
      <c r="R425" s="19">
        <f t="shared" si="182"/>
        <v>4014978081</v>
      </c>
      <c r="S425" s="19">
        <f t="shared" si="182"/>
        <v>4282106354</v>
      </c>
      <c r="T425" s="20">
        <v>1.966414955E9</v>
      </c>
      <c r="U425" s="6"/>
      <c r="V425" s="6"/>
      <c r="W425" s="6"/>
      <c r="X425" s="6"/>
      <c r="Y425" s="6"/>
      <c r="Z425" s="6"/>
      <c r="AA425" s="6"/>
      <c r="AB425" s="6"/>
      <c r="AC425" s="6"/>
      <c r="AD425" s="6"/>
      <c r="AE425" s="6"/>
      <c r="AF425" s="6"/>
      <c r="AG425" s="6"/>
      <c r="AH425" s="6"/>
    </row>
    <row r="426" ht="15.75" customHeight="1">
      <c r="A426" s="6">
        <v>30.0</v>
      </c>
      <c r="B426" s="25" t="s">
        <v>951</v>
      </c>
      <c r="C426" s="42" t="s">
        <v>952</v>
      </c>
      <c r="D426" s="25"/>
      <c r="E426" s="41"/>
      <c r="F426" s="42" t="s">
        <v>1</v>
      </c>
      <c r="G426" s="8">
        <v>9.430871E9</v>
      </c>
      <c r="H426" s="8">
        <v>1.9642895E10</v>
      </c>
      <c r="I426" s="9">
        <f t="shared" ref="I426:I430" si="183">H426-J426</f>
        <v>19630973000</v>
      </c>
      <c r="J426" s="9">
        <f>10585000+1337000</f>
        <v>11922000</v>
      </c>
      <c r="K426" s="30" t="s">
        <v>953</v>
      </c>
      <c r="L426" s="9"/>
      <c r="M426" s="10"/>
      <c r="N426" s="10">
        <f>1543753000+297363000</f>
        <v>1841116000</v>
      </c>
      <c r="O426" s="9">
        <f t="shared" ref="O426:O430" si="184">G426+I426</f>
        <v>29061844000</v>
      </c>
      <c r="P426" s="31">
        <v>0.1</v>
      </c>
      <c r="Q426" s="9">
        <f t="shared" ref="Q426:Q430" si="185">I426*P426</f>
        <v>1963097300</v>
      </c>
      <c r="R426" s="9">
        <f t="shared" ref="R426:R430" si="186">(O426-N426-M426)*P426</f>
        <v>2722072800</v>
      </c>
      <c r="S426" s="9">
        <f t="shared" ref="S426:S430" si="187">O426*P426</f>
        <v>2906184400</v>
      </c>
      <c r="T426" s="9"/>
      <c r="U426" s="40" t="s">
        <v>954</v>
      </c>
      <c r="V426" s="6"/>
      <c r="W426" s="6"/>
      <c r="X426" s="6"/>
      <c r="Y426" s="6"/>
      <c r="Z426" s="6"/>
      <c r="AA426" s="6"/>
      <c r="AB426" s="6"/>
      <c r="AC426" s="6"/>
      <c r="AD426" s="6"/>
      <c r="AE426" s="6"/>
      <c r="AF426" s="6"/>
      <c r="AG426" s="6"/>
      <c r="AH426" s="6"/>
    </row>
    <row r="427" ht="15.75" customHeight="1">
      <c r="A427" s="6"/>
      <c r="B427" s="25" t="s">
        <v>951</v>
      </c>
      <c r="C427" s="25"/>
      <c r="D427" s="25" t="s">
        <v>955</v>
      </c>
      <c r="E427" s="25"/>
      <c r="F427" s="25" t="s">
        <v>3</v>
      </c>
      <c r="G427" s="9">
        <v>4.08224E8</v>
      </c>
      <c r="H427" s="9">
        <v>7.00924E8</v>
      </c>
      <c r="I427" s="9">
        <f t="shared" si="183"/>
        <v>427502000</v>
      </c>
      <c r="J427" s="9">
        <v>2.73422E8</v>
      </c>
      <c r="K427" s="6" t="s">
        <v>956</v>
      </c>
      <c r="L427" s="9"/>
      <c r="M427" s="10"/>
      <c r="N427" s="14">
        <v>1370000.0</v>
      </c>
      <c r="O427" s="9">
        <f t="shared" si="184"/>
        <v>835726000</v>
      </c>
      <c r="P427" s="38">
        <v>1.0</v>
      </c>
      <c r="Q427" s="9">
        <f t="shared" si="185"/>
        <v>427502000</v>
      </c>
      <c r="R427" s="9">
        <f t="shared" si="186"/>
        <v>834356000</v>
      </c>
      <c r="S427" s="9">
        <f t="shared" si="187"/>
        <v>835726000</v>
      </c>
      <c r="T427" s="9"/>
      <c r="U427" s="40" t="s">
        <v>957</v>
      </c>
      <c r="V427" s="6"/>
      <c r="W427" s="6"/>
      <c r="X427" s="6"/>
      <c r="Y427" s="6"/>
      <c r="Z427" s="6"/>
      <c r="AA427" s="6"/>
      <c r="AB427" s="6"/>
      <c r="AC427" s="6"/>
      <c r="AD427" s="6"/>
      <c r="AE427" s="6"/>
      <c r="AF427" s="6"/>
      <c r="AG427" s="6"/>
      <c r="AH427" s="6"/>
    </row>
    <row r="428" ht="15.75" customHeight="1">
      <c r="A428" s="6"/>
      <c r="B428" s="25" t="s">
        <v>951</v>
      </c>
      <c r="C428" s="25"/>
      <c r="D428" s="25"/>
      <c r="E428" s="25" t="s">
        <v>958</v>
      </c>
      <c r="F428" s="25" t="s">
        <v>43</v>
      </c>
      <c r="G428" s="9">
        <v>2.84744E8</v>
      </c>
      <c r="H428" s="9">
        <v>4.71296E8</v>
      </c>
      <c r="I428" s="9">
        <f t="shared" si="183"/>
        <v>436470000</v>
      </c>
      <c r="J428" s="9">
        <v>3.4826E7</v>
      </c>
      <c r="K428" s="6" t="s">
        <v>959</v>
      </c>
      <c r="L428" s="9"/>
      <c r="M428" s="10"/>
      <c r="N428" s="10"/>
      <c r="O428" s="9">
        <f t="shared" si="184"/>
        <v>721214000</v>
      </c>
      <c r="P428" s="38">
        <v>0.6108</v>
      </c>
      <c r="Q428" s="9">
        <f t="shared" si="185"/>
        <v>266595876</v>
      </c>
      <c r="R428" s="9">
        <f t="shared" si="186"/>
        <v>440517511.2</v>
      </c>
      <c r="S428" s="9">
        <f t="shared" si="187"/>
        <v>440517511.2</v>
      </c>
      <c r="T428" s="9"/>
      <c r="U428" s="40" t="s">
        <v>960</v>
      </c>
      <c r="V428" s="6"/>
      <c r="W428" s="6"/>
      <c r="X428" s="6"/>
      <c r="Y428" s="6"/>
      <c r="Z428" s="6"/>
      <c r="AA428" s="6"/>
      <c r="AB428" s="6"/>
      <c r="AC428" s="6"/>
      <c r="AD428" s="6"/>
      <c r="AE428" s="6"/>
      <c r="AF428" s="6"/>
      <c r="AG428" s="6"/>
      <c r="AH428" s="6"/>
    </row>
    <row r="429" ht="15.75" customHeight="1">
      <c r="A429" s="6"/>
      <c r="B429" s="25" t="s">
        <v>951</v>
      </c>
      <c r="C429" s="25"/>
      <c r="D429" s="25"/>
      <c r="E429" s="25" t="s">
        <v>961</v>
      </c>
      <c r="F429" s="25" t="s">
        <v>47</v>
      </c>
      <c r="G429" s="9">
        <v>2.9552427E7</v>
      </c>
      <c r="H429" s="9">
        <v>8.45020466E8</v>
      </c>
      <c r="I429" s="9">
        <f t="shared" si="183"/>
        <v>266240140</v>
      </c>
      <c r="J429" s="9">
        <f>520297205+58483121</f>
        <v>578780326</v>
      </c>
      <c r="K429" s="6" t="s">
        <v>962</v>
      </c>
      <c r="L429" s="9"/>
      <c r="M429" s="10"/>
      <c r="N429" s="10"/>
      <c r="O429" s="9">
        <f t="shared" si="184"/>
        <v>295792567</v>
      </c>
      <c r="P429" s="38">
        <v>1.0</v>
      </c>
      <c r="Q429" s="9">
        <f t="shared" si="185"/>
        <v>266240140</v>
      </c>
      <c r="R429" s="9">
        <f t="shared" si="186"/>
        <v>295792567</v>
      </c>
      <c r="S429" s="9">
        <f t="shared" si="187"/>
        <v>295792567</v>
      </c>
      <c r="T429" s="9"/>
      <c r="U429" s="40" t="s">
        <v>963</v>
      </c>
      <c r="V429" s="6"/>
      <c r="W429" s="6"/>
      <c r="X429" s="6"/>
      <c r="Y429" s="6"/>
      <c r="Z429" s="6"/>
      <c r="AA429" s="6"/>
      <c r="AB429" s="6"/>
      <c r="AC429" s="6"/>
      <c r="AD429" s="6"/>
      <c r="AE429" s="6"/>
      <c r="AF429" s="6"/>
      <c r="AG429" s="6"/>
      <c r="AH429" s="6"/>
    </row>
    <row r="430" ht="15.75" customHeight="1">
      <c r="A430" s="6"/>
      <c r="B430" s="25" t="s">
        <v>951</v>
      </c>
      <c r="C430" s="25"/>
      <c r="D430" s="25"/>
      <c r="E430" s="25" t="s">
        <v>964</v>
      </c>
      <c r="F430" s="25" t="s">
        <v>29</v>
      </c>
      <c r="G430" s="9"/>
      <c r="H430" s="9">
        <f>99306000+ 101750000+1076000+6000+25073000+ 3025000</f>
        <v>230236000</v>
      </c>
      <c r="I430" s="9">
        <f t="shared" si="183"/>
        <v>230236000</v>
      </c>
      <c r="J430" s="9"/>
      <c r="K430" s="6"/>
      <c r="L430" s="9"/>
      <c r="M430" s="10"/>
      <c r="N430" s="10"/>
      <c r="O430" s="9">
        <f t="shared" si="184"/>
        <v>230236000</v>
      </c>
      <c r="P430" s="38">
        <v>0.6252</v>
      </c>
      <c r="Q430" s="9">
        <f t="shared" si="185"/>
        <v>143943547.2</v>
      </c>
      <c r="R430" s="9">
        <f t="shared" si="186"/>
        <v>143943547.2</v>
      </c>
      <c r="S430" s="9">
        <f t="shared" si="187"/>
        <v>143943547.2</v>
      </c>
      <c r="T430" s="9"/>
      <c r="U430" s="40" t="s">
        <v>965</v>
      </c>
      <c r="V430" s="6"/>
      <c r="W430" s="6"/>
      <c r="X430" s="6"/>
      <c r="Y430" s="6"/>
      <c r="Z430" s="6"/>
      <c r="AA430" s="6"/>
      <c r="AB430" s="6"/>
      <c r="AC430" s="6"/>
      <c r="AD430" s="6"/>
      <c r="AE430" s="6"/>
      <c r="AF430" s="6"/>
      <c r="AG430" s="6"/>
      <c r="AH430" s="6"/>
    </row>
    <row r="431" ht="15.75" customHeight="1">
      <c r="A431" s="6"/>
      <c r="B431" s="25"/>
      <c r="C431" s="25"/>
      <c r="D431" s="25"/>
      <c r="E431" s="41" t="s">
        <v>35</v>
      </c>
      <c r="F431" s="25"/>
      <c r="G431" s="9"/>
      <c r="H431" s="9"/>
      <c r="I431" s="9"/>
      <c r="J431" s="9"/>
      <c r="K431" s="6"/>
      <c r="L431" s="9"/>
      <c r="M431" s="10"/>
      <c r="N431" s="10"/>
      <c r="O431" s="9"/>
      <c r="P431" s="26" t="s">
        <v>966</v>
      </c>
      <c r="Q431" s="19">
        <f t="shared" ref="Q431:S431" si="188">SUM(Q426:Q430)</f>
        <v>3067378863</v>
      </c>
      <c r="R431" s="19">
        <f t="shared" si="188"/>
        <v>4436682425</v>
      </c>
      <c r="S431" s="19">
        <f t="shared" si="188"/>
        <v>4622164025</v>
      </c>
      <c r="T431" s="20">
        <v>1.630527949E9</v>
      </c>
      <c r="U431" s="6"/>
      <c r="V431" s="6"/>
      <c r="W431" s="6"/>
      <c r="X431" s="6"/>
      <c r="Y431" s="6"/>
      <c r="Z431" s="6"/>
      <c r="AA431" s="6"/>
      <c r="AB431" s="6"/>
      <c r="AC431" s="6"/>
      <c r="AD431" s="6"/>
      <c r="AE431" s="6"/>
      <c r="AF431" s="6"/>
      <c r="AG431" s="6"/>
      <c r="AH431" s="6"/>
    </row>
    <row r="432" ht="15.75" customHeight="1">
      <c r="A432" s="6">
        <v>31.0</v>
      </c>
      <c r="B432" s="25" t="s">
        <v>967</v>
      </c>
      <c r="C432" s="42" t="s">
        <v>968</v>
      </c>
      <c r="D432" s="25"/>
      <c r="E432" s="41"/>
      <c r="F432" s="42" t="s">
        <v>1</v>
      </c>
      <c r="G432" s="8">
        <v>8.76417E9</v>
      </c>
      <c r="H432" s="8">
        <v>2.2956689E10</v>
      </c>
      <c r="I432" s="9">
        <f t="shared" ref="I432:I436" si="189">H432-J432</f>
        <v>22956689000</v>
      </c>
      <c r="J432" s="9"/>
      <c r="K432" s="6"/>
      <c r="L432" s="9"/>
      <c r="M432" s="10"/>
      <c r="N432" s="51">
        <v>1.043917E9</v>
      </c>
      <c r="O432" s="9">
        <f t="shared" ref="O432:O436" si="190">G432+I432</f>
        <v>31720859000</v>
      </c>
      <c r="P432" s="31">
        <v>0.095</v>
      </c>
      <c r="Q432" s="9">
        <f t="shared" ref="Q432:Q436" si="191">I432*P432</f>
        <v>2180885455</v>
      </c>
      <c r="R432" s="9">
        <f t="shared" ref="R432:R436" si="192">(O432-N432-M432)*P432</f>
        <v>2914309490</v>
      </c>
      <c r="S432" s="9">
        <f t="shared" ref="S432:S436" si="193">O432*P432</f>
        <v>3013481605</v>
      </c>
      <c r="T432" s="9"/>
      <c r="U432" s="40" t="s">
        <v>969</v>
      </c>
      <c r="V432" s="6"/>
      <c r="W432" s="6"/>
      <c r="X432" s="6"/>
      <c r="Y432" s="6"/>
      <c r="Z432" s="6"/>
      <c r="AA432" s="6"/>
      <c r="AB432" s="6"/>
      <c r="AC432" s="6"/>
      <c r="AD432" s="6"/>
      <c r="AE432" s="6"/>
      <c r="AF432" s="6"/>
      <c r="AG432" s="6"/>
      <c r="AH432" s="6"/>
    </row>
    <row r="433" ht="15.75" customHeight="1">
      <c r="A433" s="6"/>
      <c r="B433" s="25" t="s">
        <v>967</v>
      </c>
      <c r="C433" s="25"/>
      <c r="D433" s="25" t="s">
        <v>970</v>
      </c>
      <c r="E433" s="25"/>
      <c r="F433" s="25" t="s">
        <v>3</v>
      </c>
      <c r="G433" s="9">
        <v>7.43585E8</v>
      </c>
      <c r="H433" s="9">
        <v>1.756858E9</v>
      </c>
      <c r="I433" s="9">
        <f t="shared" si="189"/>
        <v>1593441000</v>
      </c>
      <c r="J433" s="9">
        <v>1.63417E8</v>
      </c>
      <c r="K433" s="6" t="s">
        <v>971</v>
      </c>
      <c r="L433" s="9"/>
      <c r="M433" s="10"/>
      <c r="N433" s="14">
        <v>1831000.0</v>
      </c>
      <c r="O433" s="9">
        <f t="shared" si="190"/>
        <v>2337026000</v>
      </c>
      <c r="P433" s="38">
        <v>1.0</v>
      </c>
      <c r="Q433" s="9">
        <f t="shared" si="191"/>
        <v>1593441000</v>
      </c>
      <c r="R433" s="9">
        <f t="shared" si="192"/>
        <v>2335195000</v>
      </c>
      <c r="S433" s="9">
        <f t="shared" si="193"/>
        <v>2337026000</v>
      </c>
      <c r="T433" s="9"/>
      <c r="U433" s="40" t="s">
        <v>972</v>
      </c>
      <c r="V433" s="6"/>
      <c r="W433" s="6"/>
      <c r="X433" s="6"/>
      <c r="Y433" s="6"/>
      <c r="Z433" s="6"/>
      <c r="AA433" s="6"/>
      <c r="AB433" s="6"/>
      <c r="AC433" s="6"/>
      <c r="AD433" s="6"/>
      <c r="AE433" s="6"/>
      <c r="AF433" s="6"/>
      <c r="AG433" s="6"/>
      <c r="AH433" s="6"/>
    </row>
    <row r="434" ht="15.75" customHeight="1">
      <c r="A434" s="6"/>
      <c r="B434" s="25" t="s">
        <v>967</v>
      </c>
      <c r="C434" s="25"/>
      <c r="D434" s="25"/>
      <c r="E434" s="25" t="s">
        <v>973</v>
      </c>
      <c r="F434" s="25" t="s">
        <v>43</v>
      </c>
      <c r="G434" s="9">
        <v>6.66937E8</v>
      </c>
      <c r="H434" s="9">
        <v>2.143604E9</v>
      </c>
      <c r="I434" s="9">
        <f t="shared" si="189"/>
        <v>2135241000</v>
      </c>
      <c r="J434" s="9">
        <f>8363000</f>
        <v>8363000</v>
      </c>
      <c r="K434" s="6" t="s">
        <v>974</v>
      </c>
      <c r="L434" s="9"/>
      <c r="M434" s="10"/>
      <c r="N434" s="14">
        <v>4103000.0</v>
      </c>
      <c r="O434" s="9">
        <f t="shared" si="190"/>
        <v>2802178000</v>
      </c>
      <c r="P434" s="38">
        <v>0.7091</v>
      </c>
      <c r="Q434" s="9">
        <f t="shared" si="191"/>
        <v>1514099393</v>
      </c>
      <c r="R434" s="9">
        <f t="shared" si="192"/>
        <v>1984114983</v>
      </c>
      <c r="S434" s="9">
        <f t="shared" si="193"/>
        <v>1987024420</v>
      </c>
      <c r="T434" s="9"/>
      <c r="U434" s="40" t="s">
        <v>975</v>
      </c>
      <c r="V434" s="6"/>
      <c r="W434" s="6"/>
      <c r="X434" s="6"/>
      <c r="Y434" s="6"/>
      <c r="Z434" s="6"/>
      <c r="AA434" s="6"/>
      <c r="AB434" s="6"/>
      <c r="AC434" s="6"/>
      <c r="AD434" s="6"/>
      <c r="AE434" s="6"/>
      <c r="AF434" s="6"/>
      <c r="AG434" s="6"/>
      <c r="AH434" s="6"/>
    </row>
    <row r="435" ht="15.75" customHeight="1">
      <c r="A435" s="6"/>
      <c r="B435" s="25" t="s">
        <v>967</v>
      </c>
      <c r="C435" s="25"/>
      <c r="D435" s="25"/>
      <c r="E435" s="25" t="s">
        <v>976</v>
      </c>
      <c r="F435" s="25" t="s">
        <v>29</v>
      </c>
      <c r="G435" s="9"/>
      <c r="H435" s="9"/>
      <c r="I435" s="9">
        <f t="shared" si="189"/>
        <v>0</v>
      </c>
      <c r="J435" s="9"/>
      <c r="K435" s="6"/>
      <c r="L435" s="9"/>
      <c r="M435" s="10"/>
      <c r="N435" s="10"/>
      <c r="O435" s="9">
        <f t="shared" si="190"/>
        <v>0</v>
      </c>
      <c r="P435" s="38">
        <v>0.2205</v>
      </c>
      <c r="Q435" s="9">
        <f t="shared" si="191"/>
        <v>0</v>
      </c>
      <c r="R435" s="9">
        <f t="shared" si="192"/>
        <v>0</v>
      </c>
      <c r="S435" s="9">
        <f t="shared" si="193"/>
        <v>0</v>
      </c>
      <c r="T435" s="9"/>
      <c r="U435" s="6" t="s">
        <v>60</v>
      </c>
      <c r="V435" s="6"/>
      <c r="W435" s="6"/>
      <c r="X435" s="6"/>
      <c r="Y435" s="6"/>
      <c r="Z435" s="6"/>
      <c r="AA435" s="6"/>
      <c r="AB435" s="6"/>
      <c r="AC435" s="6"/>
      <c r="AD435" s="6"/>
      <c r="AE435" s="6"/>
      <c r="AF435" s="6"/>
      <c r="AG435" s="6"/>
      <c r="AH435" s="6"/>
    </row>
    <row r="436" ht="15.75" customHeight="1">
      <c r="A436" s="6"/>
      <c r="B436" s="25" t="s">
        <v>967</v>
      </c>
      <c r="C436" s="25"/>
      <c r="D436" s="25"/>
      <c r="E436" s="25" t="s">
        <v>977</v>
      </c>
      <c r="F436" s="25" t="s">
        <v>29</v>
      </c>
      <c r="G436" s="9"/>
      <c r="H436" s="9">
        <f>384474235+1207184</f>
        <v>385681419</v>
      </c>
      <c r="I436" s="9">
        <f t="shared" si="189"/>
        <v>53149218</v>
      </c>
      <c r="J436" s="9">
        <f>324307894+ 8224307</f>
        <v>332532201</v>
      </c>
      <c r="K436" s="6" t="s">
        <v>978</v>
      </c>
      <c r="L436" s="9"/>
      <c r="M436" s="10"/>
      <c r="N436" s="10"/>
      <c r="O436" s="9">
        <f t="shared" si="190"/>
        <v>53149218</v>
      </c>
      <c r="P436" s="38">
        <v>1.0</v>
      </c>
      <c r="Q436" s="9">
        <f t="shared" si="191"/>
        <v>53149218</v>
      </c>
      <c r="R436" s="9">
        <f t="shared" si="192"/>
        <v>53149218</v>
      </c>
      <c r="S436" s="9">
        <f t="shared" si="193"/>
        <v>53149218</v>
      </c>
      <c r="T436" s="9"/>
      <c r="U436" s="40" t="s">
        <v>979</v>
      </c>
      <c r="V436" s="6"/>
      <c r="W436" s="6"/>
      <c r="X436" s="6"/>
      <c r="Y436" s="6"/>
      <c r="Z436" s="6"/>
      <c r="AA436" s="6"/>
      <c r="AB436" s="6"/>
      <c r="AC436" s="6"/>
      <c r="AD436" s="6"/>
      <c r="AE436" s="6"/>
      <c r="AF436" s="6"/>
      <c r="AG436" s="6"/>
      <c r="AH436" s="6"/>
    </row>
    <row r="437" ht="15.75" customHeight="1">
      <c r="A437" s="6"/>
      <c r="B437" s="25"/>
      <c r="C437" s="25"/>
      <c r="D437" s="25"/>
      <c r="E437" s="41" t="s">
        <v>35</v>
      </c>
      <c r="F437" s="25"/>
      <c r="G437" s="9"/>
      <c r="H437" s="9"/>
      <c r="I437" s="9"/>
      <c r="J437" s="9"/>
      <c r="K437" s="6"/>
      <c r="L437" s="9"/>
      <c r="M437" s="10"/>
      <c r="N437" s="10"/>
      <c r="O437" s="9"/>
      <c r="P437" s="26" t="s">
        <v>980</v>
      </c>
      <c r="Q437" s="19">
        <f t="shared" ref="Q437:S437" si="194">SUM(Q432:Q436)</f>
        <v>5341575066</v>
      </c>
      <c r="R437" s="19">
        <f t="shared" si="194"/>
        <v>7286768691</v>
      </c>
      <c r="S437" s="19">
        <f t="shared" si="194"/>
        <v>7390681243</v>
      </c>
      <c r="T437" s="20">
        <v>2.050666317E9</v>
      </c>
      <c r="U437" s="6"/>
      <c r="V437" s="6"/>
      <c r="W437" s="6"/>
      <c r="X437" s="6"/>
      <c r="Y437" s="6"/>
      <c r="Z437" s="6"/>
      <c r="AA437" s="6"/>
      <c r="AB437" s="6"/>
      <c r="AC437" s="6"/>
      <c r="AD437" s="6"/>
      <c r="AE437" s="6"/>
      <c r="AF437" s="6"/>
      <c r="AG437" s="6"/>
      <c r="AH437" s="6"/>
    </row>
    <row r="438" ht="15.75" customHeight="1">
      <c r="A438" s="6">
        <v>32.0</v>
      </c>
      <c r="B438" s="25" t="s">
        <v>981</v>
      </c>
      <c r="C438" s="42" t="s">
        <v>982</v>
      </c>
      <c r="D438" s="25"/>
      <c r="E438" s="25"/>
      <c r="F438" s="42" t="s">
        <v>1</v>
      </c>
      <c r="G438" s="22">
        <v>5.003655E9</v>
      </c>
      <c r="H438" s="22">
        <v>8.414518E9</v>
      </c>
      <c r="I438" s="9">
        <f t="shared" ref="I438:I441" si="195">H438-J438</f>
        <v>8414533000</v>
      </c>
      <c r="J438" s="22">
        <v>-15000.0</v>
      </c>
      <c r="K438" s="7" t="s">
        <v>983</v>
      </c>
      <c r="L438" s="9"/>
      <c r="M438" s="10"/>
      <c r="N438" s="51">
        <f>199137000+13001000</f>
        <v>212138000</v>
      </c>
      <c r="O438" s="9">
        <f t="shared" ref="O438:O441" si="196">G438+I438</f>
        <v>13418188000</v>
      </c>
      <c r="P438" s="31">
        <v>0.2657</v>
      </c>
      <c r="Q438" s="9">
        <f t="shared" ref="Q438:Q441" si="197">I438*P438</f>
        <v>2235741418</v>
      </c>
      <c r="R438" s="9">
        <f t="shared" ref="R438:R441" si="198">(O438-N438-M438)*P438</f>
        <v>3508847485</v>
      </c>
      <c r="S438" s="9">
        <f t="shared" ref="S438:S441" si="199">O438*P438</f>
        <v>3565212552</v>
      </c>
      <c r="T438" s="9"/>
      <c r="U438" s="40" t="s">
        <v>984</v>
      </c>
      <c r="V438" s="6"/>
      <c r="W438" s="6"/>
      <c r="X438" s="6"/>
      <c r="Y438" s="6"/>
      <c r="Z438" s="6"/>
      <c r="AA438" s="6"/>
      <c r="AB438" s="6"/>
      <c r="AC438" s="6"/>
      <c r="AD438" s="6"/>
      <c r="AE438" s="6"/>
      <c r="AF438" s="6"/>
      <c r="AG438" s="6"/>
      <c r="AH438" s="6"/>
    </row>
    <row r="439" ht="15.75" customHeight="1">
      <c r="A439" s="6"/>
      <c r="B439" s="25" t="s">
        <v>981</v>
      </c>
      <c r="C439" s="25"/>
      <c r="D439" s="25" t="s">
        <v>985</v>
      </c>
      <c r="E439" s="25"/>
      <c r="F439" s="25" t="s">
        <v>3</v>
      </c>
      <c r="G439" s="9">
        <v>2.20210849E8</v>
      </c>
      <c r="H439" s="9">
        <v>7.4093393E8</v>
      </c>
      <c r="I439" s="9">
        <f t="shared" si="195"/>
        <v>740933930</v>
      </c>
      <c r="J439" s="9"/>
      <c r="K439" s="6"/>
      <c r="L439" s="9"/>
      <c r="M439" s="10"/>
      <c r="N439" s="14">
        <f>4661056</f>
        <v>4661056</v>
      </c>
      <c r="O439" s="9">
        <f t="shared" si="196"/>
        <v>961144779</v>
      </c>
      <c r="P439" s="38">
        <v>1.0</v>
      </c>
      <c r="Q439" s="9">
        <f t="shared" si="197"/>
        <v>740933930</v>
      </c>
      <c r="R439" s="9">
        <f t="shared" si="198"/>
        <v>956483723</v>
      </c>
      <c r="S439" s="9">
        <f t="shared" si="199"/>
        <v>961144779</v>
      </c>
      <c r="T439" s="9"/>
      <c r="U439" s="40" t="s">
        <v>986</v>
      </c>
      <c r="V439" s="6"/>
      <c r="W439" s="6"/>
      <c r="X439" s="6"/>
      <c r="Y439" s="6"/>
      <c r="Z439" s="6"/>
      <c r="AA439" s="6"/>
      <c r="AB439" s="6"/>
      <c r="AC439" s="6"/>
      <c r="AD439" s="6"/>
      <c r="AE439" s="6"/>
      <c r="AF439" s="6"/>
      <c r="AG439" s="6"/>
      <c r="AH439" s="6"/>
    </row>
    <row r="440" ht="15.75" customHeight="1">
      <c r="A440" s="6"/>
      <c r="B440" s="25" t="s">
        <v>981</v>
      </c>
      <c r="C440" s="25"/>
      <c r="D440" s="25"/>
      <c r="E440" s="25" t="s">
        <v>987</v>
      </c>
      <c r="F440" s="25" t="s">
        <v>43</v>
      </c>
      <c r="G440" s="9">
        <v>2.848585E7</v>
      </c>
      <c r="H440" s="9">
        <v>4.1272919E8</v>
      </c>
      <c r="I440" s="9">
        <f t="shared" si="195"/>
        <v>412729190</v>
      </c>
      <c r="J440" s="9"/>
      <c r="K440" s="6"/>
      <c r="L440" s="9"/>
      <c r="M440" s="10"/>
      <c r="N440" s="14">
        <v>755673.0</v>
      </c>
      <c r="O440" s="9">
        <f t="shared" si="196"/>
        <v>441215040</v>
      </c>
      <c r="P440" s="38">
        <v>0.8282</v>
      </c>
      <c r="Q440" s="9">
        <f t="shared" si="197"/>
        <v>341822315.2</v>
      </c>
      <c r="R440" s="9">
        <f t="shared" si="198"/>
        <v>364788447.7</v>
      </c>
      <c r="S440" s="9">
        <f t="shared" si="199"/>
        <v>365414296.1</v>
      </c>
      <c r="T440" s="9"/>
      <c r="U440" s="40" t="s">
        <v>988</v>
      </c>
      <c r="V440" s="6"/>
      <c r="W440" s="6"/>
      <c r="X440" s="6"/>
      <c r="Y440" s="6"/>
      <c r="Z440" s="6"/>
      <c r="AA440" s="6"/>
      <c r="AB440" s="6"/>
      <c r="AC440" s="6"/>
      <c r="AD440" s="6"/>
      <c r="AE440" s="6"/>
      <c r="AF440" s="6"/>
      <c r="AG440" s="6"/>
      <c r="AH440" s="6"/>
    </row>
    <row r="441" ht="15.75" customHeight="1">
      <c r="A441" s="6"/>
      <c r="B441" s="25" t="s">
        <v>981</v>
      </c>
      <c r="C441" s="25"/>
      <c r="D441" s="25"/>
      <c r="E441" s="25" t="s">
        <v>989</v>
      </c>
      <c r="F441" s="25" t="s">
        <v>47</v>
      </c>
      <c r="G441" s="9">
        <v>5.7083033E7</v>
      </c>
      <c r="H441" s="9">
        <v>8.97998862E8</v>
      </c>
      <c r="I441" s="9">
        <f t="shared" si="195"/>
        <v>897998862</v>
      </c>
      <c r="J441" s="9"/>
      <c r="K441" s="6"/>
      <c r="L441" s="9"/>
      <c r="M441" s="10"/>
      <c r="N441" s="10"/>
      <c r="O441" s="9">
        <f t="shared" si="196"/>
        <v>955081895</v>
      </c>
      <c r="P441" s="38">
        <v>0.7481</v>
      </c>
      <c r="Q441" s="9">
        <f t="shared" si="197"/>
        <v>671792948.7</v>
      </c>
      <c r="R441" s="9">
        <f t="shared" si="198"/>
        <v>714496765.6</v>
      </c>
      <c r="S441" s="9">
        <f t="shared" si="199"/>
        <v>714496765.6</v>
      </c>
      <c r="T441" s="9"/>
      <c r="U441" s="40" t="s">
        <v>990</v>
      </c>
      <c r="V441" s="6"/>
      <c r="W441" s="6"/>
      <c r="X441" s="6"/>
      <c r="Y441" s="6"/>
      <c r="Z441" s="6"/>
      <c r="AA441" s="6"/>
      <c r="AB441" s="6"/>
      <c r="AC441" s="6"/>
      <c r="AD441" s="6"/>
      <c r="AE441" s="6"/>
      <c r="AF441" s="6"/>
      <c r="AG441" s="6"/>
      <c r="AH441" s="6"/>
    </row>
    <row r="442" ht="15.75" customHeight="1">
      <c r="A442" s="6"/>
      <c r="B442" s="25"/>
      <c r="C442" s="25"/>
      <c r="D442" s="25"/>
      <c r="E442" s="41" t="s">
        <v>35</v>
      </c>
      <c r="F442" s="25"/>
      <c r="G442" s="9"/>
      <c r="H442" s="9"/>
      <c r="I442" s="9"/>
      <c r="J442" s="9"/>
      <c r="K442" s="6"/>
      <c r="L442" s="9"/>
      <c r="M442" s="10"/>
      <c r="N442" s="10"/>
      <c r="O442" s="9"/>
      <c r="P442" s="26" t="s">
        <v>991</v>
      </c>
      <c r="Q442" s="19">
        <f t="shared" ref="Q442:S442" si="200">SUM(Q438:Q441)</f>
        <v>3990290612</v>
      </c>
      <c r="R442" s="19">
        <f t="shared" si="200"/>
        <v>5544616421</v>
      </c>
      <c r="S442" s="19">
        <f t="shared" si="200"/>
        <v>5606268392</v>
      </c>
      <c r="T442" s="20">
        <v>1.162533475E9</v>
      </c>
      <c r="U442" s="6"/>
      <c r="V442" s="6"/>
      <c r="W442" s="6"/>
      <c r="X442" s="6"/>
      <c r="Y442" s="6"/>
      <c r="Z442" s="6"/>
      <c r="AA442" s="6"/>
      <c r="AB442" s="6"/>
      <c r="AC442" s="6"/>
      <c r="AD442" s="6"/>
      <c r="AE442" s="6"/>
      <c r="AF442" s="6"/>
      <c r="AG442" s="6"/>
      <c r="AH442" s="6"/>
    </row>
    <row r="443" ht="15.75" customHeight="1">
      <c r="A443" s="6">
        <v>33.0</v>
      </c>
      <c r="B443" s="25" t="s">
        <v>161</v>
      </c>
      <c r="C443" s="42" t="s">
        <v>162</v>
      </c>
      <c r="D443" s="25"/>
      <c r="E443" s="25"/>
      <c r="F443" s="7" t="s">
        <v>1</v>
      </c>
      <c r="G443" s="8">
        <v>6.02333E9</v>
      </c>
      <c r="H443" s="8">
        <v>1.8109069E10</v>
      </c>
      <c r="I443" s="9">
        <f t="shared" ref="I443:I447" si="201">H443-J443</f>
        <v>18077647000</v>
      </c>
      <c r="J443" s="9">
        <f>28549000+2873000</f>
        <v>31422000</v>
      </c>
      <c r="K443" s="30" t="s">
        <v>163</v>
      </c>
      <c r="L443" s="9"/>
      <c r="M443" s="10"/>
      <c r="N443" s="8">
        <v>5.63157E8</v>
      </c>
      <c r="O443" s="9">
        <f t="shared" ref="O443:O447" si="202">G443+I443</f>
        <v>24100977000</v>
      </c>
      <c r="P443" s="31">
        <v>0.0771</v>
      </c>
      <c r="Q443" s="9">
        <f t="shared" ref="Q443:Q447" si="203">I443*P443</f>
        <v>1393786584</v>
      </c>
      <c r="R443" s="9">
        <f t="shared" ref="R443:R447" si="204">(O443-N443-M443)*P443</f>
        <v>1814765922</v>
      </c>
      <c r="S443" s="9">
        <f t="shared" ref="S443:S447" si="205">O443*P443</f>
        <v>1858185327</v>
      </c>
      <c r="T443" s="9"/>
      <c r="U443" s="32" t="s">
        <v>164</v>
      </c>
      <c r="V443" s="6"/>
      <c r="W443" s="6"/>
      <c r="X443" s="6"/>
      <c r="Y443" s="6"/>
      <c r="Z443" s="6"/>
      <c r="AA443" s="6"/>
      <c r="AB443" s="6"/>
      <c r="AC443" s="6"/>
      <c r="AD443" s="6"/>
      <c r="AE443" s="6"/>
      <c r="AF443" s="6"/>
      <c r="AG443" s="6"/>
      <c r="AH443" s="6"/>
    </row>
    <row r="444" ht="15.75" customHeight="1">
      <c r="A444" s="6"/>
      <c r="B444" s="25" t="s">
        <v>161</v>
      </c>
      <c r="C444" s="25"/>
      <c r="D444" s="25" t="s">
        <v>992</v>
      </c>
      <c r="E444" s="25"/>
      <c r="F444" s="25" t="s">
        <v>3</v>
      </c>
      <c r="G444" s="9">
        <v>4.37719093E8</v>
      </c>
      <c r="H444" s="9">
        <v>5.74999906E8</v>
      </c>
      <c r="I444" s="9">
        <f t="shared" si="201"/>
        <v>420124953</v>
      </c>
      <c r="J444" s="9">
        <v>1.54874953E8</v>
      </c>
      <c r="K444" s="6" t="s">
        <v>993</v>
      </c>
      <c r="L444" s="9"/>
      <c r="M444" s="10"/>
      <c r="N444" s="10"/>
      <c r="O444" s="9">
        <f t="shared" si="202"/>
        <v>857844046</v>
      </c>
      <c r="P444" s="38">
        <v>1.0</v>
      </c>
      <c r="Q444" s="9">
        <f t="shared" si="203"/>
        <v>420124953</v>
      </c>
      <c r="R444" s="9">
        <f t="shared" si="204"/>
        <v>857844046</v>
      </c>
      <c r="S444" s="9">
        <f t="shared" si="205"/>
        <v>857844046</v>
      </c>
      <c r="T444" s="9"/>
      <c r="U444" s="40" t="s">
        <v>994</v>
      </c>
      <c r="V444" s="6"/>
      <c r="W444" s="6"/>
      <c r="X444" s="6"/>
      <c r="Y444" s="6"/>
      <c r="Z444" s="6"/>
      <c r="AA444" s="6"/>
      <c r="AB444" s="6"/>
      <c r="AC444" s="6"/>
      <c r="AD444" s="6"/>
      <c r="AE444" s="6"/>
      <c r="AF444" s="6"/>
      <c r="AG444" s="6"/>
      <c r="AH444" s="6"/>
    </row>
    <row r="445" ht="15.75" customHeight="1">
      <c r="A445" s="6"/>
      <c r="B445" s="25" t="s">
        <v>161</v>
      </c>
      <c r="C445" s="25"/>
      <c r="D445" s="25"/>
      <c r="E445" s="25" t="s">
        <v>995</v>
      </c>
      <c r="F445" s="25" t="s">
        <v>43</v>
      </c>
      <c r="G445" s="9">
        <v>2.63938E8</v>
      </c>
      <c r="H445" s="9">
        <v>7.00588E8</v>
      </c>
      <c r="I445" s="9">
        <f t="shared" si="201"/>
        <v>694698000</v>
      </c>
      <c r="J445" s="9">
        <v>5890000.0</v>
      </c>
      <c r="K445" s="6" t="s">
        <v>168</v>
      </c>
      <c r="L445" s="9"/>
      <c r="M445" s="10"/>
      <c r="N445" s="14">
        <v>1.4614E7</v>
      </c>
      <c r="O445" s="9">
        <f t="shared" si="202"/>
        <v>958636000</v>
      </c>
      <c r="P445" s="38">
        <v>0.5113</v>
      </c>
      <c r="Q445" s="9">
        <f t="shared" si="203"/>
        <v>355199087.4</v>
      </c>
      <c r="R445" s="9">
        <f t="shared" si="204"/>
        <v>482678448.6</v>
      </c>
      <c r="S445" s="9">
        <f t="shared" si="205"/>
        <v>490150586.8</v>
      </c>
      <c r="T445" s="9"/>
      <c r="U445" s="40" t="s">
        <v>996</v>
      </c>
      <c r="V445" s="6"/>
      <c r="W445" s="6"/>
      <c r="X445" s="6"/>
      <c r="Y445" s="6"/>
      <c r="Z445" s="6"/>
      <c r="AA445" s="6"/>
      <c r="AB445" s="6"/>
      <c r="AC445" s="6"/>
      <c r="AD445" s="6"/>
      <c r="AE445" s="6"/>
      <c r="AF445" s="6"/>
      <c r="AG445" s="6"/>
      <c r="AH445" s="6"/>
    </row>
    <row r="446" ht="15.75" customHeight="1">
      <c r="A446" s="6"/>
      <c r="B446" s="25" t="s">
        <v>161</v>
      </c>
      <c r="C446" s="25"/>
      <c r="D446" s="25"/>
      <c r="E446" s="25" t="s">
        <v>997</v>
      </c>
      <c r="F446" s="25" t="s">
        <v>47</v>
      </c>
      <c r="G446" s="9">
        <v>5584347.0</v>
      </c>
      <c r="H446" s="9">
        <v>5.4696967E7</v>
      </c>
      <c r="I446" s="9">
        <f t="shared" si="201"/>
        <v>24410487</v>
      </c>
      <c r="J446" s="9">
        <f>2224126+28062354</f>
        <v>30286480</v>
      </c>
      <c r="K446" s="6" t="s">
        <v>998</v>
      </c>
      <c r="L446" s="9"/>
      <c r="M446" s="10"/>
      <c r="N446" s="10"/>
      <c r="O446" s="9">
        <f t="shared" si="202"/>
        <v>29994834</v>
      </c>
      <c r="P446" s="38">
        <v>0.1817</v>
      </c>
      <c r="Q446" s="9">
        <f t="shared" si="203"/>
        <v>4435385.488</v>
      </c>
      <c r="R446" s="9">
        <f t="shared" si="204"/>
        <v>5450061.338</v>
      </c>
      <c r="S446" s="9">
        <f t="shared" si="205"/>
        <v>5450061.338</v>
      </c>
      <c r="T446" s="9"/>
      <c r="U446" s="40" t="s">
        <v>999</v>
      </c>
      <c r="V446" s="6"/>
      <c r="W446" s="6"/>
      <c r="X446" s="6"/>
      <c r="Y446" s="6"/>
      <c r="Z446" s="6"/>
      <c r="AA446" s="6"/>
      <c r="AB446" s="6"/>
      <c r="AC446" s="6"/>
      <c r="AD446" s="6"/>
      <c r="AE446" s="6"/>
      <c r="AF446" s="6"/>
      <c r="AG446" s="6"/>
      <c r="AH446" s="6"/>
    </row>
    <row r="447" ht="15.75" customHeight="1">
      <c r="A447" s="6"/>
      <c r="B447" s="25" t="s">
        <v>161</v>
      </c>
      <c r="C447" s="25"/>
      <c r="D447" s="25"/>
      <c r="E447" s="25" t="s">
        <v>241</v>
      </c>
      <c r="F447" s="25" t="s">
        <v>29</v>
      </c>
      <c r="G447" s="9"/>
      <c r="H447" s="9"/>
      <c r="I447" s="9">
        <f t="shared" si="201"/>
        <v>0</v>
      </c>
      <c r="J447" s="9"/>
      <c r="K447" s="6"/>
      <c r="L447" s="9"/>
      <c r="M447" s="10"/>
      <c r="N447" s="10"/>
      <c r="O447" s="9">
        <f t="shared" si="202"/>
        <v>0</v>
      </c>
      <c r="P447" s="38">
        <v>0.1013</v>
      </c>
      <c r="Q447" s="9">
        <f t="shared" si="203"/>
        <v>0</v>
      </c>
      <c r="R447" s="9">
        <f t="shared" si="204"/>
        <v>0</v>
      </c>
      <c r="S447" s="9">
        <f t="shared" si="205"/>
        <v>0</v>
      </c>
      <c r="T447" s="9"/>
      <c r="U447" s="6" t="s">
        <v>60</v>
      </c>
      <c r="V447" s="6"/>
      <c r="W447" s="6"/>
      <c r="X447" s="6"/>
      <c r="Y447" s="6"/>
      <c r="Z447" s="6"/>
      <c r="AA447" s="6"/>
      <c r="AB447" s="6"/>
      <c r="AC447" s="6"/>
      <c r="AD447" s="6"/>
      <c r="AE447" s="6"/>
      <c r="AF447" s="6"/>
      <c r="AG447" s="6"/>
      <c r="AH447" s="6"/>
    </row>
    <row r="448" ht="15.75" customHeight="1">
      <c r="A448" s="6"/>
      <c r="B448" s="25"/>
      <c r="C448" s="25"/>
      <c r="D448" s="25"/>
      <c r="E448" s="41" t="s">
        <v>35</v>
      </c>
      <c r="F448" s="25"/>
      <c r="G448" s="9"/>
      <c r="H448" s="9"/>
      <c r="I448" s="9"/>
      <c r="J448" s="9"/>
      <c r="K448" s="6"/>
      <c r="L448" s="9"/>
      <c r="M448" s="10"/>
      <c r="N448" s="10"/>
      <c r="O448" s="9"/>
      <c r="P448" s="26" t="s">
        <v>1000</v>
      </c>
      <c r="Q448" s="19">
        <f t="shared" ref="Q448:S448" si="206">SUM(Q443:Q447)</f>
        <v>2173546010</v>
      </c>
      <c r="R448" s="19">
        <f t="shared" si="206"/>
        <v>3160738478</v>
      </c>
      <c r="S448" s="19">
        <f t="shared" si="206"/>
        <v>3211630021</v>
      </c>
      <c r="T448" s="20">
        <v>1.232273009E9</v>
      </c>
      <c r="U448" s="6"/>
      <c r="V448" s="6"/>
      <c r="W448" s="6"/>
      <c r="X448" s="6"/>
      <c r="Y448" s="6"/>
      <c r="Z448" s="6"/>
      <c r="AA448" s="6"/>
      <c r="AB448" s="6"/>
      <c r="AC448" s="6"/>
      <c r="AD448" s="6"/>
      <c r="AE448" s="6"/>
      <c r="AF448" s="6"/>
      <c r="AG448" s="6"/>
      <c r="AH448" s="6"/>
    </row>
    <row r="449" ht="15.75" customHeight="1">
      <c r="A449" s="6">
        <v>34.0</v>
      </c>
      <c r="B449" s="25" t="s">
        <v>36</v>
      </c>
      <c r="C449" s="42" t="s">
        <v>37</v>
      </c>
      <c r="D449" s="25"/>
      <c r="E449" s="25"/>
      <c r="F449" s="7" t="s">
        <v>1</v>
      </c>
      <c r="G449" s="21">
        <v>5.8888202E10</v>
      </c>
      <c r="H449" s="22">
        <v>1.79355805E11</v>
      </c>
      <c r="I449" s="9">
        <f t="shared" ref="I449:I460" si="207">H449-J449</f>
        <v>179355805000</v>
      </c>
      <c r="J449" s="9"/>
      <c r="K449" s="6"/>
      <c r="L449" s="9"/>
      <c r="M449" s="21">
        <v>9.03E8</v>
      </c>
      <c r="N449" s="23">
        <v>1.3836881E10</v>
      </c>
      <c r="O449" s="9">
        <f t="shared" ref="O449:O460" si="208">G449+I449</f>
        <v>238244007000</v>
      </c>
      <c r="P449" s="31">
        <v>0.0134</v>
      </c>
      <c r="Q449" s="9">
        <f t="shared" ref="Q449:Q460" si="209">I449*P449</f>
        <v>2403367787</v>
      </c>
      <c r="R449" s="9">
        <f t="shared" ref="R449:R460" si="210">(O449-N449-M449)*P449</f>
        <v>2994955288</v>
      </c>
      <c r="S449" s="9">
        <f t="shared" ref="S449:S460" si="211">O449*P449</f>
        <v>3192469694</v>
      </c>
      <c r="T449" s="12"/>
      <c r="U449" s="16" t="s">
        <v>38</v>
      </c>
      <c r="V449" s="6"/>
      <c r="W449" s="6"/>
      <c r="X449" s="6"/>
      <c r="Y449" s="6"/>
      <c r="Z449" s="6"/>
      <c r="AA449" s="6"/>
      <c r="AB449" s="6"/>
      <c r="AC449" s="6"/>
      <c r="AD449" s="6"/>
      <c r="AE449" s="6"/>
      <c r="AF449" s="6"/>
      <c r="AG449" s="6"/>
      <c r="AH449" s="6"/>
    </row>
    <row r="450" ht="15.75" customHeight="1">
      <c r="A450" s="6"/>
      <c r="B450" s="25" t="s">
        <v>36</v>
      </c>
      <c r="C450" s="25"/>
      <c r="D450" s="25" t="s">
        <v>1001</v>
      </c>
      <c r="E450" s="25"/>
      <c r="F450" s="25" t="s">
        <v>3</v>
      </c>
      <c r="G450" s="9">
        <v>3.44539E8</v>
      </c>
      <c r="H450" s="9">
        <v>3.21656E8</v>
      </c>
      <c r="I450" s="9">
        <f t="shared" si="207"/>
        <v>321656000</v>
      </c>
      <c r="J450" s="9"/>
      <c r="K450" s="6"/>
      <c r="L450" s="9"/>
      <c r="M450" s="10"/>
      <c r="N450" s="10"/>
      <c r="O450" s="9">
        <f t="shared" si="208"/>
        <v>666195000</v>
      </c>
      <c r="P450" s="38">
        <v>1.0</v>
      </c>
      <c r="Q450" s="9">
        <f t="shared" si="209"/>
        <v>321656000</v>
      </c>
      <c r="R450" s="9">
        <f t="shared" si="210"/>
        <v>666195000</v>
      </c>
      <c r="S450" s="9">
        <f t="shared" si="211"/>
        <v>666195000</v>
      </c>
      <c r="T450" s="9"/>
      <c r="U450" s="13" t="s">
        <v>1002</v>
      </c>
      <c r="V450" s="6"/>
      <c r="W450" s="6"/>
      <c r="X450" s="6"/>
      <c r="Y450" s="6"/>
      <c r="Z450" s="6"/>
      <c r="AA450" s="6"/>
      <c r="AB450" s="6"/>
      <c r="AC450" s="6"/>
      <c r="AD450" s="6"/>
      <c r="AE450" s="6"/>
      <c r="AF450" s="6"/>
      <c r="AG450" s="6"/>
      <c r="AH450" s="6"/>
    </row>
    <row r="451" ht="15.75" customHeight="1">
      <c r="A451" s="6"/>
      <c r="B451" s="25" t="s">
        <v>36</v>
      </c>
      <c r="C451" s="25"/>
      <c r="D451" s="25"/>
      <c r="E451" s="25" t="s">
        <v>1003</v>
      </c>
      <c r="F451" s="25" t="s">
        <v>43</v>
      </c>
      <c r="G451" s="9">
        <v>1.22215E8</v>
      </c>
      <c r="H451" s="9">
        <v>6.73796E8</v>
      </c>
      <c r="I451" s="9">
        <f t="shared" si="207"/>
        <v>673796000</v>
      </c>
      <c r="J451" s="9"/>
      <c r="K451" s="6"/>
      <c r="L451" s="9"/>
      <c r="M451" s="10"/>
      <c r="N451" s="14">
        <v>2.4994E7</v>
      </c>
      <c r="O451" s="9">
        <f t="shared" si="208"/>
        <v>796011000</v>
      </c>
      <c r="P451" s="38">
        <v>0.5416</v>
      </c>
      <c r="Q451" s="9">
        <f t="shared" si="209"/>
        <v>364927913.6</v>
      </c>
      <c r="R451" s="9">
        <f t="shared" si="210"/>
        <v>417582807.2</v>
      </c>
      <c r="S451" s="9">
        <f t="shared" si="211"/>
        <v>431119557.6</v>
      </c>
      <c r="T451" s="9"/>
      <c r="U451" s="13" t="s">
        <v>1004</v>
      </c>
      <c r="V451" s="6"/>
      <c r="W451" s="6"/>
      <c r="X451" s="6"/>
      <c r="Y451" s="6"/>
      <c r="Z451" s="6"/>
      <c r="AA451" s="6"/>
      <c r="AB451" s="6"/>
      <c r="AC451" s="6"/>
      <c r="AD451" s="6"/>
      <c r="AE451" s="6"/>
      <c r="AF451" s="6"/>
      <c r="AG451" s="6"/>
      <c r="AH451" s="6"/>
    </row>
    <row r="452" ht="15.75" customHeight="1">
      <c r="A452" s="6"/>
      <c r="B452" s="25" t="s">
        <v>36</v>
      </c>
      <c r="C452" s="25"/>
      <c r="D452" s="25"/>
      <c r="E452" s="25" t="s">
        <v>1005</v>
      </c>
      <c r="F452" s="25" t="s">
        <v>47</v>
      </c>
      <c r="G452" s="9">
        <v>1.6059272E7</v>
      </c>
      <c r="H452" s="9">
        <v>4.97934063E8</v>
      </c>
      <c r="I452" s="9">
        <f t="shared" si="207"/>
        <v>171781049</v>
      </c>
      <c r="J452" s="9">
        <f>324525549+1375465+252000</f>
        <v>326153014</v>
      </c>
      <c r="K452" s="6" t="s">
        <v>438</v>
      </c>
      <c r="L452" s="9"/>
      <c r="M452" s="10"/>
      <c r="N452" s="10"/>
      <c r="O452" s="9">
        <f t="shared" si="208"/>
        <v>187840321</v>
      </c>
      <c r="P452" s="38">
        <v>0.405</v>
      </c>
      <c r="Q452" s="9">
        <f t="shared" si="209"/>
        <v>69571324.85</v>
      </c>
      <c r="R452" s="9">
        <f t="shared" si="210"/>
        <v>76075330.01</v>
      </c>
      <c r="S452" s="9">
        <f t="shared" si="211"/>
        <v>76075330.01</v>
      </c>
      <c r="T452" s="9"/>
      <c r="U452" s="13" t="s">
        <v>1006</v>
      </c>
      <c r="V452" s="6"/>
      <c r="W452" s="6"/>
      <c r="X452" s="6"/>
      <c r="Y452" s="6"/>
      <c r="Z452" s="6"/>
      <c r="AA452" s="6"/>
      <c r="AB452" s="6"/>
      <c r="AC452" s="6"/>
      <c r="AD452" s="6"/>
      <c r="AE452" s="6"/>
      <c r="AF452" s="6"/>
      <c r="AG452" s="6"/>
      <c r="AH452" s="6"/>
    </row>
    <row r="453" ht="15.75" customHeight="1">
      <c r="A453" s="6"/>
      <c r="B453" s="25" t="s">
        <v>36</v>
      </c>
      <c r="C453" s="25"/>
      <c r="D453" s="25"/>
      <c r="E453" s="25" t="s">
        <v>1007</v>
      </c>
      <c r="F453" s="25" t="s">
        <v>47</v>
      </c>
      <c r="G453" s="9">
        <v>2480798.0</v>
      </c>
      <c r="H453" s="9">
        <v>8.75250785E8</v>
      </c>
      <c r="I453" s="9">
        <f t="shared" si="207"/>
        <v>141068111</v>
      </c>
      <c r="J453" s="9">
        <v>7.34182674E8</v>
      </c>
      <c r="K453" s="6" t="s">
        <v>323</v>
      </c>
      <c r="L453" s="9"/>
      <c r="M453" s="10"/>
      <c r="N453" s="10"/>
      <c r="O453" s="9">
        <f t="shared" si="208"/>
        <v>143548909</v>
      </c>
      <c r="P453" s="38">
        <v>0.9162</v>
      </c>
      <c r="Q453" s="9">
        <f t="shared" si="209"/>
        <v>129246603.3</v>
      </c>
      <c r="R453" s="9">
        <f t="shared" si="210"/>
        <v>131519510.4</v>
      </c>
      <c r="S453" s="9">
        <f t="shared" si="211"/>
        <v>131519510.4</v>
      </c>
      <c r="T453" s="9"/>
      <c r="U453" s="13" t="s">
        <v>1008</v>
      </c>
      <c r="V453" s="6"/>
      <c r="W453" s="6"/>
      <c r="X453" s="6"/>
      <c r="Y453" s="6"/>
      <c r="Z453" s="6"/>
      <c r="AA453" s="6"/>
      <c r="AB453" s="6"/>
      <c r="AC453" s="6"/>
      <c r="AD453" s="6"/>
      <c r="AE453" s="6"/>
      <c r="AF453" s="6"/>
      <c r="AG453" s="6"/>
      <c r="AH453" s="6"/>
    </row>
    <row r="454" ht="15.75" customHeight="1">
      <c r="A454" s="6"/>
      <c r="B454" s="25" t="s">
        <v>36</v>
      </c>
      <c r="C454" s="25"/>
      <c r="D454" s="25"/>
      <c r="E454" s="25" t="s">
        <v>1009</v>
      </c>
      <c r="F454" s="25" t="s">
        <v>47</v>
      </c>
      <c r="G454" s="9"/>
      <c r="H454" s="9"/>
      <c r="I454" s="9">
        <f t="shared" si="207"/>
        <v>0</v>
      </c>
      <c r="J454" s="9"/>
      <c r="K454" s="6"/>
      <c r="L454" s="9"/>
      <c r="M454" s="10"/>
      <c r="N454" s="10"/>
      <c r="O454" s="9">
        <f t="shared" si="208"/>
        <v>0</v>
      </c>
      <c r="P454" s="38">
        <v>0.7734</v>
      </c>
      <c r="Q454" s="9">
        <f t="shared" si="209"/>
        <v>0</v>
      </c>
      <c r="R454" s="9">
        <f t="shared" si="210"/>
        <v>0</v>
      </c>
      <c r="S454" s="9">
        <f t="shared" si="211"/>
        <v>0</v>
      </c>
      <c r="T454" s="9"/>
      <c r="U454" s="6" t="s">
        <v>60</v>
      </c>
      <c r="V454" s="6"/>
      <c r="W454" s="6"/>
      <c r="X454" s="6"/>
      <c r="Y454" s="6"/>
      <c r="Z454" s="6"/>
      <c r="AA454" s="6"/>
      <c r="AB454" s="6"/>
      <c r="AC454" s="6"/>
      <c r="AD454" s="6"/>
      <c r="AE454" s="6"/>
      <c r="AF454" s="6"/>
      <c r="AG454" s="6"/>
      <c r="AH454" s="6"/>
    </row>
    <row r="455" ht="15.75" customHeight="1">
      <c r="A455" s="6"/>
      <c r="B455" s="25" t="s">
        <v>36</v>
      </c>
      <c r="C455" s="25"/>
      <c r="D455" s="25"/>
      <c r="E455" s="25" t="s">
        <v>1010</v>
      </c>
      <c r="F455" s="25" t="s">
        <v>47</v>
      </c>
      <c r="G455" s="9">
        <v>752072.0</v>
      </c>
      <c r="H455" s="9">
        <v>1.55238509E8</v>
      </c>
      <c r="I455" s="9">
        <f t="shared" si="207"/>
        <v>33947899</v>
      </c>
      <c r="J455" s="9">
        <f>118833357+2457253</f>
        <v>121290610</v>
      </c>
      <c r="K455" s="6" t="s">
        <v>1011</v>
      </c>
      <c r="L455" s="9"/>
      <c r="M455" s="10"/>
      <c r="N455" s="10"/>
      <c r="O455" s="9">
        <f t="shared" si="208"/>
        <v>34699971</v>
      </c>
      <c r="P455" s="38">
        <v>0.1263</v>
      </c>
      <c r="Q455" s="9">
        <f t="shared" si="209"/>
        <v>4287619.644</v>
      </c>
      <c r="R455" s="9">
        <f t="shared" si="210"/>
        <v>4382606.337</v>
      </c>
      <c r="S455" s="9">
        <f t="shared" si="211"/>
        <v>4382606.337</v>
      </c>
      <c r="T455" s="9"/>
      <c r="U455" s="13" t="s">
        <v>1012</v>
      </c>
      <c r="V455" s="6"/>
      <c r="W455" s="6"/>
      <c r="X455" s="6"/>
      <c r="Y455" s="6"/>
      <c r="Z455" s="6"/>
      <c r="AA455" s="6"/>
      <c r="AB455" s="6"/>
      <c r="AC455" s="6"/>
      <c r="AD455" s="6"/>
      <c r="AE455" s="6"/>
      <c r="AF455" s="6"/>
      <c r="AG455" s="6"/>
      <c r="AH455" s="6"/>
    </row>
    <row r="456" ht="15.75" customHeight="1">
      <c r="A456" s="6"/>
      <c r="B456" s="25" t="s">
        <v>36</v>
      </c>
      <c r="C456" s="25"/>
      <c r="D456" s="25"/>
      <c r="E456" s="25" t="s">
        <v>1013</v>
      </c>
      <c r="F456" s="25" t="s">
        <v>47</v>
      </c>
      <c r="G456" s="9"/>
      <c r="H456" s="9"/>
      <c r="I456" s="9">
        <f t="shared" si="207"/>
        <v>0</v>
      </c>
      <c r="J456" s="9"/>
      <c r="K456" s="6"/>
      <c r="L456" s="9"/>
      <c r="M456" s="10"/>
      <c r="N456" s="10"/>
      <c r="O456" s="9">
        <f t="shared" si="208"/>
        <v>0</v>
      </c>
      <c r="P456" s="38">
        <v>0.536</v>
      </c>
      <c r="Q456" s="9">
        <f t="shared" si="209"/>
        <v>0</v>
      </c>
      <c r="R456" s="9">
        <f t="shared" si="210"/>
        <v>0</v>
      </c>
      <c r="S456" s="9">
        <f t="shared" si="211"/>
        <v>0</v>
      </c>
      <c r="T456" s="9"/>
      <c r="U456" s="6" t="s">
        <v>60</v>
      </c>
      <c r="V456" s="6"/>
      <c r="W456" s="6"/>
      <c r="X456" s="6"/>
      <c r="Y456" s="6"/>
      <c r="Z456" s="6"/>
      <c r="AA456" s="6"/>
      <c r="AB456" s="6"/>
      <c r="AC456" s="6"/>
      <c r="AD456" s="6"/>
      <c r="AE456" s="6"/>
      <c r="AF456" s="6"/>
      <c r="AG456" s="6"/>
      <c r="AH456" s="6"/>
    </row>
    <row r="457" ht="15.75" customHeight="1">
      <c r="A457" s="6"/>
      <c r="B457" s="25" t="s">
        <v>36</v>
      </c>
      <c r="C457" s="25"/>
      <c r="D457" s="25"/>
      <c r="E457" s="25" t="s">
        <v>1014</v>
      </c>
      <c r="F457" s="25" t="s">
        <v>47</v>
      </c>
      <c r="G457" s="9">
        <v>1875.0</v>
      </c>
      <c r="H457" s="9">
        <v>8461424.0</v>
      </c>
      <c r="I457" s="9">
        <f t="shared" si="207"/>
        <v>8001069</v>
      </c>
      <c r="J457" s="9">
        <v>460355.0</v>
      </c>
      <c r="K457" s="6" t="s">
        <v>1015</v>
      </c>
      <c r="L457" s="9"/>
      <c r="M457" s="10"/>
      <c r="N457" s="10"/>
      <c r="O457" s="9">
        <f t="shared" si="208"/>
        <v>8002944</v>
      </c>
      <c r="P457" s="38">
        <v>0.7281</v>
      </c>
      <c r="Q457" s="9">
        <f t="shared" si="209"/>
        <v>5825578.339</v>
      </c>
      <c r="R457" s="9">
        <f t="shared" si="210"/>
        <v>5826943.526</v>
      </c>
      <c r="S457" s="9">
        <f t="shared" si="211"/>
        <v>5826943.526</v>
      </c>
      <c r="T457" s="9"/>
      <c r="U457" s="13" t="s">
        <v>1016</v>
      </c>
      <c r="V457" s="6"/>
      <c r="W457" s="6"/>
      <c r="X457" s="6"/>
      <c r="Y457" s="6"/>
      <c r="Z457" s="6"/>
      <c r="AA457" s="6"/>
      <c r="AB457" s="6"/>
      <c r="AC457" s="6"/>
      <c r="AD457" s="6"/>
      <c r="AE457" s="6"/>
      <c r="AF457" s="6"/>
      <c r="AG457" s="6"/>
      <c r="AH457" s="6"/>
    </row>
    <row r="458" ht="15.75" customHeight="1">
      <c r="A458" s="6"/>
      <c r="B458" s="25" t="s">
        <v>36</v>
      </c>
      <c r="C458" s="25"/>
      <c r="D458" s="25"/>
      <c r="E458" s="25" t="s">
        <v>1017</v>
      </c>
      <c r="F458" s="25" t="s">
        <v>47</v>
      </c>
      <c r="G458" s="9">
        <v>3.054499E7</v>
      </c>
      <c r="H458" s="9">
        <v>1.84076021E8</v>
      </c>
      <c r="I458" s="9">
        <f t="shared" si="207"/>
        <v>35522805</v>
      </c>
      <c r="J458" s="9">
        <v>1.48553216E8</v>
      </c>
      <c r="K458" s="6" t="s">
        <v>323</v>
      </c>
      <c r="L458" s="9"/>
      <c r="M458" s="10"/>
      <c r="N458" s="10"/>
      <c r="O458" s="9">
        <f t="shared" si="208"/>
        <v>66067795</v>
      </c>
      <c r="P458" s="38">
        <v>0.5723</v>
      </c>
      <c r="Q458" s="9">
        <f t="shared" si="209"/>
        <v>20329701.3</v>
      </c>
      <c r="R458" s="9">
        <f t="shared" si="210"/>
        <v>37810599.08</v>
      </c>
      <c r="S458" s="9">
        <f t="shared" si="211"/>
        <v>37810599.08</v>
      </c>
      <c r="T458" s="9"/>
      <c r="U458" s="13" t="s">
        <v>1018</v>
      </c>
      <c r="V458" s="6"/>
      <c r="W458" s="6"/>
      <c r="X458" s="6"/>
      <c r="Y458" s="6"/>
      <c r="Z458" s="6"/>
      <c r="AA458" s="6"/>
      <c r="AB458" s="6"/>
      <c r="AC458" s="6"/>
      <c r="AD458" s="6"/>
      <c r="AE458" s="6"/>
      <c r="AF458" s="6"/>
      <c r="AG458" s="6"/>
      <c r="AH458" s="6"/>
    </row>
    <row r="459" ht="15.75" customHeight="1">
      <c r="A459" s="6"/>
      <c r="B459" s="25" t="s">
        <v>36</v>
      </c>
      <c r="C459" s="25"/>
      <c r="D459" s="25"/>
      <c r="E459" s="25" t="s">
        <v>1019</v>
      </c>
      <c r="F459" s="25" t="s">
        <v>29</v>
      </c>
      <c r="G459" s="9"/>
      <c r="H459" s="9">
        <f>97480053+33051+2697+1477406+7348+676893+60142813+24224+6335+1290083+2137+385365+71</f>
        <v>161528476</v>
      </c>
      <c r="I459" s="9">
        <f t="shared" si="207"/>
        <v>21346605</v>
      </c>
      <c r="J459" s="9">
        <f>64119949+25440830+48756691+1864401</f>
        <v>140181871</v>
      </c>
      <c r="K459" s="6" t="s">
        <v>1020</v>
      </c>
      <c r="L459" s="9"/>
      <c r="M459" s="10"/>
      <c r="N459" s="10"/>
      <c r="O459" s="9">
        <f t="shared" si="208"/>
        <v>21346605</v>
      </c>
      <c r="P459" s="38">
        <v>0.5338</v>
      </c>
      <c r="Q459" s="9">
        <f t="shared" si="209"/>
        <v>11394817.75</v>
      </c>
      <c r="R459" s="9">
        <f t="shared" si="210"/>
        <v>11394817.75</v>
      </c>
      <c r="S459" s="9">
        <f t="shared" si="211"/>
        <v>11394817.75</v>
      </c>
      <c r="T459" s="9"/>
      <c r="U459" s="13" t="s">
        <v>1021</v>
      </c>
      <c r="V459" s="6" t="s">
        <v>1022</v>
      </c>
      <c r="W459" s="6"/>
      <c r="X459" s="6"/>
      <c r="Y459" s="6"/>
      <c r="Z459" s="6"/>
      <c r="AA459" s="6"/>
      <c r="AB459" s="6"/>
      <c r="AC459" s="6"/>
      <c r="AD459" s="6"/>
      <c r="AE459" s="6"/>
      <c r="AF459" s="6"/>
      <c r="AG459" s="6"/>
      <c r="AH459" s="6"/>
    </row>
    <row r="460" ht="15.75" customHeight="1">
      <c r="A460" s="6"/>
      <c r="B460" s="25" t="s">
        <v>36</v>
      </c>
      <c r="C460" s="25"/>
      <c r="D460" s="25"/>
      <c r="E460" s="25" t="s">
        <v>1023</v>
      </c>
      <c r="F460" s="25" t="s">
        <v>29</v>
      </c>
      <c r="G460" s="9"/>
      <c r="H460" s="9"/>
      <c r="I460" s="9">
        <f t="shared" si="207"/>
        <v>0</v>
      </c>
      <c r="J460" s="9"/>
      <c r="K460" s="6"/>
      <c r="L460" s="9"/>
      <c r="M460" s="10"/>
      <c r="N460" s="10"/>
      <c r="O460" s="9">
        <f t="shared" si="208"/>
        <v>0</v>
      </c>
      <c r="P460" s="38">
        <v>0.5338</v>
      </c>
      <c r="Q460" s="9">
        <f t="shared" si="209"/>
        <v>0</v>
      </c>
      <c r="R460" s="9">
        <f t="shared" si="210"/>
        <v>0</v>
      </c>
      <c r="S460" s="9">
        <f t="shared" si="211"/>
        <v>0</v>
      </c>
      <c r="T460" s="9"/>
      <c r="U460" s="6" t="s">
        <v>60</v>
      </c>
      <c r="V460" s="6"/>
      <c r="W460" s="6"/>
      <c r="X460" s="6"/>
      <c r="Y460" s="6"/>
      <c r="Z460" s="6"/>
      <c r="AA460" s="6"/>
      <c r="AB460" s="6"/>
      <c r="AC460" s="6"/>
      <c r="AD460" s="6"/>
      <c r="AE460" s="6"/>
      <c r="AF460" s="6"/>
      <c r="AG460" s="6"/>
      <c r="AH460" s="6"/>
    </row>
    <row r="461" ht="15.75" customHeight="1">
      <c r="A461" s="6"/>
      <c r="B461" s="25"/>
      <c r="C461" s="25"/>
      <c r="D461" s="25"/>
      <c r="E461" s="41" t="s">
        <v>35</v>
      </c>
      <c r="F461" s="25"/>
      <c r="G461" s="9"/>
      <c r="H461" s="9"/>
      <c r="I461" s="9"/>
      <c r="J461" s="9"/>
      <c r="K461" s="6"/>
      <c r="L461" s="9"/>
      <c r="M461" s="10"/>
      <c r="N461" s="10"/>
      <c r="O461" s="9"/>
      <c r="P461" s="26" t="s">
        <v>1024</v>
      </c>
      <c r="Q461" s="19">
        <f t="shared" ref="Q461:S461" si="212">SUM(Q449:Q460)</f>
        <v>3330607346</v>
      </c>
      <c r="R461" s="19">
        <f t="shared" si="212"/>
        <v>4345742903</v>
      </c>
      <c r="S461" s="19">
        <f t="shared" si="212"/>
        <v>4556794059</v>
      </c>
      <c r="T461" s="20">
        <v>1.142011411E9</v>
      </c>
      <c r="U461" s="6"/>
      <c r="V461" s="6"/>
      <c r="W461" s="6"/>
      <c r="X461" s="6"/>
      <c r="Y461" s="6"/>
      <c r="Z461" s="6"/>
      <c r="AA461" s="6"/>
      <c r="AB461" s="6"/>
      <c r="AC461" s="6"/>
      <c r="AD461" s="6"/>
      <c r="AE461" s="6"/>
      <c r="AF461" s="6"/>
      <c r="AG461" s="6"/>
      <c r="AH461" s="6"/>
    </row>
    <row r="462" ht="15.75" customHeight="1">
      <c r="A462" s="6">
        <v>35.0</v>
      </c>
      <c r="B462" s="25" t="s">
        <v>161</v>
      </c>
      <c r="C462" s="42" t="s">
        <v>162</v>
      </c>
      <c r="D462" s="25"/>
      <c r="E462" s="25"/>
      <c r="F462" s="7" t="s">
        <v>1</v>
      </c>
      <c r="G462" s="8">
        <v>6.02333E9</v>
      </c>
      <c r="H462" s="8">
        <v>1.8109069E10</v>
      </c>
      <c r="I462" s="9">
        <f t="shared" ref="I462:I471" si="213">H462-J462</f>
        <v>18077647000</v>
      </c>
      <c r="J462" s="9">
        <f>28549000+2873000</f>
        <v>31422000</v>
      </c>
      <c r="K462" s="30" t="s">
        <v>163</v>
      </c>
      <c r="L462" s="9"/>
      <c r="M462" s="10"/>
      <c r="N462" s="8">
        <v>5.63157E8</v>
      </c>
      <c r="O462" s="9">
        <f t="shared" ref="O462:O471" si="214">G462+I462</f>
        <v>24100977000</v>
      </c>
      <c r="P462" s="31">
        <v>0.0736</v>
      </c>
      <c r="Q462" s="9">
        <f t="shared" ref="Q462:Q471" si="215">I462*P462</f>
        <v>1330514819</v>
      </c>
      <c r="R462" s="9">
        <f t="shared" ref="R462:R471" si="216">(O462-N462-M462)*P462</f>
        <v>1732383552</v>
      </c>
      <c r="S462" s="9">
        <f t="shared" ref="S462:S471" si="217">O462*P462</f>
        <v>1773831907</v>
      </c>
      <c r="T462" s="9"/>
      <c r="U462" s="32" t="s">
        <v>164</v>
      </c>
      <c r="V462" s="6"/>
      <c r="W462" s="6"/>
      <c r="X462" s="6"/>
      <c r="Y462" s="6"/>
      <c r="Z462" s="6"/>
      <c r="AA462" s="6"/>
      <c r="AB462" s="6"/>
      <c r="AC462" s="6"/>
      <c r="AD462" s="6"/>
      <c r="AE462" s="6"/>
      <c r="AF462" s="6"/>
      <c r="AG462" s="6"/>
      <c r="AH462" s="6"/>
    </row>
    <row r="463" ht="15.75" customHeight="1">
      <c r="A463" s="6"/>
      <c r="B463" s="25" t="s">
        <v>161</v>
      </c>
      <c r="C463" s="25"/>
      <c r="D463" s="25" t="s">
        <v>1025</v>
      </c>
      <c r="E463" s="25"/>
      <c r="F463" s="25" t="s">
        <v>3</v>
      </c>
      <c r="G463" s="9">
        <v>4.52514E8</v>
      </c>
      <c r="H463" s="9">
        <v>5.2492E8</v>
      </c>
      <c r="I463" s="9">
        <f t="shared" si="213"/>
        <v>304819000</v>
      </c>
      <c r="J463" s="9">
        <f>183189000+36912000</f>
        <v>220101000</v>
      </c>
      <c r="K463" s="6" t="s">
        <v>1026</v>
      </c>
      <c r="L463" s="9"/>
      <c r="M463" s="14">
        <v>2.9855E7</v>
      </c>
      <c r="N463" s="10"/>
      <c r="O463" s="9">
        <f t="shared" si="214"/>
        <v>757333000</v>
      </c>
      <c r="P463" s="38">
        <v>1.0</v>
      </c>
      <c r="Q463" s="9">
        <f t="shared" si="215"/>
        <v>304819000</v>
      </c>
      <c r="R463" s="9">
        <f t="shared" si="216"/>
        <v>727478000</v>
      </c>
      <c r="S463" s="9">
        <f t="shared" si="217"/>
        <v>757333000</v>
      </c>
      <c r="T463" s="9"/>
      <c r="U463" s="40" t="s">
        <v>1027</v>
      </c>
      <c r="V463" s="6"/>
      <c r="W463" s="6"/>
      <c r="X463" s="6"/>
      <c r="Y463" s="6"/>
      <c r="Z463" s="6"/>
      <c r="AA463" s="6"/>
      <c r="AB463" s="6"/>
      <c r="AC463" s="6"/>
      <c r="AD463" s="6"/>
      <c r="AE463" s="6"/>
      <c r="AF463" s="6"/>
      <c r="AG463" s="6"/>
      <c r="AH463" s="6"/>
    </row>
    <row r="464" ht="15.75" customHeight="1">
      <c r="A464" s="6"/>
      <c r="B464" s="25" t="s">
        <v>161</v>
      </c>
      <c r="C464" s="25"/>
      <c r="D464" s="25"/>
      <c r="E464" s="25" t="s">
        <v>167</v>
      </c>
      <c r="F464" s="25" t="s">
        <v>43</v>
      </c>
      <c r="G464" s="9">
        <v>2.94561793E8</v>
      </c>
      <c r="H464" s="9">
        <v>1.770899097E9</v>
      </c>
      <c r="I464" s="9">
        <f t="shared" si="213"/>
        <v>1769189614</v>
      </c>
      <c r="J464" s="9">
        <v>1709483.0</v>
      </c>
      <c r="K464" s="6" t="s">
        <v>478</v>
      </c>
      <c r="L464" s="9"/>
      <c r="M464" s="10"/>
      <c r="N464" s="14">
        <v>5.592738E7</v>
      </c>
      <c r="O464" s="9">
        <f t="shared" si="214"/>
        <v>2063751407</v>
      </c>
      <c r="P464" s="38">
        <v>0.1101</v>
      </c>
      <c r="Q464" s="9">
        <f t="shared" si="215"/>
        <v>194787776.5</v>
      </c>
      <c r="R464" s="9">
        <f t="shared" si="216"/>
        <v>221061425.4</v>
      </c>
      <c r="S464" s="9">
        <f t="shared" si="217"/>
        <v>227219029.9</v>
      </c>
      <c r="T464" s="9"/>
      <c r="U464" s="40" t="s">
        <v>169</v>
      </c>
      <c r="V464" s="6"/>
      <c r="W464" s="6"/>
      <c r="X464" s="6"/>
      <c r="Y464" s="6"/>
      <c r="Z464" s="6"/>
      <c r="AA464" s="6"/>
      <c r="AB464" s="6"/>
      <c r="AC464" s="6"/>
      <c r="AD464" s="6"/>
      <c r="AE464" s="6"/>
      <c r="AF464" s="6"/>
      <c r="AG464" s="6"/>
      <c r="AH464" s="6"/>
    </row>
    <row r="465" ht="15.75" customHeight="1">
      <c r="A465" s="6"/>
      <c r="B465" s="25" t="s">
        <v>161</v>
      </c>
      <c r="C465" s="25"/>
      <c r="D465" s="25"/>
      <c r="E465" s="25" t="s">
        <v>1028</v>
      </c>
      <c r="F465" s="25" t="s">
        <v>47</v>
      </c>
      <c r="G465" s="9">
        <v>2.1656499E7</v>
      </c>
      <c r="H465" s="9">
        <v>2.85499996E8</v>
      </c>
      <c r="I465" s="9">
        <f t="shared" si="213"/>
        <v>107224950</v>
      </c>
      <c r="J465" s="9">
        <f>12124808+162992543+3157695</f>
        <v>178275046</v>
      </c>
      <c r="K465" s="6" t="s">
        <v>1029</v>
      </c>
      <c r="L465" s="9"/>
      <c r="M465" s="10"/>
      <c r="N465" s="10"/>
      <c r="O465" s="9">
        <f t="shared" si="214"/>
        <v>128881449</v>
      </c>
      <c r="P465" s="38">
        <v>0.2405</v>
      </c>
      <c r="Q465" s="9">
        <f t="shared" si="215"/>
        <v>25787600.48</v>
      </c>
      <c r="R465" s="9">
        <f t="shared" si="216"/>
        <v>30995988.48</v>
      </c>
      <c r="S465" s="9">
        <f t="shared" si="217"/>
        <v>30995988.48</v>
      </c>
      <c r="T465" s="9"/>
      <c r="U465" s="40" t="s">
        <v>1030</v>
      </c>
      <c r="V465" s="6"/>
      <c r="W465" s="6"/>
      <c r="X465" s="6"/>
      <c r="Y465" s="6"/>
      <c r="Z465" s="6"/>
      <c r="AA465" s="6"/>
      <c r="AB465" s="6"/>
      <c r="AC465" s="6"/>
      <c r="AD465" s="6"/>
      <c r="AE465" s="6"/>
      <c r="AF465" s="6"/>
      <c r="AG465" s="6"/>
      <c r="AH465" s="6"/>
    </row>
    <row r="466" ht="15.75" customHeight="1">
      <c r="A466" s="6"/>
      <c r="B466" s="25" t="s">
        <v>161</v>
      </c>
      <c r="C466" s="25"/>
      <c r="D466" s="25"/>
      <c r="E466" s="25" t="s">
        <v>1031</v>
      </c>
      <c r="F466" s="25" t="s">
        <v>47</v>
      </c>
      <c r="G466" s="9">
        <v>2.3657416E7</v>
      </c>
      <c r="H466" s="9">
        <v>5.30582966E8</v>
      </c>
      <c r="I466" s="9">
        <f t="shared" si="213"/>
        <v>195883001</v>
      </c>
      <c r="J466" s="9">
        <f>23792790+304164879+6742296</f>
        <v>334699965</v>
      </c>
      <c r="K466" s="6" t="s">
        <v>1029</v>
      </c>
      <c r="L466" s="9"/>
      <c r="M466" s="10"/>
      <c r="N466" s="10"/>
      <c r="O466" s="9">
        <f t="shared" si="214"/>
        <v>219540417</v>
      </c>
      <c r="P466" s="38">
        <v>0.8171</v>
      </c>
      <c r="Q466" s="9">
        <f t="shared" si="215"/>
        <v>160056000.1</v>
      </c>
      <c r="R466" s="9">
        <f t="shared" si="216"/>
        <v>179386474.7</v>
      </c>
      <c r="S466" s="9">
        <f t="shared" si="217"/>
        <v>179386474.7</v>
      </c>
      <c r="T466" s="9"/>
      <c r="U466" s="40" t="s">
        <v>1032</v>
      </c>
      <c r="V466" s="6"/>
      <c r="W466" s="6"/>
      <c r="X466" s="6"/>
      <c r="Y466" s="6"/>
      <c r="Z466" s="6"/>
      <c r="AA466" s="6"/>
      <c r="AB466" s="6"/>
      <c r="AC466" s="6"/>
      <c r="AD466" s="6"/>
      <c r="AE466" s="6"/>
      <c r="AF466" s="6"/>
      <c r="AG466" s="6"/>
      <c r="AH466" s="6"/>
    </row>
    <row r="467" ht="15.75" customHeight="1">
      <c r="A467" s="6"/>
      <c r="B467" s="25" t="s">
        <v>161</v>
      </c>
      <c r="C467" s="25"/>
      <c r="D467" s="25"/>
      <c r="E467" s="25" t="s">
        <v>1033</v>
      </c>
      <c r="F467" s="25" t="s">
        <v>47</v>
      </c>
      <c r="G467" s="9">
        <v>8104042.0</v>
      </c>
      <c r="H467" s="9">
        <v>8.1316005E7</v>
      </c>
      <c r="I467" s="9">
        <f t="shared" si="213"/>
        <v>34003758</v>
      </c>
      <c r="J467" s="9">
        <f>3276530+43792449+243268</f>
        <v>47312247</v>
      </c>
      <c r="K467" s="6" t="s">
        <v>1029</v>
      </c>
      <c r="L467" s="9"/>
      <c r="M467" s="10"/>
      <c r="N467" s="10"/>
      <c r="O467" s="9">
        <f t="shared" si="214"/>
        <v>42107800</v>
      </c>
      <c r="P467" s="38">
        <v>0.2313</v>
      </c>
      <c r="Q467" s="9">
        <f t="shared" si="215"/>
        <v>7865069.225</v>
      </c>
      <c r="R467" s="9">
        <f t="shared" si="216"/>
        <v>9739534.14</v>
      </c>
      <c r="S467" s="9">
        <f t="shared" si="217"/>
        <v>9739534.14</v>
      </c>
      <c r="T467" s="9"/>
      <c r="U467" s="40" t="s">
        <v>1034</v>
      </c>
      <c r="V467" s="6"/>
      <c r="W467" s="6"/>
      <c r="X467" s="6"/>
      <c r="Y467" s="6"/>
      <c r="Z467" s="6"/>
      <c r="AA467" s="6"/>
      <c r="AB467" s="6"/>
      <c r="AC467" s="6"/>
      <c r="AD467" s="6"/>
      <c r="AE467" s="6"/>
      <c r="AF467" s="6"/>
      <c r="AG467" s="6"/>
      <c r="AH467" s="6"/>
    </row>
    <row r="468" ht="15.75" customHeight="1">
      <c r="A468" s="6"/>
      <c r="B468" s="25" t="s">
        <v>161</v>
      </c>
      <c r="C468" s="25"/>
      <c r="D468" s="25"/>
      <c r="E468" s="25" t="s">
        <v>235</v>
      </c>
      <c r="F468" s="25" t="s">
        <v>29</v>
      </c>
      <c r="G468" s="9"/>
      <c r="H468" s="9"/>
      <c r="I468" s="9">
        <f t="shared" si="213"/>
        <v>0</v>
      </c>
      <c r="J468" s="9"/>
      <c r="K468" s="6"/>
      <c r="L468" s="9"/>
      <c r="M468" s="10"/>
      <c r="N468" s="10"/>
      <c r="O468" s="9">
        <f t="shared" si="214"/>
        <v>0</v>
      </c>
      <c r="P468" s="38">
        <v>0.105</v>
      </c>
      <c r="Q468" s="9">
        <f t="shared" si="215"/>
        <v>0</v>
      </c>
      <c r="R468" s="9">
        <f t="shared" si="216"/>
        <v>0</v>
      </c>
      <c r="S468" s="9">
        <f t="shared" si="217"/>
        <v>0</v>
      </c>
      <c r="T468" s="9"/>
      <c r="U468" s="6" t="s">
        <v>60</v>
      </c>
      <c r="V468" s="6"/>
      <c r="W468" s="6"/>
      <c r="X468" s="6"/>
      <c r="Y468" s="6"/>
      <c r="Z468" s="6"/>
      <c r="AA468" s="6"/>
      <c r="AB468" s="6"/>
      <c r="AC468" s="6"/>
      <c r="AD468" s="6"/>
      <c r="AE468" s="6"/>
      <c r="AF468" s="6"/>
      <c r="AG468" s="6"/>
      <c r="AH468" s="6"/>
    </row>
    <row r="469" ht="15.75" customHeight="1">
      <c r="A469" s="6"/>
      <c r="B469" s="25" t="s">
        <v>161</v>
      </c>
      <c r="C469" s="25"/>
      <c r="D469" s="25"/>
      <c r="E469" s="25" t="s">
        <v>236</v>
      </c>
      <c r="F469" s="25" t="s">
        <v>29</v>
      </c>
      <c r="G469" s="9"/>
      <c r="H469" s="9">
        <f>548956484+143303021+11915514+3547896+8344261</f>
        <v>716067176</v>
      </c>
      <c r="I469" s="9">
        <f t="shared" si="213"/>
        <v>704151662</v>
      </c>
      <c r="J469" s="9">
        <v>1.1915514E7</v>
      </c>
      <c r="K469" s="6" t="s">
        <v>1035</v>
      </c>
      <c r="L469" s="9"/>
      <c r="M469" s="10"/>
      <c r="N469" s="14">
        <v>4.54144793E8</v>
      </c>
      <c r="O469" s="9">
        <f t="shared" si="214"/>
        <v>704151662</v>
      </c>
      <c r="P469" s="38">
        <v>0.1153</v>
      </c>
      <c r="Q469" s="9">
        <f t="shared" si="215"/>
        <v>81188686.63</v>
      </c>
      <c r="R469" s="9">
        <f t="shared" si="216"/>
        <v>28825792</v>
      </c>
      <c r="S469" s="9">
        <f t="shared" si="217"/>
        <v>81188686.63</v>
      </c>
      <c r="T469" s="9"/>
      <c r="U469" s="40" t="s">
        <v>1036</v>
      </c>
      <c r="V469" s="6"/>
      <c r="W469" s="6"/>
      <c r="X469" s="6"/>
      <c r="Y469" s="6"/>
      <c r="Z469" s="6"/>
      <c r="AA469" s="6"/>
      <c r="AB469" s="6"/>
      <c r="AC469" s="6"/>
      <c r="AD469" s="6"/>
      <c r="AE469" s="6"/>
      <c r="AF469" s="6"/>
      <c r="AG469" s="6"/>
      <c r="AH469" s="6"/>
    </row>
    <row r="470" ht="15.75" customHeight="1">
      <c r="A470" s="6"/>
      <c r="B470" s="25" t="s">
        <v>161</v>
      </c>
      <c r="C470" s="25"/>
      <c r="D470" s="25"/>
      <c r="E470" s="25" t="s">
        <v>239</v>
      </c>
      <c r="F470" s="25" t="s">
        <v>29</v>
      </c>
      <c r="G470" s="9">
        <v>7.4194E7</v>
      </c>
      <c r="H470" s="9">
        <v>1.70527E8</v>
      </c>
      <c r="I470" s="9">
        <f t="shared" si="213"/>
        <v>170527000</v>
      </c>
      <c r="J470" s="9"/>
      <c r="K470" s="6"/>
      <c r="L470" s="9"/>
      <c r="M470" s="10"/>
      <c r="N470" s="10"/>
      <c r="O470" s="9">
        <f t="shared" si="214"/>
        <v>244721000</v>
      </c>
      <c r="P470" s="38">
        <v>0.105</v>
      </c>
      <c r="Q470" s="9">
        <f t="shared" si="215"/>
        <v>17905335</v>
      </c>
      <c r="R470" s="9">
        <f t="shared" si="216"/>
        <v>25695705</v>
      </c>
      <c r="S470" s="9">
        <f t="shared" si="217"/>
        <v>25695705</v>
      </c>
      <c r="T470" s="9"/>
      <c r="U470" s="40" t="s">
        <v>240</v>
      </c>
      <c r="V470" s="6"/>
      <c r="W470" s="6"/>
      <c r="X470" s="6"/>
      <c r="Y470" s="6"/>
      <c r="Z470" s="6"/>
      <c r="AA470" s="6"/>
      <c r="AB470" s="6"/>
      <c r="AC470" s="6"/>
      <c r="AD470" s="6"/>
      <c r="AE470" s="6"/>
      <c r="AF470" s="6"/>
      <c r="AG470" s="6"/>
      <c r="AH470" s="6"/>
    </row>
    <row r="471" ht="15.75" customHeight="1">
      <c r="A471" s="6"/>
      <c r="B471" s="25" t="s">
        <v>161</v>
      </c>
      <c r="C471" s="25"/>
      <c r="D471" s="25"/>
      <c r="E471" s="25" t="s">
        <v>241</v>
      </c>
      <c r="F471" s="25" t="s">
        <v>29</v>
      </c>
      <c r="G471" s="9"/>
      <c r="H471" s="9"/>
      <c r="I471" s="9">
        <f t="shared" si="213"/>
        <v>0</v>
      </c>
      <c r="J471" s="9"/>
      <c r="K471" s="6"/>
      <c r="L471" s="9"/>
      <c r="M471" s="10"/>
      <c r="N471" s="10"/>
      <c r="O471" s="9">
        <f t="shared" si="214"/>
        <v>0</v>
      </c>
      <c r="P471" s="38">
        <v>0.0854</v>
      </c>
      <c r="Q471" s="9">
        <f t="shared" si="215"/>
        <v>0</v>
      </c>
      <c r="R471" s="9">
        <f t="shared" si="216"/>
        <v>0</v>
      </c>
      <c r="S471" s="9">
        <f t="shared" si="217"/>
        <v>0</v>
      </c>
      <c r="T471" s="9"/>
      <c r="U471" s="6" t="s">
        <v>60</v>
      </c>
      <c r="V471" s="6"/>
      <c r="W471" s="6"/>
      <c r="X471" s="6"/>
      <c r="Y471" s="6"/>
      <c r="Z471" s="6"/>
      <c r="AA471" s="6"/>
      <c r="AB471" s="6"/>
      <c r="AC471" s="6"/>
      <c r="AD471" s="6"/>
      <c r="AE471" s="6"/>
      <c r="AF471" s="6"/>
      <c r="AG471" s="6"/>
      <c r="AH471" s="6"/>
    </row>
    <row r="472" ht="15.75" customHeight="1">
      <c r="A472" s="6"/>
      <c r="B472" s="25"/>
      <c r="C472" s="25"/>
      <c r="D472" s="25"/>
      <c r="E472" s="41" t="s">
        <v>35</v>
      </c>
      <c r="F472" s="25"/>
      <c r="G472" s="9"/>
      <c r="H472" s="9"/>
      <c r="I472" s="9"/>
      <c r="J472" s="9"/>
      <c r="K472" s="6"/>
      <c r="L472" s="9"/>
      <c r="M472" s="10"/>
      <c r="N472" s="10"/>
      <c r="O472" s="9"/>
      <c r="P472" s="26" t="s">
        <v>1037</v>
      </c>
      <c r="Q472" s="19">
        <f t="shared" ref="Q472:S472" si="218">SUM(Q462:Q471)</f>
        <v>2122924287</v>
      </c>
      <c r="R472" s="19">
        <f t="shared" si="218"/>
        <v>2955566472</v>
      </c>
      <c r="S472" s="19">
        <f t="shared" si="218"/>
        <v>3085390326</v>
      </c>
      <c r="T472" s="20">
        <v>8.87399474E8</v>
      </c>
      <c r="U472" s="6"/>
      <c r="V472" s="6"/>
      <c r="W472" s="6"/>
      <c r="X472" s="6"/>
      <c r="Y472" s="6"/>
      <c r="Z472" s="6"/>
      <c r="AA472" s="6"/>
      <c r="AB472" s="6"/>
      <c r="AC472" s="6"/>
      <c r="AD472" s="6"/>
      <c r="AE472" s="6"/>
      <c r="AF472" s="6"/>
      <c r="AG472" s="6"/>
      <c r="AH472" s="6"/>
    </row>
    <row r="473" ht="15.75" customHeight="1">
      <c r="A473" s="6">
        <v>36.0</v>
      </c>
      <c r="B473" s="25" t="s">
        <v>36</v>
      </c>
      <c r="C473" s="42" t="s">
        <v>37</v>
      </c>
      <c r="D473" s="25"/>
      <c r="E473" s="25"/>
      <c r="F473" s="7" t="s">
        <v>1</v>
      </c>
      <c r="G473" s="21">
        <v>5.8888202E10</v>
      </c>
      <c r="H473" s="22">
        <v>1.79355805E11</v>
      </c>
      <c r="I473" s="9">
        <f t="shared" ref="I473:I491" si="219">H473-J473</f>
        <v>179355805000</v>
      </c>
      <c r="J473" s="9"/>
      <c r="K473" s="6"/>
      <c r="L473" s="9"/>
      <c r="M473" s="21">
        <v>9.03E8</v>
      </c>
      <c r="N473" s="23">
        <v>1.3836881E10</v>
      </c>
      <c r="O473" s="9">
        <f t="shared" ref="O473:O491" si="220">G473+I473</f>
        <v>238244007000</v>
      </c>
      <c r="P473" s="31">
        <v>0.013</v>
      </c>
      <c r="Q473" s="9">
        <f t="shared" ref="Q473:Q491" si="221">I473*P473</f>
        <v>2331625465</v>
      </c>
      <c r="R473" s="9">
        <f t="shared" ref="R473:R491" si="222">(O473-N473-M473)*P473</f>
        <v>2905553638</v>
      </c>
      <c r="S473" s="9">
        <f t="shared" ref="S473:S491" si="223">O473*P473</f>
        <v>3097172091</v>
      </c>
      <c r="T473" s="12"/>
      <c r="U473" s="16" t="s">
        <v>38</v>
      </c>
      <c r="V473" s="6"/>
      <c r="W473" s="6"/>
      <c r="X473" s="6"/>
      <c r="Y473" s="6"/>
      <c r="Z473" s="6"/>
      <c r="AA473" s="6"/>
      <c r="AB473" s="6"/>
      <c r="AC473" s="6"/>
      <c r="AD473" s="6"/>
      <c r="AE473" s="6"/>
      <c r="AF473" s="6"/>
      <c r="AG473" s="6"/>
      <c r="AH473" s="6"/>
    </row>
    <row r="474" ht="15.75" customHeight="1">
      <c r="A474" s="6"/>
      <c r="B474" s="25" t="s">
        <v>36</v>
      </c>
      <c r="C474" s="25"/>
      <c r="D474" s="25" t="s">
        <v>1038</v>
      </c>
      <c r="E474" s="25"/>
      <c r="F474" s="25" t="s">
        <v>3</v>
      </c>
      <c r="G474" s="9">
        <v>5.1603E8</v>
      </c>
      <c r="H474" s="9">
        <v>5.57982E8</v>
      </c>
      <c r="I474" s="9">
        <f t="shared" si="219"/>
        <v>467012000</v>
      </c>
      <c r="J474" s="9">
        <v>9.097E7</v>
      </c>
      <c r="K474" s="9" t="s">
        <v>1039</v>
      </c>
      <c r="L474" s="9"/>
      <c r="M474" s="10"/>
      <c r="N474" s="10"/>
      <c r="O474" s="9">
        <f t="shared" si="220"/>
        <v>983042000</v>
      </c>
      <c r="P474" s="38">
        <v>1.0</v>
      </c>
      <c r="Q474" s="9">
        <f t="shared" si="221"/>
        <v>467012000</v>
      </c>
      <c r="R474" s="9">
        <f t="shared" si="222"/>
        <v>983042000</v>
      </c>
      <c r="S474" s="9">
        <f t="shared" si="223"/>
        <v>983042000</v>
      </c>
      <c r="T474" s="9"/>
      <c r="U474" s="32" t="s">
        <v>1040</v>
      </c>
      <c r="V474" s="6"/>
      <c r="W474" s="6"/>
      <c r="X474" s="6"/>
      <c r="Y474" s="6"/>
      <c r="Z474" s="6"/>
      <c r="AA474" s="6"/>
      <c r="AB474" s="6"/>
      <c r="AC474" s="6"/>
      <c r="AD474" s="6"/>
      <c r="AE474" s="6"/>
      <c r="AF474" s="6"/>
      <c r="AG474" s="6"/>
      <c r="AH474" s="6"/>
    </row>
    <row r="475" ht="15.75" customHeight="1">
      <c r="A475" s="6"/>
      <c r="B475" s="25" t="s">
        <v>36</v>
      </c>
      <c r="C475" s="25"/>
      <c r="D475" s="25"/>
      <c r="E475" s="25" t="s">
        <v>1041</v>
      </c>
      <c r="F475" s="25" t="s">
        <v>43</v>
      </c>
      <c r="G475" s="9"/>
      <c r="H475" s="9">
        <v>43278.0</v>
      </c>
      <c r="I475" s="9">
        <f t="shared" si="219"/>
        <v>43278</v>
      </c>
      <c r="J475" s="9"/>
      <c r="K475" s="9"/>
      <c r="L475" s="9"/>
      <c r="M475" s="10"/>
      <c r="N475" s="10"/>
      <c r="O475" s="9">
        <f t="shared" si="220"/>
        <v>43278</v>
      </c>
      <c r="P475" s="38">
        <v>0.3367</v>
      </c>
      <c r="Q475" s="9">
        <f t="shared" si="221"/>
        <v>14571.7026</v>
      </c>
      <c r="R475" s="9">
        <f t="shared" si="222"/>
        <v>14571.7026</v>
      </c>
      <c r="S475" s="9">
        <f t="shared" si="223"/>
        <v>14571.7026</v>
      </c>
      <c r="T475" s="9"/>
      <c r="U475" s="32" t="s">
        <v>1042</v>
      </c>
      <c r="V475" s="6" t="s">
        <v>1043</v>
      </c>
      <c r="W475" s="6"/>
      <c r="X475" s="6"/>
      <c r="Y475" s="6"/>
      <c r="Z475" s="6"/>
      <c r="AA475" s="6"/>
      <c r="AB475" s="6"/>
      <c r="AC475" s="6"/>
      <c r="AD475" s="6"/>
      <c r="AE475" s="6"/>
      <c r="AF475" s="6"/>
      <c r="AG475" s="6"/>
      <c r="AH475" s="6"/>
    </row>
    <row r="476" ht="15.75" customHeight="1">
      <c r="A476" s="6"/>
      <c r="B476" s="25" t="s">
        <v>36</v>
      </c>
      <c r="C476" s="25"/>
      <c r="D476" s="25"/>
      <c r="E476" s="25" t="s">
        <v>1044</v>
      </c>
      <c r="F476" s="25" t="s">
        <v>47</v>
      </c>
      <c r="G476" s="9">
        <v>2.27857E7</v>
      </c>
      <c r="H476" s="9">
        <v>6.35769515E8</v>
      </c>
      <c r="I476" s="9">
        <f t="shared" si="219"/>
        <v>154744151</v>
      </c>
      <c r="J476" s="9">
        <f>481012468+12896</f>
        <v>481025364</v>
      </c>
      <c r="K476" s="9" t="s">
        <v>1045</v>
      </c>
      <c r="L476" s="9"/>
      <c r="M476" s="10"/>
      <c r="N476" s="10"/>
      <c r="O476" s="9">
        <f t="shared" si="220"/>
        <v>177529851</v>
      </c>
      <c r="P476" s="38">
        <v>0.1357</v>
      </c>
      <c r="Q476" s="9">
        <f t="shared" si="221"/>
        <v>20998781.29</v>
      </c>
      <c r="R476" s="9">
        <f t="shared" si="222"/>
        <v>24090800.78</v>
      </c>
      <c r="S476" s="9">
        <f t="shared" si="223"/>
        <v>24090800.78</v>
      </c>
      <c r="T476" s="9"/>
      <c r="U476" s="32" t="s">
        <v>1046</v>
      </c>
      <c r="V476" s="6"/>
      <c r="W476" s="6"/>
      <c r="X476" s="6"/>
      <c r="Y476" s="6"/>
      <c r="Z476" s="6"/>
      <c r="AA476" s="6"/>
      <c r="AB476" s="6"/>
      <c r="AC476" s="6"/>
      <c r="AD476" s="6"/>
      <c r="AE476" s="6"/>
      <c r="AF476" s="6"/>
      <c r="AG476" s="6"/>
      <c r="AH476" s="6"/>
    </row>
    <row r="477" ht="15.75" customHeight="1">
      <c r="A477" s="6"/>
      <c r="B477" s="25" t="s">
        <v>36</v>
      </c>
      <c r="C477" s="25"/>
      <c r="D477" s="25"/>
      <c r="E477" s="25" t="s">
        <v>1047</v>
      </c>
      <c r="F477" s="25" t="s">
        <v>47</v>
      </c>
      <c r="G477" s="9">
        <v>4684247.0</v>
      </c>
      <c r="H477" s="9">
        <v>3.24030887E8</v>
      </c>
      <c r="I477" s="9">
        <f t="shared" si="219"/>
        <v>78452123</v>
      </c>
      <c r="J477" s="9">
        <f>243243814+2910732-575782</f>
        <v>245578764</v>
      </c>
      <c r="K477" s="9" t="s">
        <v>1048</v>
      </c>
      <c r="L477" s="9"/>
      <c r="M477" s="10"/>
      <c r="N477" s="10"/>
      <c r="O477" s="9">
        <f t="shared" si="220"/>
        <v>83136370</v>
      </c>
      <c r="P477" s="38">
        <v>0.4987</v>
      </c>
      <c r="Q477" s="9">
        <f t="shared" si="221"/>
        <v>39124073.74</v>
      </c>
      <c r="R477" s="9">
        <f t="shared" si="222"/>
        <v>41460107.72</v>
      </c>
      <c r="S477" s="9">
        <f t="shared" si="223"/>
        <v>41460107.72</v>
      </c>
      <c r="T477" s="9"/>
      <c r="U477" s="32" t="s">
        <v>1049</v>
      </c>
      <c r="V477" s="6"/>
      <c r="W477" s="6"/>
      <c r="X477" s="6"/>
      <c r="Y477" s="6"/>
      <c r="Z477" s="6"/>
      <c r="AA477" s="6"/>
      <c r="AB477" s="6"/>
      <c r="AC477" s="6"/>
      <c r="AD477" s="6"/>
      <c r="AE477" s="6"/>
      <c r="AF477" s="6"/>
      <c r="AG477" s="6"/>
      <c r="AH477" s="6"/>
    </row>
    <row r="478" ht="15.75" customHeight="1">
      <c r="A478" s="6"/>
      <c r="B478" s="25" t="s">
        <v>36</v>
      </c>
      <c r="C478" s="25"/>
      <c r="D478" s="25"/>
      <c r="E478" s="25" t="s">
        <v>1050</v>
      </c>
      <c r="F478" s="25" t="s">
        <v>47</v>
      </c>
      <c r="G478" s="9">
        <v>7034288.0</v>
      </c>
      <c r="H478" s="9">
        <v>1.6489324E8</v>
      </c>
      <c r="I478" s="9">
        <f t="shared" si="219"/>
        <v>60845834</v>
      </c>
      <c r="J478" s="9">
        <f>103579749+467657</f>
        <v>104047406</v>
      </c>
      <c r="K478" s="9" t="s">
        <v>1051</v>
      </c>
      <c r="L478" s="9"/>
      <c r="M478" s="10"/>
      <c r="N478" s="10"/>
      <c r="O478" s="9">
        <f t="shared" si="220"/>
        <v>67880122</v>
      </c>
      <c r="P478" s="38">
        <v>0.6251</v>
      </c>
      <c r="Q478" s="9">
        <f t="shared" si="221"/>
        <v>38034730.83</v>
      </c>
      <c r="R478" s="9">
        <f t="shared" si="222"/>
        <v>42431864.26</v>
      </c>
      <c r="S478" s="9">
        <f t="shared" si="223"/>
        <v>42431864.26</v>
      </c>
      <c r="T478" s="9"/>
      <c r="U478" s="32" t="s">
        <v>1052</v>
      </c>
      <c r="V478" s="6"/>
      <c r="W478" s="6"/>
      <c r="X478" s="6"/>
      <c r="Y478" s="6"/>
      <c r="Z478" s="6"/>
      <c r="AA478" s="6"/>
      <c r="AB478" s="6"/>
      <c r="AC478" s="6"/>
      <c r="AD478" s="6"/>
      <c r="AE478" s="6"/>
      <c r="AF478" s="6"/>
      <c r="AG478" s="6"/>
      <c r="AH478" s="6"/>
    </row>
    <row r="479" ht="15.75" customHeight="1">
      <c r="A479" s="6"/>
      <c r="B479" s="25" t="s">
        <v>36</v>
      </c>
      <c r="C479" s="25"/>
      <c r="D479" s="25"/>
      <c r="E479" s="25" t="s">
        <v>1053</v>
      </c>
      <c r="F479" s="25" t="s">
        <v>47</v>
      </c>
      <c r="G479" s="9">
        <v>240320.0</v>
      </c>
      <c r="H479" s="9">
        <v>3.4465395E7</v>
      </c>
      <c r="I479" s="9">
        <f t="shared" si="219"/>
        <v>17679578</v>
      </c>
      <c r="J479" s="9">
        <v>1.6785817E7</v>
      </c>
      <c r="K479" s="9" t="s">
        <v>346</v>
      </c>
      <c r="L479" s="9"/>
      <c r="M479" s="10"/>
      <c r="N479" s="10"/>
      <c r="O479" s="9">
        <f t="shared" si="220"/>
        <v>17919898</v>
      </c>
      <c r="P479" s="38">
        <v>0.9854</v>
      </c>
      <c r="Q479" s="9">
        <f t="shared" si="221"/>
        <v>17421456.16</v>
      </c>
      <c r="R479" s="9">
        <f t="shared" si="222"/>
        <v>17658267.49</v>
      </c>
      <c r="S479" s="9">
        <f t="shared" si="223"/>
        <v>17658267.49</v>
      </c>
      <c r="T479" s="9"/>
      <c r="U479" s="32" t="s">
        <v>1054</v>
      </c>
      <c r="V479" s="6"/>
      <c r="W479" s="6"/>
      <c r="X479" s="6"/>
      <c r="Y479" s="6"/>
      <c r="Z479" s="6"/>
      <c r="AA479" s="6"/>
      <c r="AB479" s="6"/>
      <c r="AC479" s="6"/>
      <c r="AD479" s="6"/>
      <c r="AE479" s="6"/>
      <c r="AF479" s="6"/>
      <c r="AG479" s="6"/>
      <c r="AH479" s="6"/>
    </row>
    <row r="480" ht="15.75" customHeight="1">
      <c r="A480" s="6"/>
      <c r="B480" s="25" t="s">
        <v>36</v>
      </c>
      <c r="C480" s="25"/>
      <c r="D480" s="25"/>
      <c r="E480" s="25" t="s">
        <v>1055</v>
      </c>
      <c r="F480" s="25" t="s">
        <v>47</v>
      </c>
      <c r="G480" s="9">
        <v>7711938.0</v>
      </c>
      <c r="H480" s="9">
        <v>5.21448473E8</v>
      </c>
      <c r="I480" s="9">
        <f t="shared" si="219"/>
        <v>186953340</v>
      </c>
      <c r="J480" s="9">
        <f>332180511+2314622</f>
        <v>334495133</v>
      </c>
      <c r="K480" s="9" t="s">
        <v>1051</v>
      </c>
      <c r="L480" s="9"/>
      <c r="M480" s="10"/>
      <c r="N480" s="10"/>
      <c r="O480" s="9">
        <f t="shared" si="220"/>
        <v>194665278</v>
      </c>
      <c r="P480" s="38">
        <v>0.751</v>
      </c>
      <c r="Q480" s="9">
        <f t="shared" si="221"/>
        <v>140401958.3</v>
      </c>
      <c r="R480" s="9">
        <f t="shared" si="222"/>
        <v>146193623.8</v>
      </c>
      <c r="S480" s="9">
        <f t="shared" si="223"/>
        <v>146193623.8</v>
      </c>
      <c r="T480" s="9"/>
      <c r="U480" s="32" t="s">
        <v>1056</v>
      </c>
      <c r="V480" s="6"/>
      <c r="W480" s="6"/>
      <c r="X480" s="6"/>
      <c r="Y480" s="6"/>
      <c r="Z480" s="6"/>
      <c r="AA480" s="6"/>
      <c r="AB480" s="6"/>
      <c r="AC480" s="6"/>
      <c r="AD480" s="6"/>
      <c r="AE480" s="6"/>
      <c r="AF480" s="6"/>
      <c r="AG480" s="6"/>
      <c r="AH480" s="6"/>
    </row>
    <row r="481" ht="15.75" customHeight="1">
      <c r="A481" s="6"/>
      <c r="B481" s="25" t="s">
        <v>36</v>
      </c>
      <c r="C481" s="25"/>
      <c r="D481" s="25"/>
      <c r="E481" s="25" t="s">
        <v>1057</v>
      </c>
      <c r="F481" s="25" t="s">
        <v>47</v>
      </c>
      <c r="G481" s="9">
        <v>1.0292302E7</v>
      </c>
      <c r="H481" s="9">
        <v>4.56642405E8</v>
      </c>
      <c r="I481" s="9">
        <f t="shared" si="219"/>
        <v>183827364</v>
      </c>
      <c r="J481" s="9">
        <f>269315973+3454688+44380</f>
        <v>272815041</v>
      </c>
      <c r="K481" s="9" t="s">
        <v>1058</v>
      </c>
      <c r="L481" s="9"/>
      <c r="M481" s="10"/>
      <c r="N481" s="10"/>
      <c r="O481" s="9">
        <f t="shared" si="220"/>
        <v>194119666</v>
      </c>
      <c r="P481" s="38">
        <v>0.0216</v>
      </c>
      <c r="Q481" s="9">
        <f t="shared" si="221"/>
        <v>3970671.062</v>
      </c>
      <c r="R481" s="9">
        <f t="shared" si="222"/>
        <v>4192984.786</v>
      </c>
      <c r="S481" s="9">
        <f t="shared" si="223"/>
        <v>4192984.786</v>
      </c>
      <c r="T481" s="9"/>
      <c r="U481" s="32" t="s">
        <v>1059</v>
      </c>
      <c r="V481" s="6"/>
      <c r="W481" s="6"/>
      <c r="X481" s="6"/>
      <c r="Y481" s="6"/>
      <c r="Z481" s="6"/>
      <c r="AA481" s="6"/>
      <c r="AB481" s="6"/>
      <c r="AC481" s="6"/>
      <c r="AD481" s="6"/>
      <c r="AE481" s="6"/>
      <c r="AF481" s="6"/>
      <c r="AG481" s="6"/>
      <c r="AH481" s="6"/>
    </row>
    <row r="482" ht="15.75" customHeight="1">
      <c r="A482" s="6"/>
      <c r="B482" s="25" t="s">
        <v>36</v>
      </c>
      <c r="C482" s="25"/>
      <c r="D482" s="25"/>
      <c r="E482" s="25" t="s">
        <v>1060</v>
      </c>
      <c r="F482" s="25" t="s">
        <v>29</v>
      </c>
      <c r="G482" s="9"/>
      <c r="H482" s="9">
        <f>1587905000+14291000+52186000</f>
        <v>1654382000</v>
      </c>
      <c r="I482" s="9">
        <f t="shared" si="219"/>
        <v>1654382000</v>
      </c>
      <c r="J482" s="9"/>
      <c r="K482" s="9"/>
      <c r="L482" s="9"/>
      <c r="M482" s="10"/>
      <c r="N482" s="10"/>
      <c r="O482" s="9">
        <f t="shared" si="220"/>
        <v>1654382000</v>
      </c>
      <c r="P482" s="38">
        <v>0.327</v>
      </c>
      <c r="Q482" s="9">
        <f t="shared" si="221"/>
        <v>540982914</v>
      </c>
      <c r="R482" s="9">
        <f t="shared" si="222"/>
        <v>540982914</v>
      </c>
      <c r="S482" s="9">
        <f t="shared" si="223"/>
        <v>540982914</v>
      </c>
      <c r="T482" s="9"/>
      <c r="U482" s="32" t="s">
        <v>1061</v>
      </c>
      <c r="V482" s="6"/>
      <c r="W482" s="6"/>
      <c r="X482" s="6"/>
      <c r="Y482" s="6"/>
      <c r="Z482" s="6"/>
      <c r="AA482" s="6"/>
      <c r="AB482" s="6"/>
      <c r="AC482" s="6"/>
      <c r="AD482" s="6"/>
      <c r="AE482" s="6"/>
      <c r="AF482" s="6"/>
      <c r="AG482" s="6"/>
      <c r="AH482" s="6"/>
    </row>
    <row r="483" ht="15.75" customHeight="1">
      <c r="A483" s="6"/>
      <c r="B483" s="25" t="s">
        <v>36</v>
      </c>
      <c r="C483" s="25"/>
      <c r="D483" s="25"/>
      <c r="E483" s="25" t="s">
        <v>1062</v>
      </c>
      <c r="F483" s="25" t="s">
        <v>29</v>
      </c>
      <c r="G483" s="9"/>
      <c r="H483" s="9"/>
      <c r="I483" s="9">
        <f t="shared" si="219"/>
        <v>0</v>
      </c>
      <c r="J483" s="9"/>
      <c r="K483" s="9"/>
      <c r="L483" s="9"/>
      <c r="M483" s="10"/>
      <c r="N483" s="10"/>
      <c r="O483" s="9">
        <f t="shared" si="220"/>
        <v>0</v>
      </c>
      <c r="P483" s="38">
        <v>0.2156</v>
      </c>
      <c r="Q483" s="9">
        <f t="shared" si="221"/>
        <v>0</v>
      </c>
      <c r="R483" s="9">
        <f t="shared" si="222"/>
        <v>0</v>
      </c>
      <c r="S483" s="9">
        <f t="shared" si="223"/>
        <v>0</v>
      </c>
      <c r="T483" s="9"/>
      <c r="U483" s="6" t="s">
        <v>60</v>
      </c>
      <c r="V483" s="6"/>
      <c r="W483" s="6"/>
      <c r="X483" s="6"/>
      <c r="Y483" s="6"/>
      <c r="Z483" s="6"/>
      <c r="AA483" s="6"/>
      <c r="AB483" s="6"/>
      <c r="AC483" s="6"/>
      <c r="AD483" s="6"/>
      <c r="AE483" s="6"/>
      <c r="AF483" s="6"/>
      <c r="AG483" s="6"/>
      <c r="AH483" s="6"/>
    </row>
    <row r="484" ht="15.75" customHeight="1">
      <c r="A484" s="6"/>
      <c r="B484" s="25" t="s">
        <v>36</v>
      </c>
      <c r="C484" s="25"/>
      <c r="D484" s="25"/>
      <c r="E484" s="25" t="s">
        <v>1063</v>
      </c>
      <c r="F484" s="25" t="s">
        <v>29</v>
      </c>
      <c r="G484" s="9"/>
      <c r="H484" s="9"/>
      <c r="I484" s="9">
        <f t="shared" si="219"/>
        <v>0</v>
      </c>
      <c r="J484" s="9"/>
      <c r="K484" s="9"/>
      <c r="L484" s="9"/>
      <c r="M484" s="10"/>
      <c r="N484" s="10"/>
      <c r="O484" s="9">
        <f t="shared" si="220"/>
        <v>0</v>
      </c>
      <c r="P484" s="38">
        <v>0.327</v>
      </c>
      <c r="Q484" s="9">
        <f t="shared" si="221"/>
        <v>0</v>
      </c>
      <c r="R484" s="9">
        <f t="shared" si="222"/>
        <v>0</v>
      </c>
      <c r="S484" s="9">
        <f t="shared" si="223"/>
        <v>0</v>
      </c>
      <c r="T484" s="9"/>
      <c r="U484" s="6" t="s">
        <v>60</v>
      </c>
      <c r="V484" s="6"/>
      <c r="W484" s="6"/>
      <c r="X484" s="6"/>
      <c r="Y484" s="6"/>
      <c r="Z484" s="6"/>
      <c r="AA484" s="6"/>
      <c r="AB484" s="6"/>
      <c r="AC484" s="6"/>
      <c r="AD484" s="6"/>
      <c r="AE484" s="6"/>
      <c r="AF484" s="6"/>
      <c r="AG484" s="6"/>
      <c r="AH484" s="6"/>
    </row>
    <row r="485" ht="15.75" customHeight="1">
      <c r="A485" s="6"/>
      <c r="B485" s="25" t="s">
        <v>36</v>
      </c>
      <c r="C485" s="25"/>
      <c r="D485" s="25"/>
      <c r="E485" s="25" t="s">
        <v>1064</v>
      </c>
      <c r="F485" s="25" t="s">
        <v>29</v>
      </c>
      <c r="G485" s="9"/>
      <c r="H485" s="9"/>
      <c r="I485" s="9">
        <f t="shared" si="219"/>
        <v>0</v>
      </c>
      <c r="J485" s="9"/>
      <c r="K485" s="9"/>
      <c r="L485" s="9"/>
      <c r="M485" s="10"/>
      <c r="N485" s="10"/>
      <c r="O485" s="9">
        <f t="shared" si="220"/>
        <v>0</v>
      </c>
      <c r="P485" s="38">
        <v>0.327</v>
      </c>
      <c r="Q485" s="9">
        <f t="shared" si="221"/>
        <v>0</v>
      </c>
      <c r="R485" s="9">
        <f t="shared" si="222"/>
        <v>0</v>
      </c>
      <c r="S485" s="9">
        <f t="shared" si="223"/>
        <v>0</v>
      </c>
      <c r="T485" s="9"/>
      <c r="U485" s="6" t="s">
        <v>60</v>
      </c>
      <c r="V485" s="6"/>
      <c r="W485" s="6"/>
      <c r="X485" s="6"/>
      <c r="Y485" s="6"/>
      <c r="Z485" s="6"/>
      <c r="AA485" s="6"/>
      <c r="AB485" s="6"/>
      <c r="AC485" s="6"/>
      <c r="AD485" s="6"/>
      <c r="AE485" s="6"/>
      <c r="AF485" s="6"/>
      <c r="AG485" s="6"/>
      <c r="AH485" s="6"/>
    </row>
    <row r="486" ht="15.75" customHeight="1">
      <c r="A486" s="6"/>
      <c r="B486" s="25" t="s">
        <v>36</v>
      </c>
      <c r="C486" s="25"/>
      <c r="D486" s="25"/>
      <c r="E486" s="25" t="s">
        <v>1065</v>
      </c>
      <c r="F486" s="25" t="s">
        <v>29</v>
      </c>
      <c r="G486" s="9"/>
      <c r="H486" s="9"/>
      <c r="I486" s="9">
        <f t="shared" si="219"/>
        <v>0</v>
      </c>
      <c r="J486" s="9"/>
      <c r="K486" s="9"/>
      <c r="L486" s="9"/>
      <c r="M486" s="10"/>
      <c r="N486" s="10"/>
      <c r="O486" s="9">
        <f t="shared" si="220"/>
        <v>0</v>
      </c>
      <c r="P486" s="38">
        <v>0.327</v>
      </c>
      <c r="Q486" s="9">
        <f t="shared" si="221"/>
        <v>0</v>
      </c>
      <c r="R486" s="9">
        <f t="shared" si="222"/>
        <v>0</v>
      </c>
      <c r="S486" s="9">
        <f t="shared" si="223"/>
        <v>0</v>
      </c>
      <c r="T486" s="9"/>
      <c r="U486" s="6" t="s">
        <v>60</v>
      </c>
      <c r="V486" s="6"/>
      <c r="W486" s="6"/>
      <c r="X486" s="6"/>
      <c r="Y486" s="6"/>
      <c r="Z486" s="6"/>
      <c r="AA486" s="6"/>
      <c r="AB486" s="6"/>
      <c r="AC486" s="6"/>
      <c r="AD486" s="6"/>
      <c r="AE486" s="6"/>
      <c r="AF486" s="6"/>
      <c r="AG486" s="6"/>
      <c r="AH486" s="6"/>
    </row>
    <row r="487" ht="15.75" customHeight="1">
      <c r="A487" s="6"/>
      <c r="B487" s="25" t="s">
        <v>36</v>
      </c>
      <c r="C487" s="25"/>
      <c r="D487" s="25"/>
      <c r="E487" s="25" t="s">
        <v>1066</v>
      </c>
      <c r="F487" s="25" t="s">
        <v>29</v>
      </c>
      <c r="G487" s="9"/>
      <c r="H487" s="9"/>
      <c r="I487" s="9">
        <f t="shared" si="219"/>
        <v>0</v>
      </c>
      <c r="J487" s="9"/>
      <c r="K487" s="9"/>
      <c r="L487" s="9"/>
      <c r="M487" s="10"/>
      <c r="N487" s="10"/>
      <c r="O487" s="9">
        <f t="shared" si="220"/>
        <v>0</v>
      </c>
      <c r="P487" s="38">
        <v>0.327</v>
      </c>
      <c r="Q487" s="9">
        <f t="shared" si="221"/>
        <v>0</v>
      </c>
      <c r="R487" s="9">
        <f t="shared" si="222"/>
        <v>0</v>
      </c>
      <c r="S487" s="9">
        <f t="shared" si="223"/>
        <v>0</v>
      </c>
      <c r="T487" s="9"/>
      <c r="U487" s="6" t="s">
        <v>60</v>
      </c>
      <c r="V487" s="6"/>
      <c r="W487" s="6"/>
      <c r="X487" s="6"/>
      <c r="Y487" s="6"/>
      <c r="Z487" s="6"/>
      <c r="AA487" s="6"/>
      <c r="AB487" s="6"/>
      <c r="AC487" s="6"/>
      <c r="AD487" s="6"/>
      <c r="AE487" s="6"/>
      <c r="AF487" s="6"/>
      <c r="AG487" s="6"/>
      <c r="AH487" s="6"/>
    </row>
    <row r="488" ht="15.75" customHeight="1">
      <c r="A488" s="6"/>
      <c r="B488" s="25" t="s">
        <v>36</v>
      </c>
      <c r="C488" s="25"/>
      <c r="D488" s="25"/>
      <c r="E488" s="25" t="s">
        <v>1067</v>
      </c>
      <c r="F488" s="25" t="s">
        <v>29</v>
      </c>
      <c r="G488" s="9"/>
      <c r="H488" s="9">
        <f>297075655+9313246+9017622</f>
        <v>315406523</v>
      </c>
      <c r="I488" s="9">
        <f t="shared" si="219"/>
        <v>315406523</v>
      </c>
      <c r="J488" s="9"/>
      <c r="K488" s="9"/>
      <c r="L488" s="9"/>
      <c r="M488" s="10"/>
      <c r="N488" s="10"/>
      <c r="O488" s="9">
        <f t="shared" si="220"/>
        <v>315406523</v>
      </c>
      <c r="P488" s="38">
        <v>0.327</v>
      </c>
      <c r="Q488" s="9">
        <f t="shared" si="221"/>
        <v>103137933</v>
      </c>
      <c r="R488" s="9">
        <f t="shared" si="222"/>
        <v>103137933</v>
      </c>
      <c r="S488" s="9">
        <f t="shared" si="223"/>
        <v>103137933</v>
      </c>
      <c r="T488" s="9"/>
      <c r="U488" s="32" t="s">
        <v>1068</v>
      </c>
      <c r="V488" s="6"/>
      <c r="W488" s="6"/>
      <c r="X488" s="6"/>
      <c r="Y488" s="6"/>
      <c r="Z488" s="6"/>
      <c r="AA488" s="6"/>
      <c r="AB488" s="6"/>
      <c r="AC488" s="6"/>
      <c r="AD488" s="6"/>
      <c r="AE488" s="6"/>
      <c r="AF488" s="6"/>
      <c r="AG488" s="6"/>
      <c r="AH488" s="6"/>
    </row>
    <row r="489" ht="15.75" customHeight="1">
      <c r="A489" s="6"/>
      <c r="B489" s="25" t="s">
        <v>36</v>
      </c>
      <c r="C489" s="25"/>
      <c r="D489" s="25"/>
      <c r="E489" s="25" t="s">
        <v>1069</v>
      </c>
      <c r="F489" s="25" t="s">
        <v>29</v>
      </c>
      <c r="G489" s="9">
        <v>3658256.0</v>
      </c>
      <c r="H489" s="9">
        <v>1.12941088E8</v>
      </c>
      <c r="I489" s="9">
        <f t="shared" si="219"/>
        <v>1922532</v>
      </c>
      <c r="J489" s="9">
        <v>1.11018556E8</v>
      </c>
      <c r="K489" s="9" t="s">
        <v>1070</v>
      </c>
      <c r="L489" s="9"/>
      <c r="M489" s="10"/>
      <c r="N489" s="10"/>
      <c r="O489" s="9">
        <f t="shared" si="220"/>
        <v>5580788</v>
      </c>
      <c r="P489" s="38">
        <v>0.2156</v>
      </c>
      <c r="Q489" s="9">
        <f t="shared" si="221"/>
        <v>414497.8992</v>
      </c>
      <c r="R489" s="9">
        <f t="shared" si="222"/>
        <v>1203217.893</v>
      </c>
      <c r="S489" s="9">
        <f t="shared" si="223"/>
        <v>1203217.893</v>
      </c>
      <c r="T489" s="9"/>
      <c r="U489" s="32" t="s">
        <v>1071</v>
      </c>
      <c r="V489" s="6"/>
      <c r="W489" s="6"/>
      <c r="X489" s="6"/>
      <c r="Y489" s="6"/>
      <c r="Z489" s="6"/>
      <c r="AA489" s="6"/>
      <c r="AB489" s="6"/>
      <c r="AC489" s="6"/>
      <c r="AD489" s="6"/>
      <c r="AE489" s="6"/>
      <c r="AF489" s="6"/>
      <c r="AG489" s="6"/>
      <c r="AH489" s="6"/>
    </row>
    <row r="490" ht="15.75" customHeight="1">
      <c r="A490" s="6"/>
      <c r="B490" s="25" t="s">
        <v>36</v>
      </c>
      <c r="C490" s="25"/>
      <c r="D490" s="25"/>
      <c r="E490" s="25" t="s">
        <v>1072</v>
      </c>
      <c r="F490" s="25" t="s">
        <v>29</v>
      </c>
      <c r="G490" s="9"/>
      <c r="H490" s="9"/>
      <c r="I490" s="9">
        <f t="shared" si="219"/>
        <v>0</v>
      </c>
      <c r="J490" s="9"/>
      <c r="K490" s="9"/>
      <c r="L490" s="9"/>
      <c r="M490" s="10"/>
      <c r="N490" s="10"/>
      <c r="O490" s="9">
        <f t="shared" si="220"/>
        <v>0</v>
      </c>
      <c r="P490" s="38">
        <v>0.1836</v>
      </c>
      <c r="Q490" s="9">
        <f t="shared" si="221"/>
        <v>0</v>
      </c>
      <c r="R490" s="9">
        <f t="shared" si="222"/>
        <v>0</v>
      </c>
      <c r="S490" s="9">
        <f t="shared" si="223"/>
        <v>0</v>
      </c>
      <c r="T490" s="9"/>
      <c r="U490" s="6" t="s">
        <v>60</v>
      </c>
      <c r="V490" s="6"/>
      <c r="W490" s="6"/>
      <c r="X490" s="6"/>
      <c r="Y490" s="6"/>
      <c r="Z490" s="6"/>
      <c r="AA490" s="6"/>
      <c r="AB490" s="6"/>
      <c r="AC490" s="6"/>
      <c r="AD490" s="6"/>
      <c r="AE490" s="6"/>
      <c r="AF490" s="6"/>
      <c r="AG490" s="6"/>
      <c r="AH490" s="6"/>
    </row>
    <row r="491" ht="15.75" customHeight="1">
      <c r="A491" s="6"/>
      <c r="B491" s="25" t="s">
        <v>36</v>
      </c>
      <c r="C491" s="25"/>
      <c r="D491" s="25"/>
      <c r="E491" s="25" t="s">
        <v>1073</v>
      </c>
      <c r="F491" s="25" t="s">
        <v>29</v>
      </c>
      <c r="G491" s="9"/>
      <c r="H491" s="9">
        <f>20998877+3105371+7125076+7054625+9600992+114879837+36718834</f>
        <v>199483612</v>
      </c>
      <c r="I491" s="9">
        <f t="shared" si="219"/>
        <v>47884941</v>
      </c>
      <c r="J491" s="9">
        <f>114879837+36718834</f>
        <v>151598671</v>
      </c>
      <c r="K491" s="9" t="s">
        <v>1074</v>
      </c>
      <c r="L491" s="9"/>
      <c r="M491" s="10"/>
      <c r="N491" s="10"/>
      <c r="O491" s="9">
        <f t="shared" si="220"/>
        <v>47884941</v>
      </c>
      <c r="P491" s="38">
        <v>0.327</v>
      </c>
      <c r="Q491" s="9">
        <f t="shared" si="221"/>
        <v>15658375.71</v>
      </c>
      <c r="R491" s="9">
        <f t="shared" si="222"/>
        <v>15658375.71</v>
      </c>
      <c r="S491" s="9">
        <f t="shared" si="223"/>
        <v>15658375.71</v>
      </c>
      <c r="T491" s="9"/>
      <c r="U491" s="32" t="s">
        <v>1075</v>
      </c>
      <c r="V491" s="6"/>
      <c r="W491" s="6"/>
      <c r="X491" s="6"/>
      <c r="Y491" s="6"/>
      <c r="Z491" s="6"/>
      <c r="AA491" s="6"/>
      <c r="AB491" s="6"/>
      <c r="AC491" s="6"/>
      <c r="AD491" s="6"/>
      <c r="AE491" s="6"/>
      <c r="AF491" s="6"/>
      <c r="AG491" s="6"/>
      <c r="AH491" s="6"/>
    </row>
    <row r="492" ht="15.75" customHeight="1">
      <c r="A492" s="6"/>
      <c r="B492" s="25"/>
      <c r="C492" s="25"/>
      <c r="D492" s="25"/>
      <c r="E492" s="41" t="s">
        <v>35</v>
      </c>
      <c r="F492" s="25"/>
      <c r="G492" s="9"/>
      <c r="H492" s="9"/>
      <c r="I492" s="9"/>
      <c r="J492" s="9"/>
      <c r="K492" s="6"/>
      <c r="L492" s="9"/>
      <c r="M492" s="10"/>
      <c r="N492" s="10"/>
      <c r="O492" s="9"/>
      <c r="P492" s="26" t="s">
        <v>1076</v>
      </c>
      <c r="Q492" s="19">
        <f t="shared" ref="Q492:S492" si="224">SUM(Q473:Q491)</f>
        <v>3718797429</v>
      </c>
      <c r="R492" s="19">
        <f t="shared" si="224"/>
        <v>4825620299</v>
      </c>
      <c r="S492" s="19">
        <f t="shared" si="224"/>
        <v>5017238752</v>
      </c>
      <c r="T492" s="20">
        <v>1.907383757E9</v>
      </c>
      <c r="U492" s="6"/>
      <c r="V492" s="6"/>
      <c r="W492" s="6"/>
      <c r="X492" s="6"/>
      <c r="Y492" s="6"/>
      <c r="Z492" s="6"/>
      <c r="AA492" s="6"/>
      <c r="AB492" s="6"/>
      <c r="AC492" s="6"/>
      <c r="AD492" s="6"/>
      <c r="AE492" s="6"/>
      <c r="AF492" s="6"/>
      <c r="AG492" s="6"/>
      <c r="AH492" s="6"/>
    </row>
    <row r="493" ht="15.75" customHeight="1">
      <c r="A493" s="6">
        <v>37.0</v>
      </c>
      <c r="B493" s="25" t="s">
        <v>406</v>
      </c>
      <c r="C493" s="42" t="s">
        <v>1077</v>
      </c>
      <c r="D493" s="25"/>
      <c r="E493" s="25"/>
      <c r="F493" s="42" t="s">
        <v>1</v>
      </c>
      <c r="G493" s="8">
        <v>8.37599E9</v>
      </c>
      <c r="H493" s="8">
        <v>2.6325926E10</v>
      </c>
      <c r="I493" s="9">
        <f t="shared" ref="I493:I499" si="225">H493-J493</f>
        <v>26324962000</v>
      </c>
      <c r="J493" s="8">
        <v>964000.0</v>
      </c>
      <c r="K493" s="30" t="s">
        <v>1078</v>
      </c>
      <c r="L493" s="9"/>
      <c r="M493" s="10"/>
      <c r="N493" s="10">
        <f>70209000+2827312000</f>
        <v>2897521000</v>
      </c>
      <c r="O493" s="9">
        <f t="shared" ref="O493:O499" si="226">G493+I493</f>
        <v>34700952000</v>
      </c>
      <c r="P493" s="31">
        <v>0.0478</v>
      </c>
      <c r="Q493" s="9">
        <f t="shared" ref="Q493:Q499" si="227">I493*P493</f>
        <v>1258333184</v>
      </c>
      <c r="R493" s="9">
        <f t="shared" ref="R493:R499" si="228">(O493-N493-M493)*P493</f>
        <v>1520204002</v>
      </c>
      <c r="S493" s="9">
        <f t="shared" ref="S493:S499" si="229">O493*P493</f>
        <v>1658705506</v>
      </c>
      <c r="T493" s="9"/>
      <c r="U493" s="32" t="s">
        <v>1079</v>
      </c>
      <c r="V493" s="6"/>
      <c r="W493" s="6"/>
      <c r="X493" s="6"/>
      <c r="Y493" s="6"/>
      <c r="Z493" s="6"/>
      <c r="AA493" s="6"/>
      <c r="AB493" s="6"/>
      <c r="AC493" s="6"/>
      <c r="AD493" s="6"/>
      <c r="AE493" s="6"/>
      <c r="AF493" s="6"/>
      <c r="AG493" s="6"/>
      <c r="AH493" s="6"/>
    </row>
    <row r="494" ht="15.75" customHeight="1">
      <c r="A494" s="6"/>
      <c r="B494" s="25" t="s">
        <v>406</v>
      </c>
      <c r="C494" s="25"/>
      <c r="D494" s="25" t="s">
        <v>1080</v>
      </c>
      <c r="E494" s="25"/>
      <c r="F494" s="25" t="s">
        <v>3</v>
      </c>
      <c r="G494" s="9">
        <v>1.199257E9</v>
      </c>
      <c r="H494" s="9">
        <v>1.107416E9</v>
      </c>
      <c r="I494" s="9">
        <f t="shared" si="225"/>
        <v>1026173000</v>
      </c>
      <c r="J494" s="9">
        <f>362000+80881000</f>
        <v>81243000</v>
      </c>
      <c r="K494" s="6" t="s">
        <v>1081</v>
      </c>
      <c r="L494" s="9"/>
      <c r="M494" s="10"/>
      <c r="N494" s="10"/>
      <c r="O494" s="9">
        <f t="shared" si="226"/>
        <v>2225430000</v>
      </c>
      <c r="P494" s="38">
        <v>1.0</v>
      </c>
      <c r="Q494" s="9">
        <f t="shared" si="227"/>
        <v>1026173000</v>
      </c>
      <c r="R494" s="9">
        <f t="shared" si="228"/>
        <v>2225430000</v>
      </c>
      <c r="S494" s="9">
        <f t="shared" si="229"/>
        <v>2225430000</v>
      </c>
      <c r="T494" s="9"/>
      <c r="U494" s="32" t="s">
        <v>1082</v>
      </c>
      <c r="V494" s="6"/>
      <c r="W494" s="6"/>
      <c r="X494" s="6"/>
      <c r="Y494" s="6"/>
      <c r="Z494" s="6"/>
      <c r="AA494" s="6"/>
      <c r="AB494" s="6"/>
      <c r="AC494" s="6"/>
      <c r="AD494" s="6"/>
      <c r="AE494" s="6"/>
      <c r="AF494" s="6"/>
      <c r="AG494" s="6"/>
      <c r="AH494" s="6"/>
    </row>
    <row r="495" ht="15.75" customHeight="1">
      <c r="A495" s="6"/>
      <c r="B495" s="25" t="s">
        <v>406</v>
      </c>
      <c r="C495" s="25"/>
      <c r="D495" s="25"/>
      <c r="E495" s="25" t="s">
        <v>1083</v>
      </c>
      <c r="F495" s="25" t="s">
        <v>43</v>
      </c>
      <c r="G495" s="9">
        <v>2.28532E8</v>
      </c>
      <c r="H495" s="9">
        <v>7.34472E8</v>
      </c>
      <c r="I495" s="9">
        <f t="shared" si="225"/>
        <v>732086000</v>
      </c>
      <c r="J495" s="9">
        <v>2386000.0</v>
      </c>
      <c r="K495" s="6" t="s">
        <v>1084</v>
      </c>
      <c r="L495" s="9"/>
      <c r="M495" s="10"/>
      <c r="N495" s="14">
        <v>2.4004E7</v>
      </c>
      <c r="O495" s="9">
        <f t="shared" si="226"/>
        <v>960618000</v>
      </c>
      <c r="P495" s="38">
        <v>0.4257</v>
      </c>
      <c r="Q495" s="9">
        <f t="shared" si="227"/>
        <v>311649010.2</v>
      </c>
      <c r="R495" s="9">
        <f t="shared" si="228"/>
        <v>398716579.8</v>
      </c>
      <c r="S495" s="9">
        <f t="shared" si="229"/>
        <v>408935082.6</v>
      </c>
      <c r="T495" s="9"/>
      <c r="U495" s="32" t="s">
        <v>1085</v>
      </c>
      <c r="V495" s="6"/>
      <c r="W495" s="6"/>
      <c r="X495" s="6"/>
      <c r="Y495" s="6"/>
      <c r="Z495" s="6"/>
      <c r="AA495" s="6"/>
      <c r="AB495" s="6"/>
      <c r="AC495" s="6"/>
      <c r="AD495" s="6"/>
      <c r="AE495" s="6"/>
      <c r="AF495" s="6"/>
      <c r="AG495" s="6"/>
      <c r="AH495" s="6"/>
    </row>
    <row r="496" ht="15.75" customHeight="1">
      <c r="A496" s="6"/>
      <c r="B496" s="25" t="s">
        <v>406</v>
      </c>
      <c r="C496" s="25"/>
      <c r="D496" s="25"/>
      <c r="E496" s="25" t="s">
        <v>1086</v>
      </c>
      <c r="F496" s="25" t="s">
        <v>43</v>
      </c>
      <c r="G496" s="9">
        <v>4.16587E8</v>
      </c>
      <c r="H496" s="9">
        <v>6.39157E8</v>
      </c>
      <c r="I496" s="9">
        <f t="shared" si="225"/>
        <v>638983000</v>
      </c>
      <c r="J496" s="9">
        <f>174000</f>
        <v>174000</v>
      </c>
      <c r="K496" s="6" t="s">
        <v>1087</v>
      </c>
      <c r="L496" s="9"/>
      <c r="M496" s="10"/>
      <c r="N496" s="14">
        <v>0.0</v>
      </c>
      <c r="O496" s="9">
        <f t="shared" si="226"/>
        <v>1055570000</v>
      </c>
      <c r="P496" s="38">
        <v>0.0525</v>
      </c>
      <c r="Q496" s="9">
        <f t="shared" si="227"/>
        <v>33546607.5</v>
      </c>
      <c r="R496" s="9">
        <f t="shared" si="228"/>
        <v>55417425</v>
      </c>
      <c r="S496" s="9">
        <f t="shared" si="229"/>
        <v>55417425</v>
      </c>
      <c r="T496" s="9"/>
      <c r="U496" s="32" t="s">
        <v>1088</v>
      </c>
      <c r="V496" s="6"/>
      <c r="W496" s="6"/>
      <c r="X496" s="6"/>
      <c r="Y496" s="6"/>
      <c r="Z496" s="6"/>
      <c r="AA496" s="6"/>
      <c r="AB496" s="6"/>
      <c r="AC496" s="6"/>
      <c r="AD496" s="6"/>
      <c r="AE496" s="6"/>
      <c r="AF496" s="6"/>
      <c r="AG496" s="6"/>
      <c r="AH496" s="6"/>
    </row>
    <row r="497" ht="15.75" customHeight="1">
      <c r="A497" s="6"/>
      <c r="B497" s="25" t="s">
        <v>406</v>
      </c>
      <c r="C497" s="25"/>
      <c r="D497" s="25"/>
      <c r="E497" s="25" t="s">
        <v>1089</v>
      </c>
      <c r="F497" s="25" t="s">
        <v>47</v>
      </c>
      <c r="G497" s="9">
        <v>2906192.0</v>
      </c>
      <c r="H497" s="9">
        <v>7.55593032E8</v>
      </c>
      <c r="I497" s="9">
        <f t="shared" si="225"/>
        <v>750456681</v>
      </c>
      <c r="J497" s="9">
        <v>5136351.0</v>
      </c>
      <c r="K497" s="6" t="s">
        <v>1090</v>
      </c>
      <c r="L497" s="9"/>
      <c r="M497" s="10"/>
      <c r="N497" s="10"/>
      <c r="O497" s="9">
        <f t="shared" si="226"/>
        <v>753362873</v>
      </c>
      <c r="P497" s="38">
        <v>1.0</v>
      </c>
      <c r="Q497" s="9">
        <f t="shared" si="227"/>
        <v>750456681</v>
      </c>
      <c r="R497" s="9">
        <f t="shared" si="228"/>
        <v>753362873</v>
      </c>
      <c r="S497" s="9">
        <f t="shared" si="229"/>
        <v>753362873</v>
      </c>
      <c r="T497" s="9"/>
      <c r="U497" s="32" t="s">
        <v>1091</v>
      </c>
      <c r="V497" s="6"/>
      <c r="W497" s="6"/>
      <c r="X497" s="6"/>
      <c r="Y497" s="6"/>
      <c r="Z497" s="6"/>
      <c r="AA497" s="6"/>
      <c r="AB497" s="6"/>
      <c r="AC497" s="6"/>
      <c r="AD497" s="6"/>
      <c r="AE497" s="6"/>
      <c r="AF497" s="6"/>
      <c r="AG497" s="6"/>
      <c r="AH497" s="6"/>
    </row>
    <row r="498" ht="15.75" customHeight="1">
      <c r="A498" s="6"/>
      <c r="B498" s="25" t="s">
        <v>406</v>
      </c>
      <c r="C498" s="25"/>
      <c r="D498" s="25"/>
      <c r="E498" s="25" t="s">
        <v>1092</v>
      </c>
      <c r="F498" s="25" t="s">
        <v>29</v>
      </c>
      <c r="G498" s="9"/>
      <c r="H498" s="9">
        <f>247713435+381737+3521145+1958970</f>
        <v>253575287</v>
      </c>
      <c r="I498" s="9">
        <f t="shared" si="225"/>
        <v>248909708</v>
      </c>
      <c r="J498" s="9">
        <f>3370670+1294909</f>
        <v>4665579</v>
      </c>
      <c r="K498" s="6" t="s">
        <v>1093</v>
      </c>
      <c r="L498" s="9"/>
      <c r="M498" s="10"/>
      <c r="N498" s="10"/>
      <c r="O498" s="9">
        <f t="shared" si="226"/>
        <v>248909708</v>
      </c>
      <c r="P498" s="38">
        <v>1.0</v>
      </c>
      <c r="Q498" s="9">
        <f t="shared" si="227"/>
        <v>248909708</v>
      </c>
      <c r="R498" s="9">
        <f t="shared" si="228"/>
        <v>248909708</v>
      </c>
      <c r="S498" s="9">
        <f t="shared" si="229"/>
        <v>248909708</v>
      </c>
      <c r="T498" s="9"/>
      <c r="U498" s="32" t="s">
        <v>1094</v>
      </c>
      <c r="V498" s="6"/>
      <c r="W498" s="6"/>
      <c r="X498" s="6"/>
      <c r="Y498" s="6"/>
      <c r="Z498" s="6"/>
      <c r="AA498" s="6"/>
      <c r="AB498" s="6"/>
      <c r="AC498" s="6"/>
      <c r="AD498" s="6"/>
      <c r="AE498" s="6"/>
      <c r="AF498" s="6"/>
      <c r="AG498" s="6"/>
      <c r="AH498" s="6"/>
    </row>
    <row r="499" ht="15.75" customHeight="1">
      <c r="A499" s="6"/>
      <c r="B499" s="25" t="s">
        <v>406</v>
      </c>
      <c r="C499" s="25"/>
      <c r="D499" s="25"/>
      <c r="E499" s="25" t="s">
        <v>1095</v>
      </c>
      <c r="F499" s="25" t="s">
        <v>29</v>
      </c>
      <c r="G499" s="9"/>
      <c r="H499" s="9">
        <f>110071000+521898000+234634000+12108000+44454000+2661000+7411000+328000</f>
        <v>933565000</v>
      </c>
      <c r="I499" s="9">
        <f t="shared" si="225"/>
        <v>933565000</v>
      </c>
      <c r="J499" s="9"/>
      <c r="K499" s="6"/>
      <c r="L499" s="9"/>
      <c r="M499" s="10"/>
      <c r="N499" s="10"/>
      <c r="O499" s="9">
        <f t="shared" si="226"/>
        <v>933565000</v>
      </c>
      <c r="P499" s="38">
        <v>0.2658</v>
      </c>
      <c r="Q499" s="9">
        <f t="shared" si="227"/>
        <v>248141577</v>
      </c>
      <c r="R499" s="9">
        <f t="shared" si="228"/>
        <v>248141577</v>
      </c>
      <c r="S499" s="9">
        <f t="shared" si="229"/>
        <v>248141577</v>
      </c>
      <c r="T499" s="9"/>
      <c r="U499" s="34" t="s">
        <v>1096</v>
      </c>
      <c r="V499" s="6"/>
      <c r="W499" s="6"/>
      <c r="X499" s="6"/>
      <c r="Y499" s="6"/>
      <c r="Z499" s="6"/>
      <c r="AA499" s="6"/>
      <c r="AB499" s="6"/>
      <c r="AC499" s="6"/>
      <c r="AD499" s="6"/>
      <c r="AE499" s="6"/>
      <c r="AF499" s="6"/>
      <c r="AG499" s="6"/>
      <c r="AH499" s="6"/>
    </row>
    <row r="500" ht="15.75" customHeight="1">
      <c r="A500" s="6"/>
      <c r="B500" s="25"/>
      <c r="C500" s="25"/>
      <c r="D500" s="25"/>
      <c r="E500" s="41" t="s">
        <v>35</v>
      </c>
      <c r="F500" s="25"/>
      <c r="G500" s="9"/>
      <c r="H500" s="9"/>
      <c r="I500" s="9"/>
      <c r="J500" s="9"/>
      <c r="K500" s="6"/>
      <c r="L500" s="9"/>
      <c r="M500" s="10"/>
      <c r="N500" s="10"/>
      <c r="O500" s="9"/>
      <c r="P500" s="26" t="s">
        <v>1097</v>
      </c>
      <c r="Q500" s="19">
        <f t="shared" ref="Q500:S500" si="230">SUM(Q493:Q499)</f>
        <v>3877209767</v>
      </c>
      <c r="R500" s="19">
        <f t="shared" si="230"/>
        <v>5450182165</v>
      </c>
      <c r="S500" s="19">
        <f t="shared" si="230"/>
        <v>5598902171</v>
      </c>
      <c r="T500" s="20">
        <v>2.650737801E9</v>
      </c>
      <c r="U500" s="6"/>
      <c r="V500" s="6"/>
      <c r="W500" s="6"/>
      <c r="X500" s="6"/>
      <c r="Y500" s="6"/>
      <c r="Z500" s="6"/>
      <c r="AA500" s="6"/>
      <c r="AB500" s="6"/>
      <c r="AC500" s="6"/>
      <c r="AD500" s="6"/>
      <c r="AE500" s="6"/>
      <c r="AF500" s="6"/>
      <c r="AG500" s="6"/>
      <c r="AH500" s="6"/>
    </row>
    <row r="501" ht="15.75" customHeight="1">
      <c r="A501" s="6">
        <v>38.0</v>
      </c>
      <c r="B501" s="25" t="s">
        <v>1098</v>
      </c>
      <c r="C501" s="42" t="s">
        <v>1099</v>
      </c>
      <c r="D501" s="25"/>
      <c r="E501" s="41"/>
      <c r="F501" s="42" t="s">
        <v>1</v>
      </c>
      <c r="G501" s="8">
        <v>3.455955E9</v>
      </c>
      <c r="H501" s="8">
        <v>1.2916859E10</v>
      </c>
      <c r="I501" s="9">
        <f t="shared" ref="I501:I520" si="231">H501-J501</f>
        <v>12865446000</v>
      </c>
      <c r="J501" s="8">
        <v>5.1413E7</v>
      </c>
      <c r="K501" s="30" t="s">
        <v>315</v>
      </c>
      <c r="L501" s="9"/>
      <c r="M501" s="10"/>
      <c r="N501" s="10"/>
      <c r="O501" s="9">
        <f t="shared" ref="O501:O520" si="232">G501+I501</f>
        <v>16321401000</v>
      </c>
      <c r="P501" s="31">
        <v>0.0808</v>
      </c>
      <c r="Q501" s="9">
        <f t="shared" ref="Q501:Q520" si="233">I501*P501</f>
        <v>1039528037</v>
      </c>
      <c r="R501" s="9">
        <f t="shared" ref="R501:R520" si="234">(O501-N501-M501)*P501</f>
        <v>1318769201</v>
      </c>
      <c r="S501" s="9">
        <f t="shared" ref="S501:S520" si="235">O501*P501</f>
        <v>1318769201</v>
      </c>
      <c r="T501" s="9"/>
      <c r="U501" s="40" t="s">
        <v>1100</v>
      </c>
      <c r="V501" s="6"/>
      <c r="W501" s="6"/>
      <c r="X501" s="6"/>
      <c r="Y501" s="6"/>
      <c r="Z501" s="6"/>
      <c r="AA501" s="6"/>
      <c r="AB501" s="6"/>
      <c r="AC501" s="6"/>
      <c r="AD501" s="6"/>
      <c r="AE501" s="6"/>
      <c r="AF501" s="6"/>
      <c r="AG501" s="6"/>
      <c r="AH501" s="6"/>
    </row>
    <row r="502" ht="15.75" customHeight="1">
      <c r="A502" s="6"/>
      <c r="B502" s="25" t="s">
        <v>1098</v>
      </c>
      <c r="C502" s="25"/>
      <c r="D502" s="42" t="s">
        <v>1101</v>
      </c>
      <c r="E502" s="25"/>
      <c r="F502" s="25" t="s">
        <v>3</v>
      </c>
      <c r="G502" s="9">
        <v>8.84086E8</v>
      </c>
      <c r="H502" s="9">
        <v>8.41368E8</v>
      </c>
      <c r="I502" s="9">
        <f t="shared" si="231"/>
        <v>841368000</v>
      </c>
      <c r="J502" s="9"/>
      <c r="K502" s="6"/>
      <c r="L502" s="9"/>
      <c r="M502" s="10"/>
      <c r="N502" s="14">
        <v>5377000.0</v>
      </c>
      <c r="O502" s="9">
        <f t="shared" si="232"/>
        <v>1725454000</v>
      </c>
      <c r="P502" s="38">
        <v>1.0</v>
      </c>
      <c r="Q502" s="9">
        <f t="shared" si="233"/>
        <v>841368000</v>
      </c>
      <c r="R502" s="9">
        <f t="shared" si="234"/>
        <v>1720077000</v>
      </c>
      <c r="S502" s="9">
        <f t="shared" si="235"/>
        <v>1725454000</v>
      </c>
      <c r="T502" s="9"/>
      <c r="U502" s="40" t="s">
        <v>1102</v>
      </c>
      <c r="V502" s="6"/>
      <c r="W502" s="6"/>
      <c r="X502" s="6"/>
      <c r="Y502" s="6"/>
      <c r="Z502" s="6"/>
      <c r="AA502" s="6"/>
      <c r="AB502" s="6"/>
      <c r="AC502" s="6"/>
      <c r="AD502" s="6"/>
      <c r="AE502" s="6"/>
      <c r="AF502" s="6"/>
      <c r="AG502" s="6"/>
      <c r="AH502" s="6"/>
    </row>
    <row r="503" ht="15.75" customHeight="1">
      <c r="A503" s="6"/>
      <c r="B503" s="25" t="s">
        <v>1098</v>
      </c>
      <c r="C503" s="25"/>
      <c r="D503" s="25"/>
      <c r="E503" s="25" t="s">
        <v>1103</v>
      </c>
      <c r="F503" s="25" t="s">
        <v>43</v>
      </c>
      <c r="G503" s="9">
        <f>49762521+1221825</f>
        <v>50984346</v>
      </c>
      <c r="H503" s="9">
        <v>1.96820068E8</v>
      </c>
      <c r="I503" s="9">
        <f t="shared" si="231"/>
        <v>196820068</v>
      </c>
      <c r="J503" s="9"/>
      <c r="K503" s="6"/>
      <c r="L503" s="9"/>
      <c r="M503" s="10"/>
      <c r="N503" s="14">
        <v>807312.0</v>
      </c>
      <c r="O503" s="9">
        <f t="shared" si="232"/>
        <v>247804414</v>
      </c>
      <c r="P503" s="38">
        <v>0.4483</v>
      </c>
      <c r="Q503" s="9">
        <f t="shared" si="233"/>
        <v>88234436.48</v>
      </c>
      <c r="R503" s="9">
        <f t="shared" si="234"/>
        <v>110728800.8</v>
      </c>
      <c r="S503" s="9">
        <f t="shared" si="235"/>
        <v>111090718.8</v>
      </c>
      <c r="T503" s="9"/>
      <c r="U503" s="40" t="s">
        <v>1104</v>
      </c>
      <c r="V503" s="6"/>
      <c r="W503" s="6"/>
      <c r="X503" s="6"/>
      <c r="Y503" s="6"/>
      <c r="Z503" s="6"/>
      <c r="AA503" s="6"/>
      <c r="AB503" s="6"/>
      <c r="AC503" s="6"/>
      <c r="AD503" s="6"/>
      <c r="AE503" s="6"/>
      <c r="AF503" s="6"/>
      <c r="AG503" s="6"/>
      <c r="AH503" s="6"/>
    </row>
    <row r="504" ht="15.75" customHeight="1">
      <c r="A504" s="6"/>
      <c r="B504" s="25" t="s">
        <v>1098</v>
      </c>
      <c r="C504" s="25"/>
      <c r="D504" s="25"/>
      <c r="E504" s="25" t="s">
        <v>1105</v>
      </c>
      <c r="F504" s="25" t="s">
        <v>43</v>
      </c>
      <c r="G504" s="9">
        <v>2.0135162E7</v>
      </c>
      <c r="H504" s="9">
        <v>5.1477231E7</v>
      </c>
      <c r="I504" s="9">
        <f t="shared" si="231"/>
        <v>51477231</v>
      </c>
      <c r="J504" s="9"/>
      <c r="K504" s="6"/>
      <c r="L504" s="9"/>
      <c r="M504" s="10"/>
      <c r="N504" s="14">
        <v>0.0</v>
      </c>
      <c r="O504" s="9">
        <f t="shared" si="232"/>
        <v>71612393</v>
      </c>
      <c r="P504" s="38">
        <v>0.5452</v>
      </c>
      <c r="Q504" s="9">
        <f t="shared" si="233"/>
        <v>28065386.34</v>
      </c>
      <c r="R504" s="9">
        <f t="shared" si="234"/>
        <v>39043076.66</v>
      </c>
      <c r="S504" s="9">
        <f t="shared" si="235"/>
        <v>39043076.66</v>
      </c>
      <c r="T504" s="9"/>
      <c r="U504" s="40" t="s">
        <v>1106</v>
      </c>
      <c r="V504" s="6"/>
      <c r="W504" s="6"/>
      <c r="X504" s="6"/>
      <c r="Y504" s="6"/>
      <c r="Z504" s="6"/>
      <c r="AA504" s="6"/>
      <c r="AB504" s="6"/>
      <c r="AC504" s="6"/>
      <c r="AD504" s="6"/>
      <c r="AE504" s="6"/>
      <c r="AF504" s="6"/>
      <c r="AG504" s="6"/>
      <c r="AH504" s="6"/>
    </row>
    <row r="505" ht="15.75" customHeight="1">
      <c r="A505" s="6"/>
      <c r="B505" s="25" t="s">
        <v>1098</v>
      </c>
      <c r="C505" s="25"/>
      <c r="D505" s="25"/>
      <c r="E505" s="25" t="s">
        <v>1107</v>
      </c>
      <c r="F505" s="25" t="s">
        <v>43</v>
      </c>
      <c r="G505" s="9">
        <v>1.1339713E7</v>
      </c>
      <c r="H505" s="9">
        <v>3.8159677E7</v>
      </c>
      <c r="I505" s="9">
        <f t="shared" si="231"/>
        <v>38058212</v>
      </c>
      <c r="J505" s="9">
        <v>101465.0</v>
      </c>
      <c r="K505" s="6" t="s">
        <v>168</v>
      </c>
      <c r="L505" s="9"/>
      <c r="M505" s="10"/>
      <c r="N505" s="14">
        <v>240621.0</v>
      </c>
      <c r="O505" s="9">
        <f t="shared" si="232"/>
        <v>49397925</v>
      </c>
      <c r="P505" s="38">
        <v>0.5008</v>
      </c>
      <c r="Q505" s="9">
        <f t="shared" si="233"/>
        <v>19059552.57</v>
      </c>
      <c r="R505" s="9">
        <f t="shared" si="234"/>
        <v>24617977.84</v>
      </c>
      <c r="S505" s="9">
        <f t="shared" si="235"/>
        <v>24738480.84</v>
      </c>
      <c r="T505" s="9"/>
      <c r="U505" s="40" t="s">
        <v>1108</v>
      </c>
      <c r="V505" s="6"/>
      <c r="W505" s="6"/>
      <c r="X505" s="6"/>
      <c r="Y505" s="6"/>
      <c r="Z505" s="6"/>
      <c r="AA505" s="6"/>
      <c r="AB505" s="6"/>
      <c r="AC505" s="6"/>
      <c r="AD505" s="6"/>
      <c r="AE505" s="6"/>
      <c r="AF505" s="6"/>
      <c r="AG505" s="6"/>
      <c r="AH505" s="6"/>
    </row>
    <row r="506" ht="15.75" customHeight="1">
      <c r="A506" s="6"/>
      <c r="B506" s="25" t="s">
        <v>1098</v>
      </c>
      <c r="C506" s="25"/>
      <c r="D506" s="25"/>
      <c r="E506" s="25" t="s">
        <v>1109</v>
      </c>
      <c r="F506" s="25" t="s">
        <v>43</v>
      </c>
      <c r="G506" s="9">
        <v>4651028.0</v>
      </c>
      <c r="H506" s="9">
        <v>3.7693619E7</v>
      </c>
      <c r="I506" s="9">
        <f t="shared" si="231"/>
        <v>37693619</v>
      </c>
      <c r="J506" s="9"/>
      <c r="K506" s="6"/>
      <c r="L506" s="9"/>
      <c r="M506" s="10"/>
      <c r="N506" s="14">
        <v>220932.0</v>
      </c>
      <c r="O506" s="9">
        <f t="shared" si="232"/>
        <v>42344647</v>
      </c>
      <c r="P506" s="38">
        <v>0.001</v>
      </c>
      <c r="Q506" s="9">
        <f t="shared" si="233"/>
        <v>37693.619</v>
      </c>
      <c r="R506" s="9">
        <f t="shared" si="234"/>
        <v>42123.715</v>
      </c>
      <c r="S506" s="9">
        <f t="shared" si="235"/>
        <v>42344.647</v>
      </c>
      <c r="T506" s="9"/>
      <c r="U506" s="40" t="s">
        <v>1110</v>
      </c>
      <c r="V506" s="6"/>
      <c r="W506" s="6"/>
      <c r="X506" s="6"/>
      <c r="Y506" s="6"/>
      <c r="Z506" s="6"/>
      <c r="AA506" s="6"/>
      <c r="AB506" s="6"/>
      <c r="AC506" s="6"/>
      <c r="AD506" s="6"/>
      <c r="AE506" s="6"/>
      <c r="AF506" s="6"/>
      <c r="AG506" s="6"/>
      <c r="AH506" s="6"/>
    </row>
    <row r="507" ht="15.75" customHeight="1">
      <c r="A507" s="6"/>
      <c r="B507" s="25" t="s">
        <v>1098</v>
      </c>
      <c r="C507" s="25"/>
      <c r="D507" s="25"/>
      <c r="E507" s="25" t="s">
        <v>1111</v>
      </c>
      <c r="F507" s="25" t="s">
        <v>47</v>
      </c>
      <c r="G507" s="9">
        <v>7402748.0</v>
      </c>
      <c r="H507" s="9">
        <v>1.49987971E8</v>
      </c>
      <c r="I507" s="9">
        <f t="shared" si="231"/>
        <v>149987971</v>
      </c>
      <c r="J507" s="9"/>
      <c r="K507" s="6"/>
      <c r="L507" s="9"/>
      <c r="M507" s="10"/>
      <c r="N507" s="10"/>
      <c r="O507" s="9">
        <f t="shared" si="232"/>
        <v>157390719</v>
      </c>
      <c r="P507" s="38">
        <v>0.4387</v>
      </c>
      <c r="Q507" s="9">
        <f t="shared" si="233"/>
        <v>65799722.88</v>
      </c>
      <c r="R507" s="9">
        <f t="shared" si="234"/>
        <v>69047308.43</v>
      </c>
      <c r="S507" s="9">
        <f t="shared" si="235"/>
        <v>69047308.43</v>
      </c>
      <c r="T507" s="9"/>
      <c r="U507" s="40" t="s">
        <v>1112</v>
      </c>
      <c r="V507" s="6"/>
      <c r="W507" s="6"/>
      <c r="X507" s="6"/>
      <c r="Y507" s="6"/>
      <c r="Z507" s="6"/>
      <c r="AA507" s="6"/>
      <c r="AB507" s="6"/>
      <c r="AC507" s="6"/>
      <c r="AD507" s="6"/>
      <c r="AE507" s="6"/>
      <c r="AF507" s="6"/>
      <c r="AG507" s="6"/>
      <c r="AH507" s="6"/>
    </row>
    <row r="508" ht="15.75" customHeight="1">
      <c r="A508" s="6"/>
      <c r="B508" s="25" t="s">
        <v>1098</v>
      </c>
      <c r="C508" s="25"/>
      <c r="D508" s="25"/>
      <c r="E508" s="25" t="s">
        <v>1113</v>
      </c>
      <c r="F508" s="25" t="s">
        <v>47</v>
      </c>
      <c r="G508" s="9">
        <v>9958537.0</v>
      </c>
      <c r="H508" s="9">
        <v>2.57914735E8</v>
      </c>
      <c r="I508" s="9">
        <f t="shared" si="231"/>
        <v>186191328</v>
      </c>
      <c r="J508" s="9">
        <v>7.1723407E7</v>
      </c>
      <c r="K508" s="6" t="s">
        <v>1114</v>
      </c>
      <c r="L508" s="9"/>
      <c r="M508" s="10"/>
      <c r="N508" s="10"/>
      <c r="O508" s="9">
        <f t="shared" si="232"/>
        <v>196149865</v>
      </c>
      <c r="P508" s="38">
        <v>0.652</v>
      </c>
      <c r="Q508" s="9">
        <f t="shared" si="233"/>
        <v>121396745.9</v>
      </c>
      <c r="R508" s="9">
        <f t="shared" si="234"/>
        <v>127889712</v>
      </c>
      <c r="S508" s="9">
        <f t="shared" si="235"/>
        <v>127889712</v>
      </c>
      <c r="T508" s="9"/>
      <c r="U508" s="40" t="s">
        <v>1115</v>
      </c>
      <c r="V508" s="6"/>
      <c r="W508" s="6"/>
      <c r="X508" s="6"/>
      <c r="Y508" s="6"/>
      <c r="Z508" s="6"/>
      <c r="AA508" s="6"/>
      <c r="AB508" s="6"/>
      <c r="AC508" s="6"/>
      <c r="AD508" s="6"/>
      <c r="AE508" s="6"/>
      <c r="AF508" s="6"/>
      <c r="AG508" s="6"/>
      <c r="AH508" s="6"/>
    </row>
    <row r="509" ht="15.75" customHeight="1">
      <c r="A509" s="6"/>
      <c r="B509" s="25" t="s">
        <v>1098</v>
      </c>
      <c r="C509" s="25"/>
      <c r="D509" s="25"/>
      <c r="E509" s="25" t="s">
        <v>1116</v>
      </c>
      <c r="F509" s="25" t="s">
        <v>47</v>
      </c>
      <c r="G509" s="9">
        <v>300351.0</v>
      </c>
      <c r="H509" s="9">
        <v>9.5569456E7</v>
      </c>
      <c r="I509" s="9">
        <f t="shared" si="231"/>
        <v>43799456</v>
      </c>
      <c r="J509" s="9">
        <v>5.177E7</v>
      </c>
      <c r="K509" s="6" t="s">
        <v>1117</v>
      </c>
      <c r="L509" s="9"/>
      <c r="M509" s="10"/>
      <c r="N509" s="10"/>
      <c r="O509" s="9">
        <f t="shared" si="232"/>
        <v>44099807</v>
      </c>
      <c r="P509" s="38">
        <v>1.0</v>
      </c>
      <c r="Q509" s="9">
        <f t="shared" si="233"/>
        <v>43799456</v>
      </c>
      <c r="R509" s="9">
        <f t="shared" si="234"/>
        <v>44099807</v>
      </c>
      <c r="S509" s="9">
        <f t="shared" si="235"/>
        <v>44099807</v>
      </c>
      <c r="T509" s="9"/>
      <c r="U509" s="40" t="s">
        <v>1118</v>
      </c>
      <c r="V509" s="6"/>
      <c r="W509" s="6"/>
      <c r="X509" s="6"/>
      <c r="Y509" s="6"/>
      <c r="Z509" s="6"/>
      <c r="AA509" s="6"/>
      <c r="AB509" s="6"/>
      <c r="AC509" s="6"/>
      <c r="AD509" s="6"/>
      <c r="AE509" s="6"/>
      <c r="AF509" s="6"/>
      <c r="AG509" s="6"/>
      <c r="AH509" s="6"/>
    </row>
    <row r="510" ht="15.75" customHeight="1">
      <c r="A510" s="6"/>
      <c r="B510" s="25" t="s">
        <v>1098</v>
      </c>
      <c r="C510" s="25"/>
      <c r="D510" s="25"/>
      <c r="E510" s="25" t="s">
        <v>1119</v>
      </c>
      <c r="F510" s="25" t="s">
        <v>47</v>
      </c>
      <c r="G510" s="9"/>
      <c r="H510" s="9"/>
      <c r="I510" s="9">
        <f t="shared" si="231"/>
        <v>0</v>
      </c>
      <c r="J510" s="9"/>
      <c r="K510" s="6"/>
      <c r="L510" s="9"/>
      <c r="M510" s="10"/>
      <c r="N510" s="10"/>
      <c r="O510" s="9">
        <f t="shared" si="232"/>
        <v>0</v>
      </c>
      <c r="P510" s="38">
        <v>0.2364</v>
      </c>
      <c r="Q510" s="9">
        <f t="shared" si="233"/>
        <v>0</v>
      </c>
      <c r="R510" s="9">
        <f t="shared" si="234"/>
        <v>0</v>
      </c>
      <c r="S510" s="9">
        <f t="shared" si="235"/>
        <v>0</v>
      </c>
      <c r="T510" s="9"/>
      <c r="U510" s="6" t="s">
        <v>60</v>
      </c>
      <c r="V510" s="6"/>
      <c r="W510" s="6"/>
      <c r="X510" s="6"/>
      <c r="Y510" s="6"/>
      <c r="Z510" s="6"/>
      <c r="AA510" s="6"/>
      <c r="AB510" s="6"/>
      <c r="AC510" s="6"/>
      <c r="AD510" s="6"/>
      <c r="AE510" s="6"/>
      <c r="AF510" s="6"/>
      <c r="AG510" s="6"/>
      <c r="AH510" s="6"/>
    </row>
    <row r="511" ht="15.75" customHeight="1">
      <c r="A511" s="6"/>
      <c r="B511" s="25" t="s">
        <v>1098</v>
      </c>
      <c r="C511" s="25"/>
      <c r="D511" s="25"/>
      <c r="E511" s="25" t="s">
        <v>1120</v>
      </c>
      <c r="F511" s="25" t="s">
        <v>47</v>
      </c>
      <c r="G511" s="9">
        <v>310097.0</v>
      </c>
      <c r="H511" s="9">
        <v>6.3777648E7</v>
      </c>
      <c r="I511" s="9">
        <f t="shared" si="231"/>
        <v>63777648</v>
      </c>
      <c r="J511" s="9"/>
      <c r="K511" s="6"/>
      <c r="L511" s="9"/>
      <c r="M511" s="10"/>
      <c r="N511" s="10"/>
      <c r="O511" s="9">
        <f t="shared" si="232"/>
        <v>64087745</v>
      </c>
      <c r="P511" s="38">
        <v>0.9438</v>
      </c>
      <c r="Q511" s="9">
        <f t="shared" si="233"/>
        <v>60193344.18</v>
      </c>
      <c r="R511" s="9">
        <f t="shared" si="234"/>
        <v>60486013.73</v>
      </c>
      <c r="S511" s="9">
        <f t="shared" si="235"/>
        <v>60486013.73</v>
      </c>
      <c r="T511" s="9"/>
      <c r="U511" s="40" t="s">
        <v>1121</v>
      </c>
      <c r="V511" s="6"/>
      <c r="W511" s="6"/>
      <c r="X511" s="6"/>
      <c r="Y511" s="6"/>
      <c r="Z511" s="6"/>
      <c r="AA511" s="6"/>
      <c r="AB511" s="6"/>
      <c r="AC511" s="6"/>
      <c r="AD511" s="6"/>
      <c r="AE511" s="6"/>
      <c r="AF511" s="6"/>
      <c r="AG511" s="6"/>
      <c r="AH511" s="6"/>
    </row>
    <row r="512" ht="15.75" customHeight="1">
      <c r="A512" s="6"/>
      <c r="B512" s="25" t="s">
        <v>1098</v>
      </c>
      <c r="C512" s="25"/>
      <c r="D512" s="25"/>
      <c r="E512" s="25" t="s">
        <v>1122</v>
      </c>
      <c r="F512" s="25" t="s">
        <v>47</v>
      </c>
      <c r="G512" s="9">
        <v>477891.0</v>
      </c>
      <c r="H512" s="9">
        <v>2.21559831E8</v>
      </c>
      <c r="I512" s="9">
        <f t="shared" si="231"/>
        <v>221559801</v>
      </c>
      <c r="J512" s="9">
        <v>30.0</v>
      </c>
      <c r="K512" s="6" t="s">
        <v>1123</v>
      </c>
      <c r="L512" s="9"/>
      <c r="M512" s="10"/>
      <c r="N512" s="10"/>
      <c r="O512" s="9">
        <f t="shared" si="232"/>
        <v>222037692</v>
      </c>
      <c r="P512" s="38">
        <v>1.0</v>
      </c>
      <c r="Q512" s="9">
        <f t="shared" si="233"/>
        <v>221559801</v>
      </c>
      <c r="R512" s="9">
        <f t="shared" si="234"/>
        <v>222037692</v>
      </c>
      <c r="S512" s="9">
        <f t="shared" si="235"/>
        <v>222037692</v>
      </c>
      <c r="T512" s="9"/>
      <c r="U512" s="40" t="s">
        <v>1124</v>
      </c>
      <c r="V512" s="6"/>
      <c r="W512" s="6"/>
      <c r="X512" s="6"/>
      <c r="Y512" s="6"/>
      <c r="Z512" s="6"/>
      <c r="AA512" s="6"/>
      <c r="AB512" s="6"/>
      <c r="AC512" s="6"/>
      <c r="AD512" s="6"/>
      <c r="AE512" s="6"/>
      <c r="AF512" s="6"/>
      <c r="AG512" s="6"/>
      <c r="AH512" s="6"/>
    </row>
    <row r="513" ht="15.75" customHeight="1">
      <c r="A513" s="6"/>
      <c r="B513" s="25" t="s">
        <v>1098</v>
      </c>
      <c r="C513" s="25"/>
      <c r="D513" s="25"/>
      <c r="E513" s="25" t="s">
        <v>1125</v>
      </c>
      <c r="F513" s="25" t="s">
        <v>47</v>
      </c>
      <c r="G513" s="9">
        <v>1.263547E7</v>
      </c>
      <c r="H513" s="9">
        <v>2.23924147E8</v>
      </c>
      <c r="I513" s="9">
        <f t="shared" si="231"/>
        <v>154018657</v>
      </c>
      <c r="J513" s="9">
        <f>4068165+65837325</f>
        <v>69905490</v>
      </c>
      <c r="K513" s="6" t="s">
        <v>1126</v>
      </c>
      <c r="L513" s="9"/>
      <c r="M513" s="10"/>
      <c r="N513" s="10"/>
      <c r="O513" s="9">
        <f t="shared" si="232"/>
        <v>166654127</v>
      </c>
      <c r="P513" s="38">
        <v>0.0497</v>
      </c>
      <c r="Q513" s="9">
        <f t="shared" si="233"/>
        <v>7654727.253</v>
      </c>
      <c r="R513" s="9">
        <f t="shared" si="234"/>
        <v>8282710.112</v>
      </c>
      <c r="S513" s="9">
        <f t="shared" si="235"/>
        <v>8282710.112</v>
      </c>
      <c r="T513" s="9"/>
      <c r="U513" s="40" t="s">
        <v>1127</v>
      </c>
      <c r="V513" s="6"/>
      <c r="W513" s="6"/>
      <c r="X513" s="6"/>
      <c r="Y513" s="6"/>
      <c r="Z513" s="6"/>
      <c r="AA513" s="6"/>
      <c r="AB513" s="6"/>
      <c r="AC513" s="6"/>
      <c r="AD513" s="6"/>
      <c r="AE513" s="6"/>
      <c r="AF513" s="6"/>
      <c r="AG513" s="6"/>
      <c r="AH513" s="6"/>
    </row>
    <row r="514" ht="15.75" customHeight="1">
      <c r="A514" s="6"/>
      <c r="B514" s="25" t="s">
        <v>1098</v>
      </c>
      <c r="C514" s="25"/>
      <c r="D514" s="25"/>
      <c r="E514" s="25" t="s">
        <v>1128</v>
      </c>
      <c r="F514" s="25" t="s">
        <v>47</v>
      </c>
      <c r="G514" s="9">
        <v>4348526.0</v>
      </c>
      <c r="H514" s="9">
        <f>98655571</f>
        <v>98655571</v>
      </c>
      <c r="I514" s="9">
        <f t="shared" si="231"/>
        <v>60167766</v>
      </c>
      <c r="J514" s="9">
        <f>1717047+36770758</f>
        <v>38487805</v>
      </c>
      <c r="K514" s="6" t="s">
        <v>1129</v>
      </c>
      <c r="L514" s="9"/>
      <c r="M514" s="10"/>
      <c r="N514" s="10"/>
      <c r="O514" s="9">
        <f t="shared" si="232"/>
        <v>64516292</v>
      </c>
      <c r="P514" s="38">
        <v>0.4534</v>
      </c>
      <c r="Q514" s="9">
        <f t="shared" si="233"/>
        <v>27280065.1</v>
      </c>
      <c r="R514" s="9">
        <f t="shared" si="234"/>
        <v>29251686.79</v>
      </c>
      <c r="S514" s="9">
        <f t="shared" si="235"/>
        <v>29251686.79</v>
      </c>
      <c r="T514" s="9"/>
      <c r="U514" s="40" t="s">
        <v>1130</v>
      </c>
      <c r="V514" s="6"/>
      <c r="W514" s="6"/>
      <c r="X514" s="6"/>
      <c r="Y514" s="6"/>
      <c r="Z514" s="6"/>
      <c r="AA514" s="6"/>
      <c r="AB514" s="6"/>
      <c r="AC514" s="6"/>
      <c r="AD514" s="6"/>
      <c r="AE514" s="6"/>
      <c r="AF514" s="6"/>
      <c r="AG514" s="6"/>
      <c r="AH514" s="6"/>
    </row>
    <row r="515" ht="15.75" customHeight="1">
      <c r="A515" s="6"/>
      <c r="B515" s="25" t="s">
        <v>1098</v>
      </c>
      <c r="C515" s="25"/>
      <c r="D515" s="25"/>
      <c r="E515" s="25" t="s">
        <v>1131</v>
      </c>
      <c r="F515" s="25" t="s">
        <v>47</v>
      </c>
      <c r="G515" s="9">
        <v>8138417.0</v>
      </c>
      <c r="H515" s="9">
        <v>1.53860494E8</v>
      </c>
      <c r="I515" s="9">
        <f t="shared" si="231"/>
        <v>113116010</v>
      </c>
      <c r="J515" s="9">
        <v>4.0744484E7</v>
      </c>
      <c r="K515" s="6" t="s">
        <v>1132</v>
      </c>
      <c r="L515" s="9"/>
      <c r="M515" s="10"/>
      <c r="N515" s="14">
        <v>0.0</v>
      </c>
      <c r="O515" s="9">
        <f t="shared" si="232"/>
        <v>121254427</v>
      </c>
      <c r="P515" s="38">
        <v>0.4834</v>
      </c>
      <c r="Q515" s="9">
        <f t="shared" si="233"/>
        <v>54680279.23</v>
      </c>
      <c r="R515" s="9">
        <f t="shared" si="234"/>
        <v>58614390.01</v>
      </c>
      <c r="S515" s="9">
        <f t="shared" si="235"/>
        <v>58614390.01</v>
      </c>
      <c r="T515" s="9"/>
      <c r="U515" s="40" t="s">
        <v>1133</v>
      </c>
      <c r="V515" s="6"/>
      <c r="W515" s="6"/>
      <c r="X515" s="6"/>
      <c r="Y515" s="6"/>
      <c r="Z515" s="6"/>
      <c r="AA515" s="6"/>
      <c r="AB515" s="6"/>
      <c r="AC515" s="6"/>
      <c r="AD515" s="6"/>
      <c r="AE515" s="6"/>
      <c r="AF515" s="6"/>
      <c r="AG515" s="6"/>
      <c r="AH515" s="6"/>
    </row>
    <row r="516" ht="15.75" customHeight="1">
      <c r="A516" s="6"/>
      <c r="B516" s="25" t="s">
        <v>1098</v>
      </c>
      <c r="C516" s="25"/>
      <c r="D516" s="25"/>
      <c r="E516" s="25" t="s">
        <v>1134</v>
      </c>
      <c r="F516" s="25" t="s">
        <v>47</v>
      </c>
      <c r="G516" s="9">
        <v>3185554.0</v>
      </c>
      <c r="H516" s="9">
        <v>5.3311574E7</v>
      </c>
      <c r="I516" s="9">
        <f t="shared" si="231"/>
        <v>53311574</v>
      </c>
      <c r="J516" s="9"/>
      <c r="K516" s="6"/>
      <c r="L516" s="9"/>
      <c r="M516" s="10"/>
      <c r="N516" s="10"/>
      <c r="O516" s="9">
        <f t="shared" si="232"/>
        <v>56497128</v>
      </c>
      <c r="P516" s="38">
        <v>0.668</v>
      </c>
      <c r="Q516" s="9">
        <f t="shared" si="233"/>
        <v>35612131.43</v>
      </c>
      <c r="R516" s="9">
        <f t="shared" si="234"/>
        <v>37740081.5</v>
      </c>
      <c r="S516" s="9">
        <f t="shared" si="235"/>
        <v>37740081.5</v>
      </c>
      <c r="T516" s="9"/>
      <c r="U516" s="40" t="s">
        <v>1135</v>
      </c>
      <c r="V516" s="6"/>
      <c r="W516" s="6"/>
      <c r="X516" s="6"/>
      <c r="Y516" s="6"/>
      <c r="Z516" s="6"/>
      <c r="AA516" s="6"/>
      <c r="AB516" s="6"/>
      <c r="AC516" s="6"/>
      <c r="AD516" s="6"/>
      <c r="AE516" s="6"/>
      <c r="AF516" s="6"/>
      <c r="AG516" s="6"/>
      <c r="AH516" s="6"/>
    </row>
    <row r="517" ht="15.75" customHeight="1">
      <c r="A517" s="6"/>
      <c r="B517" s="25" t="s">
        <v>1098</v>
      </c>
      <c r="C517" s="25"/>
      <c r="D517" s="25"/>
      <c r="E517" s="25" t="s">
        <v>1136</v>
      </c>
      <c r="F517" s="25" t="s">
        <v>29</v>
      </c>
      <c r="G517" s="9"/>
      <c r="H517" s="9">
        <f>75962744+50736+3673363+848413+121416+18457</f>
        <v>80675129</v>
      </c>
      <c r="I517" s="9">
        <f t="shared" si="231"/>
        <v>80624393</v>
      </c>
      <c r="J517" s="9">
        <v>50736.0</v>
      </c>
      <c r="K517" s="9" t="s">
        <v>502</v>
      </c>
      <c r="L517" s="9"/>
      <c r="M517" s="10"/>
      <c r="N517" s="10"/>
      <c r="O517" s="9">
        <f t="shared" si="232"/>
        <v>80624393</v>
      </c>
      <c r="P517" s="38">
        <v>1.0</v>
      </c>
      <c r="Q517" s="9">
        <f t="shared" si="233"/>
        <v>80624393</v>
      </c>
      <c r="R517" s="9">
        <f t="shared" si="234"/>
        <v>80624393</v>
      </c>
      <c r="S517" s="9">
        <f t="shared" si="235"/>
        <v>80624393</v>
      </c>
      <c r="T517" s="9"/>
      <c r="U517" s="40" t="s">
        <v>1137</v>
      </c>
      <c r="V517" s="6"/>
      <c r="W517" s="6"/>
      <c r="X517" s="6"/>
      <c r="Y517" s="6"/>
      <c r="Z517" s="6"/>
      <c r="AA517" s="6"/>
      <c r="AB517" s="6"/>
      <c r="AC517" s="6"/>
      <c r="AD517" s="6"/>
      <c r="AE517" s="6"/>
      <c r="AF517" s="6"/>
      <c r="AG517" s="6"/>
      <c r="AH517" s="6"/>
    </row>
    <row r="518" ht="15.75" customHeight="1">
      <c r="A518" s="6"/>
      <c r="B518" s="25" t="s">
        <v>1098</v>
      </c>
      <c r="C518" s="25"/>
      <c r="D518" s="25"/>
      <c r="E518" s="25" t="s">
        <v>1138</v>
      </c>
      <c r="F518" s="25" t="s">
        <v>29</v>
      </c>
      <c r="G518" s="9"/>
      <c r="H518" s="9"/>
      <c r="I518" s="9">
        <f t="shared" si="231"/>
        <v>0</v>
      </c>
      <c r="J518" s="9"/>
      <c r="K518" s="9"/>
      <c r="L518" s="9"/>
      <c r="M518" s="10"/>
      <c r="N518" s="10"/>
      <c r="O518" s="9">
        <f t="shared" si="232"/>
        <v>0</v>
      </c>
      <c r="P518" s="38">
        <v>0.0773</v>
      </c>
      <c r="Q518" s="9">
        <f t="shared" si="233"/>
        <v>0</v>
      </c>
      <c r="R518" s="9">
        <f t="shared" si="234"/>
        <v>0</v>
      </c>
      <c r="S518" s="9">
        <f t="shared" si="235"/>
        <v>0</v>
      </c>
      <c r="T518" s="9"/>
      <c r="U518" s="6" t="s">
        <v>60</v>
      </c>
      <c r="V518" s="6"/>
      <c r="W518" s="6"/>
      <c r="X518" s="6"/>
      <c r="Y518" s="6"/>
      <c r="Z518" s="6"/>
      <c r="AA518" s="6"/>
      <c r="AB518" s="6"/>
      <c r="AC518" s="6"/>
      <c r="AD518" s="6"/>
      <c r="AE518" s="6"/>
      <c r="AF518" s="6"/>
      <c r="AG518" s="6"/>
      <c r="AH518" s="6"/>
    </row>
    <row r="519" ht="15.75" customHeight="1">
      <c r="A519" s="6"/>
      <c r="B519" s="25" t="s">
        <v>1098</v>
      </c>
      <c r="C519" s="25"/>
      <c r="D519" s="25"/>
      <c r="E519" s="25" t="s">
        <v>1138</v>
      </c>
      <c r="F519" s="25" t="s">
        <v>29</v>
      </c>
      <c r="G519" s="9"/>
      <c r="H519" s="9"/>
      <c r="I519" s="9">
        <f t="shared" si="231"/>
        <v>0</v>
      </c>
      <c r="J519" s="9"/>
      <c r="K519" s="9"/>
      <c r="L519" s="9"/>
      <c r="M519" s="10"/>
      <c r="N519" s="10"/>
      <c r="O519" s="9">
        <f t="shared" si="232"/>
        <v>0</v>
      </c>
      <c r="P519" s="38">
        <v>0.2259</v>
      </c>
      <c r="Q519" s="9">
        <f t="shared" si="233"/>
        <v>0</v>
      </c>
      <c r="R519" s="9">
        <f t="shared" si="234"/>
        <v>0</v>
      </c>
      <c r="S519" s="9">
        <f t="shared" si="235"/>
        <v>0</v>
      </c>
      <c r="T519" s="9"/>
      <c r="U519" s="6" t="s">
        <v>60</v>
      </c>
      <c r="V519" s="6"/>
      <c r="W519" s="6"/>
      <c r="X519" s="6"/>
      <c r="Y519" s="6"/>
      <c r="Z519" s="6"/>
      <c r="AA519" s="6"/>
      <c r="AB519" s="6"/>
      <c r="AC519" s="6"/>
      <c r="AD519" s="6"/>
      <c r="AE519" s="6"/>
      <c r="AF519" s="6"/>
      <c r="AG519" s="6"/>
      <c r="AH519" s="6"/>
    </row>
    <row r="520" ht="15.75" customHeight="1">
      <c r="A520" s="6"/>
      <c r="B520" s="25" t="s">
        <v>1098</v>
      </c>
      <c r="C520" s="25"/>
      <c r="D520" s="25"/>
      <c r="E520" s="25" t="s">
        <v>1139</v>
      </c>
      <c r="F520" s="25" t="s">
        <v>29</v>
      </c>
      <c r="G520" s="9"/>
      <c r="H520" s="9"/>
      <c r="I520" s="9">
        <f t="shared" si="231"/>
        <v>0</v>
      </c>
      <c r="J520" s="9"/>
      <c r="K520" s="9"/>
      <c r="L520" s="9"/>
      <c r="M520" s="10"/>
      <c r="N520" s="10"/>
      <c r="O520" s="9">
        <f t="shared" si="232"/>
        <v>0</v>
      </c>
      <c r="P520" s="38">
        <v>1.0</v>
      </c>
      <c r="Q520" s="9">
        <f t="shared" si="233"/>
        <v>0</v>
      </c>
      <c r="R520" s="9">
        <f t="shared" si="234"/>
        <v>0</v>
      </c>
      <c r="S520" s="9">
        <f t="shared" si="235"/>
        <v>0</v>
      </c>
      <c r="T520" s="9"/>
      <c r="U520" s="6" t="s">
        <v>60</v>
      </c>
      <c r="V520" s="6" t="s">
        <v>1140</v>
      </c>
      <c r="W520" s="6"/>
      <c r="X520" s="6"/>
      <c r="Y520" s="6"/>
      <c r="Z520" s="6"/>
      <c r="AA520" s="6"/>
      <c r="AB520" s="6"/>
      <c r="AC520" s="6"/>
      <c r="AD520" s="6"/>
      <c r="AE520" s="6"/>
      <c r="AF520" s="6"/>
      <c r="AG520" s="6"/>
      <c r="AH520" s="6"/>
    </row>
    <row r="521" ht="15.75" customHeight="1">
      <c r="A521" s="6"/>
      <c r="B521" s="25"/>
      <c r="C521" s="25"/>
      <c r="D521" s="25"/>
      <c r="E521" s="41" t="s">
        <v>35</v>
      </c>
      <c r="F521" s="25"/>
      <c r="G521" s="9"/>
      <c r="H521" s="9"/>
      <c r="I521" s="9"/>
      <c r="J521" s="9"/>
      <c r="K521" s="9"/>
      <c r="L521" s="9"/>
      <c r="M521" s="10"/>
      <c r="N521" s="10"/>
      <c r="O521" s="9"/>
      <c r="P521" s="26" t="s">
        <v>1141</v>
      </c>
      <c r="Q521" s="19">
        <f t="shared" ref="Q521:S521" si="236">SUM(Q501:Q520)</f>
        <v>2734893772</v>
      </c>
      <c r="R521" s="19">
        <f t="shared" si="236"/>
        <v>3951351974</v>
      </c>
      <c r="S521" s="19">
        <f t="shared" si="236"/>
        <v>3957211616</v>
      </c>
      <c r="T521" s="20">
        <v>2.180966281E9</v>
      </c>
      <c r="U521" s="6"/>
      <c r="V521" s="6"/>
      <c r="W521" s="6"/>
      <c r="X521" s="6"/>
      <c r="Y521" s="6"/>
      <c r="Z521" s="6"/>
      <c r="AA521" s="6"/>
      <c r="AB521" s="6"/>
      <c r="AC521" s="6"/>
      <c r="AD521" s="6"/>
      <c r="AE521" s="6"/>
      <c r="AF521" s="6"/>
      <c r="AG521" s="6"/>
      <c r="AH521" s="6"/>
    </row>
    <row r="522" ht="15.75" customHeight="1">
      <c r="A522" s="6">
        <v>39.0</v>
      </c>
      <c r="B522" s="25" t="s">
        <v>710</v>
      </c>
      <c r="C522" s="42" t="s">
        <v>711</v>
      </c>
      <c r="D522" s="25"/>
      <c r="E522" s="25"/>
      <c r="F522" s="42" t="s">
        <v>1</v>
      </c>
      <c r="G522" s="8">
        <v>9.595254E9</v>
      </c>
      <c r="H522" s="8">
        <v>1.4676708E10</v>
      </c>
      <c r="I522" s="9">
        <f t="shared" ref="I522:I529" si="237">H522-J522</f>
        <v>14676128000</v>
      </c>
      <c r="J522" s="8">
        <v>580000.0</v>
      </c>
      <c r="K522" s="30" t="s">
        <v>712</v>
      </c>
      <c r="L522" s="9"/>
      <c r="M522" s="10"/>
      <c r="N522" s="10">
        <f>103977000+937123000</f>
        <v>1041100000</v>
      </c>
      <c r="O522" s="9">
        <f t="shared" ref="O522:O531" si="238">G522+I522</f>
        <v>24271382000</v>
      </c>
      <c r="P522" s="31">
        <v>0.0834</v>
      </c>
      <c r="Q522" s="9">
        <f t="shared" ref="Q522:Q531" si="239">I522*P522</f>
        <v>1223989075</v>
      </c>
      <c r="R522" s="9">
        <f t="shared" ref="R522:R531" si="240">(O522-N522-M522)*P522</f>
        <v>1937405519</v>
      </c>
      <c r="S522" s="9">
        <f t="shared" ref="S522:S531" si="241">O522*P522</f>
        <v>2024233259</v>
      </c>
      <c r="T522" s="9"/>
      <c r="U522" s="40" t="s">
        <v>713</v>
      </c>
      <c r="V522" s="6"/>
      <c r="W522" s="6"/>
      <c r="X522" s="6"/>
      <c r="Y522" s="6"/>
      <c r="Z522" s="6"/>
      <c r="AA522" s="6"/>
      <c r="AB522" s="6"/>
      <c r="AC522" s="6"/>
      <c r="AD522" s="6"/>
      <c r="AE522" s="6"/>
      <c r="AF522" s="6"/>
      <c r="AG522" s="6"/>
      <c r="AH522" s="6"/>
    </row>
    <row r="523" ht="15.75" customHeight="1">
      <c r="A523" s="6"/>
      <c r="B523" s="25" t="s">
        <v>710</v>
      </c>
      <c r="C523" s="25"/>
      <c r="D523" s="25" t="s">
        <v>1142</v>
      </c>
      <c r="E523" s="25"/>
      <c r="F523" s="25" t="s">
        <v>3</v>
      </c>
      <c r="G523" s="9">
        <v>1.050745549E9</v>
      </c>
      <c r="H523" s="9">
        <v>1.23163152E8</v>
      </c>
      <c r="I523" s="9">
        <f t="shared" si="237"/>
        <v>123096576</v>
      </c>
      <c r="J523" s="9">
        <v>66576.0</v>
      </c>
      <c r="K523" s="9" t="s">
        <v>1143</v>
      </c>
      <c r="L523" s="9"/>
      <c r="M523" s="10"/>
      <c r="N523" s="14">
        <v>0.0</v>
      </c>
      <c r="O523" s="9">
        <f t="shared" si="238"/>
        <v>1173842125</v>
      </c>
      <c r="P523" s="38">
        <v>1.0</v>
      </c>
      <c r="Q523" s="9">
        <f t="shared" si="239"/>
        <v>123096576</v>
      </c>
      <c r="R523" s="9">
        <f t="shared" si="240"/>
        <v>1173842125</v>
      </c>
      <c r="S523" s="9">
        <f t="shared" si="241"/>
        <v>1173842125</v>
      </c>
      <c r="T523" s="9"/>
      <c r="U523" s="13" t="s">
        <v>1144</v>
      </c>
      <c r="V523" s="25"/>
      <c r="W523" s="6"/>
      <c r="X523" s="6"/>
      <c r="Y523" s="6"/>
      <c r="Z523" s="6"/>
      <c r="AA523" s="6"/>
      <c r="AB523" s="6"/>
      <c r="AC523" s="6"/>
      <c r="AD523" s="6"/>
      <c r="AE523" s="6"/>
      <c r="AF523" s="6"/>
      <c r="AG523" s="6"/>
      <c r="AH523" s="6"/>
    </row>
    <row r="524" ht="15.75" customHeight="1">
      <c r="A524" s="6"/>
      <c r="B524" s="25" t="s">
        <v>710</v>
      </c>
      <c r="C524" s="25"/>
      <c r="D524" s="25"/>
      <c r="E524" s="25" t="s">
        <v>761</v>
      </c>
      <c r="F524" s="25" t="s">
        <v>43</v>
      </c>
      <c r="G524" s="9">
        <v>4.2054543E7</v>
      </c>
      <c r="H524" s="9">
        <v>2.16814711E8</v>
      </c>
      <c r="I524" s="9">
        <f t="shared" si="237"/>
        <v>216814711</v>
      </c>
      <c r="J524" s="9"/>
      <c r="K524" s="9"/>
      <c r="L524" s="9"/>
      <c r="M524" s="10"/>
      <c r="N524" s="14">
        <v>0.0</v>
      </c>
      <c r="O524" s="9">
        <f t="shared" si="238"/>
        <v>258869254</v>
      </c>
      <c r="P524" s="38">
        <v>0.6576</v>
      </c>
      <c r="Q524" s="9">
        <f t="shared" si="239"/>
        <v>142577354</v>
      </c>
      <c r="R524" s="9">
        <f t="shared" si="240"/>
        <v>170232421.4</v>
      </c>
      <c r="S524" s="9">
        <f t="shared" si="241"/>
        <v>170232421.4</v>
      </c>
      <c r="T524" s="9"/>
      <c r="U524" s="13" t="s">
        <v>1145</v>
      </c>
      <c r="V524" s="25"/>
      <c r="W524" s="6"/>
      <c r="X524" s="6"/>
      <c r="Y524" s="6"/>
      <c r="Z524" s="6"/>
      <c r="AA524" s="6"/>
      <c r="AB524" s="6"/>
      <c r="AC524" s="6"/>
      <c r="AD524" s="6"/>
      <c r="AE524" s="6"/>
      <c r="AF524" s="6"/>
      <c r="AG524" s="6"/>
      <c r="AH524" s="6"/>
    </row>
    <row r="525" ht="15.75" customHeight="1">
      <c r="A525" s="6"/>
      <c r="B525" s="25" t="s">
        <v>710</v>
      </c>
      <c r="C525" s="25"/>
      <c r="D525" s="25"/>
      <c r="E525" s="25" t="s">
        <v>1146</v>
      </c>
      <c r="F525" s="25" t="s">
        <v>47</v>
      </c>
      <c r="G525" s="9">
        <v>2843345.0</v>
      </c>
      <c r="H525" s="9">
        <v>4.3066705E7</v>
      </c>
      <c r="I525" s="9">
        <f t="shared" si="237"/>
        <v>43066705</v>
      </c>
      <c r="J525" s="9"/>
      <c r="K525" s="9"/>
      <c r="L525" s="9"/>
      <c r="M525" s="10"/>
      <c r="N525" s="10"/>
      <c r="O525" s="9">
        <f t="shared" si="238"/>
        <v>45910050</v>
      </c>
      <c r="P525" s="38">
        <v>1.0</v>
      </c>
      <c r="Q525" s="9">
        <f t="shared" si="239"/>
        <v>43066705</v>
      </c>
      <c r="R525" s="9">
        <f t="shared" si="240"/>
        <v>45910050</v>
      </c>
      <c r="S525" s="9">
        <f t="shared" si="241"/>
        <v>45910050</v>
      </c>
      <c r="T525" s="9"/>
      <c r="U525" s="13" t="s">
        <v>1147</v>
      </c>
      <c r="V525" s="25"/>
      <c r="W525" s="6"/>
      <c r="X525" s="6"/>
      <c r="Y525" s="6"/>
      <c r="Z525" s="6"/>
      <c r="AA525" s="6"/>
      <c r="AB525" s="6"/>
      <c r="AC525" s="6"/>
      <c r="AD525" s="6"/>
      <c r="AE525" s="6"/>
      <c r="AF525" s="6"/>
      <c r="AG525" s="6"/>
      <c r="AH525" s="6"/>
    </row>
    <row r="526" ht="15.75" customHeight="1">
      <c r="A526" s="6"/>
      <c r="B526" s="25" t="s">
        <v>710</v>
      </c>
      <c r="C526" s="25"/>
      <c r="D526" s="25"/>
      <c r="E526" s="25" t="s">
        <v>1148</v>
      </c>
      <c r="F526" s="25" t="s">
        <v>47</v>
      </c>
      <c r="G526" s="9">
        <v>6765393.0</v>
      </c>
      <c r="H526" s="9">
        <v>3.1452748E8</v>
      </c>
      <c r="I526" s="9">
        <f t="shared" si="237"/>
        <v>314527480</v>
      </c>
      <c r="J526" s="9"/>
      <c r="K526" s="9"/>
      <c r="L526" s="9"/>
      <c r="M526" s="10"/>
      <c r="N526" s="10"/>
      <c r="O526" s="9">
        <f t="shared" si="238"/>
        <v>321292873</v>
      </c>
      <c r="P526" s="38">
        <v>0.9426</v>
      </c>
      <c r="Q526" s="9">
        <f t="shared" si="239"/>
        <v>296473602.6</v>
      </c>
      <c r="R526" s="9">
        <f t="shared" si="240"/>
        <v>302850662.1</v>
      </c>
      <c r="S526" s="9">
        <f t="shared" si="241"/>
        <v>302850662.1</v>
      </c>
      <c r="T526" s="9"/>
      <c r="U526" s="13" t="s">
        <v>1149</v>
      </c>
      <c r="V526" s="25"/>
      <c r="W526" s="6"/>
      <c r="X526" s="6"/>
      <c r="Y526" s="6"/>
      <c r="Z526" s="6"/>
      <c r="AA526" s="6"/>
      <c r="AB526" s="6"/>
      <c r="AC526" s="6"/>
      <c r="AD526" s="6"/>
      <c r="AE526" s="6"/>
      <c r="AF526" s="6"/>
      <c r="AG526" s="6"/>
      <c r="AH526" s="6"/>
    </row>
    <row r="527" ht="15.75" customHeight="1">
      <c r="A527" s="6"/>
      <c r="B527" s="25" t="s">
        <v>710</v>
      </c>
      <c r="C527" s="25"/>
      <c r="D527" s="25"/>
      <c r="E527" s="25" t="s">
        <v>1150</v>
      </c>
      <c r="F527" s="25" t="s">
        <v>47</v>
      </c>
      <c r="G527" s="9"/>
      <c r="H527" s="9"/>
      <c r="I527" s="9">
        <f t="shared" si="237"/>
        <v>0</v>
      </c>
      <c r="J527" s="9"/>
      <c r="K527" s="9"/>
      <c r="L527" s="9"/>
      <c r="M527" s="10"/>
      <c r="N527" s="10"/>
      <c r="O527" s="9">
        <f t="shared" si="238"/>
        <v>0</v>
      </c>
      <c r="P527" s="38">
        <v>0.7105</v>
      </c>
      <c r="Q527" s="9">
        <f t="shared" si="239"/>
        <v>0</v>
      </c>
      <c r="R527" s="9">
        <f t="shared" si="240"/>
        <v>0</v>
      </c>
      <c r="S527" s="9">
        <f t="shared" si="241"/>
        <v>0</v>
      </c>
      <c r="T527" s="9"/>
      <c r="U527" s="25" t="s">
        <v>60</v>
      </c>
      <c r="V527" s="25"/>
      <c r="W527" s="6"/>
      <c r="X527" s="6"/>
      <c r="Y527" s="6"/>
      <c r="Z527" s="6"/>
      <c r="AA527" s="6"/>
      <c r="AB527" s="6"/>
      <c r="AC527" s="6"/>
      <c r="AD527" s="6"/>
      <c r="AE527" s="6"/>
      <c r="AF527" s="6"/>
      <c r="AG527" s="6"/>
      <c r="AH527" s="6"/>
    </row>
    <row r="528" ht="15.75" customHeight="1">
      <c r="A528" s="6"/>
      <c r="B528" s="25" t="s">
        <v>710</v>
      </c>
      <c r="C528" s="25"/>
      <c r="D528" s="25"/>
      <c r="E528" s="25" t="s">
        <v>1151</v>
      </c>
      <c r="F528" s="25" t="s">
        <v>47</v>
      </c>
      <c r="G528" s="9">
        <v>2403302.0</v>
      </c>
      <c r="H528" s="9">
        <v>1.08022403E8</v>
      </c>
      <c r="I528" s="9">
        <f t="shared" si="237"/>
        <v>104033804</v>
      </c>
      <c r="J528" s="9">
        <f>231332+3757267</f>
        <v>3988599</v>
      </c>
      <c r="K528" s="9" t="s">
        <v>1152</v>
      </c>
      <c r="L528" s="9"/>
      <c r="M528" s="10"/>
      <c r="N528" s="10"/>
      <c r="O528" s="9">
        <f t="shared" si="238"/>
        <v>106437106</v>
      </c>
      <c r="P528" s="38">
        <v>0.9232</v>
      </c>
      <c r="Q528" s="9">
        <f t="shared" si="239"/>
        <v>96044007.85</v>
      </c>
      <c r="R528" s="9">
        <f t="shared" si="240"/>
        <v>98262736.26</v>
      </c>
      <c r="S528" s="9">
        <f t="shared" si="241"/>
        <v>98262736.26</v>
      </c>
      <c r="T528" s="9"/>
      <c r="U528" s="13" t="s">
        <v>1153</v>
      </c>
      <c r="W528" s="6"/>
      <c r="X528" s="6"/>
      <c r="Y528" s="6"/>
      <c r="Z528" s="6"/>
      <c r="AA528" s="6"/>
      <c r="AB528" s="6"/>
      <c r="AC528" s="6"/>
      <c r="AD528" s="6"/>
      <c r="AE528" s="6"/>
      <c r="AF528" s="6"/>
      <c r="AG528" s="6"/>
      <c r="AH528" s="6"/>
    </row>
    <row r="529" ht="15.75" customHeight="1">
      <c r="A529" s="6"/>
      <c r="B529" s="25" t="s">
        <v>710</v>
      </c>
      <c r="C529" s="25"/>
      <c r="D529" s="25"/>
      <c r="E529" s="25" t="s">
        <v>1154</v>
      </c>
      <c r="F529" s="25" t="s">
        <v>47</v>
      </c>
      <c r="G529" s="9">
        <v>1.2129233E7</v>
      </c>
      <c r="H529" s="9">
        <v>2.73044762E8</v>
      </c>
      <c r="I529" s="9">
        <f t="shared" si="237"/>
        <v>273044762</v>
      </c>
      <c r="J529" s="9"/>
      <c r="K529" s="9"/>
      <c r="L529" s="9"/>
      <c r="M529" s="10"/>
      <c r="N529" s="10"/>
      <c r="O529" s="9">
        <f t="shared" si="238"/>
        <v>285173995</v>
      </c>
      <c r="P529" s="38">
        <v>0.7779</v>
      </c>
      <c r="Q529" s="9">
        <f t="shared" si="239"/>
        <v>212401520.4</v>
      </c>
      <c r="R529" s="9">
        <f t="shared" si="240"/>
        <v>221836850.7</v>
      </c>
      <c r="S529" s="9">
        <f t="shared" si="241"/>
        <v>221836850.7</v>
      </c>
      <c r="T529" s="9"/>
      <c r="U529" s="13" t="s">
        <v>1155</v>
      </c>
      <c r="V529" s="25"/>
      <c r="W529" s="6"/>
      <c r="X529" s="6"/>
      <c r="Y529" s="6"/>
      <c r="Z529" s="6"/>
      <c r="AA529" s="6"/>
      <c r="AB529" s="6"/>
      <c r="AC529" s="6"/>
      <c r="AD529" s="6"/>
      <c r="AE529" s="6"/>
      <c r="AF529" s="6"/>
      <c r="AG529" s="6"/>
      <c r="AH529" s="6"/>
    </row>
    <row r="530" ht="15.75" customHeight="1">
      <c r="A530" s="6"/>
      <c r="B530" s="25" t="s">
        <v>710</v>
      </c>
      <c r="C530" s="25"/>
      <c r="D530" s="25"/>
      <c r="E530" s="25" t="s">
        <v>1156</v>
      </c>
      <c r="F530" s="25" t="s">
        <v>47</v>
      </c>
      <c r="G530" s="9"/>
      <c r="H530" s="9"/>
      <c r="I530" s="9"/>
      <c r="J530" s="9"/>
      <c r="K530" s="9"/>
      <c r="L530" s="9"/>
      <c r="M530" s="10"/>
      <c r="N530" s="10"/>
      <c r="O530" s="9">
        <f t="shared" si="238"/>
        <v>0</v>
      </c>
      <c r="P530" s="38">
        <v>0.0397</v>
      </c>
      <c r="Q530" s="9">
        <f t="shared" si="239"/>
        <v>0</v>
      </c>
      <c r="R530" s="9">
        <f t="shared" si="240"/>
        <v>0</v>
      </c>
      <c r="S530" s="9">
        <f t="shared" si="241"/>
        <v>0</v>
      </c>
      <c r="T530" s="9"/>
      <c r="U530" s="25" t="s">
        <v>60</v>
      </c>
      <c r="V530" s="25"/>
      <c r="W530" s="6"/>
      <c r="X530" s="6"/>
      <c r="Y530" s="6"/>
      <c r="Z530" s="6"/>
      <c r="AA530" s="6"/>
      <c r="AB530" s="6"/>
      <c r="AC530" s="6"/>
      <c r="AD530" s="6"/>
      <c r="AE530" s="6"/>
      <c r="AF530" s="6"/>
      <c r="AG530" s="6"/>
      <c r="AH530" s="6"/>
    </row>
    <row r="531" ht="15.75" customHeight="1">
      <c r="A531" s="6"/>
      <c r="B531" s="25" t="s">
        <v>710</v>
      </c>
      <c r="C531" s="25"/>
      <c r="D531" s="25"/>
      <c r="E531" s="25" t="s">
        <v>1157</v>
      </c>
      <c r="F531" s="25" t="s">
        <v>29</v>
      </c>
      <c r="G531" s="9"/>
      <c r="H531" s="9"/>
      <c r="I531" s="9"/>
      <c r="J531" s="9"/>
      <c r="K531" s="9"/>
      <c r="L531" s="9"/>
      <c r="M531" s="10"/>
      <c r="N531" s="10"/>
      <c r="O531" s="9">
        <f t="shared" si="238"/>
        <v>0</v>
      </c>
      <c r="P531" s="38">
        <v>1.0</v>
      </c>
      <c r="Q531" s="9">
        <f t="shared" si="239"/>
        <v>0</v>
      </c>
      <c r="R531" s="9">
        <f t="shared" si="240"/>
        <v>0</v>
      </c>
      <c r="S531" s="9">
        <f t="shared" si="241"/>
        <v>0</v>
      </c>
      <c r="T531" s="9"/>
      <c r="U531" s="13" t="s">
        <v>1158</v>
      </c>
      <c r="V531" s="25" t="s">
        <v>1159</v>
      </c>
      <c r="W531" s="6"/>
      <c r="X531" s="6"/>
      <c r="Y531" s="6"/>
      <c r="Z531" s="6"/>
      <c r="AA531" s="6"/>
      <c r="AB531" s="6"/>
      <c r="AC531" s="6"/>
      <c r="AD531" s="6"/>
      <c r="AE531" s="6"/>
      <c r="AF531" s="6"/>
      <c r="AG531" s="6"/>
      <c r="AH531" s="6"/>
    </row>
    <row r="532" ht="15.75" customHeight="1">
      <c r="A532" s="6"/>
      <c r="B532" s="25"/>
      <c r="C532" s="25"/>
      <c r="D532" s="25"/>
      <c r="E532" s="41" t="s">
        <v>35</v>
      </c>
      <c r="F532" s="25"/>
      <c r="G532" s="9"/>
      <c r="H532" s="9"/>
      <c r="I532" s="9"/>
      <c r="J532" s="9"/>
      <c r="K532" s="6"/>
      <c r="L532" s="9"/>
      <c r="M532" s="10"/>
      <c r="N532" s="10"/>
      <c r="O532" s="9"/>
      <c r="P532" s="26" t="s">
        <v>1160</v>
      </c>
      <c r="Q532" s="19">
        <f t="shared" ref="Q532:S532" si="242">SUM(Q522:Q531)</f>
        <v>2137648841</v>
      </c>
      <c r="R532" s="19">
        <f t="shared" si="242"/>
        <v>3950340364</v>
      </c>
      <c r="S532" s="19">
        <f t="shared" si="242"/>
        <v>4037168104</v>
      </c>
      <c r="T532" s="20">
        <v>1.110548326E9</v>
      </c>
      <c r="U532" s="6"/>
      <c r="V532" s="6"/>
      <c r="W532" s="6"/>
      <c r="X532" s="6"/>
      <c r="Y532" s="6"/>
      <c r="Z532" s="6"/>
      <c r="AA532" s="6"/>
      <c r="AB532" s="6"/>
      <c r="AC532" s="6"/>
      <c r="AD532" s="6"/>
      <c r="AE532" s="6"/>
      <c r="AF532" s="6"/>
      <c r="AG532" s="6"/>
      <c r="AH532" s="6"/>
    </row>
    <row r="533" ht="15.75" customHeight="1">
      <c r="A533" s="6">
        <v>40.0</v>
      </c>
      <c r="B533" s="25" t="s">
        <v>1161</v>
      </c>
      <c r="C533" s="42" t="s">
        <v>1162</v>
      </c>
      <c r="D533" s="25"/>
      <c r="E533" s="41"/>
      <c r="F533" s="42" t="s">
        <v>1</v>
      </c>
      <c r="G533" s="8">
        <v>1.527307E9</v>
      </c>
      <c r="H533" s="8">
        <v>6.306484E9</v>
      </c>
      <c r="I533" s="9">
        <f t="shared" ref="I533:I544" si="243">H533-J533</f>
        <v>6286121000</v>
      </c>
      <c r="J533" s="9">
        <f>-22000+20385000</f>
        <v>20363000</v>
      </c>
      <c r="K533" s="30" t="s">
        <v>1163</v>
      </c>
      <c r="L533" s="9"/>
      <c r="M533" s="10"/>
      <c r="N533" s="8">
        <v>1.31482E8</v>
      </c>
      <c r="O533" s="9">
        <f t="shared" ref="O533:O544" si="244">G533+I533</f>
        <v>7813428000</v>
      </c>
      <c r="P533" s="31">
        <v>0.2439</v>
      </c>
      <c r="Q533" s="9">
        <f t="shared" ref="Q533:Q544" si="245">I533*P533</f>
        <v>1533184912</v>
      </c>
      <c r="R533" s="9">
        <f t="shared" ref="R533:R544" si="246">(O533-N533-M533)*P533</f>
        <v>1873626629</v>
      </c>
      <c r="S533" s="9">
        <f t="shared" ref="S533:S544" si="247">O533*P533</f>
        <v>1905695089</v>
      </c>
      <c r="T533" s="9"/>
      <c r="U533" s="13" t="s">
        <v>1164</v>
      </c>
      <c r="V533" s="6"/>
      <c r="W533" s="6"/>
      <c r="X533" s="6"/>
      <c r="Y533" s="6"/>
      <c r="Z533" s="6"/>
      <c r="AA533" s="6"/>
      <c r="AB533" s="6"/>
      <c r="AC533" s="6"/>
      <c r="AD533" s="6"/>
      <c r="AE533" s="6"/>
      <c r="AF533" s="6"/>
      <c r="AG533" s="6"/>
      <c r="AH533" s="6"/>
    </row>
    <row r="534" ht="15.75" customHeight="1">
      <c r="A534" s="6"/>
      <c r="B534" s="25" t="s">
        <v>1161</v>
      </c>
      <c r="C534" s="25"/>
      <c r="D534" s="25" t="s">
        <v>1165</v>
      </c>
      <c r="E534" s="25"/>
      <c r="F534" s="25" t="s">
        <v>3</v>
      </c>
      <c r="G534" s="9">
        <v>2.90719099E8</v>
      </c>
      <c r="H534" s="9">
        <v>4.62907209E8</v>
      </c>
      <c r="I534" s="9">
        <f t="shared" si="243"/>
        <v>462907209</v>
      </c>
      <c r="J534" s="9"/>
      <c r="K534" s="9"/>
      <c r="L534" s="9"/>
      <c r="M534" s="10"/>
      <c r="N534" s="10"/>
      <c r="O534" s="9">
        <f t="shared" si="244"/>
        <v>753626308</v>
      </c>
      <c r="P534" s="38">
        <v>1.0</v>
      </c>
      <c r="Q534" s="9">
        <f t="shared" si="245"/>
        <v>462907209</v>
      </c>
      <c r="R534" s="9">
        <f t="shared" si="246"/>
        <v>753626308</v>
      </c>
      <c r="S534" s="9">
        <f t="shared" si="247"/>
        <v>753626308</v>
      </c>
      <c r="T534" s="9"/>
      <c r="U534" s="13" t="s">
        <v>1166</v>
      </c>
      <c r="V534" s="6"/>
      <c r="W534" s="6"/>
      <c r="X534" s="6"/>
      <c r="Y534" s="6"/>
      <c r="Z534" s="6"/>
      <c r="AA534" s="6"/>
      <c r="AB534" s="6"/>
      <c r="AC534" s="6"/>
      <c r="AD534" s="6"/>
      <c r="AE534" s="6"/>
      <c r="AF534" s="6"/>
      <c r="AG534" s="6"/>
      <c r="AH534" s="6"/>
    </row>
    <row r="535" ht="15.75" customHeight="1">
      <c r="A535" s="6"/>
      <c r="B535" s="25" t="s">
        <v>1161</v>
      </c>
      <c r="C535" s="25"/>
      <c r="D535" s="25"/>
      <c r="E535" s="25" t="s">
        <v>1167</v>
      </c>
      <c r="F535" s="25" t="s">
        <v>43</v>
      </c>
      <c r="G535" s="9">
        <v>1.0544862E8</v>
      </c>
      <c r="H535" s="9">
        <v>1.86144569E8</v>
      </c>
      <c r="I535" s="9">
        <f t="shared" si="243"/>
        <v>186144569</v>
      </c>
      <c r="J535" s="9"/>
      <c r="K535" s="9"/>
      <c r="L535" s="9"/>
      <c r="M535" s="10"/>
      <c r="N535" s="14">
        <v>3.6323667E7</v>
      </c>
      <c r="O535" s="9">
        <f t="shared" si="244"/>
        <v>291593189</v>
      </c>
      <c r="P535" s="38">
        <v>0.8463</v>
      </c>
      <c r="Q535" s="9">
        <f t="shared" si="245"/>
        <v>157534148.7</v>
      </c>
      <c r="R535" s="9">
        <f t="shared" si="246"/>
        <v>216034596.5</v>
      </c>
      <c r="S535" s="9">
        <f t="shared" si="247"/>
        <v>246775315.9</v>
      </c>
      <c r="T535" s="9"/>
      <c r="U535" s="13" t="s">
        <v>1168</v>
      </c>
      <c r="V535" s="6"/>
      <c r="W535" s="6"/>
      <c r="X535" s="6"/>
      <c r="Y535" s="6"/>
      <c r="Z535" s="6"/>
      <c r="AA535" s="6"/>
      <c r="AB535" s="6"/>
      <c r="AC535" s="6"/>
      <c r="AD535" s="6"/>
      <c r="AE535" s="6"/>
      <c r="AF535" s="6"/>
      <c r="AG535" s="6"/>
      <c r="AH535" s="6"/>
    </row>
    <row r="536" ht="15.75" customHeight="1">
      <c r="A536" s="6"/>
      <c r="B536" s="25" t="s">
        <v>1161</v>
      </c>
      <c r="C536" s="25"/>
      <c r="D536" s="25"/>
      <c r="E536" s="25" t="s">
        <v>1169</v>
      </c>
      <c r="F536" s="25" t="s">
        <v>47</v>
      </c>
      <c r="G536" s="9">
        <v>3035970.0</v>
      </c>
      <c r="H536" s="9">
        <v>2.75284181E8</v>
      </c>
      <c r="I536" s="9">
        <f t="shared" si="243"/>
        <v>251190503</v>
      </c>
      <c r="J536" s="9">
        <f>17657770+6435908</f>
        <v>24093678</v>
      </c>
      <c r="K536" s="9" t="s">
        <v>1170</v>
      </c>
      <c r="L536" s="9"/>
      <c r="M536" s="10"/>
      <c r="N536" s="10"/>
      <c r="O536" s="9">
        <f t="shared" si="244"/>
        <v>254226473</v>
      </c>
      <c r="P536" s="38">
        <v>0.1132</v>
      </c>
      <c r="Q536" s="9">
        <f t="shared" si="245"/>
        <v>28434764.94</v>
      </c>
      <c r="R536" s="9">
        <f t="shared" si="246"/>
        <v>28778436.74</v>
      </c>
      <c r="S536" s="9">
        <f t="shared" si="247"/>
        <v>28778436.74</v>
      </c>
      <c r="T536" s="9"/>
      <c r="U536" s="13" t="s">
        <v>1171</v>
      </c>
      <c r="V536" s="6"/>
      <c r="W536" s="6"/>
      <c r="X536" s="6"/>
      <c r="Y536" s="6"/>
      <c r="Z536" s="6"/>
      <c r="AA536" s="6"/>
      <c r="AB536" s="6"/>
      <c r="AC536" s="6"/>
      <c r="AD536" s="6"/>
      <c r="AE536" s="6"/>
      <c r="AF536" s="6"/>
      <c r="AG536" s="6"/>
      <c r="AH536" s="6"/>
    </row>
    <row r="537" ht="15.75" customHeight="1">
      <c r="A537" s="6"/>
      <c r="B537" s="25" t="s">
        <v>1161</v>
      </c>
      <c r="C537" s="25"/>
      <c r="D537" s="25"/>
      <c r="E537" s="25" t="s">
        <v>1172</v>
      </c>
      <c r="F537" s="25" t="s">
        <v>47</v>
      </c>
      <c r="G537" s="9">
        <v>6032678.0</v>
      </c>
      <c r="H537" s="9">
        <v>3.19823848E8</v>
      </c>
      <c r="I537" s="9">
        <f t="shared" si="243"/>
        <v>228288831</v>
      </c>
      <c r="J537" s="9">
        <f>565794+90969223</f>
        <v>91535017</v>
      </c>
      <c r="K537" s="9" t="s">
        <v>1173</v>
      </c>
      <c r="L537" s="9"/>
      <c r="M537" s="10"/>
      <c r="N537" s="10"/>
      <c r="O537" s="9">
        <f t="shared" si="244"/>
        <v>234321509</v>
      </c>
      <c r="P537" s="38">
        <v>0.474</v>
      </c>
      <c r="Q537" s="9">
        <f t="shared" si="245"/>
        <v>108208905.9</v>
      </c>
      <c r="R537" s="9">
        <f t="shared" si="246"/>
        <v>111068395.3</v>
      </c>
      <c r="S537" s="9">
        <f t="shared" si="247"/>
        <v>111068395.3</v>
      </c>
      <c r="T537" s="9"/>
      <c r="U537" s="13" t="s">
        <v>1174</v>
      </c>
      <c r="V537" s="6"/>
      <c r="W537" s="6"/>
      <c r="X537" s="6"/>
      <c r="Y537" s="6"/>
      <c r="Z537" s="6"/>
      <c r="AA537" s="6"/>
      <c r="AB537" s="6"/>
      <c r="AC537" s="6"/>
      <c r="AD537" s="6"/>
      <c r="AE537" s="6"/>
      <c r="AF537" s="6"/>
      <c r="AG537" s="6"/>
      <c r="AH537" s="6"/>
    </row>
    <row r="538" ht="15.75" customHeight="1">
      <c r="A538" s="6"/>
      <c r="B538" s="25" t="s">
        <v>1161</v>
      </c>
      <c r="C538" s="25"/>
      <c r="D538" s="25"/>
      <c r="E538" s="25" t="s">
        <v>1175</v>
      </c>
      <c r="F538" s="25" t="s">
        <v>47</v>
      </c>
      <c r="G538" s="9"/>
      <c r="H538" s="9"/>
      <c r="I538" s="9">
        <f t="shared" si="243"/>
        <v>0</v>
      </c>
      <c r="J538" s="9"/>
      <c r="K538" s="9"/>
      <c r="L538" s="9"/>
      <c r="M538" s="10"/>
      <c r="N538" s="10"/>
      <c r="O538" s="9">
        <f t="shared" si="244"/>
        <v>0</v>
      </c>
      <c r="P538" s="38">
        <v>0.812</v>
      </c>
      <c r="Q538" s="9">
        <f t="shared" si="245"/>
        <v>0</v>
      </c>
      <c r="R538" s="9">
        <f t="shared" si="246"/>
        <v>0</v>
      </c>
      <c r="S538" s="9">
        <f t="shared" si="247"/>
        <v>0</v>
      </c>
      <c r="T538" s="9"/>
      <c r="U538" s="13" t="s">
        <v>1176</v>
      </c>
      <c r="V538" s="6" t="s">
        <v>838</v>
      </c>
      <c r="W538" s="6"/>
      <c r="X538" s="6"/>
      <c r="Y538" s="6"/>
      <c r="Z538" s="6"/>
      <c r="AA538" s="6"/>
      <c r="AB538" s="6"/>
      <c r="AC538" s="6"/>
      <c r="AD538" s="6"/>
      <c r="AE538" s="6"/>
      <c r="AF538" s="6"/>
      <c r="AG538" s="6"/>
      <c r="AH538" s="6"/>
    </row>
    <row r="539" ht="15.75" customHeight="1">
      <c r="A539" s="6"/>
      <c r="B539" s="25" t="s">
        <v>1161</v>
      </c>
      <c r="C539" s="25"/>
      <c r="D539" s="25"/>
      <c r="E539" s="25" t="s">
        <v>1177</v>
      </c>
      <c r="F539" s="25" t="s">
        <v>47</v>
      </c>
      <c r="G539" s="9">
        <v>1858208.0</v>
      </c>
      <c r="H539" s="9">
        <v>3.875374E7</v>
      </c>
      <c r="I539" s="9">
        <f t="shared" si="243"/>
        <v>24163703</v>
      </c>
      <c r="J539" s="9">
        <f>374153+12160961+2054923</f>
        <v>14590037</v>
      </c>
      <c r="K539" s="9" t="s">
        <v>1178</v>
      </c>
      <c r="L539" s="9"/>
      <c r="M539" s="10"/>
      <c r="N539" s="10"/>
      <c r="O539" s="9">
        <f t="shared" si="244"/>
        <v>26021911</v>
      </c>
      <c r="P539" s="38">
        <v>0.6193</v>
      </c>
      <c r="Q539" s="9">
        <f t="shared" si="245"/>
        <v>14964581.27</v>
      </c>
      <c r="R539" s="9">
        <f t="shared" si="246"/>
        <v>16115369.48</v>
      </c>
      <c r="S539" s="9">
        <f t="shared" si="247"/>
        <v>16115369.48</v>
      </c>
      <c r="T539" s="9"/>
      <c r="U539" s="13" t="s">
        <v>1179</v>
      </c>
      <c r="V539" s="6"/>
      <c r="W539" s="6"/>
      <c r="X539" s="6"/>
      <c r="Y539" s="6"/>
      <c r="Z539" s="6"/>
      <c r="AA539" s="6"/>
      <c r="AB539" s="6"/>
      <c r="AC539" s="6"/>
      <c r="AD539" s="6"/>
      <c r="AE539" s="6"/>
      <c r="AF539" s="6"/>
      <c r="AG539" s="6"/>
      <c r="AH539" s="6"/>
    </row>
    <row r="540" ht="15.75" customHeight="1">
      <c r="A540" s="6"/>
      <c r="B540" s="25" t="s">
        <v>1161</v>
      </c>
      <c r="C540" s="25"/>
      <c r="D540" s="25"/>
      <c r="E540" s="25" t="s">
        <v>1180</v>
      </c>
      <c r="F540" s="25" t="s">
        <v>47</v>
      </c>
      <c r="G540" s="9">
        <v>5139751.0</v>
      </c>
      <c r="H540" s="9">
        <f>77148766+11154909+1761643</f>
        <v>90065318</v>
      </c>
      <c r="I540" s="9">
        <f t="shared" si="243"/>
        <v>71753181</v>
      </c>
      <c r="J540" s="9">
        <v>1.8312137E7</v>
      </c>
      <c r="K540" s="9" t="s">
        <v>1181</v>
      </c>
      <c r="L540" s="9"/>
      <c r="M540" s="10"/>
      <c r="N540" s="10"/>
      <c r="O540" s="9">
        <f t="shared" si="244"/>
        <v>76892932</v>
      </c>
      <c r="P540" s="38">
        <v>1.0</v>
      </c>
      <c r="Q540" s="9">
        <f t="shared" si="245"/>
        <v>71753181</v>
      </c>
      <c r="R540" s="9">
        <f t="shared" si="246"/>
        <v>76892932</v>
      </c>
      <c r="S540" s="9">
        <f t="shared" si="247"/>
        <v>76892932</v>
      </c>
      <c r="T540" s="9"/>
      <c r="U540" s="13" t="s">
        <v>1182</v>
      </c>
      <c r="V540" s="6"/>
      <c r="W540" s="6"/>
      <c r="X540" s="6"/>
      <c r="Y540" s="6"/>
      <c r="Z540" s="6"/>
      <c r="AA540" s="6"/>
      <c r="AB540" s="6"/>
      <c r="AC540" s="6"/>
      <c r="AD540" s="6"/>
      <c r="AE540" s="6"/>
      <c r="AF540" s="6"/>
      <c r="AG540" s="6"/>
      <c r="AH540" s="6"/>
    </row>
    <row r="541" ht="15.75" customHeight="1">
      <c r="A541" s="6"/>
      <c r="B541" s="25" t="s">
        <v>1161</v>
      </c>
      <c r="C541" s="25"/>
      <c r="D541" s="25"/>
      <c r="E541" s="25" t="s">
        <v>1183</v>
      </c>
      <c r="F541" s="25" t="s">
        <v>29</v>
      </c>
      <c r="G541" s="9"/>
      <c r="H541" s="9"/>
      <c r="I541" s="9">
        <f t="shared" si="243"/>
        <v>0</v>
      </c>
      <c r="J541" s="9"/>
      <c r="K541" s="9"/>
      <c r="L541" s="9"/>
      <c r="M541" s="10"/>
      <c r="N541" s="10"/>
      <c r="O541" s="9">
        <f t="shared" si="244"/>
        <v>0</v>
      </c>
      <c r="P541" s="38">
        <v>1.0</v>
      </c>
      <c r="Q541" s="9">
        <f t="shared" si="245"/>
        <v>0</v>
      </c>
      <c r="R541" s="9">
        <f t="shared" si="246"/>
        <v>0</v>
      </c>
      <c r="S541" s="9">
        <f t="shared" si="247"/>
        <v>0</v>
      </c>
      <c r="T541" s="9"/>
      <c r="U541" s="25" t="s">
        <v>60</v>
      </c>
      <c r="V541" s="6"/>
      <c r="W541" s="6"/>
      <c r="X541" s="6"/>
      <c r="Y541" s="6"/>
      <c r="Z541" s="6"/>
      <c r="AA541" s="6"/>
      <c r="AB541" s="6"/>
      <c r="AC541" s="6"/>
      <c r="AD541" s="6"/>
      <c r="AE541" s="6"/>
      <c r="AF541" s="6"/>
      <c r="AG541" s="6"/>
      <c r="AH541" s="6"/>
    </row>
    <row r="542" ht="15.75" customHeight="1">
      <c r="A542" s="6"/>
      <c r="B542" s="25" t="s">
        <v>1161</v>
      </c>
      <c r="C542" s="25"/>
      <c r="D542" s="25"/>
      <c r="E542" s="25" t="s">
        <v>1184</v>
      </c>
      <c r="F542" s="25" t="s">
        <v>29</v>
      </c>
      <c r="G542" s="9">
        <v>3.29899334E8</v>
      </c>
      <c r="H542" s="9">
        <v>1061986.0</v>
      </c>
      <c r="I542" s="9">
        <f t="shared" si="243"/>
        <v>1061986</v>
      </c>
      <c r="J542" s="9"/>
      <c r="K542" s="9"/>
      <c r="L542" s="9"/>
      <c r="M542" s="10"/>
      <c r="N542" s="10"/>
      <c r="O542" s="9">
        <f t="shared" si="244"/>
        <v>330961320</v>
      </c>
      <c r="P542" s="38">
        <v>0.6132</v>
      </c>
      <c r="Q542" s="9">
        <f t="shared" si="245"/>
        <v>651209.8152</v>
      </c>
      <c r="R542" s="9">
        <f t="shared" si="246"/>
        <v>202945481.4</v>
      </c>
      <c r="S542" s="9">
        <f t="shared" si="247"/>
        <v>202945481.4</v>
      </c>
      <c r="T542" s="9"/>
      <c r="U542" s="13" t="s">
        <v>1185</v>
      </c>
      <c r="V542" s="6"/>
      <c r="W542" s="6"/>
      <c r="X542" s="6"/>
      <c r="Y542" s="6"/>
      <c r="Z542" s="6"/>
      <c r="AA542" s="6"/>
      <c r="AB542" s="6"/>
      <c r="AC542" s="6"/>
      <c r="AD542" s="6"/>
      <c r="AE542" s="6"/>
      <c r="AF542" s="6"/>
      <c r="AG542" s="6"/>
      <c r="AH542" s="6"/>
    </row>
    <row r="543" ht="15.75" customHeight="1">
      <c r="A543" s="6"/>
      <c r="B543" s="25" t="s">
        <v>1161</v>
      </c>
      <c r="C543" s="25"/>
      <c r="D543" s="25"/>
      <c r="E543" s="25" t="s">
        <v>1186</v>
      </c>
      <c r="F543" s="25" t="s">
        <v>29</v>
      </c>
      <c r="G543" s="9"/>
      <c r="H543" s="9">
        <f>1083901000+21995000+29612000+14319000+8364000+2511000+8685000</f>
        <v>1169387000</v>
      </c>
      <c r="I543" s="9">
        <f t="shared" si="243"/>
        <v>1147392000</v>
      </c>
      <c r="J543" s="9">
        <v>2.1995E7</v>
      </c>
      <c r="K543" s="9" t="s">
        <v>1187</v>
      </c>
      <c r="L543" s="9"/>
      <c r="M543" s="14">
        <v>3.6858E7</v>
      </c>
      <c r="N543" s="10"/>
      <c r="O543" s="9">
        <f t="shared" si="244"/>
        <v>1147392000</v>
      </c>
      <c r="P543" s="38">
        <v>0.5144</v>
      </c>
      <c r="Q543" s="9">
        <f t="shared" si="245"/>
        <v>590218444.8</v>
      </c>
      <c r="R543" s="9">
        <f t="shared" si="246"/>
        <v>571258689.6</v>
      </c>
      <c r="S543" s="9">
        <f t="shared" si="247"/>
        <v>590218444.8</v>
      </c>
      <c r="T543" s="9"/>
      <c r="U543" s="13" t="s">
        <v>1188</v>
      </c>
      <c r="V543" s="6"/>
      <c r="W543" s="6"/>
      <c r="X543" s="6"/>
      <c r="Y543" s="6"/>
      <c r="Z543" s="6"/>
      <c r="AA543" s="6"/>
      <c r="AB543" s="6"/>
      <c r="AC543" s="6"/>
      <c r="AD543" s="6"/>
      <c r="AE543" s="6"/>
      <c r="AF543" s="6"/>
      <c r="AG543" s="6"/>
      <c r="AH543" s="6"/>
    </row>
    <row r="544" ht="15.75" customHeight="1">
      <c r="A544" s="6"/>
      <c r="B544" s="25" t="s">
        <v>1161</v>
      </c>
      <c r="C544" s="25"/>
      <c r="D544" s="25"/>
      <c r="E544" s="25" t="s">
        <v>1189</v>
      </c>
      <c r="F544" s="25" t="s">
        <v>29</v>
      </c>
      <c r="G544" s="9"/>
      <c r="H544" s="9"/>
      <c r="I544" s="9">
        <f t="shared" si="243"/>
        <v>0</v>
      </c>
      <c r="J544" s="9"/>
      <c r="K544" s="9"/>
      <c r="L544" s="9"/>
      <c r="M544" s="10"/>
      <c r="N544" s="10"/>
      <c r="O544" s="9">
        <f t="shared" si="244"/>
        <v>0</v>
      </c>
      <c r="P544" s="38">
        <v>0.855</v>
      </c>
      <c r="Q544" s="9">
        <f t="shared" si="245"/>
        <v>0</v>
      </c>
      <c r="R544" s="9">
        <f t="shared" si="246"/>
        <v>0</v>
      </c>
      <c r="S544" s="9">
        <f t="shared" si="247"/>
        <v>0</v>
      </c>
      <c r="T544" s="9"/>
      <c r="U544" s="25" t="s">
        <v>60</v>
      </c>
      <c r="V544" s="6"/>
      <c r="W544" s="6"/>
      <c r="X544" s="6"/>
      <c r="Y544" s="6"/>
      <c r="Z544" s="6"/>
      <c r="AA544" s="6"/>
      <c r="AB544" s="6"/>
      <c r="AC544" s="6"/>
      <c r="AD544" s="6"/>
      <c r="AE544" s="6"/>
      <c r="AF544" s="6"/>
      <c r="AG544" s="6"/>
      <c r="AH544" s="6"/>
    </row>
    <row r="545" ht="15.75" customHeight="1">
      <c r="A545" s="6"/>
      <c r="B545" s="25"/>
      <c r="C545" s="25"/>
      <c r="D545" s="25"/>
      <c r="E545" s="41" t="s">
        <v>35</v>
      </c>
      <c r="F545" s="25"/>
      <c r="G545" s="9"/>
      <c r="H545" s="9"/>
      <c r="I545" s="9"/>
      <c r="J545" s="9"/>
      <c r="K545" s="6"/>
      <c r="L545" s="9"/>
      <c r="M545" s="10"/>
      <c r="N545" s="10"/>
      <c r="O545" s="9"/>
      <c r="P545" s="26" t="s">
        <v>1190</v>
      </c>
      <c r="Q545" s="19">
        <f t="shared" ref="Q545:S545" si="248">SUM(Q533:Q544)</f>
        <v>2967857357</v>
      </c>
      <c r="R545" s="19">
        <f t="shared" si="248"/>
        <v>3850346838</v>
      </c>
      <c r="S545" s="19">
        <f t="shared" si="248"/>
        <v>3932115773</v>
      </c>
      <c r="T545" s="20">
        <v>1.393496233E9</v>
      </c>
      <c r="U545" s="6"/>
      <c r="V545" s="6"/>
      <c r="W545" s="6"/>
      <c r="X545" s="6"/>
      <c r="Y545" s="6"/>
      <c r="Z545" s="6"/>
      <c r="AA545" s="6"/>
      <c r="AB545" s="6"/>
      <c r="AC545" s="6"/>
      <c r="AD545" s="6"/>
      <c r="AE545" s="6"/>
      <c r="AF545" s="6"/>
      <c r="AG545" s="6"/>
      <c r="AH545" s="6"/>
    </row>
    <row r="546" ht="15.75" customHeight="1">
      <c r="A546" s="6">
        <v>41.0</v>
      </c>
      <c r="B546" s="25" t="s">
        <v>627</v>
      </c>
      <c r="C546" s="42" t="s">
        <v>628</v>
      </c>
      <c r="D546" s="25"/>
      <c r="E546" s="41"/>
      <c r="F546" s="42" t="s">
        <v>1</v>
      </c>
      <c r="G546" s="8">
        <v>6.171045E9</v>
      </c>
      <c r="H546" s="8">
        <v>2.8188892E10</v>
      </c>
      <c r="I546" s="9">
        <f t="shared" ref="I546:I551" si="249">H546-J546</f>
        <v>28182973000</v>
      </c>
      <c r="J546" s="8">
        <v>5919000.0</v>
      </c>
      <c r="K546" s="30" t="s">
        <v>629</v>
      </c>
      <c r="L546" s="9"/>
      <c r="M546" s="10"/>
      <c r="N546" s="8">
        <v>3.52364E8</v>
      </c>
      <c r="O546" s="9">
        <f t="shared" ref="O546:O551" si="250">G546+I546</f>
        <v>34354018000</v>
      </c>
      <c r="P546" s="31">
        <v>0.0454</v>
      </c>
      <c r="Q546" s="9">
        <f t="shared" ref="Q546:Q551" si="251">I546*P546</f>
        <v>1279506974</v>
      </c>
      <c r="R546" s="9">
        <f t="shared" ref="R546:R551" si="252">(O546-N546-M546)*P546</f>
        <v>1543675092</v>
      </c>
      <c r="S546" s="9">
        <f t="shared" ref="S546:S551" si="253">O546*P546</f>
        <v>1559672417</v>
      </c>
      <c r="T546" s="9"/>
      <c r="U546" s="32" t="s">
        <v>630</v>
      </c>
      <c r="V546" s="6"/>
      <c r="W546" s="6"/>
      <c r="X546" s="6"/>
      <c r="Y546" s="6"/>
      <c r="Z546" s="6"/>
      <c r="AA546" s="6"/>
      <c r="AB546" s="6"/>
      <c r="AC546" s="6"/>
      <c r="AD546" s="6"/>
      <c r="AE546" s="6"/>
      <c r="AF546" s="6"/>
      <c r="AG546" s="6"/>
      <c r="AH546" s="6"/>
    </row>
    <row r="547" ht="15.75" customHeight="1">
      <c r="A547" s="6"/>
      <c r="B547" s="25" t="s">
        <v>627</v>
      </c>
      <c r="C547" s="25"/>
      <c r="D547" s="25" t="s">
        <v>1191</v>
      </c>
      <c r="E547" s="25"/>
      <c r="F547" s="25" t="s">
        <v>3</v>
      </c>
      <c r="G547" s="9">
        <v>3.85174864E8</v>
      </c>
      <c r="H547" s="9">
        <v>4.85788412E8</v>
      </c>
      <c r="I547" s="9">
        <f t="shared" si="249"/>
        <v>485788412</v>
      </c>
      <c r="J547" s="9"/>
      <c r="K547" s="9"/>
      <c r="L547" s="9"/>
      <c r="M547" s="10"/>
      <c r="N547" s="10"/>
      <c r="O547" s="9">
        <f t="shared" si="250"/>
        <v>870963276</v>
      </c>
      <c r="P547" s="38">
        <v>1.0</v>
      </c>
      <c r="Q547" s="9">
        <f t="shared" si="251"/>
        <v>485788412</v>
      </c>
      <c r="R547" s="9">
        <f t="shared" si="252"/>
        <v>870963276</v>
      </c>
      <c r="S547" s="9">
        <f t="shared" si="253"/>
        <v>870963276</v>
      </c>
      <c r="T547" s="9"/>
      <c r="U547" s="13" t="s">
        <v>1192</v>
      </c>
      <c r="V547" s="6"/>
      <c r="W547" s="6"/>
      <c r="X547" s="6"/>
      <c r="Y547" s="6"/>
      <c r="Z547" s="6"/>
      <c r="AA547" s="6"/>
      <c r="AB547" s="6"/>
      <c r="AC547" s="6"/>
      <c r="AD547" s="6"/>
      <c r="AE547" s="6"/>
      <c r="AF547" s="6"/>
      <c r="AG547" s="6"/>
      <c r="AH547" s="6"/>
    </row>
    <row r="548" ht="15.75" customHeight="1">
      <c r="A548" s="6"/>
      <c r="B548" s="25" t="s">
        <v>627</v>
      </c>
      <c r="C548" s="25"/>
      <c r="D548" s="25"/>
      <c r="E548" s="25" t="s">
        <v>1193</v>
      </c>
      <c r="F548" s="25" t="s">
        <v>43</v>
      </c>
      <c r="G548" s="9">
        <v>1.15235949E8</v>
      </c>
      <c r="H548" s="9">
        <v>1.443608747E9</v>
      </c>
      <c r="I548" s="9">
        <f t="shared" si="249"/>
        <v>1430266991</v>
      </c>
      <c r="J548" s="9">
        <v>1.3341756E7</v>
      </c>
      <c r="K548" s="9" t="s">
        <v>1194</v>
      </c>
      <c r="L548" s="9"/>
      <c r="M548" s="10"/>
      <c r="N548" s="10"/>
      <c r="O548" s="9">
        <f t="shared" si="250"/>
        <v>1545502940</v>
      </c>
      <c r="P548" s="38">
        <v>0.4117</v>
      </c>
      <c r="Q548" s="9">
        <f t="shared" si="251"/>
        <v>588840920.2</v>
      </c>
      <c r="R548" s="9">
        <f t="shared" si="252"/>
        <v>636283560.4</v>
      </c>
      <c r="S548" s="9">
        <f t="shared" si="253"/>
        <v>636283560.4</v>
      </c>
      <c r="T548" s="9"/>
      <c r="U548" s="13" t="s">
        <v>1195</v>
      </c>
      <c r="V548" s="6"/>
      <c r="W548" s="6"/>
      <c r="X548" s="6"/>
      <c r="Y548" s="6"/>
      <c r="Z548" s="6"/>
      <c r="AA548" s="6"/>
      <c r="AB548" s="6"/>
      <c r="AC548" s="6"/>
      <c r="AD548" s="6"/>
      <c r="AE548" s="6"/>
      <c r="AF548" s="6"/>
      <c r="AG548" s="6"/>
      <c r="AH548" s="6"/>
    </row>
    <row r="549" ht="15.75" customHeight="1">
      <c r="A549" s="6"/>
      <c r="B549" s="25" t="s">
        <v>627</v>
      </c>
      <c r="C549" s="25"/>
      <c r="D549" s="25"/>
      <c r="E549" s="25" t="s">
        <v>1196</v>
      </c>
      <c r="F549" s="25" t="s">
        <v>43</v>
      </c>
      <c r="G549" s="9">
        <v>4.6101274E7</v>
      </c>
      <c r="H549" s="9">
        <v>4.28635023E8</v>
      </c>
      <c r="I549" s="9">
        <f t="shared" si="249"/>
        <v>428635023</v>
      </c>
      <c r="J549" s="9"/>
      <c r="K549" s="9"/>
      <c r="L549" s="9"/>
      <c r="M549" s="10"/>
      <c r="N549" s="10"/>
      <c r="O549" s="9">
        <f t="shared" si="250"/>
        <v>474736297</v>
      </c>
      <c r="P549" s="38">
        <v>0.0048</v>
      </c>
      <c r="Q549" s="9">
        <f t="shared" si="251"/>
        <v>2057448.11</v>
      </c>
      <c r="R549" s="9">
        <f t="shared" si="252"/>
        <v>2278734.226</v>
      </c>
      <c r="S549" s="9">
        <f t="shared" si="253"/>
        <v>2278734.226</v>
      </c>
      <c r="T549" s="9"/>
      <c r="U549" s="13" t="s">
        <v>1197</v>
      </c>
      <c r="V549" s="6"/>
      <c r="W549" s="6"/>
      <c r="X549" s="6"/>
      <c r="Y549" s="6"/>
      <c r="Z549" s="6"/>
      <c r="AA549" s="6"/>
      <c r="AB549" s="6"/>
      <c r="AC549" s="6"/>
      <c r="AD549" s="6"/>
      <c r="AE549" s="6"/>
      <c r="AF549" s="6"/>
      <c r="AG549" s="6"/>
      <c r="AH549" s="6"/>
    </row>
    <row r="550" ht="15.75" customHeight="1">
      <c r="A550" s="6"/>
      <c r="B550" s="25" t="s">
        <v>627</v>
      </c>
      <c r="C550" s="25"/>
      <c r="D550" s="25"/>
      <c r="E550" s="25" t="s">
        <v>1198</v>
      </c>
      <c r="F550" s="25" t="s">
        <v>29</v>
      </c>
      <c r="G550" s="9"/>
      <c r="H550" s="9">
        <f>777536+196442</f>
        <v>973978</v>
      </c>
      <c r="I550" s="9">
        <f t="shared" si="249"/>
        <v>973978</v>
      </c>
      <c r="J550" s="9"/>
      <c r="K550" s="9"/>
      <c r="L550" s="9"/>
      <c r="M550" s="10"/>
      <c r="N550" s="10"/>
      <c r="O550" s="9">
        <f t="shared" si="250"/>
        <v>973978</v>
      </c>
      <c r="P550" s="38">
        <v>1.0</v>
      </c>
      <c r="Q550" s="9">
        <f t="shared" si="251"/>
        <v>973978</v>
      </c>
      <c r="R550" s="9">
        <f t="shared" si="252"/>
        <v>973978</v>
      </c>
      <c r="S550" s="9">
        <f t="shared" si="253"/>
        <v>973978</v>
      </c>
      <c r="T550" s="9"/>
      <c r="U550" s="13" t="s">
        <v>1199</v>
      </c>
      <c r="V550" s="6"/>
      <c r="W550" s="6"/>
      <c r="X550" s="6"/>
      <c r="Y550" s="6"/>
      <c r="Z550" s="6"/>
      <c r="AA550" s="6"/>
      <c r="AB550" s="6"/>
      <c r="AC550" s="6"/>
      <c r="AD550" s="6"/>
      <c r="AE550" s="6"/>
      <c r="AF550" s="6"/>
      <c r="AG550" s="6"/>
      <c r="AH550" s="6"/>
    </row>
    <row r="551" ht="15.75" customHeight="1">
      <c r="A551" s="6"/>
      <c r="B551" s="25" t="s">
        <v>627</v>
      </c>
      <c r="C551" s="25"/>
      <c r="D551" s="25"/>
      <c r="E551" s="25" t="s">
        <v>1200</v>
      </c>
      <c r="F551" s="25" t="s">
        <v>29</v>
      </c>
      <c r="G551" s="9"/>
      <c r="H551" s="9">
        <f>173591309+8004251+27833021+16632180+670337+8227000</f>
        <v>234958098</v>
      </c>
      <c r="I551" s="9">
        <f t="shared" si="249"/>
        <v>234958098</v>
      </c>
      <c r="J551" s="9"/>
      <c r="K551" s="9"/>
      <c r="L551" s="9"/>
      <c r="M551" s="10"/>
      <c r="N551" s="10"/>
      <c r="O551" s="9">
        <f t="shared" si="250"/>
        <v>234958098</v>
      </c>
      <c r="P551" s="38">
        <v>0.3524</v>
      </c>
      <c r="Q551" s="9">
        <f t="shared" si="251"/>
        <v>82799233.74</v>
      </c>
      <c r="R551" s="9">
        <f t="shared" si="252"/>
        <v>82799233.74</v>
      </c>
      <c r="S551" s="9">
        <f t="shared" si="253"/>
        <v>82799233.74</v>
      </c>
      <c r="T551" s="9"/>
      <c r="U551" s="13" t="s">
        <v>1201</v>
      </c>
      <c r="V551" s="6"/>
      <c r="W551" s="6"/>
      <c r="X551" s="6"/>
      <c r="Y551" s="6"/>
      <c r="Z551" s="6"/>
      <c r="AA551" s="6"/>
      <c r="AB551" s="6"/>
      <c r="AC551" s="6"/>
      <c r="AD551" s="6"/>
      <c r="AE551" s="6"/>
      <c r="AF551" s="6"/>
      <c r="AG551" s="6"/>
      <c r="AH551" s="6"/>
    </row>
    <row r="552" ht="15.75" customHeight="1">
      <c r="A552" s="6"/>
      <c r="B552" s="25"/>
      <c r="C552" s="25"/>
      <c r="D552" s="25"/>
      <c r="E552" s="41" t="s">
        <v>35</v>
      </c>
      <c r="F552" s="25"/>
      <c r="G552" s="9"/>
      <c r="H552" s="9"/>
      <c r="I552" s="9"/>
      <c r="J552" s="9"/>
      <c r="K552" s="9"/>
      <c r="L552" s="9"/>
      <c r="M552" s="10"/>
      <c r="N552" s="10"/>
      <c r="O552" s="9"/>
      <c r="P552" s="26" t="s">
        <v>1202</v>
      </c>
      <c r="Q552" s="19">
        <f t="shared" ref="Q552:S552" si="254">SUM(Q546:Q551)</f>
        <v>2439966966</v>
      </c>
      <c r="R552" s="19">
        <f t="shared" si="254"/>
        <v>3136973874</v>
      </c>
      <c r="S552" s="19">
        <f t="shared" si="254"/>
        <v>3152971200</v>
      </c>
      <c r="T552" s="20">
        <v>1.263858014E9</v>
      </c>
      <c r="U552" s="6"/>
      <c r="V552" s="6"/>
      <c r="W552" s="6"/>
      <c r="X552" s="6"/>
      <c r="Y552" s="6"/>
      <c r="Z552" s="6"/>
      <c r="AA552" s="6"/>
      <c r="AB552" s="6"/>
      <c r="AC552" s="6"/>
      <c r="AD552" s="6"/>
      <c r="AE552" s="6"/>
      <c r="AF552" s="6"/>
      <c r="AG552" s="6"/>
      <c r="AH552" s="6"/>
    </row>
    <row r="553" ht="15.75" customHeight="1">
      <c r="A553" s="6">
        <v>42.0</v>
      </c>
      <c r="B553" s="25" t="s">
        <v>554</v>
      </c>
      <c r="C553" s="42" t="s">
        <v>555</v>
      </c>
      <c r="D553" s="25"/>
      <c r="E553" s="41"/>
      <c r="F553" s="42" t="s">
        <v>1</v>
      </c>
      <c r="G553" s="8">
        <v>2.0325056E10</v>
      </c>
      <c r="H553" s="8">
        <v>4.1905154E10</v>
      </c>
      <c r="I553" s="9">
        <f t="shared" ref="I553:I558" si="255">H553-J553</f>
        <v>41905154000</v>
      </c>
      <c r="J553" s="9"/>
      <c r="K553" s="6"/>
      <c r="L553" s="9"/>
      <c r="M553" s="10"/>
      <c r="N553" s="10"/>
      <c r="O553" s="9">
        <f t="shared" ref="O553:O558" si="256">G553+I553</f>
        <v>62230210000</v>
      </c>
      <c r="P553" s="31">
        <v>0.0219</v>
      </c>
      <c r="Q553" s="9">
        <f t="shared" ref="Q553:Q558" si="257">I553*P553</f>
        <v>917722872.6</v>
      </c>
      <c r="R553" s="9">
        <f t="shared" ref="R553:R558" si="258">(O553-N553-M553)*P553</f>
        <v>1362841599</v>
      </c>
      <c r="S553" s="9">
        <f t="shared" ref="S553:S558" si="259">O553*P553</f>
        <v>1362841599</v>
      </c>
      <c r="T553" s="9"/>
      <c r="U553" s="32" t="s">
        <v>556</v>
      </c>
      <c r="V553" s="6"/>
      <c r="W553" s="6"/>
      <c r="X553" s="6"/>
      <c r="Y553" s="6"/>
      <c r="Z553" s="6"/>
      <c r="AA553" s="6"/>
      <c r="AB553" s="6"/>
      <c r="AC553" s="6"/>
      <c r="AD553" s="6"/>
      <c r="AE553" s="6"/>
      <c r="AF553" s="6"/>
      <c r="AG553" s="6"/>
      <c r="AH553" s="6"/>
    </row>
    <row r="554" ht="15.75" customHeight="1">
      <c r="A554" s="6"/>
      <c r="B554" s="25" t="s">
        <v>554</v>
      </c>
      <c r="C554" s="25"/>
      <c r="D554" s="25" t="s">
        <v>1203</v>
      </c>
      <c r="E554" s="25"/>
      <c r="F554" s="25" t="s">
        <v>3</v>
      </c>
      <c r="G554" s="9">
        <v>2.36702616E8</v>
      </c>
      <c r="H554" s="9">
        <v>6.60180721E8</v>
      </c>
      <c r="I554" s="9">
        <f t="shared" si="255"/>
        <v>643870032</v>
      </c>
      <c r="J554" s="9">
        <v>1.6310689E7</v>
      </c>
      <c r="K554" s="9" t="s">
        <v>1204</v>
      </c>
      <c r="L554" s="9"/>
      <c r="M554" s="10"/>
      <c r="N554" s="10"/>
      <c r="O554" s="9">
        <f t="shared" si="256"/>
        <v>880572648</v>
      </c>
      <c r="P554" s="38">
        <v>1.0</v>
      </c>
      <c r="Q554" s="9">
        <f t="shared" si="257"/>
        <v>643870032</v>
      </c>
      <c r="R554" s="9">
        <f t="shared" si="258"/>
        <v>880572648</v>
      </c>
      <c r="S554" s="9">
        <f t="shared" si="259"/>
        <v>880572648</v>
      </c>
      <c r="T554" s="9"/>
      <c r="U554" s="13" t="s">
        <v>1205</v>
      </c>
      <c r="V554" s="6"/>
      <c r="W554" s="6"/>
      <c r="X554" s="6"/>
      <c r="Y554" s="6"/>
      <c r="Z554" s="6"/>
      <c r="AA554" s="6"/>
      <c r="AB554" s="6"/>
      <c r="AC554" s="6"/>
      <c r="AD554" s="6"/>
      <c r="AE554" s="6"/>
      <c r="AF554" s="6"/>
      <c r="AG554" s="6"/>
      <c r="AH554" s="6"/>
    </row>
    <row r="555" ht="15.75" customHeight="1">
      <c r="A555" s="6"/>
      <c r="B555" s="25" t="s">
        <v>554</v>
      </c>
      <c r="C555" s="25"/>
      <c r="D555" s="25"/>
      <c r="E555" s="25" t="s">
        <v>1206</v>
      </c>
      <c r="F555" s="25" t="s">
        <v>43</v>
      </c>
      <c r="G555" s="9">
        <v>4.294642E9</v>
      </c>
      <c r="H555" s="9">
        <v>3.388422E9</v>
      </c>
      <c r="I555" s="9">
        <f t="shared" si="255"/>
        <v>3057490000</v>
      </c>
      <c r="J555" s="9">
        <f>277087000+53845000</f>
        <v>330932000</v>
      </c>
      <c r="K555" s="9" t="s">
        <v>1207</v>
      </c>
      <c r="L555" s="9"/>
      <c r="M555" s="10"/>
      <c r="N555" s="14">
        <f>10950000+1606630000+250666000</f>
        <v>1868246000</v>
      </c>
      <c r="O555" s="9">
        <f t="shared" si="256"/>
        <v>7352132000</v>
      </c>
      <c r="P555" s="38">
        <v>0.1634</v>
      </c>
      <c r="Q555" s="9">
        <f t="shared" si="257"/>
        <v>499593866</v>
      </c>
      <c r="R555" s="9">
        <f t="shared" si="258"/>
        <v>896066972.4</v>
      </c>
      <c r="S555" s="9">
        <f t="shared" si="259"/>
        <v>1201338369</v>
      </c>
      <c r="T555" s="9"/>
      <c r="U555" s="13" t="s">
        <v>1208</v>
      </c>
      <c r="V555" s="6"/>
      <c r="W555" s="6"/>
      <c r="X555" s="6"/>
      <c r="Y555" s="6"/>
      <c r="Z555" s="6"/>
      <c r="AA555" s="6"/>
      <c r="AB555" s="6"/>
      <c r="AC555" s="6"/>
      <c r="AD555" s="6"/>
      <c r="AE555" s="6"/>
      <c r="AF555" s="6"/>
      <c r="AG555" s="6"/>
      <c r="AH555" s="6"/>
    </row>
    <row r="556" ht="15.75" customHeight="1">
      <c r="A556" s="6"/>
      <c r="B556" s="25" t="s">
        <v>554</v>
      </c>
      <c r="C556" s="25"/>
      <c r="D556" s="25"/>
      <c r="E556" s="25" t="s">
        <v>1209</v>
      </c>
      <c r="F556" s="25" t="s">
        <v>47</v>
      </c>
      <c r="G556" s="9">
        <v>3.6131E7</v>
      </c>
      <c r="H556" s="9">
        <v>3.057788E9</v>
      </c>
      <c r="I556" s="9">
        <f t="shared" si="255"/>
        <v>2368688000</v>
      </c>
      <c r="J556" s="9">
        <v>6.891E8</v>
      </c>
      <c r="K556" s="9" t="s">
        <v>40</v>
      </c>
      <c r="L556" s="9"/>
      <c r="M556" s="10"/>
      <c r="N556" s="10"/>
      <c r="O556" s="9">
        <f t="shared" si="256"/>
        <v>2404819000</v>
      </c>
      <c r="P556" s="38">
        <v>0.1391</v>
      </c>
      <c r="Q556" s="9">
        <f t="shared" si="257"/>
        <v>329484500.8</v>
      </c>
      <c r="R556" s="9">
        <f t="shared" si="258"/>
        <v>334510322.9</v>
      </c>
      <c r="S556" s="9">
        <f t="shared" si="259"/>
        <v>334510322.9</v>
      </c>
      <c r="T556" s="9"/>
      <c r="U556" s="13" t="s">
        <v>1210</v>
      </c>
      <c r="V556" s="6"/>
      <c r="W556" s="6"/>
      <c r="X556" s="6"/>
      <c r="Y556" s="6"/>
      <c r="Z556" s="6"/>
      <c r="AA556" s="6"/>
      <c r="AB556" s="6"/>
      <c r="AC556" s="6"/>
      <c r="AD556" s="6"/>
      <c r="AE556" s="6"/>
      <c r="AF556" s="6"/>
      <c r="AG556" s="6"/>
      <c r="AH556" s="6"/>
    </row>
    <row r="557" ht="15.75" customHeight="1">
      <c r="A557" s="6"/>
      <c r="B557" s="25" t="s">
        <v>554</v>
      </c>
      <c r="C557" s="25"/>
      <c r="D557" s="25"/>
      <c r="E557" s="25" t="s">
        <v>1211</v>
      </c>
      <c r="F557" s="25" t="s">
        <v>29</v>
      </c>
      <c r="G557" s="9"/>
      <c r="H557" s="9">
        <f>69187011+25228328+9796733</f>
        <v>104212072</v>
      </c>
      <c r="I557" s="9">
        <f t="shared" si="255"/>
        <v>99417072</v>
      </c>
      <c r="J557" s="9">
        <f>100000+1565000+1565000+1565000</f>
        <v>4795000</v>
      </c>
      <c r="K557" s="9" t="s">
        <v>1212</v>
      </c>
      <c r="L557" s="9"/>
      <c r="M557" s="10"/>
      <c r="N557" s="10"/>
      <c r="O557" s="9">
        <f t="shared" si="256"/>
        <v>99417072</v>
      </c>
      <c r="P557" s="38">
        <v>0.0742</v>
      </c>
      <c r="Q557" s="9">
        <f t="shared" si="257"/>
        <v>7376746.742</v>
      </c>
      <c r="R557" s="9">
        <f t="shared" si="258"/>
        <v>7376746.742</v>
      </c>
      <c r="S557" s="9">
        <f t="shared" si="259"/>
        <v>7376746.742</v>
      </c>
      <c r="T557" s="9"/>
      <c r="U557" s="13" t="s">
        <v>1213</v>
      </c>
      <c r="V557" s="6"/>
      <c r="W557" s="6"/>
      <c r="X557" s="6"/>
      <c r="Y557" s="6"/>
      <c r="Z557" s="6"/>
      <c r="AA557" s="6"/>
      <c r="AB557" s="6"/>
      <c r="AC557" s="6"/>
      <c r="AD557" s="6"/>
      <c r="AE557" s="6"/>
      <c r="AF557" s="6"/>
      <c r="AG557" s="6"/>
      <c r="AH557" s="6"/>
    </row>
    <row r="558" ht="15.75" customHeight="1">
      <c r="A558" s="6"/>
      <c r="B558" s="25" t="s">
        <v>554</v>
      </c>
      <c r="C558" s="25"/>
      <c r="D558" s="25"/>
      <c r="E558" s="25" t="s">
        <v>1214</v>
      </c>
      <c r="F558" s="25" t="s">
        <v>29</v>
      </c>
      <c r="G558" s="9">
        <v>2.4564329E7</v>
      </c>
      <c r="H558" s="9">
        <v>3.17481861E8</v>
      </c>
      <c r="I558" s="9">
        <f t="shared" si="255"/>
        <v>317481861</v>
      </c>
      <c r="J558" s="9"/>
      <c r="K558" s="9"/>
      <c r="L558" s="9"/>
      <c r="M558" s="10"/>
      <c r="N558" s="10"/>
      <c r="O558" s="9">
        <f t="shared" si="256"/>
        <v>342046190</v>
      </c>
      <c r="P558" s="38">
        <v>0.0425</v>
      </c>
      <c r="Q558" s="9">
        <f t="shared" si="257"/>
        <v>13492979.09</v>
      </c>
      <c r="R558" s="9">
        <f t="shared" si="258"/>
        <v>14536963.08</v>
      </c>
      <c r="S558" s="9">
        <f t="shared" si="259"/>
        <v>14536963.08</v>
      </c>
      <c r="T558" s="9"/>
      <c r="U558" s="13" t="s">
        <v>1215</v>
      </c>
      <c r="V558" s="6"/>
      <c r="W558" s="6"/>
      <c r="X558" s="6"/>
      <c r="Y558" s="6"/>
      <c r="Z558" s="6"/>
      <c r="AA558" s="6"/>
      <c r="AB558" s="6"/>
      <c r="AC558" s="6"/>
      <c r="AD558" s="6"/>
      <c r="AE558" s="6"/>
      <c r="AF558" s="6"/>
      <c r="AG558" s="6"/>
      <c r="AH558" s="6"/>
    </row>
    <row r="559" ht="15.75" customHeight="1">
      <c r="A559" s="6"/>
      <c r="B559" s="25"/>
      <c r="C559" s="25"/>
      <c r="D559" s="25"/>
      <c r="E559" s="41" t="s">
        <v>35</v>
      </c>
      <c r="F559" s="25"/>
      <c r="G559" s="9"/>
      <c r="H559" s="9"/>
      <c r="I559" s="9"/>
      <c r="J559" s="9"/>
      <c r="K559" s="6"/>
      <c r="L559" s="9"/>
      <c r="M559" s="10"/>
      <c r="N559" s="10"/>
      <c r="O559" s="9"/>
      <c r="P559" s="26" t="s">
        <v>1216</v>
      </c>
      <c r="Q559" s="19">
        <f t="shared" ref="Q559:S559" si="260">SUM(Q553:Q558)</f>
        <v>2411540997</v>
      </c>
      <c r="R559" s="19">
        <f t="shared" si="260"/>
        <v>3495905252</v>
      </c>
      <c r="S559" s="19">
        <f t="shared" si="260"/>
        <v>3801176649</v>
      </c>
      <c r="T559" s="20">
        <v>2.23808355E9</v>
      </c>
      <c r="U559" s="6"/>
      <c r="V559" s="6"/>
      <c r="W559" s="6"/>
      <c r="X559" s="6"/>
      <c r="Y559" s="6"/>
      <c r="Z559" s="6"/>
      <c r="AA559" s="6"/>
      <c r="AB559" s="6"/>
      <c r="AC559" s="6"/>
      <c r="AD559" s="6"/>
      <c r="AE559" s="6"/>
      <c r="AF559" s="6"/>
      <c r="AG559" s="6"/>
      <c r="AH559" s="6"/>
    </row>
    <row r="560" ht="15.75" customHeight="1">
      <c r="A560" s="7">
        <v>43.0</v>
      </c>
      <c r="B560" s="42" t="s">
        <v>36</v>
      </c>
      <c r="C560" s="42" t="s">
        <v>37</v>
      </c>
      <c r="D560" s="25"/>
      <c r="E560" s="41"/>
      <c r="F560" s="7" t="s">
        <v>1</v>
      </c>
      <c r="G560" s="21">
        <v>5.8888202E10</v>
      </c>
      <c r="H560" s="22">
        <v>1.79355805E11</v>
      </c>
      <c r="I560" s="9">
        <f t="shared" ref="I560:I572" si="261">H560-J560</f>
        <v>179355805000</v>
      </c>
      <c r="J560" s="9"/>
      <c r="K560" s="6"/>
      <c r="L560" s="9"/>
      <c r="M560" s="21">
        <v>9.03E8</v>
      </c>
      <c r="N560" s="23">
        <v>1.3836881E10</v>
      </c>
      <c r="O560" s="9">
        <f t="shared" ref="O560:O572" si="262">G560+I560</f>
        <v>238244007000</v>
      </c>
      <c r="P560" s="31">
        <v>0.0115</v>
      </c>
      <c r="Q560" s="9">
        <f t="shared" ref="Q560:Q572" si="263">I560*P560</f>
        <v>2062591758</v>
      </c>
      <c r="R560" s="9">
        <f t="shared" ref="R560:R572" si="264">(O560-N560-M560)*P560</f>
        <v>2570297449</v>
      </c>
      <c r="S560" s="9">
        <f t="shared" ref="S560:S572" si="265">O560*P560</f>
        <v>2739806081</v>
      </c>
      <c r="T560" s="12"/>
      <c r="U560" s="16" t="s">
        <v>38</v>
      </c>
      <c r="V560" s="6"/>
      <c r="W560" s="6"/>
      <c r="X560" s="6"/>
      <c r="Y560" s="6"/>
      <c r="Z560" s="6"/>
      <c r="AA560" s="6"/>
      <c r="AB560" s="6"/>
      <c r="AC560" s="6"/>
      <c r="AD560" s="6"/>
      <c r="AE560" s="6"/>
      <c r="AF560" s="6"/>
      <c r="AG560" s="6"/>
      <c r="AH560" s="6"/>
    </row>
    <row r="561" ht="15.75" customHeight="1">
      <c r="A561" s="6"/>
      <c r="B561" s="42" t="s">
        <v>36</v>
      </c>
      <c r="C561" s="42"/>
      <c r="D561" s="25" t="s">
        <v>1217</v>
      </c>
      <c r="E561" s="25"/>
      <c r="F561" s="25" t="s">
        <v>3</v>
      </c>
      <c r="G561" s="9">
        <v>1.074505E9</v>
      </c>
      <c r="H561" s="9">
        <v>4.85217E8</v>
      </c>
      <c r="I561" s="9">
        <f t="shared" si="261"/>
        <v>485217000</v>
      </c>
      <c r="J561" s="9"/>
      <c r="K561" s="6"/>
      <c r="L561" s="9"/>
      <c r="M561" s="10"/>
      <c r="N561" s="14">
        <v>9826000.0</v>
      </c>
      <c r="O561" s="9">
        <f t="shared" si="262"/>
        <v>1559722000</v>
      </c>
      <c r="P561" s="38">
        <v>1.0</v>
      </c>
      <c r="Q561" s="9">
        <f t="shared" si="263"/>
        <v>485217000</v>
      </c>
      <c r="R561" s="9">
        <f t="shared" si="264"/>
        <v>1549896000</v>
      </c>
      <c r="S561" s="9">
        <f t="shared" si="265"/>
        <v>1559722000</v>
      </c>
      <c r="T561" s="9"/>
      <c r="U561" s="32" t="s">
        <v>1218</v>
      </c>
      <c r="V561" s="6"/>
      <c r="W561" s="6"/>
      <c r="X561" s="6"/>
      <c r="Y561" s="6"/>
      <c r="Z561" s="6"/>
      <c r="AA561" s="6"/>
      <c r="AB561" s="6"/>
      <c r="AC561" s="6"/>
      <c r="AD561" s="6"/>
      <c r="AE561" s="6"/>
      <c r="AF561" s="6"/>
      <c r="AG561" s="6"/>
      <c r="AH561" s="6"/>
    </row>
    <row r="562" ht="15.75" customHeight="1">
      <c r="A562" s="6"/>
      <c r="B562" s="25" t="s">
        <v>36</v>
      </c>
      <c r="C562" s="25"/>
      <c r="D562" s="25"/>
      <c r="E562" s="25" t="s">
        <v>42</v>
      </c>
      <c r="F562" s="25" t="s">
        <v>43</v>
      </c>
      <c r="G562" s="9">
        <v>8.065147E9</v>
      </c>
      <c r="H562" s="9">
        <v>9.153396E9</v>
      </c>
      <c r="I562" s="9">
        <f t="shared" si="261"/>
        <v>9067249000</v>
      </c>
      <c r="J562" s="9">
        <v>8.6147E7</v>
      </c>
      <c r="K562" s="6" t="s">
        <v>1219</v>
      </c>
      <c r="L562" s="9"/>
      <c r="M562" s="10"/>
      <c r="N562" s="14">
        <f>1921273000+3744598000</f>
        <v>5665871000</v>
      </c>
      <c r="O562" s="9">
        <f t="shared" si="262"/>
        <v>17132396000</v>
      </c>
      <c r="P562" s="38">
        <v>0.0469</v>
      </c>
      <c r="Q562" s="9">
        <f t="shared" si="263"/>
        <v>425253978.1</v>
      </c>
      <c r="R562" s="9">
        <f t="shared" si="264"/>
        <v>537780022.5</v>
      </c>
      <c r="S562" s="9">
        <f t="shared" si="265"/>
        <v>803509372.4</v>
      </c>
      <c r="T562" s="9"/>
      <c r="U562" s="32" t="s">
        <v>45</v>
      </c>
      <c r="V562" s="6"/>
      <c r="W562" s="6"/>
      <c r="X562" s="6"/>
      <c r="Y562" s="6"/>
      <c r="Z562" s="6"/>
      <c r="AA562" s="6"/>
      <c r="AB562" s="6"/>
      <c r="AC562" s="6"/>
      <c r="AD562" s="6"/>
      <c r="AE562" s="6"/>
      <c r="AF562" s="6"/>
      <c r="AG562" s="6"/>
      <c r="AH562" s="6"/>
    </row>
    <row r="563" ht="15.75" customHeight="1">
      <c r="A563" s="6"/>
      <c r="B563" s="25" t="s">
        <v>36</v>
      </c>
      <c r="C563" s="25"/>
      <c r="D563" s="25"/>
      <c r="E563" s="25" t="s">
        <v>1220</v>
      </c>
      <c r="F563" s="25" t="s">
        <v>47</v>
      </c>
      <c r="G563" s="9">
        <v>1.1155221E7</v>
      </c>
      <c r="H563" s="9">
        <v>8.75230225E8</v>
      </c>
      <c r="I563" s="9">
        <f t="shared" si="261"/>
        <v>280418756</v>
      </c>
      <c r="J563" s="9">
        <f>595216503-405034</f>
        <v>594811469</v>
      </c>
      <c r="K563" s="6" t="s">
        <v>1221</v>
      </c>
      <c r="L563" s="9"/>
      <c r="M563" s="10"/>
      <c r="N563" s="10"/>
      <c r="O563" s="9">
        <f t="shared" si="262"/>
        <v>291573977</v>
      </c>
      <c r="P563" s="38">
        <v>0.9051</v>
      </c>
      <c r="Q563" s="9">
        <f t="shared" si="263"/>
        <v>253807016.1</v>
      </c>
      <c r="R563" s="9">
        <f t="shared" si="264"/>
        <v>263903606.6</v>
      </c>
      <c r="S563" s="9">
        <f t="shared" si="265"/>
        <v>263903606.6</v>
      </c>
      <c r="T563" s="9"/>
      <c r="U563" s="32" t="s">
        <v>1222</v>
      </c>
      <c r="V563" s="6"/>
      <c r="W563" s="6"/>
      <c r="X563" s="6"/>
      <c r="Y563" s="6"/>
      <c r="Z563" s="6"/>
      <c r="AA563" s="6"/>
      <c r="AB563" s="6"/>
      <c r="AC563" s="6"/>
      <c r="AD563" s="6"/>
      <c r="AE563" s="6"/>
      <c r="AF563" s="6"/>
      <c r="AG563" s="6"/>
      <c r="AH563" s="6"/>
    </row>
    <row r="564" ht="15.75" customHeight="1">
      <c r="A564" s="6"/>
      <c r="B564" s="25" t="s">
        <v>36</v>
      </c>
      <c r="C564" s="25"/>
      <c r="D564" s="25"/>
      <c r="E564" s="25" t="s">
        <v>1223</v>
      </c>
      <c r="F564" s="25" t="s">
        <v>47</v>
      </c>
      <c r="G564" s="9">
        <v>101822.0</v>
      </c>
      <c r="H564" s="9">
        <v>1.95640112E8</v>
      </c>
      <c r="I564" s="9">
        <f t="shared" si="261"/>
        <v>41553785</v>
      </c>
      <c r="J564" s="9">
        <f>154078176+8151</f>
        <v>154086327</v>
      </c>
      <c r="K564" s="6" t="s">
        <v>1224</v>
      </c>
      <c r="L564" s="9"/>
      <c r="M564" s="10"/>
      <c r="N564" s="10"/>
      <c r="O564" s="9">
        <f t="shared" si="262"/>
        <v>41655607</v>
      </c>
      <c r="P564" s="38">
        <v>0.0486</v>
      </c>
      <c r="Q564" s="9">
        <f t="shared" si="263"/>
        <v>2019513.951</v>
      </c>
      <c r="R564" s="9">
        <f t="shared" si="264"/>
        <v>2024462.5</v>
      </c>
      <c r="S564" s="9">
        <f t="shared" si="265"/>
        <v>2024462.5</v>
      </c>
      <c r="T564" s="9"/>
      <c r="U564" s="32" t="s">
        <v>1225</v>
      </c>
      <c r="V564" s="17"/>
      <c r="W564" s="6"/>
      <c r="X564" s="6"/>
      <c r="Y564" s="6"/>
      <c r="Z564" s="6"/>
      <c r="AA564" s="6"/>
      <c r="AB564" s="6"/>
      <c r="AC564" s="6"/>
      <c r="AD564" s="6"/>
      <c r="AE564" s="6"/>
      <c r="AF564" s="6"/>
      <c r="AG564" s="6"/>
      <c r="AH564" s="6"/>
    </row>
    <row r="565" ht="15.75" customHeight="1">
      <c r="A565" s="6"/>
      <c r="B565" s="25" t="s">
        <v>36</v>
      </c>
      <c r="C565" s="25"/>
      <c r="D565" s="25"/>
      <c r="E565" s="25" t="s">
        <v>50</v>
      </c>
      <c r="F565" s="25" t="s">
        <v>29</v>
      </c>
      <c r="G565" s="9">
        <v>2.91047E8</v>
      </c>
      <c r="H565" s="9">
        <v>4.055924E9</v>
      </c>
      <c r="I565" s="9">
        <f t="shared" si="261"/>
        <v>4055924000</v>
      </c>
      <c r="J565" s="9"/>
      <c r="K565" s="6"/>
      <c r="L565" s="9"/>
      <c r="M565" s="10"/>
      <c r="N565" s="10"/>
      <c r="O565" s="9">
        <f t="shared" si="262"/>
        <v>4346971000</v>
      </c>
      <c r="P565" s="38">
        <v>0.0464</v>
      </c>
      <c r="Q565" s="9">
        <f t="shared" si="263"/>
        <v>188194873.6</v>
      </c>
      <c r="R565" s="9">
        <f t="shared" si="264"/>
        <v>201699454.4</v>
      </c>
      <c r="S565" s="9">
        <f t="shared" si="265"/>
        <v>201699454.4</v>
      </c>
      <c r="T565" s="9"/>
      <c r="U565" s="32" t="s">
        <v>51</v>
      </c>
      <c r="V565" s="6"/>
      <c r="W565" s="6"/>
      <c r="X565" s="6"/>
      <c r="Y565" s="6"/>
      <c r="Z565" s="6"/>
      <c r="AA565" s="6"/>
      <c r="AB565" s="6"/>
      <c r="AC565" s="6"/>
      <c r="AD565" s="6"/>
      <c r="AE565" s="6"/>
      <c r="AF565" s="6"/>
      <c r="AG565" s="6"/>
      <c r="AH565" s="6"/>
    </row>
    <row r="566" ht="15.75" customHeight="1">
      <c r="A566" s="6"/>
      <c r="B566" s="25" t="s">
        <v>36</v>
      </c>
      <c r="C566" s="25"/>
      <c r="D566" s="25"/>
      <c r="E566" s="25" t="s">
        <v>1226</v>
      </c>
      <c r="F566" s="25" t="s">
        <v>29</v>
      </c>
      <c r="G566" s="9"/>
      <c r="H566" s="9">
        <f>633772000+43568428+88364794+4830168+4188702+20618227</f>
        <v>795342319</v>
      </c>
      <c r="I566" s="9">
        <f t="shared" si="261"/>
        <v>795342319</v>
      </c>
      <c r="J566" s="9"/>
      <c r="K566" s="6"/>
      <c r="L566" s="9"/>
      <c r="M566" s="14">
        <v>2.0715448E7</v>
      </c>
      <c r="N566" s="10"/>
      <c r="O566" s="9">
        <f t="shared" si="262"/>
        <v>795342319</v>
      </c>
      <c r="P566" s="38">
        <v>0.0464</v>
      </c>
      <c r="Q566" s="9">
        <f t="shared" si="263"/>
        <v>36903883.6</v>
      </c>
      <c r="R566" s="9">
        <f t="shared" si="264"/>
        <v>35942686.81</v>
      </c>
      <c r="S566" s="9">
        <f t="shared" si="265"/>
        <v>36903883.6</v>
      </c>
      <c r="T566" s="9"/>
      <c r="U566" s="34" t="s">
        <v>56</v>
      </c>
      <c r="V566" s="6"/>
      <c r="W566" s="6"/>
      <c r="X566" s="6"/>
      <c r="Y566" s="6"/>
      <c r="Z566" s="6"/>
      <c r="AA566" s="6"/>
      <c r="AB566" s="6"/>
      <c r="AC566" s="6"/>
      <c r="AD566" s="6"/>
      <c r="AE566" s="6"/>
      <c r="AF566" s="6"/>
      <c r="AG566" s="6"/>
      <c r="AH566" s="6"/>
    </row>
    <row r="567" ht="15.75" customHeight="1">
      <c r="A567" s="6"/>
      <c r="B567" s="25" t="s">
        <v>36</v>
      </c>
      <c r="C567" s="25"/>
      <c r="D567" s="25"/>
      <c r="E567" s="25" t="s">
        <v>355</v>
      </c>
      <c r="F567" s="25" t="s">
        <v>29</v>
      </c>
      <c r="G567" s="9"/>
      <c r="H567" s="9">
        <f>1368910000+146902000+28868000+18573000</f>
        <v>1563253000</v>
      </c>
      <c r="I567" s="9">
        <f t="shared" si="261"/>
        <v>1563253000</v>
      </c>
      <c r="J567" s="9"/>
      <c r="K567" s="6"/>
      <c r="L567" s="9"/>
      <c r="M567" s="14">
        <v>1.5922E7</v>
      </c>
      <c r="N567" s="10"/>
      <c r="O567" s="9">
        <f t="shared" si="262"/>
        <v>1563253000</v>
      </c>
      <c r="P567" s="38">
        <v>0.0256</v>
      </c>
      <c r="Q567" s="9">
        <f t="shared" si="263"/>
        <v>40019276.8</v>
      </c>
      <c r="R567" s="9">
        <f t="shared" si="264"/>
        <v>39611673.6</v>
      </c>
      <c r="S567" s="9">
        <f t="shared" si="265"/>
        <v>40019276.8</v>
      </c>
      <c r="T567" s="9"/>
      <c r="U567" s="32" t="s">
        <v>58</v>
      </c>
      <c r="V567" s="6"/>
      <c r="W567" s="6"/>
      <c r="X567" s="6"/>
      <c r="Y567" s="6"/>
      <c r="Z567" s="6"/>
      <c r="AA567" s="6"/>
      <c r="AB567" s="6"/>
      <c r="AC567" s="6"/>
      <c r="AD567" s="6"/>
      <c r="AE567" s="6"/>
      <c r="AF567" s="6"/>
      <c r="AG567" s="6"/>
      <c r="AH567" s="6"/>
    </row>
    <row r="568" ht="15.75" customHeight="1">
      <c r="A568" s="6"/>
      <c r="B568" s="25" t="s">
        <v>36</v>
      </c>
      <c r="C568" s="25"/>
      <c r="D568" s="25"/>
      <c r="E568" s="25" t="s">
        <v>59</v>
      </c>
      <c r="F568" s="25" t="s">
        <v>29</v>
      </c>
      <c r="G568" s="9"/>
      <c r="H568" s="9"/>
      <c r="I568" s="9">
        <f t="shared" si="261"/>
        <v>0</v>
      </c>
      <c r="J568" s="9"/>
      <c r="K568" s="6"/>
      <c r="L568" s="9"/>
      <c r="M568" s="10"/>
      <c r="N568" s="10"/>
      <c r="O568" s="9">
        <f t="shared" si="262"/>
        <v>0</v>
      </c>
      <c r="P568" s="38">
        <v>0.0464</v>
      </c>
      <c r="Q568" s="9">
        <f t="shared" si="263"/>
        <v>0</v>
      </c>
      <c r="R568" s="9">
        <f t="shared" si="264"/>
        <v>0</v>
      </c>
      <c r="S568" s="9">
        <f t="shared" si="265"/>
        <v>0</v>
      </c>
      <c r="T568" s="9"/>
      <c r="U568" s="6" t="s">
        <v>60</v>
      </c>
      <c r="V568" s="6"/>
      <c r="W568" s="6"/>
      <c r="X568" s="6"/>
      <c r="Y568" s="6"/>
      <c r="Z568" s="6"/>
      <c r="AA568" s="6"/>
      <c r="AB568" s="6"/>
      <c r="AC568" s="6"/>
      <c r="AD568" s="6"/>
      <c r="AE568" s="6"/>
      <c r="AF568" s="6"/>
      <c r="AG568" s="6"/>
      <c r="AH568" s="6"/>
    </row>
    <row r="569" ht="15.75" customHeight="1">
      <c r="A569" s="6"/>
      <c r="B569" s="25" t="s">
        <v>36</v>
      </c>
      <c r="C569" s="25"/>
      <c r="D569" s="25"/>
      <c r="E569" s="25" t="s">
        <v>61</v>
      </c>
      <c r="F569" s="25" t="s">
        <v>29</v>
      </c>
      <c r="G569" s="9"/>
      <c r="H569" s="9">
        <f>104040000+148237000+14158000+119000+110000</f>
        <v>266664000</v>
      </c>
      <c r="I569" s="9">
        <f t="shared" si="261"/>
        <v>104269000</v>
      </c>
      <c r="J569" s="9">
        <f>148237000+14158000</f>
        <v>162395000</v>
      </c>
      <c r="K569" s="6" t="s">
        <v>1227</v>
      </c>
      <c r="L569" s="9"/>
      <c r="M569" s="10"/>
      <c r="N569" s="10"/>
      <c r="O569" s="9">
        <f t="shared" si="262"/>
        <v>104269000</v>
      </c>
      <c r="P569" s="38">
        <v>0.0219</v>
      </c>
      <c r="Q569" s="9">
        <f t="shared" si="263"/>
        <v>2283491.1</v>
      </c>
      <c r="R569" s="9">
        <f t="shared" si="264"/>
        <v>2283491.1</v>
      </c>
      <c r="S569" s="9">
        <f t="shared" si="265"/>
        <v>2283491.1</v>
      </c>
      <c r="T569" s="9"/>
      <c r="U569" s="34" t="s">
        <v>63</v>
      </c>
      <c r="V569" s="6"/>
      <c r="W569" s="6"/>
      <c r="X569" s="6"/>
      <c r="Y569" s="6"/>
      <c r="Z569" s="6"/>
      <c r="AA569" s="6"/>
      <c r="AB569" s="6"/>
      <c r="AC569" s="6"/>
      <c r="AD569" s="6"/>
      <c r="AE569" s="6"/>
      <c r="AF569" s="6"/>
      <c r="AG569" s="6"/>
      <c r="AH569" s="6"/>
    </row>
    <row r="570" ht="15.75" customHeight="1">
      <c r="A570" s="6"/>
      <c r="B570" s="25" t="s">
        <v>36</v>
      </c>
      <c r="C570" s="25"/>
      <c r="D570" s="25"/>
      <c r="E570" s="25" t="s">
        <v>64</v>
      </c>
      <c r="F570" s="25" t="s">
        <v>29</v>
      </c>
      <c r="G570" s="9"/>
      <c r="H570" s="9">
        <f>108667797+7572659+896530+242335</f>
        <v>117379321</v>
      </c>
      <c r="I570" s="9">
        <f t="shared" si="261"/>
        <v>116482791</v>
      </c>
      <c r="J570" s="9">
        <v>896530.0</v>
      </c>
      <c r="K570" s="6" t="s">
        <v>1228</v>
      </c>
      <c r="L570" s="9"/>
      <c r="M570" s="10"/>
      <c r="N570" s="10"/>
      <c r="O570" s="9">
        <f t="shared" si="262"/>
        <v>116482791</v>
      </c>
      <c r="P570" s="38">
        <v>0.0353</v>
      </c>
      <c r="Q570" s="9">
        <f t="shared" si="263"/>
        <v>4111842.522</v>
      </c>
      <c r="R570" s="9">
        <f t="shared" si="264"/>
        <v>4111842.522</v>
      </c>
      <c r="S570" s="9">
        <f t="shared" si="265"/>
        <v>4111842.522</v>
      </c>
      <c r="T570" s="9"/>
      <c r="U570" s="32" t="s">
        <v>66</v>
      </c>
      <c r="V570" s="6"/>
      <c r="W570" s="6"/>
      <c r="X570" s="6"/>
      <c r="Y570" s="6"/>
      <c r="Z570" s="6"/>
      <c r="AA570" s="6"/>
      <c r="AB570" s="6"/>
      <c r="AC570" s="6"/>
      <c r="AD570" s="6"/>
      <c r="AE570" s="6"/>
      <c r="AF570" s="6"/>
      <c r="AG570" s="6"/>
      <c r="AH570" s="6"/>
    </row>
    <row r="571" ht="15.75" customHeight="1">
      <c r="A571" s="6"/>
      <c r="B571" s="25" t="s">
        <v>36</v>
      </c>
      <c r="C571" s="25"/>
      <c r="D571" s="25"/>
      <c r="E571" s="25" t="s">
        <v>67</v>
      </c>
      <c r="F571" s="25" t="s">
        <v>29</v>
      </c>
      <c r="G571" s="9"/>
      <c r="H571" s="9"/>
      <c r="I571" s="9">
        <f t="shared" si="261"/>
        <v>0</v>
      </c>
      <c r="J571" s="9"/>
      <c r="K571" s="6"/>
      <c r="L571" s="9"/>
      <c r="M571" s="10"/>
      <c r="N571" s="10"/>
      <c r="O571" s="9">
        <f t="shared" si="262"/>
        <v>0</v>
      </c>
      <c r="P571" s="38">
        <v>0.0464</v>
      </c>
      <c r="Q571" s="9">
        <f t="shared" si="263"/>
        <v>0</v>
      </c>
      <c r="R571" s="9">
        <f t="shared" si="264"/>
        <v>0</v>
      </c>
      <c r="S571" s="9">
        <f t="shared" si="265"/>
        <v>0</v>
      </c>
      <c r="T571" s="9"/>
      <c r="U571" s="6" t="s">
        <v>60</v>
      </c>
      <c r="V571" s="6"/>
      <c r="W571" s="6"/>
      <c r="X571" s="6"/>
      <c r="Y571" s="6"/>
      <c r="Z571" s="6"/>
      <c r="AA571" s="6"/>
      <c r="AB571" s="6"/>
      <c r="AC571" s="6"/>
      <c r="AD571" s="6"/>
      <c r="AE571" s="6"/>
      <c r="AF571" s="6"/>
      <c r="AG571" s="6"/>
      <c r="AH571" s="6"/>
    </row>
    <row r="572" ht="15.75" customHeight="1">
      <c r="A572" s="6"/>
      <c r="B572" s="25" t="s">
        <v>36</v>
      </c>
      <c r="C572" s="25"/>
      <c r="D572" s="25"/>
      <c r="E572" s="25" t="s">
        <v>70</v>
      </c>
      <c r="F572" s="25" t="s">
        <v>29</v>
      </c>
      <c r="G572" s="9">
        <f>106450095+29214922</f>
        <v>135665017</v>
      </c>
      <c r="H572" s="9">
        <v>1.8272157E7</v>
      </c>
      <c r="I572" s="9">
        <f t="shared" si="261"/>
        <v>15392493</v>
      </c>
      <c r="J572" s="9">
        <v>2879664.0</v>
      </c>
      <c r="K572" s="6" t="s">
        <v>1229</v>
      </c>
      <c r="L572" s="9"/>
      <c r="M572" s="10"/>
      <c r="N572" s="10"/>
      <c r="O572" s="9">
        <f t="shared" si="262"/>
        <v>151057510</v>
      </c>
      <c r="P572" s="38">
        <v>0.0268</v>
      </c>
      <c r="Q572" s="9">
        <f t="shared" si="263"/>
        <v>412518.8124</v>
      </c>
      <c r="R572" s="9">
        <f t="shared" si="264"/>
        <v>4048341.268</v>
      </c>
      <c r="S572" s="9">
        <f t="shared" si="265"/>
        <v>4048341.268</v>
      </c>
      <c r="T572" s="9"/>
      <c r="U572" s="34" t="s">
        <v>72</v>
      </c>
      <c r="V572" s="6"/>
      <c r="W572" s="6"/>
      <c r="X572" s="6"/>
      <c r="Y572" s="6"/>
      <c r="Z572" s="6"/>
      <c r="AA572" s="6"/>
      <c r="AB572" s="6"/>
      <c r="AC572" s="6"/>
      <c r="AD572" s="6"/>
      <c r="AE572" s="6"/>
      <c r="AF572" s="6"/>
      <c r="AG572" s="6"/>
      <c r="AH572" s="6"/>
    </row>
    <row r="573" ht="15.75" customHeight="1">
      <c r="A573" s="6"/>
      <c r="B573" s="25"/>
      <c r="C573" s="25"/>
      <c r="D573" s="25"/>
      <c r="E573" s="41" t="s">
        <v>35</v>
      </c>
      <c r="F573" s="25"/>
      <c r="G573" s="9"/>
      <c r="H573" s="9"/>
      <c r="I573" s="9"/>
      <c r="J573" s="9"/>
      <c r="K573" s="6"/>
      <c r="L573" s="9"/>
      <c r="M573" s="10"/>
      <c r="N573" s="10"/>
      <c r="O573" s="9"/>
      <c r="P573" s="26" t="s">
        <v>1230</v>
      </c>
      <c r="Q573" s="19">
        <f t="shared" ref="Q573:S573" si="266">SUM(Q560:Q572)</f>
        <v>3500815152</v>
      </c>
      <c r="R573" s="19">
        <f t="shared" si="266"/>
        <v>5211599030</v>
      </c>
      <c r="S573" s="19">
        <f t="shared" si="266"/>
        <v>5658031812</v>
      </c>
      <c r="T573" s="20">
        <v>2.310371296E9</v>
      </c>
      <c r="U573" s="6"/>
      <c r="V573" s="6"/>
      <c r="W573" s="6"/>
      <c r="X573" s="6"/>
      <c r="Y573" s="6"/>
      <c r="Z573" s="6"/>
      <c r="AA573" s="6"/>
      <c r="AB573" s="6"/>
      <c r="AC573" s="6"/>
      <c r="AD573" s="6"/>
      <c r="AE573" s="6"/>
      <c r="AF573" s="6"/>
      <c r="AG573" s="6"/>
      <c r="AH573" s="6"/>
    </row>
    <row r="574" ht="15.75" customHeight="1">
      <c r="A574" s="6">
        <v>44.0</v>
      </c>
      <c r="B574" s="25" t="s">
        <v>740</v>
      </c>
      <c r="C574" s="42" t="s">
        <v>1231</v>
      </c>
      <c r="D574" s="25"/>
      <c r="E574" s="41"/>
      <c r="F574" s="42" t="s">
        <v>1</v>
      </c>
      <c r="G574" s="8">
        <v>7.012054E9</v>
      </c>
      <c r="H574" s="8">
        <v>2.8117362E10</v>
      </c>
      <c r="I574" s="9">
        <f t="shared" ref="I574:I581" si="267">H574-J574</f>
        <v>28061036000</v>
      </c>
      <c r="J574" s="8">
        <v>5.6326E7</v>
      </c>
      <c r="K574" s="30" t="s">
        <v>277</v>
      </c>
      <c r="L574" s="9"/>
      <c r="M574" s="10"/>
      <c r="N574" s="10"/>
      <c r="O574" s="9">
        <f t="shared" ref="O574:O581" si="268">G574+I574</f>
        <v>35073090000</v>
      </c>
      <c r="P574" s="31">
        <v>0.0523</v>
      </c>
      <c r="Q574" s="9">
        <f t="shared" ref="Q574:Q581" si="269">I574*P574</f>
        <v>1467592183</v>
      </c>
      <c r="R574" s="9">
        <f t="shared" ref="R574:R581" si="270">(O574-N574-M574)*P574</f>
        <v>1834322607</v>
      </c>
      <c r="S574" s="9">
        <f t="shared" ref="S574:S581" si="271">O574*P574</f>
        <v>1834322607</v>
      </c>
      <c r="T574" s="9"/>
      <c r="U574" s="32" t="s">
        <v>1232</v>
      </c>
      <c r="V574" s="6"/>
      <c r="W574" s="6"/>
      <c r="X574" s="6"/>
      <c r="Y574" s="6"/>
      <c r="Z574" s="6"/>
      <c r="AA574" s="6"/>
      <c r="AB574" s="6"/>
      <c r="AC574" s="6"/>
      <c r="AD574" s="6"/>
      <c r="AE574" s="6"/>
      <c r="AF574" s="6"/>
      <c r="AG574" s="6"/>
      <c r="AH574" s="6"/>
    </row>
    <row r="575" ht="15.75" customHeight="1">
      <c r="A575" s="6"/>
      <c r="B575" s="25" t="s">
        <v>740</v>
      </c>
      <c r="C575" s="25"/>
      <c r="D575" s="25" t="s">
        <v>1233</v>
      </c>
      <c r="E575" s="25"/>
      <c r="F575" s="25" t="s">
        <v>3</v>
      </c>
      <c r="G575" s="9">
        <v>3.11619577E8</v>
      </c>
      <c r="H575" s="9">
        <v>1.075242969E9</v>
      </c>
      <c r="I575" s="9">
        <f t="shared" si="267"/>
        <v>1021830101</v>
      </c>
      <c r="J575" s="9">
        <v>5.3412868E7</v>
      </c>
      <c r="K575" s="6" t="s">
        <v>1234</v>
      </c>
      <c r="L575" s="9"/>
      <c r="M575" s="10"/>
      <c r="N575" s="14">
        <v>77982.0</v>
      </c>
      <c r="O575" s="9">
        <f t="shared" si="268"/>
        <v>1333449678</v>
      </c>
      <c r="P575" s="38">
        <v>1.0</v>
      </c>
      <c r="Q575" s="9">
        <f t="shared" si="269"/>
        <v>1021830101</v>
      </c>
      <c r="R575" s="9">
        <f t="shared" si="270"/>
        <v>1333371696</v>
      </c>
      <c r="S575" s="9">
        <f t="shared" si="271"/>
        <v>1333449678</v>
      </c>
      <c r="T575" s="9"/>
      <c r="U575" s="32" t="s">
        <v>1235</v>
      </c>
      <c r="V575" s="6"/>
      <c r="W575" s="6"/>
      <c r="X575" s="6"/>
      <c r="Y575" s="6"/>
      <c r="Z575" s="6"/>
      <c r="AA575" s="6"/>
      <c r="AB575" s="6"/>
      <c r="AC575" s="6"/>
      <c r="AD575" s="6"/>
      <c r="AE575" s="6"/>
      <c r="AF575" s="6"/>
      <c r="AG575" s="6"/>
      <c r="AH575" s="6"/>
    </row>
    <row r="576" ht="15.75" customHeight="1">
      <c r="A576" s="6"/>
      <c r="B576" s="25" t="s">
        <v>740</v>
      </c>
      <c r="C576" s="25"/>
      <c r="D576" s="25"/>
      <c r="E576" s="25" t="s">
        <v>1236</v>
      </c>
      <c r="F576" s="25" t="s">
        <v>43</v>
      </c>
      <c r="G576" s="9"/>
      <c r="H576" s="9"/>
      <c r="I576" s="9">
        <f t="shared" si="267"/>
        <v>0</v>
      </c>
      <c r="J576" s="9"/>
      <c r="K576" s="6"/>
      <c r="L576" s="9"/>
      <c r="M576" s="10"/>
      <c r="N576" s="10"/>
      <c r="O576" s="9">
        <f t="shared" si="268"/>
        <v>0</v>
      </c>
      <c r="P576" s="38">
        <v>1.0</v>
      </c>
      <c r="Q576" s="9">
        <f t="shared" si="269"/>
        <v>0</v>
      </c>
      <c r="R576" s="9">
        <f t="shared" si="270"/>
        <v>0</v>
      </c>
      <c r="S576" s="9">
        <f t="shared" si="271"/>
        <v>0</v>
      </c>
      <c r="T576" s="9"/>
      <c r="U576" s="6" t="s">
        <v>60</v>
      </c>
      <c r="V576" s="6"/>
      <c r="W576" s="6"/>
      <c r="X576" s="6"/>
      <c r="Y576" s="6"/>
      <c r="Z576" s="6"/>
      <c r="AA576" s="6"/>
      <c r="AB576" s="6"/>
      <c r="AC576" s="6"/>
      <c r="AD576" s="6"/>
      <c r="AE576" s="6"/>
      <c r="AF576" s="6"/>
      <c r="AG576" s="6"/>
      <c r="AH576" s="6"/>
    </row>
    <row r="577" ht="15.75" customHeight="1">
      <c r="A577" s="6"/>
      <c r="B577" s="25" t="s">
        <v>740</v>
      </c>
      <c r="C577" s="25"/>
      <c r="D577" s="25"/>
      <c r="E577" s="25" t="s">
        <v>1237</v>
      </c>
      <c r="F577" s="25" t="s">
        <v>29</v>
      </c>
      <c r="G577" s="9"/>
      <c r="H577" s="9">
        <f>364218959+7309328+1499877+6031956</f>
        <v>379060120</v>
      </c>
      <c r="I577" s="9">
        <f t="shared" si="267"/>
        <v>379060120</v>
      </c>
      <c r="J577" s="9"/>
      <c r="K577" s="6"/>
      <c r="L577" s="9"/>
      <c r="M577" s="10"/>
      <c r="N577" s="14">
        <v>3.51511479E8</v>
      </c>
      <c r="O577" s="9">
        <f t="shared" si="268"/>
        <v>379060120</v>
      </c>
      <c r="P577" s="38">
        <v>0.2626</v>
      </c>
      <c r="Q577" s="9">
        <f t="shared" si="269"/>
        <v>99541187.51</v>
      </c>
      <c r="R577" s="9">
        <f t="shared" si="270"/>
        <v>7234273.127</v>
      </c>
      <c r="S577" s="9">
        <f t="shared" si="271"/>
        <v>99541187.51</v>
      </c>
      <c r="T577" s="9"/>
      <c r="U577" s="32" t="s">
        <v>1238</v>
      </c>
      <c r="V577" s="6"/>
      <c r="W577" s="6"/>
      <c r="X577" s="6"/>
      <c r="Y577" s="6"/>
      <c r="Z577" s="6"/>
      <c r="AA577" s="6"/>
      <c r="AB577" s="6"/>
      <c r="AC577" s="6"/>
      <c r="AD577" s="6"/>
      <c r="AE577" s="6"/>
      <c r="AF577" s="6"/>
      <c r="AG577" s="6"/>
      <c r="AH577" s="6"/>
    </row>
    <row r="578" ht="15.75" customHeight="1">
      <c r="A578" s="6"/>
      <c r="B578" s="25" t="s">
        <v>740</v>
      </c>
      <c r="C578" s="25"/>
      <c r="D578" s="25"/>
      <c r="E578" s="25" t="s">
        <v>1239</v>
      </c>
      <c r="F578" s="25" t="s">
        <v>29</v>
      </c>
      <c r="G578" s="9"/>
      <c r="H578" s="9"/>
      <c r="I578" s="9">
        <f t="shared" si="267"/>
        <v>0</v>
      </c>
      <c r="J578" s="9"/>
      <c r="K578" s="6"/>
      <c r="L578" s="9"/>
      <c r="M578" s="10"/>
      <c r="N578" s="10"/>
      <c r="O578" s="9">
        <f t="shared" si="268"/>
        <v>0</v>
      </c>
      <c r="P578" s="38">
        <v>0.2626</v>
      </c>
      <c r="Q578" s="9">
        <f t="shared" si="269"/>
        <v>0</v>
      </c>
      <c r="R578" s="9">
        <f t="shared" si="270"/>
        <v>0</v>
      </c>
      <c r="S578" s="9">
        <f t="shared" si="271"/>
        <v>0</v>
      </c>
      <c r="T578" s="9"/>
      <c r="U578" s="6" t="s">
        <v>60</v>
      </c>
      <c r="V578" s="6"/>
      <c r="W578" s="6"/>
      <c r="X578" s="6"/>
      <c r="Y578" s="6"/>
      <c r="Z578" s="6"/>
      <c r="AA578" s="6"/>
      <c r="AB578" s="6"/>
      <c r="AC578" s="6"/>
      <c r="AD578" s="6"/>
      <c r="AE578" s="6"/>
      <c r="AF578" s="6"/>
      <c r="AG578" s="6"/>
      <c r="AH578" s="6"/>
    </row>
    <row r="579" ht="15.75" customHeight="1">
      <c r="A579" s="6"/>
      <c r="B579" s="25" t="s">
        <v>740</v>
      </c>
      <c r="C579" s="25"/>
      <c r="D579" s="25"/>
      <c r="E579" s="25" t="s">
        <v>1240</v>
      </c>
      <c r="F579" s="25" t="s">
        <v>29</v>
      </c>
      <c r="G579" s="9"/>
      <c r="H579" s="9"/>
      <c r="I579" s="9">
        <f t="shared" si="267"/>
        <v>0</v>
      </c>
      <c r="J579" s="9"/>
      <c r="K579" s="6"/>
      <c r="L579" s="9"/>
      <c r="M579" s="10"/>
      <c r="N579" s="10"/>
      <c r="O579" s="9">
        <f t="shared" si="268"/>
        <v>0</v>
      </c>
      <c r="P579" s="38">
        <v>0.2626</v>
      </c>
      <c r="Q579" s="9">
        <f t="shared" si="269"/>
        <v>0</v>
      </c>
      <c r="R579" s="9">
        <f t="shared" si="270"/>
        <v>0</v>
      </c>
      <c r="S579" s="9">
        <f t="shared" si="271"/>
        <v>0</v>
      </c>
      <c r="T579" s="9"/>
      <c r="U579" s="6" t="s">
        <v>60</v>
      </c>
      <c r="V579" s="6"/>
      <c r="W579" s="6"/>
      <c r="X579" s="6"/>
      <c r="Y579" s="6"/>
      <c r="Z579" s="6"/>
      <c r="AA579" s="6"/>
      <c r="AB579" s="6"/>
      <c r="AC579" s="6"/>
      <c r="AD579" s="6"/>
      <c r="AE579" s="6"/>
      <c r="AF579" s="6"/>
      <c r="AG579" s="6"/>
      <c r="AH579" s="6"/>
    </row>
    <row r="580" ht="15.75" customHeight="1">
      <c r="A580" s="6"/>
      <c r="B580" s="25" t="s">
        <v>740</v>
      </c>
      <c r="C580" s="25"/>
      <c r="D580" s="25"/>
      <c r="E580" s="25" t="s">
        <v>1241</v>
      </c>
      <c r="F580" s="25" t="s">
        <v>29</v>
      </c>
      <c r="G580" s="9"/>
      <c r="H580" s="9"/>
      <c r="I580" s="9">
        <f t="shared" si="267"/>
        <v>0</v>
      </c>
      <c r="J580" s="9"/>
      <c r="K580" s="6"/>
      <c r="L580" s="9"/>
      <c r="M580" s="10"/>
      <c r="N580" s="10"/>
      <c r="O580" s="9">
        <f t="shared" si="268"/>
        <v>0</v>
      </c>
      <c r="P580" s="38">
        <v>0.6747</v>
      </c>
      <c r="Q580" s="9">
        <f t="shared" si="269"/>
        <v>0</v>
      </c>
      <c r="R580" s="9">
        <f t="shared" si="270"/>
        <v>0</v>
      </c>
      <c r="S580" s="9">
        <f t="shared" si="271"/>
        <v>0</v>
      </c>
      <c r="T580" s="9"/>
      <c r="U580" s="6" t="s">
        <v>60</v>
      </c>
      <c r="V580" s="6"/>
      <c r="W580" s="6"/>
      <c r="X580" s="6"/>
      <c r="Y580" s="6"/>
      <c r="Z580" s="6"/>
      <c r="AA580" s="6"/>
      <c r="AB580" s="6"/>
      <c r="AC580" s="6"/>
      <c r="AD580" s="6"/>
      <c r="AE580" s="6"/>
      <c r="AF580" s="6"/>
      <c r="AG580" s="6"/>
      <c r="AH580" s="6"/>
    </row>
    <row r="581" ht="15.75" customHeight="1">
      <c r="A581" s="6"/>
      <c r="B581" s="25" t="s">
        <v>740</v>
      </c>
      <c r="C581" s="25"/>
      <c r="D581" s="25"/>
      <c r="E581" s="25" t="s">
        <v>1242</v>
      </c>
      <c r="F581" s="25" t="s">
        <v>29</v>
      </c>
      <c r="G581" s="9"/>
      <c r="H581" s="9"/>
      <c r="I581" s="9">
        <f t="shared" si="267"/>
        <v>0</v>
      </c>
      <c r="J581" s="9"/>
      <c r="K581" s="6"/>
      <c r="L581" s="9"/>
      <c r="M581" s="10"/>
      <c r="N581" s="10"/>
      <c r="O581" s="9">
        <f t="shared" si="268"/>
        <v>0</v>
      </c>
      <c r="P581" s="38">
        <v>0.2626</v>
      </c>
      <c r="Q581" s="9">
        <f t="shared" si="269"/>
        <v>0</v>
      </c>
      <c r="R581" s="9">
        <f t="shared" si="270"/>
        <v>0</v>
      </c>
      <c r="S581" s="9">
        <f t="shared" si="271"/>
        <v>0</v>
      </c>
      <c r="T581" s="9"/>
      <c r="U581" s="6" t="s">
        <v>60</v>
      </c>
      <c r="V581" s="6"/>
      <c r="W581" s="6"/>
      <c r="X581" s="6"/>
      <c r="Y581" s="6"/>
      <c r="Z581" s="6"/>
      <c r="AA581" s="6"/>
      <c r="AB581" s="6"/>
      <c r="AC581" s="6"/>
      <c r="AD581" s="6"/>
      <c r="AE581" s="6"/>
      <c r="AF581" s="6"/>
      <c r="AG581" s="6"/>
      <c r="AH581" s="6"/>
    </row>
    <row r="582" ht="15.75" customHeight="1">
      <c r="A582" s="6"/>
      <c r="B582" s="25"/>
      <c r="C582" s="25"/>
      <c r="D582" s="25"/>
      <c r="E582" s="41" t="s">
        <v>35</v>
      </c>
      <c r="F582" s="25"/>
      <c r="G582" s="9"/>
      <c r="H582" s="9"/>
      <c r="I582" s="9"/>
      <c r="J582" s="9"/>
      <c r="K582" s="6"/>
      <c r="L582" s="9"/>
      <c r="M582" s="10"/>
      <c r="N582" s="10"/>
      <c r="O582" s="9"/>
      <c r="P582" s="26" t="s">
        <v>1243</v>
      </c>
      <c r="Q582" s="19">
        <f t="shared" ref="Q582:S582" si="272">SUM(Q574:Q581)</f>
        <v>2588963471</v>
      </c>
      <c r="R582" s="19">
        <f t="shared" si="272"/>
        <v>3174928576</v>
      </c>
      <c r="S582" s="19">
        <f t="shared" si="272"/>
        <v>3267313473</v>
      </c>
      <c r="T582" s="20">
        <v>1.343816849E9</v>
      </c>
      <c r="U582" s="6"/>
      <c r="V582" s="6"/>
      <c r="W582" s="6"/>
      <c r="X582" s="6"/>
      <c r="Y582" s="6"/>
      <c r="Z582" s="6"/>
      <c r="AA582" s="6"/>
      <c r="AB582" s="6"/>
      <c r="AC582" s="6"/>
      <c r="AD582" s="6"/>
      <c r="AE582" s="6"/>
      <c r="AF582" s="6"/>
      <c r="AG582" s="6"/>
      <c r="AH582" s="6"/>
    </row>
    <row r="583" ht="15.75" customHeight="1">
      <c r="A583" s="6">
        <v>45.0</v>
      </c>
      <c r="B583" s="25" t="s">
        <v>1244</v>
      </c>
      <c r="C583" s="42" t="s">
        <v>1245</v>
      </c>
      <c r="D583" s="25"/>
      <c r="E583" s="41"/>
      <c r="F583" s="42" t="s">
        <v>1</v>
      </c>
      <c r="G583" s="8">
        <v>4.64796E9</v>
      </c>
      <c r="H583" s="8">
        <v>2.7491111E10</v>
      </c>
      <c r="I583" s="9">
        <f t="shared" ref="I583:I589" si="273">H583-J583</f>
        <v>27491111000</v>
      </c>
      <c r="J583" s="9"/>
      <c r="K583" s="6"/>
      <c r="L583" s="9"/>
      <c r="M583" s="10"/>
      <c r="N583" s="8">
        <v>4.35071E8</v>
      </c>
      <c r="O583" s="9">
        <f t="shared" ref="O583:O589" si="274">G583+I583</f>
        <v>32139071000</v>
      </c>
      <c r="P583" s="31">
        <v>0.0759</v>
      </c>
      <c r="Q583" s="9">
        <f t="shared" ref="Q583:Q589" si="275">I583*P583</f>
        <v>2086575325</v>
      </c>
      <c r="R583" s="9">
        <f t="shared" ref="R583:R589" si="276">(O583-N583-M583)*P583</f>
        <v>2406333600</v>
      </c>
      <c r="S583" s="9">
        <f t="shared" ref="S583:S589" si="277">O583*P583</f>
        <v>2439355489</v>
      </c>
      <c r="T583" s="9"/>
      <c r="U583" s="32" t="s">
        <v>1246</v>
      </c>
      <c r="V583" s="6"/>
      <c r="W583" s="6"/>
      <c r="X583" s="6"/>
      <c r="Y583" s="6"/>
      <c r="Z583" s="6"/>
      <c r="AA583" s="6"/>
      <c r="AB583" s="6"/>
      <c r="AC583" s="6"/>
      <c r="AD583" s="6"/>
      <c r="AE583" s="6"/>
      <c r="AF583" s="6"/>
      <c r="AG583" s="6"/>
      <c r="AH583" s="6"/>
    </row>
    <row r="584" ht="15.75" customHeight="1">
      <c r="A584" s="6"/>
      <c r="B584" s="25" t="s">
        <v>1244</v>
      </c>
      <c r="C584" s="25"/>
      <c r="D584" s="25" t="s">
        <v>1247</v>
      </c>
      <c r="E584" s="25"/>
      <c r="F584" s="25" t="s">
        <v>3</v>
      </c>
      <c r="G584" s="9">
        <v>4.20478E8</v>
      </c>
      <c r="H584" s="9">
        <v>5.59151E8</v>
      </c>
      <c r="I584" s="9">
        <f t="shared" si="273"/>
        <v>483726000</v>
      </c>
      <c r="J584" s="9">
        <f>71821000+3604000</f>
        <v>75425000</v>
      </c>
      <c r="K584" s="6" t="s">
        <v>1248</v>
      </c>
      <c r="L584" s="9"/>
      <c r="M584" s="10"/>
      <c r="N584" s="14">
        <v>2541000.0</v>
      </c>
      <c r="O584" s="9">
        <f t="shared" si="274"/>
        <v>904204000</v>
      </c>
      <c r="P584" s="38">
        <v>1.0</v>
      </c>
      <c r="Q584" s="9">
        <f t="shared" si="275"/>
        <v>483726000</v>
      </c>
      <c r="R584" s="9">
        <f t="shared" si="276"/>
        <v>901663000</v>
      </c>
      <c r="S584" s="9">
        <f t="shared" si="277"/>
        <v>904204000</v>
      </c>
      <c r="T584" s="9"/>
      <c r="U584" s="32" t="s">
        <v>1249</v>
      </c>
      <c r="V584" s="6"/>
      <c r="W584" s="6"/>
      <c r="X584" s="6"/>
      <c r="Y584" s="6"/>
      <c r="Z584" s="6"/>
      <c r="AA584" s="6"/>
      <c r="AB584" s="6"/>
      <c r="AC584" s="6"/>
      <c r="AD584" s="6"/>
      <c r="AE584" s="6"/>
      <c r="AF584" s="6"/>
      <c r="AG584" s="6"/>
      <c r="AH584" s="6"/>
    </row>
    <row r="585" ht="15.75" customHeight="1">
      <c r="A585" s="6"/>
      <c r="B585" s="25" t="s">
        <v>1244</v>
      </c>
      <c r="C585" s="25"/>
      <c r="D585" s="25"/>
      <c r="E585" s="35" t="s">
        <v>1250</v>
      </c>
      <c r="F585" s="25" t="s">
        <v>43</v>
      </c>
      <c r="G585" s="9">
        <v>1.415149958E9</v>
      </c>
      <c r="H585" s="9">
        <v>1.149648018E9</v>
      </c>
      <c r="I585" s="9">
        <f t="shared" si="273"/>
        <v>1113733050</v>
      </c>
      <c r="J585" s="9">
        <v>3.5914968E7</v>
      </c>
      <c r="K585" s="6" t="s">
        <v>1251</v>
      </c>
      <c r="L585" s="9"/>
      <c r="M585" s="10"/>
      <c r="N585" s="14">
        <f>20031597+256562245+955633560</f>
        <v>1232227402</v>
      </c>
      <c r="O585" s="9">
        <f t="shared" si="274"/>
        <v>2528883008</v>
      </c>
      <c r="P585" s="38">
        <v>0.339</v>
      </c>
      <c r="Q585" s="9">
        <f t="shared" si="275"/>
        <v>377555504</v>
      </c>
      <c r="R585" s="9">
        <f t="shared" si="276"/>
        <v>439566250.4</v>
      </c>
      <c r="S585" s="9">
        <f t="shared" si="277"/>
        <v>857291339.7</v>
      </c>
      <c r="T585" s="9"/>
      <c r="U585" s="32" t="s">
        <v>1252</v>
      </c>
      <c r="V585" s="6"/>
      <c r="W585" s="6"/>
      <c r="X585" s="6"/>
      <c r="Y585" s="6"/>
      <c r="Z585" s="6"/>
      <c r="AA585" s="6"/>
      <c r="AB585" s="6"/>
      <c r="AC585" s="6"/>
      <c r="AD585" s="6"/>
      <c r="AE585" s="6"/>
      <c r="AF585" s="6"/>
      <c r="AG585" s="6"/>
      <c r="AH585" s="6"/>
    </row>
    <row r="586" ht="15.75" customHeight="1">
      <c r="A586" s="6"/>
      <c r="B586" s="25" t="s">
        <v>1244</v>
      </c>
      <c r="C586" s="25"/>
      <c r="D586" s="25"/>
      <c r="E586" s="25" t="s">
        <v>1253</v>
      </c>
      <c r="F586" s="25" t="s">
        <v>47</v>
      </c>
      <c r="G586" s="9">
        <v>1.5265473E7</v>
      </c>
      <c r="H586" s="9">
        <v>5.59808117E8</v>
      </c>
      <c r="I586" s="9">
        <f t="shared" si="273"/>
        <v>247930841</v>
      </c>
      <c r="J586" s="9">
        <v>3.11877276E8</v>
      </c>
      <c r="K586" s="6" t="s">
        <v>802</v>
      </c>
      <c r="L586" s="9"/>
      <c r="M586" s="10"/>
      <c r="N586" s="10"/>
      <c r="O586" s="9">
        <f t="shared" si="274"/>
        <v>263196314</v>
      </c>
      <c r="P586" s="38">
        <v>1.0</v>
      </c>
      <c r="Q586" s="9">
        <f t="shared" si="275"/>
        <v>247930841</v>
      </c>
      <c r="R586" s="9">
        <f t="shared" si="276"/>
        <v>263196314</v>
      </c>
      <c r="S586" s="9">
        <f t="shared" si="277"/>
        <v>263196314</v>
      </c>
      <c r="T586" s="9"/>
      <c r="U586" s="32" t="s">
        <v>1254</v>
      </c>
      <c r="V586" s="6"/>
      <c r="W586" s="6"/>
      <c r="X586" s="6"/>
      <c r="Y586" s="6"/>
      <c r="Z586" s="6"/>
      <c r="AA586" s="6"/>
      <c r="AB586" s="6"/>
      <c r="AC586" s="6"/>
      <c r="AD586" s="6"/>
      <c r="AE586" s="6"/>
      <c r="AF586" s="6"/>
      <c r="AG586" s="6"/>
      <c r="AH586" s="6"/>
    </row>
    <row r="587" ht="15.75" customHeight="1">
      <c r="A587" s="6"/>
      <c r="B587" s="25" t="s">
        <v>1244</v>
      </c>
      <c r="C587" s="25"/>
      <c r="D587" s="25"/>
      <c r="E587" s="25" t="s">
        <v>1255</v>
      </c>
      <c r="F587" s="25" t="s">
        <v>29</v>
      </c>
      <c r="G587" s="9"/>
      <c r="H587" s="9"/>
      <c r="I587" s="9">
        <f t="shared" si="273"/>
        <v>0</v>
      </c>
      <c r="J587" s="9"/>
      <c r="K587" s="6"/>
      <c r="L587" s="9"/>
      <c r="M587" s="10"/>
      <c r="N587" s="10"/>
      <c r="O587" s="9">
        <f t="shared" si="274"/>
        <v>0</v>
      </c>
      <c r="P587" s="38">
        <v>1.0</v>
      </c>
      <c r="Q587" s="9">
        <f t="shared" si="275"/>
        <v>0</v>
      </c>
      <c r="R587" s="9">
        <f t="shared" si="276"/>
        <v>0</v>
      </c>
      <c r="S587" s="9">
        <f t="shared" si="277"/>
        <v>0</v>
      </c>
      <c r="T587" s="9"/>
      <c r="U587" s="32" t="s">
        <v>1256</v>
      </c>
      <c r="V587" s="6" t="s">
        <v>1257</v>
      </c>
      <c r="W587" s="6"/>
      <c r="X587" s="6"/>
      <c r="Y587" s="6"/>
      <c r="Z587" s="6"/>
      <c r="AA587" s="6"/>
      <c r="AB587" s="6"/>
      <c r="AC587" s="6"/>
      <c r="AD587" s="6"/>
      <c r="AE587" s="6"/>
      <c r="AF587" s="6"/>
      <c r="AG587" s="6"/>
      <c r="AH587" s="6"/>
    </row>
    <row r="588" ht="15.75" customHeight="1">
      <c r="A588" s="6"/>
      <c r="B588" s="25" t="s">
        <v>1244</v>
      </c>
      <c r="C588" s="25"/>
      <c r="D588" s="25"/>
      <c r="E588" s="25" t="s">
        <v>1258</v>
      </c>
      <c r="F588" s="25" t="s">
        <v>29</v>
      </c>
      <c r="G588" s="9"/>
      <c r="H588" s="9">
        <f>228076000+13426000+896000+28669000+18231000+62000</f>
        <v>289360000</v>
      </c>
      <c r="I588" s="9">
        <f t="shared" si="273"/>
        <v>271129000</v>
      </c>
      <c r="J588" s="9">
        <v>1.8231E7</v>
      </c>
      <c r="K588" s="6" t="s">
        <v>1259</v>
      </c>
      <c r="L588" s="9"/>
      <c r="M588" s="10"/>
      <c r="N588" s="10"/>
      <c r="O588" s="9">
        <f t="shared" si="274"/>
        <v>271129000</v>
      </c>
      <c r="P588" s="38">
        <v>0.1191</v>
      </c>
      <c r="Q588" s="9">
        <f t="shared" si="275"/>
        <v>32291463.9</v>
      </c>
      <c r="R588" s="9">
        <f t="shared" si="276"/>
        <v>32291463.9</v>
      </c>
      <c r="S588" s="9">
        <f t="shared" si="277"/>
        <v>32291463.9</v>
      </c>
      <c r="T588" s="9"/>
      <c r="U588" s="32" t="s">
        <v>1260</v>
      </c>
      <c r="V588" s="6"/>
      <c r="W588" s="6"/>
      <c r="X588" s="6"/>
      <c r="Y588" s="6"/>
      <c r="Z588" s="6"/>
      <c r="AA588" s="6"/>
      <c r="AB588" s="6"/>
      <c r="AC588" s="6"/>
      <c r="AD588" s="6"/>
      <c r="AE588" s="6"/>
      <c r="AF588" s="6"/>
      <c r="AG588" s="6"/>
      <c r="AH588" s="6"/>
    </row>
    <row r="589" ht="15.75" customHeight="1">
      <c r="A589" s="6"/>
      <c r="B589" s="25" t="s">
        <v>1244</v>
      </c>
      <c r="C589" s="25"/>
      <c r="D589" s="25"/>
      <c r="E589" s="25" t="s">
        <v>1261</v>
      </c>
      <c r="F589" s="25" t="s">
        <v>29</v>
      </c>
      <c r="G589" s="9"/>
      <c r="H589" s="9"/>
      <c r="I589" s="9">
        <f t="shared" si="273"/>
        <v>0</v>
      </c>
      <c r="J589" s="9"/>
      <c r="K589" s="6"/>
      <c r="L589" s="9"/>
      <c r="M589" s="10"/>
      <c r="N589" s="10"/>
      <c r="O589" s="9">
        <f t="shared" si="274"/>
        <v>0</v>
      </c>
      <c r="P589" s="38">
        <v>0.1636</v>
      </c>
      <c r="Q589" s="9">
        <f t="shared" si="275"/>
        <v>0</v>
      </c>
      <c r="R589" s="9">
        <f t="shared" si="276"/>
        <v>0</v>
      </c>
      <c r="S589" s="9">
        <f t="shared" si="277"/>
        <v>0</v>
      </c>
      <c r="T589" s="9"/>
      <c r="U589" s="6" t="s">
        <v>60</v>
      </c>
      <c r="V589" s="6"/>
      <c r="W589" s="6"/>
      <c r="X589" s="6"/>
      <c r="Y589" s="6"/>
      <c r="Z589" s="6"/>
      <c r="AA589" s="6"/>
      <c r="AB589" s="6"/>
      <c r="AC589" s="6"/>
      <c r="AD589" s="6"/>
      <c r="AE589" s="6"/>
      <c r="AF589" s="6"/>
      <c r="AG589" s="6"/>
      <c r="AH589" s="6"/>
    </row>
    <row r="590" ht="15.75" customHeight="1">
      <c r="A590" s="6"/>
      <c r="B590" s="25"/>
      <c r="C590" s="25"/>
      <c r="D590" s="25"/>
      <c r="E590" s="41" t="s">
        <v>35</v>
      </c>
      <c r="F590" s="25"/>
      <c r="G590" s="9"/>
      <c r="H590" s="9"/>
      <c r="I590" s="9"/>
      <c r="J590" s="9"/>
      <c r="K590" s="6"/>
      <c r="L590" s="9"/>
      <c r="M590" s="10"/>
      <c r="N590" s="10"/>
      <c r="O590" s="9"/>
      <c r="P590" s="26" t="s">
        <v>1262</v>
      </c>
      <c r="Q590" s="19">
        <f t="shared" ref="Q590:S590" si="278">SUM(Q583:Q589)</f>
        <v>3228079134</v>
      </c>
      <c r="R590" s="19">
        <f t="shared" si="278"/>
        <v>4043050628</v>
      </c>
      <c r="S590" s="19">
        <f t="shared" si="278"/>
        <v>4496338607</v>
      </c>
      <c r="T590" s="20">
        <v>1.962286638E9</v>
      </c>
      <c r="U590" s="6"/>
      <c r="V590" s="6"/>
      <c r="W590" s="6"/>
      <c r="X590" s="6"/>
      <c r="Y590" s="6"/>
      <c r="Z590" s="6"/>
      <c r="AA590" s="6"/>
      <c r="AB590" s="6"/>
      <c r="AC590" s="6"/>
      <c r="AD590" s="6"/>
      <c r="AE590" s="6"/>
      <c r="AF590" s="6"/>
      <c r="AG590" s="6"/>
      <c r="AH590" s="6"/>
    </row>
    <row r="591" ht="15.75" customHeight="1">
      <c r="A591" s="6">
        <v>46.0</v>
      </c>
      <c r="B591" s="25" t="s">
        <v>36</v>
      </c>
      <c r="C591" s="42" t="s">
        <v>37</v>
      </c>
      <c r="D591" s="25"/>
      <c r="E591" s="25"/>
      <c r="F591" s="7" t="s">
        <v>1</v>
      </c>
      <c r="G591" s="21">
        <v>5.8888202E10</v>
      </c>
      <c r="H591" s="22">
        <v>1.79355805E11</v>
      </c>
      <c r="I591" s="9">
        <f t="shared" ref="I591:I606" si="279">H591-J591</f>
        <v>179355805000</v>
      </c>
      <c r="J591" s="9"/>
      <c r="K591" s="6"/>
      <c r="L591" s="9"/>
      <c r="M591" s="21">
        <v>9.03E8</v>
      </c>
      <c r="N591" s="23">
        <v>1.3836881E10</v>
      </c>
      <c r="O591" s="9">
        <f t="shared" ref="O591:O606" si="280">G591+I591</f>
        <v>238244007000</v>
      </c>
      <c r="P591" s="31">
        <v>0.0108</v>
      </c>
      <c r="Q591" s="9">
        <f t="shared" ref="Q591:Q606" si="281">I591*P591</f>
        <v>1937042694</v>
      </c>
      <c r="R591" s="9">
        <f t="shared" ref="R591:R606" si="282">(O591-N591-M591)*P591</f>
        <v>2413844561</v>
      </c>
      <c r="S591" s="9">
        <f t="shared" ref="S591:S606" si="283">O591*P591</f>
        <v>2573035276</v>
      </c>
      <c r="T591" s="12"/>
      <c r="U591" s="16" t="s">
        <v>38</v>
      </c>
      <c r="V591" s="6"/>
      <c r="W591" s="6"/>
      <c r="X591" s="6"/>
      <c r="Y591" s="6"/>
      <c r="Z591" s="6"/>
      <c r="AA591" s="6"/>
      <c r="AB591" s="6"/>
      <c r="AC591" s="6"/>
      <c r="AD591" s="6"/>
      <c r="AE591" s="6"/>
      <c r="AF591" s="6"/>
      <c r="AG591" s="6"/>
      <c r="AH591" s="6"/>
    </row>
    <row r="592" ht="15.75" customHeight="1">
      <c r="A592" s="6"/>
      <c r="B592" s="25" t="s">
        <v>36</v>
      </c>
      <c r="C592" s="25"/>
      <c r="D592" s="25" t="s">
        <v>1263</v>
      </c>
      <c r="E592" s="25"/>
      <c r="F592" s="25" t="s">
        <v>3</v>
      </c>
      <c r="G592" s="50">
        <v>2.61028E8</v>
      </c>
      <c r="H592" s="9">
        <v>9.24171E8</v>
      </c>
      <c r="I592" s="9">
        <f t="shared" si="279"/>
        <v>924171000</v>
      </c>
      <c r="J592" s="9"/>
      <c r="K592" s="6"/>
      <c r="L592" s="9"/>
      <c r="M592" s="10"/>
      <c r="N592" s="10"/>
      <c r="O592" s="9">
        <f t="shared" si="280"/>
        <v>1185199000</v>
      </c>
      <c r="P592" s="38">
        <v>1.0</v>
      </c>
      <c r="Q592" s="9">
        <f t="shared" si="281"/>
        <v>924171000</v>
      </c>
      <c r="R592" s="9">
        <f t="shared" si="282"/>
        <v>1185199000</v>
      </c>
      <c r="S592" s="9">
        <f t="shared" si="283"/>
        <v>1185199000</v>
      </c>
      <c r="T592" s="9"/>
      <c r="U592" s="40" t="s">
        <v>1264</v>
      </c>
      <c r="V592" s="6"/>
      <c r="W592" s="6"/>
      <c r="X592" s="6"/>
      <c r="Y592" s="6"/>
      <c r="Z592" s="6"/>
      <c r="AA592" s="6"/>
      <c r="AB592" s="6"/>
      <c r="AC592" s="6"/>
      <c r="AD592" s="6"/>
      <c r="AE592" s="6"/>
      <c r="AF592" s="6"/>
      <c r="AG592" s="6"/>
      <c r="AH592" s="6"/>
    </row>
    <row r="593" ht="15.75" customHeight="1">
      <c r="A593" s="6"/>
      <c r="B593" s="25" t="s">
        <v>36</v>
      </c>
      <c r="C593" s="25"/>
      <c r="D593" s="25"/>
      <c r="E593" s="25" t="s">
        <v>1265</v>
      </c>
      <c r="F593" s="25" t="s">
        <v>43</v>
      </c>
      <c r="G593" s="50">
        <v>6.5483E8</v>
      </c>
      <c r="H593" s="9">
        <v>9.3727E8</v>
      </c>
      <c r="I593" s="9">
        <f t="shared" si="279"/>
        <v>937270000</v>
      </c>
      <c r="J593" s="9"/>
      <c r="K593" s="25"/>
      <c r="L593" s="9"/>
      <c r="M593" s="10"/>
      <c r="N593" s="14">
        <v>2.49083E8</v>
      </c>
      <c r="O593" s="9">
        <f t="shared" si="280"/>
        <v>1592100000</v>
      </c>
      <c r="P593" s="38">
        <v>0.2651</v>
      </c>
      <c r="Q593" s="9">
        <f t="shared" si="281"/>
        <v>248470277</v>
      </c>
      <c r="R593" s="9">
        <f t="shared" si="282"/>
        <v>356033806.7</v>
      </c>
      <c r="S593" s="9">
        <f t="shared" si="283"/>
        <v>422065710</v>
      </c>
      <c r="T593" s="9"/>
      <c r="U593" s="40" t="s">
        <v>1266</v>
      </c>
      <c r="V593" s="6"/>
      <c r="W593" s="6"/>
      <c r="X593" s="6"/>
      <c r="Y593" s="6"/>
      <c r="Z593" s="6"/>
      <c r="AA593" s="6"/>
      <c r="AB593" s="6"/>
      <c r="AC593" s="6"/>
      <c r="AD593" s="6"/>
      <c r="AE593" s="6"/>
      <c r="AF593" s="6"/>
      <c r="AG593" s="6"/>
      <c r="AH593" s="6"/>
    </row>
    <row r="594" ht="15.75" customHeight="1">
      <c r="A594" s="6"/>
      <c r="B594" s="25" t="s">
        <v>36</v>
      </c>
      <c r="C594" s="25"/>
      <c r="D594" s="25"/>
      <c r="E594" s="25" t="s">
        <v>1267</v>
      </c>
      <c r="F594" s="25" t="s">
        <v>47</v>
      </c>
      <c r="G594" s="9">
        <v>2893140.0</v>
      </c>
      <c r="H594" s="9">
        <v>5.71593108E8</v>
      </c>
      <c r="I594" s="9">
        <f t="shared" si="279"/>
        <v>319640987</v>
      </c>
      <c r="J594" s="9">
        <f>231854889+1420482+18676750</f>
        <v>251952121</v>
      </c>
      <c r="K594" s="6" t="s">
        <v>1268</v>
      </c>
      <c r="L594" s="9"/>
      <c r="M594" s="10"/>
      <c r="N594" s="10"/>
      <c r="O594" s="9">
        <f t="shared" si="280"/>
        <v>322534127</v>
      </c>
      <c r="P594" s="38">
        <v>1.0</v>
      </c>
      <c r="Q594" s="9">
        <f t="shared" si="281"/>
        <v>319640987</v>
      </c>
      <c r="R594" s="9">
        <f t="shared" si="282"/>
        <v>322534127</v>
      </c>
      <c r="S594" s="9">
        <f t="shared" si="283"/>
        <v>322534127</v>
      </c>
      <c r="T594" s="9"/>
      <c r="U594" s="40" t="s">
        <v>1269</v>
      </c>
      <c r="V594" s="6"/>
      <c r="W594" s="6"/>
      <c r="X594" s="6"/>
      <c r="Y594" s="6"/>
      <c r="Z594" s="6"/>
      <c r="AA594" s="6"/>
      <c r="AB594" s="6"/>
      <c r="AC594" s="6"/>
      <c r="AD594" s="6"/>
      <c r="AE594" s="6"/>
      <c r="AF594" s="6"/>
      <c r="AG594" s="6"/>
      <c r="AH594" s="6"/>
    </row>
    <row r="595" ht="15.75" customHeight="1">
      <c r="A595" s="6"/>
      <c r="B595" s="25" t="s">
        <v>36</v>
      </c>
      <c r="C595" s="25"/>
      <c r="D595" s="25"/>
      <c r="E595" s="25" t="s">
        <v>1270</v>
      </c>
      <c r="F595" s="25" t="s">
        <v>29</v>
      </c>
      <c r="G595" s="9"/>
      <c r="H595" s="9">
        <f>693663000+14902000+46626000+16194000</f>
        <v>771385000</v>
      </c>
      <c r="I595" s="9">
        <f t="shared" si="279"/>
        <v>771385000</v>
      </c>
      <c r="J595" s="9"/>
      <c r="K595" s="6"/>
      <c r="L595" s="9"/>
      <c r="M595" s="10"/>
      <c r="N595" s="10"/>
      <c r="O595" s="9">
        <f t="shared" si="280"/>
        <v>771385000</v>
      </c>
      <c r="P595" s="38">
        <v>0.3011</v>
      </c>
      <c r="Q595" s="9">
        <f t="shared" si="281"/>
        <v>232264023.5</v>
      </c>
      <c r="R595" s="9">
        <f t="shared" si="282"/>
        <v>232264023.5</v>
      </c>
      <c r="S595" s="9">
        <f t="shared" si="283"/>
        <v>232264023.5</v>
      </c>
      <c r="T595" s="9"/>
      <c r="U595" s="40" t="s">
        <v>1271</v>
      </c>
      <c r="V595" s="6"/>
      <c r="W595" s="6"/>
      <c r="X595" s="6"/>
      <c r="Y595" s="6"/>
      <c r="Z595" s="6"/>
      <c r="AA595" s="6"/>
      <c r="AB595" s="6"/>
      <c r="AC595" s="6"/>
      <c r="AD595" s="6"/>
      <c r="AE595" s="6"/>
      <c r="AF595" s="6"/>
      <c r="AG595" s="6"/>
      <c r="AH595" s="6"/>
    </row>
    <row r="596" ht="15.75" customHeight="1">
      <c r="A596" s="6"/>
      <c r="B596" s="25" t="s">
        <v>36</v>
      </c>
      <c r="C596" s="25"/>
      <c r="D596" s="25"/>
      <c r="E596" s="25" t="s">
        <v>1272</v>
      </c>
      <c r="F596" s="25" t="s">
        <v>29</v>
      </c>
      <c r="G596" s="9"/>
      <c r="H596" s="9">
        <f>40821178+958683284+12587675+26086558+49953561+3810088</f>
        <v>1091942344</v>
      </c>
      <c r="I596" s="9">
        <f t="shared" si="279"/>
        <v>1079354669</v>
      </c>
      <c r="J596" s="9">
        <v>1.2587675E7</v>
      </c>
      <c r="K596" s="6" t="s">
        <v>1273</v>
      </c>
      <c r="L596" s="9"/>
      <c r="M596" s="10"/>
      <c r="N596" s="10"/>
      <c r="O596" s="9">
        <f t="shared" si="280"/>
        <v>1079354669</v>
      </c>
      <c r="P596" s="38">
        <v>1.0</v>
      </c>
      <c r="Q596" s="9">
        <f t="shared" si="281"/>
        <v>1079354669</v>
      </c>
      <c r="R596" s="9">
        <f t="shared" si="282"/>
        <v>1079354669</v>
      </c>
      <c r="S596" s="9">
        <f t="shared" si="283"/>
        <v>1079354669</v>
      </c>
      <c r="T596" s="9"/>
      <c r="U596" s="40" t="s">
        <v>1274</v>
      </c>
      <c r="V596" s="6"/>
      <c r="W596" s="6"/>
      <c r="X596" s="6"/>
      <c r="Y596" s="6"/>
      <c r="Z596" s="6"/>
      <c r="AA596" s="6"/>
      <c r="AB596" s="6"/>
      <c r="AC596" s="6"/>
      <c r="AD596" s="6"/>
      <c r="AE596" s="6"/>
      <c r="AF596" s="6"/>
      <c r="AG596" s="6"/>
      <c r="AH596" s="6"/>
    </row>
    <row r="597" ht="15.75" customHeight="1">
      <c r="A597" s="6"/>
      <c r="B597" s="25" t="s">
        <v>36</v>
      </c>
      <c r="C597" s="25"/>
      <c r="D597" s="25"/>
      <c r="E597" s="25" t="s">
        <v>1275</v>
      </c>
      <c r="F597" s="25" t="s">
        <v>29</v>
      </c>
      <c r="G597" s="9"/>
      <c r="H597" s="9">
        <f>512919000+29948000+3897000+4346000+17026000+1539000</f>
        <v>569675000</v>
      </c>
      <c r="I597" s="9">
        <f t="shared" si="279"/>
        <v>539727000</v>
      </c>
      <c r="J597" s="9">
        <v>2.9948E7</v>
      </c>
      <c r="K597" s="6" t="s">
        <v>1276</v>
      </c>
      <c r="L597" s="9"/>
      <c r="M597" s="10"/>
      <c r="N597" s="14">
        <v>4.99516E8</v>
      </c>
      <c r="O597" s="9">
        <f t="shared" si="280"/>
        <v>539727000</v>
      </c>
      <c r="P597" s="38">
        <v>0.255</v>
      </c>
      <c r="Q597" s="9">
        <f t="shared" si="281"/>
        <v>137630385</v>
      </c>
      <c r="R597" s="9">
        <f t="shared" si="282"/>
        <v>10253805</v>
      </c>
      <c r="S597" s="9">
        <f t="shared" si="283"/>
        <v>137630385</v>
      </c>
      <c r="T597" s="9"/>
      <c r="U597" s="40" t="s">
        <v>1277</v>
      </c>
      <c r="V597" s="6"/>
      <c r="W597" s="6"/>
      <c r="X597" s="6"/>
      <c r="Y597" s="6"/>
      <c r="Z597" s="6"/>
      <c r="AA597" s="6"/>
      <c r="AB597" s="6"/>
      <c r="AC597" s="6"/>
      <c r="AD597" s="6"/>
      <c r="AE597" s="6"/>
      <c r="AF597" s="6"/>
      <c r="AG597" s="6"/>
      <c r="AH597" s="6"/>
    </row>
    <row r="598" ht="15.75" customHeight="1">
      <c r="A598" s="6"/>
      <c r="B598" s="25" t="s">
        <v>36</v>
      </c>
      <c r="C598" s="25"/>
      <c r="D598" s="25"/>
      <c r="E598" s="25" t="s">
        <v>1278</v>
      </c>
      <c r="F598" s="25" t="s">
        <v>29</v>
      </c>
      <c r="G598" s="9"/>
      <c r="H598" s="9">
        <v>3.41379997E8</v>
      </c>
      <c r="I598" s="9">
        <f t="shared" si="279"/>
        <v>339900234</v>
      </c>
      <c r="J598" s="9">
        <v>1479763.0</v>
      </c>
      <c r="K598" s="6" t="s">
        <v>1279</v>
      </c>
      <c r="L598" s="9"/>
      <c r="M598" s="10"/>
      <c r="N598" s="10"/>
      <c r="O598" s="9">
        <f t="shared" si="280"/>
        <v>339900234</v>
      </c>
      <c r="P598" s="38">
        <v>0.255</v>
      </c>
      <c r="Q598" s="9">
        <f t="shared" si="281"/>
        <v>86674559.67</v>
      </c>
      <c r="R598" s="9">
        <f t="shared" si="282"/>
        <v>86674559.67</v>
      </c>
      <c r="S598" s="9">
        <f t="shared" si="283"/>
        <v>86674559.67</v>
      </c>
      <c r="T598" s="9"/>
      <c r="U598" s="40" t="s">
        <v>1280</v>
      </c>
      <c r="V598" s="6"/>
      <c r="W598" s="6"/>
      <c r="X598" s="6"/>
      <c r="Y598" s="6"/>
      <c r="Z598" s="6"/>
      <c r="AA598" s="6"/>
      <c r="AB598" s="6"/>
      <c r="AC598" s="6"/>
      <c r="AD598" s="6"/>
      <c r="AE598" s="6"/>
      <c r="AF598" s="6"/>
      <c r="AG598" s="6"/>
      <c r="AH598" s="6"/>
    </row>
    <row r="599" ht="15.75" customHeight="1">
      <c r="A599" s="6"/>
      <c r="B599" s="25" t="s">
        <v>36</v>
      </c>
      <c r="C599" s="25"/>
      <c r="D599" s="25"/>
      <c r="E599" s="25" t="s">
        <v>460</v>
      </c>
      <c r="F599" s="25" t="s">
        <v>29</v>
      </c>
      <c r="G599" s="9">
        <v>6.88687936E8</v>
      </c>
      <c r="H599" s="9">
        <v>-3.62772629E8</v>
      </c>
      <c r="I599" s="9">
        <f t="shared" si="279"/>
        <v>-132443481</v>
      </c>
      <c r="J599" s="9">
        <v>-2.30329148E8</v>
      </c>
      <c r="K599" s="6" t="s">
        <v>1281</v>
      </c>
      <c r="L599" s="9"/>
      <c r="M599" s="10"/>
      <c r="N599" s="10"/>
      <c r="O599" s="9">
        <f t="shared" si="280"/>
        <v>556244455</v>
      </c>
      <c r="P599" s="38">
        <v>0.0524</v>
      </c>
      <c r="Q599" s="9">
        <f t="shared" si="281"/>
        <v>-6940038.404</v>
      </c>
      <c r="R599" s="9">
        <f t="shared" si="282"/>
        <v>29147209.44</v>
      </c>
      <c r="S599" s="9">
        <f t="shared" si="283"/>
        <v>29147209.44</v>
      </c>
      <c r="T599" s="9"/>
      <c r="U599" s="40" t="s">
        <v>462</v>
      </c>
      <c r="V599" s="6"/>
      <c r="W599" s="6"/>
      <c r="X599" s="6"/>
      <c r="Y599" s="6"/>
      <c r="Z599" s="6"/>
      <c r="AA599" s="6"/>
      <c r="AB599" s="6"/>
      <c r="AC599" s="6"/>
      <c r="AD599" s="6"/>
      <c r="AE599" s="6"/>
      <c r="AF599" s="6"/>
      <c r="AG599" s="6"/>
      <c r="AH599" s="6"/>
    </row>
    <row r="600" ht="15.75" customHeight="1">
      <c r="A600" s="6"/>
      <c r="B600" s="25" t="s">
        <v>36</v>
      </c>
      <c r="C600" s="25"/>
      <c r="D600" s="25"/>
      <c r="E600" s="25" t="s">
        <v>1282</v>
      </c>
      <c r="F600" s="25" t="s">
        <v>29</v>
      </c>
      <c r="G600" s="9"/>
      <c r="H600" s="9"/>
      <c r="I600" s="9">
        <f t="shared" si="279"/>
        <v>0</v>
      </c>
      <c r="J600" s="9"/>
      <c r="K600" s="6"/>
      <c r="L600" s="9"/>
      <c r="M600" s="10"/>
      <c r="N600" s="10"/>
      <c r="O600" s="9">
        <f t="shared" si="280"/>
        <v>0</v>
      </c>
      <c r="P600" s="38">
        <v>0.255</v>
      </c>
      <c r="Q600" s="9">
        <f t="shared" si="281"/>
        <v>0</v>
      </c>
      <c r="R600" s="9">
        <f t="shared" si="282"/>
        <v>0</v>
      </c>
      <c r="S600" s="9">
        <f t="shared" si="283"/>
        <v>0</v>
      </c>
      <c r="T600" s="9"/>
      <c r="U600" s="6"/>
      <c r="V600" s="6" t="s">
        <v>60</v>
      </c>
      <c r="W600" s="6"/>
      <c r="X600" s="6"/>
      <c r="Y600" s="6"/>
      <c r="Z600" s="6"/>
      <c r="AA600" s="6"/>
      <c r="AB600" s="6"/>
      <c r="AC600" s="6"/>
      <c r="AD600" s="6"/>
      <c r="AE600" s="6"/>
      <c r="AF600" s="6"/>
      <c r="AG600" s="6"/>
      <c r="AH600" s="6"/>
    </row>
    <row r="601" ht="15.75" customHeight="1">
      <c r="A601" s="6"/>
      <c r="B601" s="25" t="s">
        <v>36</v>
      </c>
      <c r="C601" s="25"/>
      <c r="D601" s="25"/>
      <c r="E601" s="25" t="s">
        <v>1283</v>
      </c>
      <c r="F601" s="25" t="s">
        <v>29</v>
      </c>
      <c r="G601" s="9"/>
      <c r="H601" s="9">
        <f>61997000+149103000+101743000+90656000+31283000+41172000+26638000+687000+933000</f>
        <v>504212000</v>
      </c>
      <c r="I601" s="9">
        <f t="shared" si="279"/>
        <v>431757000</v>
      </c>
      <c r="J601" s="9">
        <f>31283000+41172000</f>
        <v>72455000</v>
      </c>
      <c r="K601" s="6" t="s">
        <v>1284</v>
      </c>
      <c r="L601" s="9"/>
      <c r="M601" s="10"/>
      <c r="N601" s="10"/>
      <c r="O601" s="9">
        <f t="shared" si="280"/>
        <v>431757000</v>
      </c>
      <c r="P601" s="38">
        <v>0.255</v>
      </c>
      <c r="Q601" s="9">
        <f t="shared" si="281"/>
        <v>110098035</v>
      </c>
      <c r="R601" s="9">
        <f t="shared" si="282"/>
        <v>110098035</v>
      </c>
      <c r="S601" s="9">
        <f t="shared" si="283"/>
        <v>110098035</v>
      </c>
      <c r="T601" s="9"/>
      <c r="U601" s="40" t="s">
        <v>1285</v>
      </c>
      <c r="V601" s="6"/>
      <c r="W601" s="6"/>
      <c r="X601" s="6"/>
      <c r="Y601" s="6"/>
      <c r="Z601" s="6"/>
      <c r="AA601" s="6"/>
      <c r="AB601" s="6"/>
      <c r="AC601" s="6"/>
      <c r="AD601" s="6"/>
      <c r="AE601" s="6"/>
      <c r="AF601" s="6"/>
      <c r="AG601" s="6"/>
      <c r="AH601" s="6"/>
    </row>
    <row r="602" ht="15.75" customHeight="1">
      <c r="A602" s="6"/>
      <c r="B602" s="25" t="s">
        <v>36</v>
      </c>
      <c r="C602" s="25"/>
      <c r="D602" s="25"/>
      <c r="E602" s="25" t="s">
        <v>1286</v>
      </c>
      <c r="F602" s="25" t="s">
        <v>29</v>
      </c>
      <c r="G602" s="9">
        <v>1.742252E7</v>
      </c>
      <c r="H602" s="9">
        <v>1.79304855E8</v>
      </c>
      <c r="I602" s="9">
        <f t="shared" si="279"/>
        <v>179304855</v>
      </c>
      <c r="J602" s="9"/>
      <c r="K602" s="6"/>
      <c r="L602" s="9"/>
      <c r="M602" s="10"/>
      <c r="N602" s="10"/>
      <c r="O602" s="9">
        <f t="shared" si="280"/>
        <v>196727375</v>
      </c>
      <c r="P602" s="38">
        <v>0.1525</v>
      </c>
      <c r="Q602" s="9">
        <f t="shared" si="281"/>
        <v>27343990.39</v>
      </c>
      <c r="R602" s="9">
        <f t="shared" si="282"/>
        <v>30000924.69</v>
      </c>
      <c r="S602" s="9">
        <f t="shared" si="283"/>
        <v>30000924.69</v>
      </c>
      <c r="T602" s="9"/>
      <c r="U602" s="40" t="s">
        <v>1287</v>
      </c>
      <c r="V602" s="6"/>
      <c r="W602" s="6"/>
      <c r="X602" s="6"/>
      <c r="Y602" s="6"/>
      <c r="Z602" s="6"/>
      <c r="AA602" s="6"/>
      <c r="AB602" s="6"/>
      <c r="AC602" s="6"/>
      <c r="AD602" s="6"/>
      <c r="AE602" s="6"/>
      <c r="AF602" s="6"/>
      <c r="AG602" s="6"/>
      <c r="AH602" s="6"/>
    </row>
    <row r="603" ht="15.75" customHeight="1">
      <c r="A603" s="6"/>
      <c r="B603" s="25" t="s">
        <v>36</v>
      </c>
      <c r="C603" s="25"/>
      <c r="D603" s="25"/>
      <c r="E603" s="25" t="s">
        <v>674</v>
      </c>
      <c r="F603" s="25" t="s">
        <v>29</v>
      </c>
      <c r="G603" s="9"/>
      <c r="H603" s="9">
        <f>394934000+266895000+170582000+282938000+19653000</f>
        <v>1135002000</v>
      </c>
      <c r="I603" s="9">
        <f t="shared" si="279"/>
        <v>1135002000</v>
      </c>
      <c r="J603" s="9"/>
      <c r="K603" s="6"/>
      <c r="L603" s="9"/>
      <c r="M603" s="10"/>
      <c r="N603" s="10"/>
      <c r="O603" s="9">
        <f t="shared" si="280"/>
        <v>1135002000</v>
      </c>
      <c r="P603" s="38">
        <v>0.0898</v>
      </c>
      <c r="Q603" s="9">
        <f t="shared" si="281"/>
        <v>101923179.6</v>
      </c>
      <c r="R603" s="9">
        <f t="shared" si="282"/>
        <v>101923179.6</v>
      </c>
      <c r="S603" s="9">
        <f t="shared" si="283"/>
        <v>101923179.6</v>
      </c>
      <c r="T603" s="9"/>
      <c r="U603" s="40" t="s">
        <v>675</v>
      </c>
      <c r="V603" s="6"/>
      <c r="W603" s="6"/>
      <c r="X603" s="6"/>
      <c r="Y603" s="6"/>
      <c r="Z603" s="6"/>
      <c r="AA603" s="6"/>
      <c r="AB603" s="6"/>
      <c r="AC603" s="6"/>
      <c r="AD603" s="6"/>
      <c r="AE603" s="6"/>
      <c r="AF603" s="6"/>
      <c r="AG603" s="6"/>
      <c r="AH603" s="6"/>
    </row>
    <row r="604" ht="15.75" customHeight="1">
      <c r="A604" s="6"/>
      <c r="B604" s="25" t="s">
        <v>36</v>
      </c>
      <c r="C604" s="25"/>
      <c r="D604" s="25"/>
      <c r="E604" s="25" t="s">
        <v>463</v>
      </c>
      <c r="F604" s="25" t="s">
        <v>29</v>
      </c>
      <c r="G604" s="9">
        <v>5.5722285E7</v>
      </c>
      <c r="H604" s="9">
        <v>3.9318879E7</v>
      </c>
      <c r="I604" s="9">
        <f t="shared" si="279"/>
        <v>39318879</v>
      </c>
      <c r="J604" s="9"/>
      <c r="K604" s="6"/>
      <c r="L604" s="9"/>
      <c r="M604" s="10"/>
      <c r="N604" s="10"/>
      <c r="O604" s="9">
        <f t="shared" si="280"/>
        <v>95041164</v>
      </c>
      <c r="P604" s="38">
        <v>0.0524</v>
      </c>
      <c r="Q604" s="9">
        <f t="shared" si="281"/>
        <v>2060309.26</v>
      </c>
      <c r="R604" s="9">
        <f t="shared" si="282"/>
        <v>4980156.994</v>
      </c>
      <c r="S604" s="9">
        <f t="shared" si="283"/>
        <v>4980156.994</v>
      </c>
      <c r="T604" s="9"/>
      <c r="U604" s="40" t="s">
        <v>464</v>
      </c>
      <c r="V604" s="6"/>
      <c r="W604" s="6"/>
      <c r="X604" s="6"/>
      <c r="Y604" s="6"/>
      <c r="Z604" s="6"/>
      <c r="AA604" s="6"/>
      <c r="AB604" s="6"/>
      <c r="AC604" s="6"/>
      <c r="AD604" s="6"/>
      <c r="AE604" s="6"/>
      <c r="AF604" s="6"/>
      <c r="AG604" s="6"/>
      <c r="AH604" s="6"/>
    </row>
    <row r="605" ht="15.75" customHeight="1">
      <c r="A605" s="6"/>
      <c r="B605" s="25" t="s">
        <v>36</v>
      </c>
      <c r="C605" s="25"/>
      <c r="D605" s="25"/>
      <c r="E605" s="25" t="s">
        <v>676</v>
      </c>
      <c r="F605" s="25" t="s">
        <v>29</v>
      </c>
      <c r="G605" s="9"/>
      <c r="H605" s="9">
        <f>166685000+23585000+43933000+2754000+9938000</f>
        <v>246895000</v>
      </c>
      <c r="I605" s="9">
        <f t="shared" si="279"/>
        <v>176623000</v>
      </c>
      <c r="J605" s="9">
        <f>23585000+43933000+2754000</f>
        <v>70272000</v>
      </c>
      <c r="K605" s="9" t="s">
        <v>1288</v>
      </c>
      <c r="L605" s="9"/>
      <c r="M605" s="10"/>
      <c r="N605" s="10"/>
      <c r="O605" s="9">
        <f t="shared" si="280"/>
        <v>176623000</v>
      </c>
      <c r="P605" s="38">
        <v>0.0898</v>
      </c>
      <c r="Q605" s="9">
        <f t="shared" si="281"/>
        <v>15860745.4</v>
      </c>
      <c r="R605" s="9">
        <f t="shared" si="282"/>
        <v>15860745.4</v>
      </c>
      <c r="S605" s="9">
        <f t="shared" si="283"/>
        <v>15860745.4</v>
      </c>
      <c r="T605" s="9"/>
      <c r="U605" s="40" t="s">
        <v>678</v>
      </c>
      <c r="V605" s="6"/>
      <c r="W605" s="6"/>
      <c r="X605" s="6"/>
      <c r="Y605" s="6"/>
      <c r="Z605" s="6"/>
      <c r="AA605" s="6"/>
      <c r="AB605" s="6"/>
      <c r="AC605" s="6"/>
      <c r="AD605" s="6"/>
      <c r="AE605" s="6"/>
      <c r="AF605" s="6"/>
      <c r="AG605" s="6"/>
      <c r="AH605" s="6"/>
    </row>
    <row r="606" ht="15.75" customHeight="1">
      <c r="A606" s="6"/>
      <c r="B606" s="25" t="s">
        <v>36</v>
      </c>
      <c r="C606" s="25"/>
      <c r="D606" s="25"/>
      <c r="E606" s="25" t="s">
        <v>682</v>
      </c>
      <c r="F606" s="25" t="s">
        <v>29</v>
      </c>
      <c r="G606" s="9"/>
      <c r="H606" s="9"/>
      <c r="I606" s="9">
        <f t="shared" si="279"/>
        <v>0</v>
      </c>
      <c r="J606" s="9"/>
      <c r="K606" s="6"/>
      <c r="L606" s="9"/>
      <c r="M606" s="10"/>
      <c r="N606" s="10"/>
      <c r="O606" s="9">
        <f t="shared" si="280"/>
        <v>0</v>
      </c>
      <c r="P606" s="38">
        <v>0.0898</v>
      </c>
      <c r="Q606" s="9">
        <f t="shared" si="281"/>
        <v>0</v>
      </c>
      <c r="R606" s="9">
        <f t="shared" si="282"/>
        <v>0</v>
      </c>
      <c r="S606" s="9">
        <f t="shared" si="283"/>
        <v>0</v>
      </c>
      <c r="T606" s="9"/>
      <c r="U606" s="6"/>
      <c r="V606" s="6" t="s">
        <v>60</v>
      </c>
      <c r="W606" s="6"/>
      <c r="X606" s="6"/>
      <c r="Y606" s="6"/>
      <c r="Z606" s="6"/>
      <c r="AA606" s="6"/>
      <c r="AB606" s="6"/>
      <c r="AC606" s="6"/>
      <c r="AD606" s="6"/>
      <c r="AE606" s="6"/>
      <c r="AF606" s="6"/>
      <c r="AG606" s="6"/>
      <c r="AH606" s="6"/>
    </row>
    <row r="607" ht="15.75" customHeight="1">
      <c r="A607" s="6"/>
      <c r="B607" s="25"/>
      <c r="C607" s="25"/>
      <c r="D607" s="25"/>
      <c r="E607" s="41" t="s">
        <v>35</v>
      </c>
      <c r="F607" s="25"/>
      <c r="G607" s="9"/>
      <c r="H607" s="9"/>
      <c r="I607" s="9"/>
      <c r="J607" s="9"/>
      <c r="K607" s="6"/>
      <c r="L607" s="9"/>
      <c r="M607" s="10"/>
      <c r="N607" s="10"/>
      <c r="O607" s="9"/>
      <c r="P607" s="26" t="s">
        <v>1289</v>
      </c>
      <c r="Q607" s="19">
        <f t="shared" ref="Q607:S607" si="284">SUM(Q591:Q606)</f>
        <v>5215594816</v>
      </c>
      <c r="R607" s="19">
        <f t="shared" si="284"/>
        <v>5978168803</v>
      </c>
      <c r="S607" s="19">
        <f t="shared" si="284"/>
        <v>6330768001</v>
      </c>
      <c r="T607" s="20">
        <v>2.824644447E9</v>
      </c>
      <c r="U607" s="6"/>
      <c r="V607" s="6"/>
      <c r="W607" s="6"/>
      <c r="X607" s="6"/>
      <c r="Y607" s="6"/>
      <c r="Z607" s="6"/>
      <c r="AA607" s="6"/>
      <c r="AB607" s="6"/>
      <c r="AC607" s="6"/>
      <c r="AD607" s="6"/>
      <c r="AE607" s="6"/>
      <c r="AF607" s="6"/>
      <c r="AG607" s="6"/>
      <c r="AH607" s="6"/>
    </row>
    <row r="608" ht="15.75" customHeight="1">
      <c r="A608" s="6">
        <v>47.0</v>
      </c>
      <c r="B608" s="25" t="s">
        <v>554</v>
      </c>
      <c r="C608" s="42" t="s">
        <v>555</v>
      </c>
      <c r="D608" s="25"/>
      <c r="E608" s="41"/>
      <c r="F608" s="42" t="s">
        <v>1</v>
      </c>
      <c r="G608" s="8">
        <v>2.0325056E10</v>
      </c>
      <c r="H608" s="8">
        <v>4.1905154E10</v>
      </c>
      <c r="I608" s="9">
        <f t="shared" ref="I608:I616" si="285">H608-J608</f>
        <v>41905154000</v>
      </c>
      <c r="J608" s="9"/>
      <c r="K608" s="6"/>
      <c r="L608" s="9"/>
      <c r="M608" s="10"/>
      <c r="N608" s="10"/>
      <c r="O608" s="9">
        <f t="shared" ref="O608:O616" si="286">G608+I608</f>
        <v>62230210000</v>
      </c>
      <c r="P608" s="31">
        <v>0.0189</v>
      </c>
      <c r="Q608" s="9">
        <f t="shared" ref="Q608:Q616" si="287">I608*P608</f>
        <v>792007410.6</v>
      </c>
      <c r="R608" s="9">
        <f t="shared" ref="R608:R616" si="288">(O608-N608-M608)*P608</f>
        <v>1176150969</v>
      </c>
      <c r="S608" s="9">
        <f t="shared" ref="S608:S616" si="289">O608*P608</f>
        <v>1176150969</v>
      </c>
      <c r="T608" s="9"/>
      <c r="U608" s="32" t="s">
        <v>556</v>
      </c>
      <c r="V608" s="6"/>
      <c r="W608" s="6"/>
      <c r="X608" s="6"/>
      <c r="Y608" s="6"/>
      <c r="Z608" s="6"/>
      <c r="AA608" s="6"/>
      <c r="AB608" s="6"/>
      <c r="AC608" s="6"/>
      <c r="AD608" s="6"/>
      <c r="AE608" s="6"/>
      <c r="AF608" s="6"/>
      <c r="AG608" s="6"/>
      <c r="AH608" s="6"/>
    </row>
    <row r="609" ht="15.75" customHeight="1">
      <c r="A609" s="6"/>
      <c r="B609" s="25" t="s">
        <v>554</v>
      </c>
      <c r="C609" s="25"/>
      <c r="D609" s="25" t="s">
        <v>1290</v>
      </c>
      <c r="E609" s="25"/>
      <c r="F609" s="25" t="s">
        <v>3</v>
      </c>
      <c r="G609" s="9">
        <v>4.59692931E8</v>
      </c>
      <c r="H609" s="9">
        <v>3.88609604E8</v>
      </c>
      <c r="I609" s="9">
        <f t="shared" si="285"/>
        <v>388609604</v>
      </c>
      <c r="J609" s="9"/>
      <c r="K609" s="6"/>
      <c r="L609" s="9"/>
      <c r="M609" s="10"/>
      <c r="N609" s="10"/>
      <c r="O609" s="9">
        <f t="shared" si="286"/>
        <v>848302535</v>
      </c>
      <c r="P609" s="38">
        <v>1.0</v>
      </c>
      <c r="Q609" s="9">
        <f t="shared" si="287"/>
        <v>388609604</v>
      </c>
      <c r="R609" s="9">
        <f t="shared" si="288"/>
        <v>848302535</v>
      </c>
      <c r="S609" s="9">
        <f t="shared" si="289"/>
        <v>848302535</v>
      </c>
      <c r="T609" s="9"/>
      <c r="U609" s="13" t="s">
        <v>1291</v>
      </c>
      <c r="V609" s="6"/>
      <c r="W609" s="6"/>
      <c r="X609" s="6"/>
      <c r="Y609" s="6"/>
      <c r="Z609" s="6"/>
      <c r="AA609" s="6"/>
      <c r="AB609" s="6"/>
      <c r="AC609" s="6"/>
      <c r="AD609" s="6"/>
      <c r="AE609" s="6"/>
      <c r="AF609" s="6"/>
      <c r="AG609" s="6"/>
      <c r="AH609" s="6"/>
    </row>
    <row r="610" ht="15.75" customHeight="1">
      <c r="A610" s="6"/>
      <c r="B610" s="25" t="s">
        <v>554</v>
      </c>
      <c r="C610" s="25"/>
      <c r="D610" s="25"/>
      <c r="E610" s="25" t="s">
        <v>1292</v>
      </c>
      <c r="F610" s="25" t="s">
        <v>43</v>
      </c>
      <c r="G610" s="9">
        <v>6.61108E8</v>
      </c>
      <c r="H610" s="9">
        <v>1.594531E9</v>
      </c>
      <c r="I610" s="9">
        <f t="shared" si="285"/>
        <v>1410778000</v>
      </c>
      <c r="J610" s="9">
        <v>1.83753E8</v>
      </c>
      <c r="K610" s="6" t="s">
        <v>1293</v>
      </c>
      <c r="L610" s="9"/>
      <c r="M610" s="10"/>
      <c r="N610" s="10"/>
      <c r="O610" s="9">
        <f t="shared" si="286"/>
        <v>2071886000</v>
      </c>
      <c r="P610" s="38">
        <v>0.257</v>
      </c>
      <c r="Q610" s="9">
        <f t="shared" si="287"/>
        <v>362569946</v>
      </c>
      <c r="R610" s="9">
        <f t="shared" si="288"/>
        <v>532474702</v>
      </c>
      <c r="S610" s="9">
        <f t="shared" si="289"/>
        <v>532474702</v>
      </c>
      <c r="T610" s="9"/>
      <c r="U610" s="13" t="s">
        <v>1294</v>
      </c>
      <c r="V610" s="6"/>
      <c r="W610" s="6"/>
      <c r="X610" s="6"/>
      <c r="Y610" s="6"/>
      <c r="Z610" s="6"/>
      <c r="AA610" s="6"/>
      <c r="AB610" s="6"/>
      <c r="AC610" s="6"/>
      <c r="AD610" s="6"/>
      <c r="AE610" s="6"/>
      <c r="AF610" s="6"/>
      <c r="AG610" s="6"/>
      <c r="AH610" s="6"/>
    </row>
    <row r="611" ht="15.75" customHeight="1">
      <c r="A611" s="6"/>
      <c r="B611" s="25" t="s">
        <v>554</v>
      </c>
      <c r="C611" s="25"/>
      <c r="D611" s="25"/>
      <c r="E611" s="25" t="s">
        <v>1295</v>
      </c>
      <c r="F611" s="25" t="s">
        <v>47</v>
      </c>
      <c r="G611" s="9">
        <v>4.0662832E7</v>
      </c>
      <c r="H611" s="9">
        <v>2.306365149E9</v>
      </c>
      <c r="I611" s="9">
        <f t="shared" si="285"/>
        <v>911967406</v>
      </c>
      <c r="J611" s="9">
        <v>1.394397743E9</v>
      </c>
      <c r="K611" s="6" t="s">
        <v>40</v>
      </c>
      <c r="L611" s="9"/>
      <c r="M611" s="10"/>
      <c r="N611" s="10"/>
      <c r="O611" s="9">
        <f t="shared" si="286"/>
        <v>952630238</v>
      </c>
      <c r="P611" s="38">
        <v>0.2713</v>
      </c>
      <c r="Q611" s="9">
        <f t="shared" si="287"/>
        <v>247416757.2</v>
      </c>
      <c r="R611" s="9">
        <f t="shared" si="288"/>
        <v>258448583.6</v>
      </c>
      <c r="S611" s="9">
        <f t="shared" si="289"/>
        <v>258448583.6</v>
      </c>
      <c r="T611" s="9"/>
      <c r="U611" s="13" t="s">
        <v>1296</v>
      </c>
      <c r="V611" s="6"/>
      <c r="W611" s="6"/>
      <c r="X611" s="6"/>
      <c r="Y611" s="6"/>
      <c r="Z611" s="6"/>
      <c r="AA611" s="6"/>
      <c r="AB611" s="6"/>
      <c r="AC611" s="6"/>
      <c r="AD611" s="6"/>
      <c r="AE611" s="6"/>
      <c r="AF611" s="6"/>
      <c r="AG611" s="6"/>
      <c r="AH611" s="6"/>
    </row>
    <row r="612" ht="15.75" customHeight="1">
      <c r="A612" s="6"/>
      <c r="B612" s="25" t="s">
        <v>554</v>
      </c>
      <c r="C612" s="25"/>
      <c r="D612" s="25"/>
      <c r="E612" s="25" t="s">
        <v>1297</v>
      </c>
      <c r="F612" s="25" t="s">
        <v>29</v>
      </c>
      <c r="G612" s="9">
        <v>3234530.0</v>
      </c>
      <c r="H612" s="9">
        <v>1.32438814E8</v>
      </c>
      <c r="I612" s="9">
        <f t="shared" si="285"/>
        <v>132438814</v>
      </c>
      <c r="J612" s="9"/>
      <c r="K612" s="6"/>
      <c r="L612" s="9"/>
      <c r="M612" s="10"/>
      <c r="N612" s="10"/>
      <c r="O612" s="9">
        <f t="shared" si="286"/>
        <v>135673344</v>
      </c>
      <c r="P612" s="38">
        <v>0.0637</v>
      </c>
      <c r="Q612" s="9">
        <f t="shared" si="287"/>
        <v>8436352.452</v>
      </c>
      <c r="R612" s="9">
        <f t="shared" si="288"/>
        <v>8642392.013</v>
      </c>
      <c r="S612" s="9">
        <f t="shared" si="289"/>
        <v>8642392.013</v>
      </c>
      <c r="T612" s="9"/>
      <c r="U612" s="13" t="s">
        <v>1298</v>
      </c>
      <c r="V612" s="6"/>
      <c r="W612" s="6"/>
      <c r="X612" s="6"/>
      <c r="Y612" s="6"/>
      <c r="Z612" s="6"/>
      <c r="AA612" s="6"/>
      <c r="AB612" s="6"/>
      <c r="AC612" s="6"/>
      <c r="AD612" s="6"/>
      <c r="AE612" s="6"/>
      <c r="AF612" s="6"/>
      <c r="AG612" s="6"/>
      <c r="AH612" s="6"/>
    </row>
    <row r="613" ht="15.75" customHeight="1">
      <c r="A613" s="6"/>
      <c r="B613" s="25" t="s">
        <v>554</v>
      </c>
      <c r="C613" s="25"/>
      <c r="D613" s="25"/>
      <c r="E613" s="25" t="s">
        <v>1299</v>
      </c>
      <c r="F613" s="25" t="s">
        <v>29</v>
      </c>
      <c r="G613" s="9"/>
      <c r="H613" s="9">
        <f>499008670+1754798+351320+8359286+4085</f>
        <v>509478159</v>
      </c>
      <c r="I613" s="9">
        <f t="shared" si="285"/>
        <v>133082895</v>
      </c>
      <c r="J613" s="9">
        <f>376395264</f>
        <v>376395264</v>
      </c>
      <c r="K613" s="6" t="s">
        <v>1300</v>
      </c>
      <c r="L613" s="9"/>
      <c r="M613" s="10"/>
      <c r="N613" s="10"/>
      <c r="O613" s="9">
        <f t="shared" si="286"/>
        <v>133082895</v>
      </c>
      <c r="P613" s="38">
        <v>1.0</v>
      </c>
      <c r="Q613" s="9">
        <f t="shared" si="287"/>
        <v>133082895</v>
      </c>
      <c r="R613" s="9">
        <f t="shared" si="288"/>
        <v>133082895</v>
      </c>
      <c r="S613" s="9">
        <f t="shared" si="289"/>
        <v>133082895</v>
      </c>
      <c r="T613" s="9"/>
      <c r="U613" s="13" t="s">
        <v>1301</v>
      </c>
      <c r="V613" s="6"/>
      <c r="W613" s="6"/>
      <c r="X613" s="6"/>
      <c r="Y613" s="6"/>
      <c r="Z613" s="6"/>
      <c r="AA613" s="6"/>
      <c r="AB613" s="6"/>
      <c r="AC613" s="6"/>
      <c r="AD613" s="6"/>
      <c r="AE613" s="6"/>
      <c r="AF613" s="6"/>
      <c r="AG613" s="6"/>
      <c r="AH613" s="6"/>
    </row>
    <row r="614" ht="15.75" customHeight="1">
      <c r="A614" s="6"/>
      <c r="B614" s="25" t="s">
        <v>554</v>
      </c>
      <c r="C614" s="25"/>
      <c r="D614" s="25"/>
      <c r="E614" s="25" t="s">
        <v>1302</v>
      </c>
      <c r="F614" s="25" t="s">
        <v>29</v>
      </c>
      <c r="G614" s="9"/>
      <c r="H614" s="9">
        <f>183054109+12278919+4554987+60591699</f>
        <v>260479714</v>
      </c>
      <c r="I614" s="9">
        <f t="shared" si="285"/>
        <v>260479714</v>
      </c>
      <c r="J614" s="9"/>
      <c r="K614" s="6"/>
      <c r="L614" s="9"/>
      <c r="M614" s="10"/>
      <c r="N614" s="10"/>
      <c r="O614" s="9">
        <f t="shared" si="286"/>
        <v>260479714</v>
      </c>
      <c r="P614" s="38">
        <v>0.1247</v>
      </c>
      <c r="Q614" s="9">
        <f t="shared" si="287"/>
        <v>32481820.34</v>
      </c>
      <c r="R614" s="9">
        <f t="shared" si="288"/>
        <v>32481820.34</v>
      </c>
      <c r="S614" s="9">
        <f t="shared" si="289"/>
        <v>32481820.34</v>
      </c>
      <c r="T614" s="9"/>
      <c r="U614" s="13" t="s">
        <v>1303</v>
      </c>
      <c r="V614" s="6"/>
      <c r="W614" s="6"/>
      <c r="X614" s="6"/>
      <c r="Y614" s="6"/>
      <c r="Z614" s="6"/>
      <c r="AA614" s="6"/>
      <c r="AB614" s="6"/>
      <c r="AC614" s="6"/>
      <c r="AD614" s="6"/>
      <c r="AE614" s="6"/>
      <c r="AF614" s="6"/>
      <c r="AG614" s="6"/>
      <c r="AH614" s="6"/>
    </row>
    <row r="615" ht="15.75" customHeight="1">
      <c r="A615" s="6"/>
      <c r="B615" s="25" t="s">
        <v>554</v>
      </c>
      <c r="C615" s="25"/>
      <c r="D615" s="25"/>
      <c r="E615" s="25" t="s">
        <v>1304</v>
      </c>
      <c r="F615" s="25" t="s">
        <v>29</v>
      </c>
      <c r="G615" s="9"/>
      <c r="H615" s="9"/>
      <c r="I615" s="9">
        <f t="shared" si="285"/>
        <v>0</v>
      </c>
      <c r="J615" s="9"/>
      <c r="K615" s="6"/>
      <c r="L615" s="9"/>
      <c r="M615" s="10"/>
      <c r="N615" s="10"/>
      <c r="O615" s="9">
        <f t="shared" si="286"/>
        <v>0</v>
      </c>
      <c r="P615" s="38">
        <v>0.2723</v>
      </c>
      <c r="Q615" s="9">
        <f t="shared" si="287"/>
        <v>0</v>
      </c>
      <c r="R615" s="9">
        <f t="shared" si="288"/>
        <v>0</v>
      </c>
      <c r="S615" s="9">
        <f t="shared" si="289"/>
        <v>0</v>
      </c>
      <c r="T615" s="9"/>
      <c r="U615" s="6" t="s">
        <v>60</v>
      </c>
      <c r="V615" s="6"/>
      <c r="W615" s="6"/>
      <c r="X615" s="6"/>
      <c r="Y615" s="6"/>
      <c r="Z615" s="6"/>
      <c r="AA615" s="6"/>
      <c r="AB615" s="6"/>
      <c r="AC615" s="6"/>
      <c r="AD615" s="6"/>
      <c r="AE615" s="6"/>
      <c r="AF615" s="6"/>
      <c r="AG615" s="6"/>
      <c r="AH615" s="6"/>
    </row>
    <row r="616" ht="15.75" customHeight="1">
      <c r="A616" s="6"/>
      <c r="B616" s="25" t="s">
        <v>554</v>
      </c>
      <c r="C616" s="25"/>
      <c r="D616" s="25"/>
      <c r="E616" s="25" t="s">
        <v>1305</v>
      </c>
      <c r="F616" s="25" t="s">
        <v>29</v>
      </c>
      <c r="G616" s="9"/>
      <c r="H616" s="9">
        <f>168624040+5256272+101296+19851</f>
        <v>174001459</v>
      </c>
      <c r="I616" s="9">
        <f t="shared" si="285"/>
        <v>174001459</v>
      </c>
      <c r="J616" s="9"/>
      <c r="K616" s="6"/>
      <c r="L616" s="9"/>
      <c r="M616" s="10"/>
      <c r="N616" s="10"/>
      <c r="O616" s="9">
        <f t="shared" si="286"/>
        <v>174001459</v>
      </c>
      <c r="P616" s="38">
        <v>0.1247</v>
      </c>
      <c r="Q616" s="9">
        <f t="shared" si="287"/>
        <v>21697981.94</v>
      </c>
      <c r="R616" s="9">
        <f t="shared" si="288"/>
        <v>21697981.94</v>
      </c>
      <c r="S616" s="9">
        <f t="shared" si="289"/>
        <v>21697981.94</v>
      </c>
      <c r="T616" s="9"/>
      <c r="U616" s="13" t="s">
        <v>1306</v>
      </c>
      <c r="V616" s="6"/>
      <c r="W616" s="6"/>
      <c r="X616" s="6"/>
      <c r="Y616" s="6"/>
      <c r="Z616" s="6"/>
      <c r="AA616" s="6"/>
      <c r="AB616" s="6"/>
      <c r="AC616" s="6"/>
      <c r="AD616" s="6"/>
      <c r="AE616" s="6"/>
      <c r="AF616" s="6"/>
      <c r="AG616" s="6"/>
      <c r="AH616" s="6"/>
    </row>
    <row r="617" ht="15.75" customHeight="1">
      <c r="A617" s="6"/>
      <c r="B617" s="25"/>
      <c r="C617" s="25"/>
      <c r="D617" s="25"/>
      <c r="E617" s="41" t="s">
        <v>35</v>
      </c>
      <c r="F617" s="25"/>
      <c r="G617" s="9"/>
      <c r="H617" s="9"/>
      <c r="I617" s="9"/>
      <c r="J617" s="9"/>
      <c r="K617" s="6"/>
      <c r="L617" s="9"/>
      <c r="M617" s="10"/>
      <c r="N617" s="10"/>
      <c r="O617" s="9"/>
      <c r="P617" s="26" t="s">
        <v>1307</v>
      </c>
      <c r="Q617" s="19">
        <f t="shared" ref="Q617:S617" si="290">SUM(Q608:Q616)</f>
        <v>1986302768</v>
      </c>
      <c r="R617" s="19">
        <f t="shared" si="290"/>
        <v>3011281879</v>
      </c>
      <c r="S617" s="19">
        <f t="shared" si="290"/>
        <v>3011281879</v>
      </c>
      <c r="T617" s="20">
        <v>1.305750019E9</v>
      </c>
      <c r="U617" s="6"/>
      <c r="V617" s="6"/>
      <c r="W617" s="6"/>
      <c r="X617" s="6"/>
      <c r="Y617" s="6"/>
      <c r="Z617" s="6"/>
      <c r="AA617" s="6"/>
      <c r="AB617" s="6"/>
      <c r="AC617" s="6"/>
      <c r="AD617" s="6"/>
      <c r="AE617" s="6"/>
      <c r="AF617" s="6"/>
      <c r="AG617" s="6"/>
      <c r="AH617" s="6"/>
    </row>
    <row r="618" ht="15.75" customHeight="1">
      <c r="A618" s="6">
        <v>48.0</v>
      </c>
      <c r="B618" s="25" t="s">
        <v>830</v>
      </c>
      <c r="C618" s="42" t="s">
        <v>831</v>
      </c>
      <c r="D618" s="25"/>
      <c r="E618" s="41"/>
      <c r="F618" s="42" t="s">
        <v>1</v>
      </c>
      <c r="G618" s="8">
        <v>3.575443E9</v>
      </c>
      <c r="H618" s="8">
        <v>1.0026298E10</v>
      </c>
      <c r="I618" s="9">
        <f t="shared" ref="I618:I629" si="291">H618-J618</f>
        <v>9971734000</v>
      </c>
      <c r="J618" s="8">
        <v>5.4564E7</v>
      </c>
      <c r="K618" s="28" t="s">
        <v>629</v>
      </c>
      <c r="L618" s="9"/>
      <c r="M618" s="10"/>
      <c r="N618" s="8">
        <v>6.04394E8</v>
      </c>
      <c r="O618" s="9">
        <f t="shared" ref="O618:O629" si="292">G618+I618</f>
        <v>13547177000</v>
      </c>
      <c r="P618" s="31">
        <v>0.1018</v>
      </c>
      <c r="Q618" s="9">
        <f t="shared" ref="Q618:Q629" si="293">I618*P618</f>
        <v>1015122521</v>
      </c>
      <c r="R618" s="9">
        <f t="shared" ref="R618:R629" si="294">(O618-N618-M618)*P618</f>
        <v>1317575309</v>
      </c>
      <c r="S618" s="9">
        <f t="shared" ref="S618:S629" si="295">O618*P618</f>
        <v>1379102619</v>
      </c>
      <c r="T618" s="9"/>
      <c r="U618" s="40" t="s">
        <v>832</v>
      </c>
      <c r="V618" s="6"/>
      <c r="W618" s="6"/>
      <c r="X618" s="6"/>
      <c r="Y618" s="6"/>
      <c r="Z618" s="6"/>
      <c r="AA618" s="6"/>
      <c r="AB618" s="6"/>
      <c r="AC618" s="6"/>
      <c r="AD618" s="6"/>
      <c r="AE618" s="6"/>
      <c r="AF618" s="6"/>
      <c r="AG618" s="6"/>
      <c r="AH618" s="6"/>
    </row>
    <row r="619" ht="15.75" customHeight="1">
      <c r="A619" s="6"/>
      <c r="B619" s="25" t="s">
        <v>830</v>
      </c>
      <c r="C619" s="25"/>
      <c r="D619" s="25" t="s">
        <v>1308</v>
      </c>
      <c r="E619" s="25"/>
      <c r="F619" s="25" t="s">
        <v>3</v>
      </c>
      <c r="G619" s="9">
        <v>1.33558E8</v>
      </c>
      <c r="H619" s="9">
        <v>4.94318E8</v>
      </c>
      <c r="I619" s="9">
        <f t="shared" si="291"/>
        <v>486985000</v>
      </c>
      <c r="J619" s="9">
        <v>7333000.0</v>
      </c>
      <c r="K619" s="6" t="s">
        <v>1309</v>
      </c>
      <c r="L619" s="9"/>
      <c r="M619" s="10"/>
      <c r="N619" s="10"/>
      <c r="O619" s="9">
        <f t="shared" si="292"/>
        <v>620543000</v>
      </c>
      <c r="P619" s="38">
        <v>1.0</v>
      </c>
      <c r="Q619" s="9">
        <f t="shared" si="293"/>
        <v>486985000</v>
      </c>
      <c r="R619" s="9">
        <f t="shared" si="294"/>
        <v>620543000</v>
      </c>
      <c r="S619" s="9">
        <f t="shared" si="295"/>
        <v>620543000</v>
      </c>
      <c r="T619" s="9"/>
      <c r="U619" s="13" t="s">
        <v>1310</v>
      </c>
      <c r="V619" s="6"/>
      <c r="W619" s="6"/>
      <c r="X619" s="6"/>
      <c r="Y619" s="6"/>
      <c r="Z619" s="6"/>
      <c r="AA619" s="6"/>
      <c r="AB619" s="6"/>
      <c r="AC619" s="6"/>
      <c r="AD619" s="6"/>
      <c r="AE619" s="6"/>
      <c r="AF619" s="6"/>
      <c r="AG619" s="6"/>
      <c r="AH619" s="6"/>
    </row>
    <row r="620" ht="15.75" customHeight="1">
      <c r="A620" s="6"/>
      <c r="B620" s="25" t="s">
        <v>830</v>
      </c>
      <c r="C620" s="25"/>
      <c r="D620" s="25"/>
      <c r="E620" s="25" t="s">
        <v>1311</v>
      </c>
      <c r="F620" s="25" t="s">
        <v>43</v>
      </c>
      <c r="G620" s="9">
        <v>4.0562367E7</v>
      </c>
      <c r="H620" s="9">
        <v>1.42961068E8</v>
      </c>
      <c r="I620" s="9">
        <f t="shared" si="291"/>
        <v>143241068</v>
      </c>
      <c r="J620" s="9">
        <v>-280000.0</v>
      </c>
      <c r="K620" s="6" t="s">
        <v>762</v>
      </c>
      <c r="L620" s="9"/>
      <c r="M620" s="10"/>
      <c r="N620" s="14">
        <v>892545.0</v>
      </c>
      <c r="O620" s="9">
        <f t="shared" si="292"/>
        <v>183803435</v>
      </c>
      <c r="P620" s="38">
        <v>0.6192</v>
      </c>
      <c r="Q620" s="9">
        <f t="shared" si="293"/>
        <v>88694869.31</v>
      </c>
      <c r="R620" s="9">
        <f t="shared" si="294"/>
        <v>113258423.1</v>
      </c>
      <c r="S620" s="9">
        <f t="shared" si="295"/>
        <v>113811087</v>
      </c>
      <c r="T620" s="9"/>
      <c r="U620" s="13" t="s">
        <v>1312</v>
      </c>
      <c r="V620" s="6"/>
      <c r="W620" s="6"/>
      <c r="X620" s="6"/>
      <c r="Y620" s="6"/>
      <c r="Z620" s="6"/>
      <c r="AA620" s="6"/>
      <c r="AB620" s="6"/>
      <c r="AC620" s="6"/>
      <c r="AD620" s="6"/>
      <c r="AE620" s="6"/>
      <c r="AF620" s="6"/>
      <c r="AG620" s="6"/>
      <c r="AH620" s="6"/>
    </row>
    <row r="621" ht="15.75" customHeight="1">
      <c r="A621" s="6"/>
      <c r="B621" s="25" t="s">
        <v>830</v>
      </c>
      <c r="C621" s="25"/>
      <c r="D621" s="25"/>
      <c r="E621" s="25" t="s">
        <v>1313</v>
      </c>
      <c r="F621" s="25" t="s">
        <v>43</v>
      </c>
      <c r="G621" s="9"/>
      <c r="H621" s="9"/>
      <c r="I621" s="9">
        <f t="shared" si="291"/>
        <v>0</v>
      </c>
      <c r="J621" s="9"/>
      <c r="K621" s="6"/>
      <c r="L621" s="9"/>
      <c r="M621" s="10"/>
      <c r="N621" s="10"/>
      <c r="O621" s="9">
        <f t="shared" si="292"/>
        <v>0</v>
      </c>
      <c r="P621" s="38">
        <v>0.1247</v>
      </c>
      <c r="Q621" s="9">
        <f t="shared" si="293"/>
        <v>0</v>
      </c>
      <c r="R621" s="9">
        <f t="shared" si="294"/>
        <v>0</v>
      </c>
      <c r="S621" s="9">
        <f t="shared" si="295"/>
        <v>0</v>
      </c>
      <c r="T621" s="9"/>
      <c r="U621" s="6" t="s">
        <v>60</v>
      </c>
      <c r="V621" s="6"/>
      <c r="W621" s="6"/>
      <c r="X621" s="6"/>
      <c r="Y621" s="6"/>
      <c r="Z621" s="6"/>
      <c r="AA621" s="6"/>
      <c r="AB621" s="6"/>
      <c r="AC621" s="6"/>
      <c r="AD621" s="6"/>
      <c r="AE621" s="6"/>
      <c r="AF621" s="6"/>
      <c r="AG621" s="6"/>
      <c r="AH621" s="6"/>
    </row>
    <row r="622" ht="15.75" customHeight="1">
      <c r="A622" s="6"/>
      <c r="B622" s="25" t="s">
        <v>830</v>
      </c>
      <c r="C622" s="25"/>
      <c r="D622" s="25"/>
      <c r="E622" s="25" t="s">
        <v>1314</v>
      </c>
      <c r="F622" s="25" t="s">
        <v>43</v>
      </c>
      <c r="G622" s="9"/>
      <c r="H622" s="9"/>
      <c r="I622" s="9">
        <f t="shared" si="291"/>
        <v>0</v>
      </c>
      <c r="J622" s="9"/>
      <c r="K622" s="6"/>
      <c r="L622" s="9"/>
      <c r="M622" s="10"/>
      <c r="N622" s="10"/>
      <c r="O622" s="9">
        <f t="shared" si="292"/>
        <v>0</v>
      </c>
      <c r="P622" s="38">
        <v>5.0E-4</v>
      </c>
      <c r="Q622" s="9">
        <f t="shared" si="293"/>
        <v>0</v>
      </c>
      <c r="R622" s="9">
        <f t="shared" si="294"/>
        <v>0</v>
      </c>
      <c r="S622" s="9">
        <f t="shared" si="295"/>
        <v>0</v>
      </c>
      <c r="T622" s="9"/>
      <c r="U622" s="6" t="s">
        <v>60</v>
      </c>
      <c r="V622" s="6"/>
      <c r="W622" s="6"/>
      <c r="X622" s="6"/>
      <c r="Y622" s="6"/>
      <c r="Z622" s="6"/>
      <c r="AA622" s="6"/>
      <c r="AB622" s="6"/>
      <c r="AC622" s="6"/>
      <c r="AD622" s="6"/>
      <c r="AE622" s="6"/>
      <c r="AF622" s="6"/>
      <c r="AG622" s="6"/>
      <c r="AH622" s="6"/>
    </row>
    <row r="623" ht="15.75" customHeight="1">
      <c r="A623" s="6"/>
      <c r="B623" s="25" t="s">
        <v>830</v>
      </c>
      <c r="C623" s="25"/>
      <c r="D623" s="25"/>
      <c r="E623" s="25" t="s">
        <v>1315</v>
      </c>
      <c r="F623" s="25" t="s">
        <v>43</v>
      </c>
      <c r="G623" s="9"/>
      <c r="H623" s="9"/>
      <c r="I623" s="9">
        <f t="shared" si="291"/>
        <v>0</v>
      </c>
      <c r="J623" s="9"/>
      <c r="K623" s="6"/>
      <c r="L623" s="9"/>
      <c r="M623" s="10"/>
      <c r="N623" s="10"/>
      <c r="O623" s="9">
        <f t="shared" si="292"/>
        <v>0</v>
      </c>
      <c r="P623" s="38">
        <v>4.0E-4</v>
      </c>
      <c r="Q623" s="9">
        <f t="shared" si="293"/>
        <v>0</v>
      </c>
      <c r="R623" s="9">
        <f t="shared" si="294"/>
        <v>0</v>
      </c>
      <c r="S623" s="9">
        <f t="shared" si="295"/>
        <v>0</v>
      </c>
      <c r="T623" s="9"/>
      <c r="U623" s="13" t="s">
        <v>1316</v>
      </c>
      <c r="V623" s="6" t="s">
        <v>838</v>
      </c>
      <c r="W623" s="6"/>
      <c r="X623" s="6"/>
      <c r="Y623" s="6"/>
      <c r="Z623" s="6"/>
      <c r="AA623" s="6"/>
      <c r="AB623" s="6"/>
      <c r="AC623" s="6"/>
      <c r="AD623" s="6"/>
      <c r="AE623" s="6"/>
      <c r="AF623" s="6"/>
      <c r="AG623" s="6"/>
      <c r="AH623" s="6"/>
    </row>
    <row r="624" ht="15.75" customHeight="1">
      <c r="A624" s="6"/>
      <c r="B624" s="25" t="s">
        <v>830</v>
      </c>
      <c r="C624" s="25"/>
      <c r="D624" s="25"/>
      <c r="E624" s="25" t="s">
        <v>1317</v>
      </c>
      <c r="F624" s="25" t="s">
        <v>47</v>
      </c>
      <c r="G624" s="9"/>
      <c r="H624" s="9">
        <f>14929611+1703601+3673759+200+128964+8105+2956+7150439</f>
        <v>27597635</v>
      </c>
      <c r="I624" s="9">
        <f t="shared" si="291"/>
        <v>19420413</v>
      </c>
      <c r="J624" s="9">
        <f>6691888+8014+12+805630+671678</f>
        <v>8177222</v>
      </c>
      <c r="K624" s="6" t="s">
        <v>1318</v>
      </c>
      <c r="L624" s="9"/>
      <c r="M624" s="10"/>
      <c r="N624" s="10"/>
      <c r="O624" s="9">
        <f t="shared" si="292"/>
        <v>19420413</v>
      </c>
      <c r="P624" s="38">
        <v>0.1128</v>
      </c>
      <c r="Q624" s="9">
        <f t="shared" si="293"/>
        <v>2190622.586</v>
      </c>
      <c r="R624" s="9">
        <f t="shared" si="294"/>
        <v>2190622.586</v>
      </c>
      <c r="S624" s="9">
        <f t="shared" si="295"/>
        <v>2190622.586</v>
      </c>
      <c r="T624" s="9"/>
      <c r="U624" s="13" t="s">
        <v>1319</v>
      </c>
      <c r="V624" s="6"/>
      <c r="W624" s="6"/>
      <c r="X624" s="6"/>
      <c r="Y624" s="6"/>
      <c r="Z624" s="6"/>
      <c r="AA624" s="6"/>
      <c r="AB624" s="6"/>
      <c r="AC624" s="6"/>
      <c r="AD624" s="6"/>
      <c r="AE624" s="6"/>
      <c r="AF624" s="6"/>
      <c r="AG624" s="6"/>
      <c r="AH624" s="6"/>
    </row>
    <row r="625" ht="15.75" customHeight="1">
      <c r="A625" s="6"/>
      <c r="B625" s="25" t="s">
        <v>830</v>
      </c>
      <c r="C625" s="25"/>
      <c r="D625" s="25"/>
      <c r="E625" s="25" t="s">
        <v>1320</v>
      </c>
      <c r="F625" s="25" t="s">
        <v>47</v>
      </c>
      <c r="G625" s="9">
        <v>5437330.0</v>
      </c>
      <c r="H625" s="9">
        <v>1.72894673E8</v>
      </c>
      <c r="I625" s="9">
        <f t="shared" si="291"/>
        <v>115966788</v>
      </c>
      <c r="J625" s="9">
        <v>5.6927885E7</v>
      </c>
      <c r="K625" s="6" t="s">
        <v>882</v>
      </c>
      <c r="L625" s="9"/>
      <c r="M625" s="10"/>
      <c r="N625" s="10"/>
      <c r="O625" s="9">
        <f t="shared" si="292"/>
        <v>121404118</v>
      </c>
      <c r="P625" s="38">
        <v>0.1258</v>
      </c>
      <c r="Q625" s="9">
        <f t="shared" si="293"/>
        <v>14588621.93</v>
      </c>
      <c r="R625" s="9">
        <f t="shared" si="294"/>
        <v>15272638.04</v>
      </c>
      <c r="S625" s="9">
        <f t="shared" si="295"/>
        <v>15272638.04</v>
      </c>
      <c r="T625" s="9"/>
      <c r="U625" s="13" t="s">
        <v>1321</v>
      </c>
      <c r="V625" s="6"/>
      <c r="W625" s="6"/>
      <c r="X625" s="6"/>
      <c r="Y625" s="6"/>
      <c r="Z625" s="6"/>
      <c r="AA625" s="6"/>
      <c r="AB625" s="6"/>
      <c r="AC625" s="6"/>
      <c r="AD625" s="6"/>
      <c r="AE625" s="6"/>
      <c r="AF625" s="6"/>
      <c r="AG625" s="6"/>
      <c r="AH625" s="6"/>
    </row>
    <row r="626" ht="15.75" customHeight="1">
      <c r="A626" s="6"/>
      <c r="B626" s="25" t="s">
        <v>830</v>
      </c>
      <c r="C626" s="25"/>
      <c r="D626" s="25"/>
      <c r="E626" s="25" t="s">
        <v>1322</v>
      </c>
      <c r="F626" s="25" t="s">
        <v>47</v>
      </c>
      <c r="G626" s="9">
        <v>5728272.0</v>
      </c>
      <c r="H626" s="9">
        <v>1.22159533E8</v>
      </c>
      <c r="I626" s="9">
        <f t="shared" si="291"/>
        <v>73752061</v>
      </c>
      <c r="J626" s="9">
        <f>3631776+42219124+2353247+203325</f>
        <v>48407472</v>
      </c>
      <c r="K626" s="6" t="s">
        <v>1323</v>
      </c>
      <c r="L626" s="9"/>
      <c r="M626" s="10"/>
      <c r="N626" s="10"/>
      <c r="O626" s="9">
        <f t="shared" si="292"/>
        <v>79480333</v>
      </c>
      <c r="P626" s="38">
        <v>0.7679</v>
      </c>
      <c r="Q626" s="9">
        <f t="shared" si="293"/>
        <v>56634207.64</v>
      </c>
      <c r="R626" s="9">
        <f t="shared" si="294"/>
        <v>61032947.71</v>
      </c>
      <c r="S626" s="9">
        <f t="shared" si="295"/>
        <v>61032947.71</v>
      </c>
      <c r="T626" s="9"/>
      <c r="U626" s="13" t="s">
        <v>1324</v>
      </c>
      <c r="V626" s="6"/>
      <c r="W626" s="6"/>
      <c r="X626" s="6"/>
      <c r="Y626" s="6"/>
      <c r="Z626" s="6"/>
      <c r="AA626" s="6"/>
      <c r="AB626" s="6"/>
      <c r="AC626" s="6"/>
      <c r="AD626" s="6"/>
      <c r="AE626" s="6"/>
      <c r="AF626" s="6"/>
      <c r="AG626" s="6"/>
      <c r="AH626" s="6"/>
    </row>
    <row r="627" ht="15.75" customHeight="1">
      <c r="A627" s="6"/>
      <c r="B627" s="25" t="s">
        <v>830</v>
      </c>
      <c r="C627" s="25"/>
      <c r="D627" s="25"/>
      <c r="E627" s="25" t="s">
        <v>1325</v>
      </c>
      <c r="F627" s="25" t="s">
        <v>47</v>
      </c>
      <c r="G627" s="9">
        <v>1.1775E7</v>
      </c>
      <c r="H627" s="9">
        <v>3.81816E8</v>
      </c>
      <c r="I627" s="9">
        <f t="shared" si="291"/>
        <v>209998000</v>
      </c>
      <c r="J627" s="9">
        <f>100699000+71119000</f>
        <v>171818000</v>
      </c>
      <c r="K627" s="6" t="s">
        <v>1326</v>
      </c>
      <c r="L627" s="9"/>
      <c r="M627" s="10"/>
      <c r="N627" s="10"/>
      <c r="O627" s="9">
        <f t="shared" si="292"/>
        <v>221773000</v>
      </c>
      <c r="P627" s="38">
        <v>0.9423</v>
      </c>
      <c r="Q627" s="9">
        <f t="shared" si="293"/>
        <v>197881115.4</v>
      </c>
      <c r="R627" s="9">
        <f t="shared" si="294"/>
        <v>208976697.9</v>
      </c>
      <c r="S627" s="9">
        <f t="shared" si="295"/>
        <v>208976697.9</v>
      </c>
      <c r="T627" s="9"/>
      <c r="U627" s="13" t="s">
        <v>1327</v>
      </c>
      <c r="V627" s="6"/>
      <c r="W627" s="6"/>
      <c r="X627" s="6"/>
      <c r="Y627" s="6"/>
      <c r="Z627" s="6"/>
      <c r="AA627" s="6"/>
      <c r="AB627" s="6"/>
      <c r="AC627" s="6"/>
      <c r="AD627" s="6"/>
      <c r="AE627" s="6"/>
      <c r="AF627" s="6"/>
      <c r="AG627" s="6"/>
      <c r="AH627" s="6"/>
    </row>
    <row r="628" ht="15.75" customHeight="1">
      <c r="A628" s="6"/>
      <c r="B628" s="25" t="s">
        <v>830</v>
      </c>
      <c r="C628" s="25"/>
      <c r="D628" s="25"/>
      <c r="E628" s="25" t="s">
        <v>1328</v>
      </c>
      <c r="F628" s="25" t="s">
        <v>47</v>
      </c>
      <c r="G628" s="9">
        <v>5487948.0</v>
      </c>
      <c r="H628" s="9">
        <v>1.36866812E8</v>
      </c>
      <c r="I628" s="9">
        <f t="shared" si="291"/>
        <v>76076078</v>
      </c>
      <c r="J628" s="9">
        <v>6.0790734E7</v>
      </c>
      <c r="K628" s="6" t="s">
        <v>1329</v>
      </c>
      <c r="L628" s="9"/>
      <c r="M628" s="10"/>
      <c r="N628" s="10"/>
      <c r="O628" s="9">
        <f t="shared" si="292"/>
        <v>81564026</v>
      </c>
      <c r="P628" s="38">
        <v>0.6103</v>
      </c>
      <c r="Q628" s="9">
        <f t="shared" si="293"/>
        <v>46429230.4</v>
      </c>
      <c r="R628" s="9">
        <f t="shared" si="294"/>
        <v>49778525.07</v>
      </c>
      <c r="S628" s="9">
        <f t="shared" si="295"/>
        <v>49778525.07</v>
      </c>
      <c r="T628" s="9"/>
      <c r="U628" s="13" t="s">
        <v>1330</v>
      </c>
      <c r="V628" s="6"/>
      <c r="W628" s="6"/>
      <c r="X628" s="6"/>
      <c r="Y628" s="6"/>
      <c r="Z628" s="6"/>
      <c r="AA628" s="6"/>
      <c r="AB628" s="6"/>
      <c r="AC628" s="6"/>
      <c r="AD628" s="6"/>
      <c r="AE628" s="6"/>
      <c r="AF628" s="6"/>
      <c r="AG628" s="6"/>
      <c r="AH628" s="6"/>
    </row>
    <row r="629" ht="15.75" customHeight="1">
      <c r="A629" s="6"/>
      <c r="B629" s="25" t="s">
        <v>830</v>
      </c>
      <c r="C629" s="25"/>
      <c r="D629" s="25"/>
      <c r="E629" s="25" t="s">
        <v>1331</v>
      </c>
      <c r="F629" s="25" t="s">
        <v>29</v>
      </c>
      <c r="G629" s="9"/>
      <c r="H629" s="9"/>
      <c r="I629" s="9">
        <f t="shared" si="291"/>
        <v>0</v>
      </c>
      <c r="J629" s="9"/>
      <c r="K629" s="6"/>
      <c r="L629" s="9"/>
      <c r="M629" s="10"/>
      <c r="N629" s="10"/>
      <c r="O629" s="9">
        <f t="shared" si="292"/>
        <v>0</v>
      </c>
      <c r="P629" s="38">
        <v>1.0</v>
      </c>
      <c r="Q629" s="9">
        <f t="shared" si="293"/>
        <v>0</v>
      </c>
      <c r="R629" s="9">
        <f t="shared" si="294"/>
        <v>0</v>
      </c>
      <c r="S629" s="9">
        <f t="shared" si="295"/>
        <v>0</v>
      </c>
      <c r="T629" s="9"/>
      <c r="U629" s="6" t="s">
        <v>60</v>
      </c>
      <c r="V629" s="6"/>
      <c r="W629" s="6"/>
      <c r="X629" s="6"/>
      <c r="Y629" s="6"/>
      <c r="Z629" s="6"/>
      <c r="AA629" s="6"/>
      <c r="AB629" s="6"/>
      <c r="AC629" s="6"/>
      <c r="AD629" s="6"/>
      <c r="AE629" s="6"/>
      <c r="AF629" s="6"/>
      <c r="AG629" s="6"/>
      <c r="AH629" s="6"/>
    </row>
    <row r="630" ht="15.75" customHeight="1">
      <c r="A630" s="6"/>
      <c r="B630" s="25"/>
      <c r="C630" s="25"/>
      <c r="D630" s="25"/>
      <c r="E630" s="41" t="s">
        <v>35</v>
      </c>
      <c r="F630" s="25"/>
      <c r="G630" s="9"/>
      <c r="H630" s="9"/>
      <c r="I630" s="9"/>
      <c r="J630" s="9"/>
      <c r="K630" s="6"/>
      <c r="L630" s="9"/>
      <c r="M630" s="10"/>
      <c r="N630" s="10"/>
      <c r="O630" s="9"/>
      <c r="P630" s="26" t="s">
        <v>1332</v>
      </c>
      <c r="Q630" s="19">
        <f t="shared" ref="Q630:S630" si="296">SUM(Q618:Q629)</f>
        <v>1908526188</v>
      </c>
      <c r="R630" s="19">
        <f t="shared" si="296"/>
        <v>2388628164</v>
      </c>
      <c r="S630" s="19">
        <f t="shared" si="296"/>
        <v>2450708137</v>
      </c>
      <c r="T630" s="20">
        <v>1.22978032E9</v>
      </c>
      <c r="U630" s="6"/>
      <c r="V630" s="6"/>
      <c r="W630" s="6"/>
      <c r="X630" s="6"/>
      <c r="Y630" s="6"/>
      <c r="Z630" s="6"/>
      <c r="AA630" s="6"/>
      <c r="AB630" s="6"/>
      <c r="AC630" s="6"/>
      <c r="AD630" s="6"/>
      <c r="AE630" s="6"/>
      <c r="AF630" s="6"/>
      <c r="AG630" s="6"/>
      <c r="AH630" s="6"/>
    </row>
    <row r="631" ht="15.75" customHeight="1">
      <c r="A631" s="6">
        <v>49.0</v>
      </c>
      <c r="B631" s="25" t="s">
        <v>106</v>
      </c>
      <c r="C631" s="42" t="s">
        <v>107</v>
      </c>
      <c r="D631" s="25"/>
      <c r="E631" s="41"/>
      <c r="F631" s="7" t="s">
        <v>1</v>
      </c>
      <c r="G631" s="8">
        <v>3.9005005E10</v>
      </c>
      <c r="H631" s="8">
        <v>6.3331858E10</v>
      </c>
      <c r="I631" s="9">
        <f t="shared" ref="I631:I642" si="297">H631-J631</f>
        <v>63099627000</v>
      </c>
      <c r="J631" s="9">
        <f>23645000+207888000+698000</f>
        <v>232231000</v>
      </c>
      <c r="K631" s="28" t="s">
        <v>108</v>
      </c>
      <c r="L631" s="9"/>
      <c r="M631" s="10"/>
      <c r="N631" s="10">
        <f>5193922000+1989916000</f>
        <v>7183838000</v>
      </c>
      <c r="O631" s="9">
        <f t="shared" ref="O631:O642" si="298">G631+I631</f>
        <v>102104632000</v>
      </c>
      <c r="P631" s="31">
        <v>0.0137</v>
      </c>
      <c r="Q631" s="9">
        <f t="shared" ref="Q631:Q642" si="299">I631*P631</f>
        <v>864464889.9</v>
      </c>
      <c r="R631" s="9">
        <f t="shared" ref="R631:R642" si="300">(O631-N631-M631)*P631</f>
        <v>1300414878</v>
      </c>
      <c r="S631" s="9">
        <f t="shared" ref="S631:S642" si="301">O631*P631</f>
        <v>1398833458</v>
      </c>
      <c r="T631" s="9"/>
      <c r="U631" s="16" t="s">
        <v>109</v>
      </c>
      <c r="V631" s="6"/>
      <c r="W631" s="6"/>
      <c r="X631" s="6"/>
      <c r="Y631" s="6"/>
      <c r="Z631" s="6"/>
      <c r="AA631" s="6"/>
      <c r="AB631" s="6"/>
      <c r="AC631" s="6"/>
      <c r="AD631" s="6"/>
      <c r="AE631" s="6"/>
      <c r="AF631" s="6"/>
      <c r="AG631" s="6"/>
      <c r="AH631" s="6"/>
    </row>
    <row r="632" ht="15.75" customHeight="1">
      <c r="A632" s="6"/>
      <c r="B632" s="25" t="s">
        <v>106</v>
      </c>
      <c r="C632" s="25"/>
      <c r="D632" s="25" t="s">
        <v>1333</v>
      </c>
      <c r="E632" s="25"/>
      <c r="F632" s="25" t="s">
        <v>3</v>
      </c>
      <c r="G632" s="9">
        <v>2.42282E8</v>
      </c>
      <c r="H632" s="9">
        <v>3.41376E8</v>
      </c>
      <c r="I632" s="9">
        <f t="shared" si="297"/>
        <v>341376000</v>
      </c>
      <c r="J632" s="9"/>
      <c r="K632" s="6"/>
      <c r="L632" s="9"/>
      <c r="M632" s="10"/>
      <c r="N632" s="14">
        <v>4513000.0</v>
      </c>
      <c r="O632" s="9">
        <f t="shared" si="298"/>
        <v>583658000</v>
      </c>
      <c r="P632" s="38">
        <v>1.0</v>
      </c>
      <c r="Q632" s="9">
        <f t="shared" si="299"/>
        <v>341376000</v>
      </c>
      <c r="R632" s="9">
        <f t="shared" si="300"/>
        <v>579145000</v>
      </c>
      <c r="S632" s="9">
        <f t="shared" si="301"/>
        <v>583658000</v>
      </c>
      <c r="T632" s="9"/>
      <c r="U632" s="40" t="s">
        <v>1334</v>
      </c>
      <c r="V632" s="6"/>
      <c r="W632" s="6"/>
      <c r="X632" s="6"/>
      <c r="Y632" s="6"/>
      <c r="Z632" s="6"/>
      <c r="AA632" s="6"/>
      <c r="AB632" s="6"/>
      <c r="AC632" s="6"/>
      <c r="AD632" s="6"/>
      <c r="AE632" s="6"/>
      <c r="AF632" s="6"/>
      <c r="AG632" s="6"/>
      <c r="AH632" s="6"/>
    </row>
    <row r="633" ht="15.75" customHeight="1">
      <c r="A633" s="6"/>
      <c r="B633" s="25" t="s">
        <v>106</v>
      </c>
      <c r="C633" s="25"/>
      <c r="D633" s="25"/>
      <c r="E633" s="25" t="s">
        <v>512</v>
      </c>
      <c r="F633" s="25" t="s">
        <v>43</v>
      </c>
      <c r="G633" s="9">
        <v>1.45642E8</v>
      </c>
      <c r="H633" s="9">
        <v>4.81689E8</v>
      </c>
      <c r="I633" s="9">
        <f t="shared" si="297"/>
        <v>481689000</v>
      </c>
      <c r="J633" s="9"/>
      <c r="K633" s="6"/>
      <c r="L633" s="9"/>
      <c r="M633" s="10"/>
      <c r="N633" s="10"/>
      <c r="O633" s="9">
        <f t="shared" si="298"/>
        <v>627331000</v>
      </c>
      <c r="P633" s="38">
        <v>0.1857</v>
      </c>
      <c r="Q633" s="9">
        <f t="shared" si="299"/>
        <v>89449647.3</v>
      </c>
      <c r="R633" s="9">
        <f t="shared" si="300"/>
        <v>116495366.7</v>
      </c>
      <c r="S633" s="9">
        <f t="shared" si="301"/>
        <v>116495366.7</v>
      </c>
      <c r="T633" s="9"/>
      <c r="U633" s="40" t="s">
        <v>513</v>
      </c>
      <c r="V633" s="6"/>
      <c r="W633" s="6"/>
      <c r="X633" s="6"/>
      <c r="Y633" s="6"/>
      <c r="Z633" s="6"/>
      <c r="AA633" s="6"/>
      <c r="AB633" s="6"/>
      <c r="AC633" s="6"/>
      <c r="AD633" s="6"/>
      <c r="AE633" s="6"/>
      <c r="AF633" s="6"/>
      <c r="AG633" s="6"/>
      <c r="AH633" s="6"/>
    </row>
    <row r="634" ht="15.75" customHeight="1">
      <c r="A634" s="6"/>
      <c r="B634" s="25" t="s">
        <v>106</v>
      </c>
      <c r="C634" s="25"/>
      <c r="D634" s="25"/>
      <c r="E634" s="25" t="s">
        <v>1335</v>
      </c>
      <c r="F634" s="25" t="s">
        <v>47</v>
      </c>
      <c r="G634" s="9">
        <v>6177653.0</v>
      </c>
      <c r="H634" s="9">
        <v>6.00076717E8</v>
      </c>
      <c r="I634" s="9">
        <f t="shared" si="297"/>
        <v>415210852</v>
      </c>
      <c r="J634" s="9">
        <f>184435780+430085</f>
        <v>184865865</v>
      </c>
      <c r="K634" s="6" t="s">
        <v>1336</v>
      </c>
      <c r="L634" s="9"/>
      <c r="M634" s="10"/>
      <c r="N634" s="14">
        <v>0.0</v>
      </c>
      <c r="O634" s="9">
        <f t="shared" si="298"/>
        <v>421388505</v>
      </c>
      <c r="P634" s="38">
        <v>0.8897</v>
      </c>
      <c r="Q634" s="9">
        <f t="shared" si="299"/>
        <v>369413095</v>
      </c>
      <c r="R634" s="9">
        <f t="shared" si="300"/>
        <v>374909352.9</v>
      </c>
      <c r="S634" s="9">
        <f t="shared" si="301"/>
        <v>374909352.9</v>
      </c>
      <c r="T634" s="9"/>
      <c r="U634" s="40" t="s">
        <v>1337</v>
      </c>
      <c r="V634" s="6"/>
      <c r="W634" s="6"/>
      <c r="X634" s="6"/>
      <c r="Y634" s="6"/>
      <c r="Z634" s="6"/>
      <c r="AA634" s="6"/>
      <c r="AB634" s="6"/>
      <c r="AC634" s="6"/>
      <c r="AD634" s="6"/>
      <c r="AE634" s="6"/>
      <c r="AF634" s="6"/>
      <c r="AG634" s="6"/>
      <c r="AH634" s="6"/>
    </row>
    <row r="635" ht="15.75" customHeight="1">
      <c r="A635" s="6"/>
      <c r="B635" s="25" t="s">
        <v>106</v>
      </c>
      <c r="C635" s="25"/>
      <c r="D635" s="25"/>
      <c r="E635" s="25" t="s">
        <v>532</v>
      </c>
      <c r="F635" s="25" t="s">
        <v>47</v>
      </c>
      <c r="G635" s="9">
        <v>8517711.0</v>
      </c>
      <c r="H635" s="9">
        <v>8.49338803E8</v>
      </c>
      <c r="I635" s="9">
        <f t="shared" si="297"/>
        <v>533637152</v>
      </c>
      <c r="J635" s="9">
        <v>3.15701651E8</v>
      </c>
      <c r="K635" s="6" t="s">
        <v>1338</v>
      </c>
      <c r="L635" s="9"/>
      <c r="M635" s="10"/>
      <c r="N635" s="14">
        <v>0.0</v>
      </c>
      <c r="O635" s="9">
        <f t="shared" si="298"/>
        <v>542154863</v>
      </c>
      <c r="P635" s="38">
        <v>0.0076</v>
      </c>
      <c r="Q635" s="9">
        <f t="shared" si="299"/>
        <v>4055642.355</v>
      </c>
      <c r="R635" s="9">
        <f t="shared" si="300"/>
        <v>4120376.959</v>
      </c>
      <c r="S635" s="9">
        <f t="shared" si="301"/>
        <v>4120376.959</v>
      </c>
      <c r="T635" s="9"/>
      <c r="U635" s="40" t="s">
        <v>533</v>
      </c>
      <c r="V635" s="6"/>
      <c r="W635" s="6"/>
      <c r="X635" s="6"/>
      <c r="Y635" s="6"/>
      <c r="Z635" s="6"/>
      <c r="AA635" s="6"/>
      <c r="AB635" s="6"/>
      <c r="AC635" s="6"/>
      <c r="AD635" s="6"/>
      <c r="AE635" s="6"/>
      <c r="AF635" s="6"/>
      <c r="AG635" s="6"/>
      <c r="AH635" s="6"/>
    </row>
    <row r="636" ht="15.75" customHeight="1">
      <c r="A636" s="6"/>
      <c r="B636" s="25" t="s">
        <v>106</v>
      </c>
      <c r="C636" s="25"/>
      <c r="D636" s="25"/>
      <c r="E636" s="25" t="s">
        <v>534</v>
      </c>
      <c r="F636" s="25" t="s">
        <v>47</v>
      </c>
      <c r="G636" s="9">
        <v>4923268.0</v>
      </c>
      <c r="H636" s="9">
        <v>2.63170234E8</v>
      </c>
      <c r="I636" s="9">
        <f t="shared" si="297"/>
        <v>189087512</v>
      </c>
      <c r="J636" s="9">
        <v>7.4082722E7</v>
      </c>
      <c r="K636" s="6" t="s">
        <v>1339</v>
      </c>
      <c r="L636" s="9"/>
      <c r="M636" s="10"/>
      <c r="N636" s="14">
        <v>0.0</v>
      </c>
      <c r="O636" s="9">
        <f t="shared" si="298"/>
        <v>194010780</v>
      </c>
      <c r="P636" s="38">
        <v>0.0135</v>
      </c>
      <c r="Q636" s="9">
        <f t="shared" si="299"/>
        <v>2552681.412</v>
      </c>
      <c r="R636" s="9">
        <f t="shared" si="300"/>
        <v>2619145.53</v>
      </c>
      <c r="S636" s="9">
        <f t="shared" si="301"/>
        <v>2619145.53</v>
      </c>
      <c r="T636" s="9"/>
      <c r="U636" s="40" t="s">
        <v>536</v>
      </c>
      <c r="V636" s="6"/>
      <c r="W636" s="6"/>
      <c r="X636" s="6"/>
      <c r="Y636" s="6"/>
      <c r="Z636" s="6"/>
      <c r="AA636" s="6"/>
      <c r="AB636" s="6"/>
      <c r="AC636" s="6"/>
      <c r="AD636" s="6"/>
      <c r="AE636" s="6"/>
      <c r="AF636" s="6"/>
      <c r="AG636" s="6"/>
      <c r="AH636" s="6"/>
    </row>
    <row r="637" ht="15.75" customHeight="1">
      <c r="A637" s="6"/>
      <c r="B637" s="25" t="s">
        <v>106</v>
      </c>
      <c r="C637" s="25"/>
      <c r="D637" s="25"/>
      <c r="E637" s="25" t="s">
        <v>1340</v>
      </c>
      <c r="F637" s="25" t="s">
        <v>47</v>
      </c>
      <c r="G637" s="9">
        <v>429958.0</v>
      </c>
      <c r="H637" s="9">
        <v>3.2266104E7</v>
      </c>
      <c r="I637" s="9">
        <f t="shared" si="297"/>
        <v>22363988</v>
      </c>
      <c r="J637" s="9">
        <v>9902116.0</v>
      </c>
      <c r="K637" s="6" t="s">
        <v>519</v>
      </c>
      <c r="L637" s="9"/>
      <c r="M637" s="10"/>
      <c r="N637" s="14">
        <v>0.0</v>
      </c>
      <c r="O637" s="9">
        <f t="shared" si="298"/>
        <v>22793946</v>
      </c>
      <c r="P637" s="38">
        <v>0.457</v>
      </c>
      <c r="Q637" s="9">
        <f t="shared" si="299"/>
        <v>10220342.52</v>
      </c>
      <c r="R637" s="9">
        <f t="shared" si="300"/>
        <v>10416833.32</v>
      </c>
      <c r="S637" s="9">
        <f t="shared" si="301"/>
        <v>10416833.32</v>
      </c>
      <c r="T637" s="9"/>
      <c r="U637" s="40" t="s">
        <v>1341</v>
      </c>
      <c r="V637" s="6"/>
      <c r="W637" s="6"/>
      <c r="X637" s="6"/>
      <c r="Y637" s="6"/>
      <c r="Z637" s="6"/>
      <c r="AA637" s="6"/>
      <c r="AB637" s="6"/>
      <c r="AC637" s="6"/>
      <c r="AD637" s="6"/>
      <c r="AE637" s="6"/>
      <c r="AF637" s="6"/>
      <c r="AG637" s="6"/>
      <c r="AH637" s="6"/>
    </row>
    <row r="638" ht="15.75" customHeight="1">
      <c r="A638" s="6"/>
      <c r="B638" s="25" t="s">
        <v>106</v>
      </c>
      <c r="C638" s="25"/>
      <c r="D638" s="25"/>
      <c r="E638" s="25" t="s">
        <v>1342</v>
      </c>
      <c r="F638" s="25" t="s">
        <v>47</v>
      </c>
      <c r="G638" s="9">
        <v>9069891.0</v>
      </c>
      <c r="H638" s="9">
        <v>3.71581963E8</v>
      </c>
      <c r="I638" s="9">
        <f t="shared" si="297"/>
        <v>227328590</v>
      </c>
      <c r="J638" s="9">
        <v>1.44253373E8</v>
      </c>
      <c r="K638" s="6" t="s">
        <v>1343</v>
      </c>
      <c r="L638" s="9"/>
      <c r="M638" s="10"/>
      <c r="N638" s="14">
        <v>0.0</v>
      </c>
      <c r="O638" s="9">
        <f t="shared" si="298"/>
        <v>236398481</v>
      </c>
      <c r="P638" s="38">
        <v>0.3937</v>
      </c>
      <c r="Q638" s="9">
        <f t="shared" si="299"/>
        <v>89499265.88</v>
      </c>
      <c r="R638" s="9">
        <f t="shared" si="300"/>
        <v>93070081.97</v>
      </c>
      <c r="S638" s="9">
        <f t="shared" si="301"/>
        <v>93070081.97</v>
      </c>
      <c r="T638" s="9"/>
      <c r="U638" s="40" t="s">
        <v>1344</v>
      </c>
      <c r="V638" s="6"/>
      <c r="W638" s="6"/>
      <c r="X638" s="6"/>
      <c r="Y638" s="6"/>
      <c r="Z638" s="6"/>
      <c r="AA638" s="6"/>
      <c r="AB638" s="6"/>
      <c r="AC638" s="6"/>
      <c r="AD638" s="6"/>
      <c r="AE638" s="6"/>
      <c r="AF638" s="6"/>
      <c r="AG638" s="6"/>
      <c r="AH638" s="6"/>
    </row>
    <row r="639" ht="15.75" customHeight="1">
      <c r="A639" s="6"/>
      <c r="B639" s="25" t="s">
        <v>106</v>
      </c>
      <c r="C639" s="25"/>
      <c r="D639" s="25"/>
      <c r="E639" s="25" t="s">
        <v>404</v>
      </c>
      <c r="F639" s="25" t="s">
        <v>29</v>
      </c>
      <c r="G639" s="9"/>
      <c r="H639" s="9">
        <f>785673085+1525356+15916592</f>
        <v>803115033</v>
      </c>
      <c r="I639" s="9">
        <f t="shared" si="297"/>
        <v>803115033</v>
      </c>
      <c r="J639" s="9"/>
      <c r="K639" s="6"/>
      <c r="L639" s="9"/>
      <c r="M639" s="10"/>
      <c r="N639" s="10"/>
      <c r="O639" s="9">
        <f t="shared" si="298"/>
        <v>803115033</v>
      </c>
      <c r="P639" s="38">
        <v>0.0538</v>
      </c>
      <c r="Q639" s="9">
        <f t="shared" si="299"/>
        <v>43207588.78</v>
      </c>
      <c r="R639" s="9">
        <f t="shared" si="300"/>
        <v>43207588.78</v>
      </c>
      <c r="S639" s="9">
        <f t="shared" si="301"/>
        <v>43207588.78</v>
      </c>
      <c r="T639" s="9"/>
      <c r="U639" s="40" t="s">
        <v>405</v>
      </c>
      <c r="V639" s="6"/>
      <c r="W639" s="6"/>
      <c r="X639" s="6"/>
      <c r="Y639" s="6"/>
      <c r="Z639" s="6"/>
      <c r="AA639" s="6"/>
      <c r="AB639" s="6"/>
      <c r="AC639" s="6"/>
      <c r="AD639" s="6"/>
      <c r="AE639" s="6"/>
      <c r="AF639" s="6"/>
      <c r="AG639" s="6"/>
      <c r="AH639" s="6"/>
    </row>
    <row r="640" ht="15.75" customHeight="1">
      <c r="A640" s="6"/>
      <c r="B640" s="25" t="s">
        <v>106</v>
      </c>
      <c r="C640" s="25"/>
      <c r="D640" s="25"/>
      <c r="E640" s="25" t="s">
        <v>412</v>
      </c>
      <c r="F640" s="25" t="s">
        <v>29</v>
      </c>
      <c r="G640" s="9"/>
      <c r="H640" s="9"/>
      <c r="I640" s="9">
        <f t="shared" si="297"/>
        <v>0</v>
      </c>
      <c r="J640" s="9"/>
      <c r="K640" s="6"/>
      <c r="L640" s="9"/>
      <c r="M640" s="10"/>
      <c r="N640" s="10"/>
      <c r="O640" s="9">
        <f t="shared" si="298"/>
        <v>0</v>
      </c>
      <c r="P640" s="38">
        <v>0.0548</v>
      </c>
      <c r="Q640" s="9">
        <f t="shared" si="299"/>
        <v>0</v>
      </c>
      <c r="R640" s="9">
        <f t="shared" si="300"/>
        <v>0</v>
      </c>
      <c r="S640" s="9">
        <f t="shared" si="301"/>
        <v>0</v>
      </c>
      <c r="T640" s="9"/>
      <c r="U640" s="6" t="s">
        <v>60</v>
      </c>
      <c r="V640" s="6"/>
      <c r="W640" s="6"/>
      <c r="X640" s="6"/>
      <c r="Y640" s="6"/>
      <c r="Z640" s="6"/>
      <c r="AA640" s="6"/>
      <c r="AB640" s="6"/>
      <c r="AC640" s="6"/>
      <c r="AD640" s="6"/>
      <c r="AE640" s="6"/>
      <c r="AF640" s="6"/>
      <c r="AG640" s="6"/>
      <c r="AH640" s="6"/>
    </row>
    <row r="641" ht="15.75" customHeight="1">
      <c r="A641" s="6"/>
      <c r="B641" s="25" t="s">
        <v>106</v>
      </c>
      <c r="C641" s="25"/>
      <c r="D641" s="25"/>
      <c r="E641" s="25" t="s">
        <v>548</v>
      </c>
      <c r="F641" s="25" t="s">
        <v>29</v>
      </c>
      <c r="G641" s="9">
        <v>1.58162849E8</v>
      </c>
      <c r="H641" s="9">
        <v>2.9030485E7</v>
      </c>
      <c r="I641" s="9">
        <f t="shared" si="297"/>
        <v>29030485</v>
      </c>
      <c r="J641" s="9"/>
      <c r="K641" s="6"/>
      <c r="L641" s="9"/>
      <c r="M641" s="10"/>
      <c r="N641" s="10"/>
      <c r="O641" s="9">
        <f t="shared" si="298"/>
        <v>187193334</v>
      </c>
      <c r="P641" s="38">
        <v>0.1949</v>
      </c>
      <c r="Q641" s="9">
        <f t="shared" si="299"/>
        <v>5658041.527</v>
      </c>
      <c r="R641" s="9">
        <f t="shared" si="300"/>
        <v>36483980.8</v>
      </c>
      <c r="S641" s="9">
        <f t="shared" si="301"/>
        <v>36483980.8</v>
      </c>
      <c r="T641" s="9"/>
      <c r="U641" s="40" t="s">
        <v>549</v>
      </c>
      <c r="V641" s="6"/>
      <c r="W641" s="6"/>
      <c r="X641" s="6"/>
      <c r="Y641" s="6"/>
      <c r="Z641" s="6"/>
      <c r="AA641" s="6"/>
      <c r="AB641" s="6"/>
      <c r="AC641" s="6"/>
      <c r="AD641" s="6"/>
      <c r="AE641" s="6"/>
      <c r="AF641" s="6"/>
      <c r="AG641" s="6"/>
      <c r="AH641" s="6"/>
    </row>
    <row r="642" ht="15.75" customHeight="1">
      <c r="A642" s="6"/>
      <c r="B642" s="25" t="s">
        <v>106</v>
      </c>
      <c r="C642" s="25"/>
      <c r="D642" s="25"/>
      <c r="E642" s="25" t="s">
        <v>1345</v>
      </c>
      <c r="F642" s="25" t="s">
        <v>29</v>
      </c>
      <c r="G642" s="9"/>
      <c r="H642" s="9">
        <f>33768165+42575</f>
        <v>33810740</v>
      </c>
      <c r="I642" s="9">
        <f t="shared" si="297"/>
        <v>33810740</v>
      </c>
      <c r="J642" s="9"/>
      <c r="K642" s="6"/>
      <c r="L642" s="9"/>
      <c r="M642" s="10"/>
      <c r="N642" s="10"/>
      <c r="O642" s="9">
        <f t="shared" si="298"/>
        <v>33810740</v>
      </c>
      <c r="P642" s="38">
        <v>1.0</v>
      </c>
      <c r="Q642" s="9">
        <f t="shared" si="299"/>
        <v>33810740</v>
      </c>
      <c r="R642" s="9">
        <f t="shared" si="300"/>
        <v>33810740</v>
      </c>
      <c r="S642" s="9">
        <f t="shared" si="301"/>
        <v>33810740</v>
      </c>
      <c r="T642" s="9"/>
      <c r="U642" s="40" t="s">
        <v>1346</v>
      </c>
      <c r="V642" s="6"/>
      <c r="W642" s="6"/>
      <c r="X642" s="6"/>
      <c r="Y642" s="6"/>
      <c r="Z642" s="6"/>
      <c r="AA642" s="6"/>
      <c r="AB642" s="6"/>
      <c r="AC642" s="6"/>
      <c r="AD642" s="6"/>
      <c r="AE642" s="6"/>
      <c r="AF642" s="6"/>
      <c r="AG642" s="6"/>
      <c r="AH642" s="6"/>
    </row>
    <row r="643" ht="15.75" customHeight="1">
      <c r="A643" s="6"/>
      <c r="B643" s="25"/>
      <c r="C643" s="25"/>
      <c r="D643" s="25"/>
      <c r="E643" s="41" t="s">
        <v>35</v>
      </c>
      <c r="F643" s="25"/>
      <c r="G643" s="9"/>
      <c r="H643" s="9"/>
      <c r="I643" s="9"/>
      <c r="J643" s="9"/>
      <c r="K643" s="6"/>
      <c r="L643" s="9"/>
      <c r="M643" s="10"/>
      <c r="N643" s="10"/>
      <c r="O643" s="9"/>
      <c r="P643" s="26" t="s">
        <v>1347</v>
      </c>
      <c r="Q643" s="19">
        <f t="shared" ref="Q643:S643" si="302">SUM(Q631:Q642)</f>
        <v>1853707935</v>
      </c>
      <c r="R643" s="19">
        <f t="shared" si="302"/>
        <v>2594693345</v>
      </c>
      <c r="S643" s="19">
        <f t="shared" si="302"/>
        <v>2697624925</v>
      </c>
      <c r="T643" s="20">
        <v>1.204836978E9</v>
      </c>
      <c r="U643" s="6"/>
      <c r="V643" s="6"/>
      <c r="W643" s="6"/>
      <c r="X643" s="6"/>
      <c r="Y643" s="6"/>
      <c r="Z643" s="6"/>
      <c r="AA643" s="6"/>
      <c r="AB643" s="6"/>
      <c r="AC643" s="6"/>
      <c r="AD643" s="6"/>
      <c r="AE643" s="6"/>
      <c r="AF643" s="6"/>
      <c r="AG643" s="6"/>
      <c r="AH643" s="6"/>
    </row>
    <row r="644" ht="15.75" customHeight="1">
      <c r="A644" s="6">
        <v>50.0</v>
      </c>
      <c r="B644" s="25" t="s">
        <v>1348</v>
      </c>
      <c r="C644" s="42" t="s">
        <v>1349</v>
      </c>
      <c r="D644" s="25"/>
      <c r="E644" s="41"/>
      <c r="F644" s="42" t="s">
        <v>1</v>
      </c>
      <c r="G644" s="8">
        <v>1.945942E9</v>
      </c>
      <c r="H644" s="8">
        <v>1.0835678E10</v>
      </c>
      <c r="I644" s="9">
        <f t="shared" ref="I644:I651" si="303">H644-J644</f>
        <v>10835678000</v>
      </c>
      <c r="J644" s="9"/>
      <c r="K644" s="6"/>
      <c r="L644" s="9"/>
      <c r="M644" s="10"/>
      <c r="N644" s="51">
        <f>135029000+28554000</f>
        <v>163583000</v>
      </c>
      <c r="O644" s="9">
        <f t="shared" ref="O644:O651" si="304">G644+I644</f>
        <v>12781620000</v>
      </c>
      <c r="P644" s="31">
        <v>0.1334</v>
      </c>
      <c r="Q644" s="9">
        <f t="shared" ref="Q644:Q651" si="305">I644*P644</f>
        <v>1445479445</v>
      </c>
      <c r="R644" s="9">
        <f t="shared" ref="R644:R651" si="306">(O644-N644-M644)*P644</f>
        <v>1683246136</v>
      </c>
      <c r="S644" s="9">
        <f t="shared" ref="S644:S651" si="307">O644*P644</f>
        <v>1705068108</v>
      </c>
      <c r="T644" s="9"/>
      <c r="U644" s="32" t="s">
        <v>1350</v>
      </c>
      <c r="V644" s="6"/>
      <c r="W644" s="6"/>
      <c r="X644" s="6"/>
      <c r="Y644" s="6"/>
      <c r="Z644" s="6"/>
      <c r="AA644" s="6"/>
      <c r="AB644" s="6"/>
      <c r="AC644" s="6"/>
      <c r="AD644" s="6"/>
      <c r="AE644" s="6"/>
      <c r="AF644" s="6"/>
      <c r="AG644" s="6"/>
      <c r="AH644" s="6"/>
    </row>
    <row r="645" ht="15.75" customHeight="1">
      <c r="A645" s="6"/>
      <c r="B645" s="25" t="s">
        <v>1348</v>
      </c>
      <c r="C645" s="25"/>
      <c r="D645" s="25" t="s">
        <v>1351</v>
      </c>
      <c r="E645" s="25"/>
      <c r="F645" s="25" t="s">
        <v>3</v>
      </c>
      <c r="G645" s="9">
        <v>2.55626109E8</v>
      </c>
      <c r="H645" s="9">
        <v>2.66850228E8</v>
      </c>
      <c r="I645" s="9">
        <f t="shared" si="303"/>
        <v>266850228</v>
      </c>
      <c r="J645" s="9"/>
      <c r="K645" s="6"/>
      <c r="L645" s="9"/>
      <c r="M645" s="10"/>
      <c r="N645" s="14">
        <v>4322250.0</v>
      </c>
      <c r="O645" s="9">
        <f t="shared" si="304"/>
        <v>522476337</v>
      </c>
      <c r="P645" s="38">
        <v>1.0</v>
      </c>
      <c r="Q645" s="9">
        <f t="shared" si="305"/>
        <v>266850228</v>
      </c>
      <c r="R645" s="9">
        <f t="shared" si="306"/>
        <v>518154087</v>
      </c>
      <c r="S645" s="9">
        <f t="shared" si="307"/>
        <v>522476337</v>
      </c>
      <c r="T645" s="9"/>
      <c r="U645" s="32" t="s">
        <v>1352</v>
      </c>
      <c r="V645" s="6"/>
      <c r="W645" s="6"/>
      <c r="X645" s="6"/>
      <c r="Y645" s="6"/>
      <c r="Z645" s="6"/>
      <c r="AA645" s="6"/>
      <c r="AB645" s="6"/>
      <c r="AC645" s="6"/>
      <c r="AD645" s="6"/>
      <c r="AE645" s="6"/>
      <c r="AF645" s="6"/>
      <c r="AG645" s="6"/>
      <c r="AH645" s="6"/>
    </row>
    <row r="646" ht="15.75" customHeight="1">
      <c r="A646" s="6"/>
      <c r="B646" s="25" t="s">
        <v>1348</v>
      </c>
      <c r="C646" s="25"/>
      <c r="D646" s="25"/>
      <c r="E646" s="35" t="s">
        <v>1353</v>
      </c>
      <c r="F646" s="25" t="s">
        <v>43</v>
      </c>
      <c r="G646" s="9">
        <v>6.5386948E7</v>
      </c>
      <c r="H646" s="9">
        <v>2.29542097E8</v>
      </c>
      <c r="I646" s="9">
        <f t="shared" si="303"/>
        <v>229542097</v>
      </c>
      <c r="J646" s="9"/>
      <c r="K646" s="6"/>
      <c r="L646" s="9"/>
      <c r="M646" s="10"/>
      <c r="N646" s="14">
        <v>1.3877056E7</v>
      </c>
      <c r="O646" s="9">
        <f t="shared" si="304"/>
        <v>294929045</v>
      </c>
      <c r="P646" s="38">
        <v>0.7646</v>
      </c>
      <c r="Q646" s="9">
        <f t="shared" si="305"/>
        <v>175507887.4</v>
      </c>
      <c r="R646" s="9">
        <f t="shared" si="306"/>
        <v>214892350.8</v>
      </c>
      <c r="S646" s="9">
        <f t="shared" si="307"/>
        <v>225502747.8</v>
      </c>
      <c r="T646" s="9"/>
      <c r="U646" s="32" t="s">
        <v>1354</v>
      </c>
      <c r="V646" s="6"/>
      <c r="W646" s="6"/>
      <c r="X646" s="6"/>
      <c r="Y646" s="6"/>
      <c r="Z646" s="6"/>
      <c r="AA646" s="6"/>
      <c r="AB646" s="6"/>
      <c r="AC646" s="6"/>
      <c r="AD646" s="6"/>
      <c r="AE646" s="6"/>
      <c r="AF646" s="6"/>
      <c r="AG646" s="6"/>
      <c r="AH646" s="6"/>
    </row>
    <row r="647" ht="15.75" customHeight="1">
      <c r="A647" s="6"/>
      <c r="B647" s="25" t="s">
        <v>1348</v>
      </c>
      <c r="C647" s="25"/>
      <c r="D647" s="25"/>
      <c r="E647" s="25" t="s">
        <v>1355</v>
      </c>
      <c r="F647" s="25" t="s">
        <v>47</v>
      </c>
      <c r="G647" s="9">
        <v>3353130.0</v>
      </c>
      <c r="H647" s="9">
        <v>6.7772351E7</v>
      </c>
      <c r="I647" s="9">
        <f t="shared" si="303"/>
        <v>21651932</v>
      </c>
      <c r="J647" s="9">
        <v>4.6120419E7</v>
      </c>
      <c r="K647" s="6" t="s">
        <v>802</v>
      </c>
      <c r="L647" s="9"/>
      <c r="M647" s="10"/>
      <c r="N647" s="10"/>
      <c r="O647" s="9">
        <f t="shared" si="304"/>
        <v>25005062</v>
      </c>
      <c r="P647" s="38">
        <v>0.2607</v>
      </c>
      <c r="Q647" s="9">
        <f t="shared" si="305"/>
        <v>5644658.672</v>
      </c>
      <c r="R647" s="9">
        <f t="shared" si="306"/>
        <v>6518819.663</v>
      </c>
      <c r="S647" s="9">
        <f t="shared" si="307"/>
        <v>6518819.663</v>
      </c>
      <c r="T647" s="9"/>
      <c r="U647" s="32" t="s">
        <v>1356</v>
      </c>
      <c r="V647" s="6"/>
      <c r="W647" s="6"/>
      <c r="X647" s="6"/>
      <c r="Y647" s="6"/>
      <c r="Z647" s="6"/>
      <c r="AA647" s="6"/>
      <c r="AB647" s="6"/>
      <c r="AC647" s="6"/>
      <c r="AD647" s="6"/>
      <c r="AE647" s="6"/>
      <c r="AF647" s="6"/>
      <c r="AG647" s="6"/>
      <c r="AH647" s="6"/>
    </row>
    <row r="648" ht="15.75" customHeight="1">
      <c r="A648" s="6"/>
      <c r="B648" s="25" t="s">
        <v>1348</v>
      </c>
      <c r="C648" s="25"/>
      <c r="D648" s="25"/>
      <c r="E648" s="25" t="s">
        <v>1357</v>
      </c>
      <c r="F648" s="25" t="s">
        <v>47</v>
      </c>
      <c r="G648" s="9"/>
      <c r="H648" s="9">
        <f>15766+4119646+1087+8028283+37450+1311132+95775+219326+4474465+33927+699376+179342+254753+2076926+218703+86249+17415+125682+37601+57483+10175563+874258+424565</f>
        <v>33564773</v>
      </c>
      <c r="I648" s="9">
        <f t="shared" si="303"/>
        <v>19215575</v>
      </c>
      <c r="J648" s="9">
        <f>254753+2076926+218703+86249+17415+125682+37601+57483+10175563+874258+424565</f>
        <v>14349198</v>
      </c>
      <c r="K648" s="6" t="s">
        <v>1358</v>
      </c>
      <c r="L648" s="9"/>
      <c r="M648" s="10"/>
      <c r="N648" s="10"/>
      <c r="O648" s="9">
        <f t="shared" si="304"/>
        <v>19215575</v>
      </c>
      <c r="P648" s="38">
        <v>0.823</v>
      </c>
      <c r="Q648" s="9">
        <f t="shared" si="305"/>
        <v>15814418.23</v>
      </c>
      <c r="R648" s="9">
        <f t="shared" si="306"/>
        <v>15814418.23</v>
      </c>
      <c r="S648" s="9">
        <f t="shared" si="307"/>
        <v>15814418.23</v>
      </c>
      <c r="T648" s="9"/>
      <c r="U648" s="32" t="s">
        <v>1359</v>
      </c>
      <c r="V648" s="6"/>
      <c r="W648" s="6"/>
      <c r="X648" s="6"/>
      <c r="Y648" s="6"/>
      <c r="Z648" s="6"/>
      <c r="AA648" s="6"/>
      <c r="AB648" s="6"/>
      <c r="AC648" s="6"/>
      <c r="AD648" s="6"/>
      <c r="AE648" s="6"/>
      <c r="AF648" s="6"/>
      <c r="AG648" s="6"/>
      <c r="AH648" s="6"/>
    </row>
    <row r="649" ht="15.75" customHeight="1">
      <c r="A649" s="6"/>
      <c r="B649" s="25" t="s">
        <v>1348</v>
      </c>
      <c r="C649" s="25"/>
      <c r="D649" s="25"/>
      <c r="E649" s="25" t="s">
        <v>1360</v>
      </c>
      <c r="F649" s="25" t="s">
        <v>47</v>
      </c>
      <c r="G649" s="9">
        <f>5603+25543+831597+571527</f>
        <v>1434270</v>
      </c>
      <c r="H649" s="9">
        <f>533+2772011+359945+23424+1459039+52473+369685+2532388+460210+6312864+160800+100000+151175+10851504+700027</f>
        <v>26306078</v>
      </c>
      <c r="I649" s="9">
        <f t="shared" si="303"/>
        <v>7569498</v>
      </c>
      <c r="J649" s="9">
        <f>460210+6312864+160800+100000+151175+10851504+700027</f>
        <v>18736580</v>
      </c>
      <c r="K649" s="6" t="s">
        <v>762</v>
      </c>
      <c r="L649" s="9"/>
      <c r="M649" s="10"/>
      <c r="N649" s="10"/>
      <c r="O649" s="9">
        <f t="shared" si="304"/>
        <v>9003768</v>
      </c>
      <c r="P649" s="38">
        <v>0.6236</v>
      </c>
      <c r="Q649" s="9">
        <f t="shared" si="305"/>
        <v>4720338.953</v>
      </c>
      <c r="R649" s="9">
        <f t="shared" si="306"/>
        <v>5614749.725</v>
      </c>
      <c r="S649" s="9">
        <f t="shared" si="307"/>
        <v>5614749.725</v>
      </c>
      <c r="T649" s="9"/>
      <c r="U649" s="32" t="s">
        <v>1361</v>
      </c>
      <c r="V649" s="6"/>
      <c r="W649" s="6"/>
      <c r="X649" s="6"/>
      <c r="Y649" s="6"/>
      <c r="Z649" s="6"/>
      <c r="AA649" s="6"/>
      <c r="AB649" s="6"/>
      <c r="AC649" s="6"/>
      <c r="AD649" s="6"/>
      <c r="AE649" s="6"/>
      <c r="AF649" s="6"/>
      <c r="AG649" s="6"/>
      <c r="AH649" s="6"/>
    </row>
    <row r="650" ht="15.75" customHeight="1">
      <c r="A650" s="6"/>
      <c r="B650" s="25" t="s">
        <v>1348</v>
      </c>
      <c r="C650" s="25"/>
      <c r="D650" s="25"/>
      <c r="E650" s="25" t="s">
        <v>1362</v>
      </c>
      <c r="F650" s="25" t="s">
        <v>47</v>
      </c>
      <c r="G650" s="9"/>
      <c r="H650" s="9">
        <f>85561+6176206+70708+4064885+240+1332610+322708+323224+477555+9203569+609594+377672+121928802+105625+2431558+359125+1906530+89551+81353+13684437+1263737</f>
        <v>164895250</v>
      </c>
      <c r="I650" s="9">
        <f t="shared" si="303"/>
        <v>144973334</v>
      </c>
      <c r="J650" s="9">
        <f>105625+2431558+359125+1906530+89551+81353+13684437+1263737</f>
        <v>19921916</v>
      </c>
      <c r="K650" s="6" t="s">
        <v>762</v>
      </c>
      <c r="L650" s="9"/>
      <c r="M650" s="10"/>
      <c r="N650" s="10"/>
      <c r="O650" s="9">
        <f t="shared" si="304"/>
        <v>144973334</v>
      </c>
      <c r="P650" s="38">
        <v>0.6862</v>
      </c>
      <c r="Q650" s="9">
        <f t="shared" si="305"/>
        <v>99480701.79</v>
      </c>
      <c r="R650" s="9">
        <f t="shared" si="306"/>
        <v>99480701.79</v>
      </c>
      <c r="S650" s="9">
        <f t="shared" si="307"/>
        <v>99480701.79</v>
      </c>
      <c r="T650" s="9"/>
      <c r="U650" s="32" t="s">
        <v>1363</v>
      </c>
      <c r="V650" s="6"/>
      <c r="W650" s="6"/>
      <c r="X650" s="6"/>
      <c r="Y650" s="6"/>
      <c r="Z650" s="6"/>
      <c r="AA650" s="6"/>
      <c r="AB650" s="6"/>
      <c r="AC650" s="6"/>
      <c r="AD650" s="6"/>
      <c r="AE650" s="6"/>
      <c r="AF650" s="6"/>
      <c r="AG650" s="6"/>
      <c r="AH650" s="6"/>
    </row>
    <row r="651" ht="15.75" customHeight="1">
      <c r="A651" s="6"/>
      <c r="B651" s="25" t="s">
        <v>1348</v>
      </c>
      <c r="C651" s="25"/>
      <c r="D651" s="25"/>
      <c r="E651" s="25" t="s">
        <v>1364</v>
      </c>
      <c r="F651" s="25" t="s">
        <v>47</v>
      </c>
      <c r="G651" s="9">
        <v>8132166.0</v>
      </c>
      <c r="H651" s="9">
        <v>4.10683657E8</v>
      </c>
      <c r="I651" s="9">
        <f t="shared" si="303"/>
        <v>115631957</v>
      </c>
      <c r="J651" s="9">
        <f>284533850+10517850</f>
        <v>295051700</v>
      </c>
      <c r="K651" s="6" t="s">
        <v>1365</v>
      </c>
      <c r="L651" s="9"/>
      <c r="M651" s="10"/>
      <c r="N651" s="10"/>
      <c r="O651" s="9">
        <f t="shared" si="304"/>
        <v>123764123</v>
      </c>
      <c r="P651" s="38">
        <v>0.9181</v>
      </c>
      <c r="Q651" s="9">
        <f t="shared" si="305"/>
        <v>106161699.7</v>
      </c>
      <c r="R651" s="9">
        <f t="shared" si="306"/>
        <v>113627841.3</v>
      </c>
      <c r="S651" s="9">
        <f t="shared" si="307"/>
        <v>113627841.3</v>
      </c>
      <c r="T651" s="9"/>
      <c r="U651" s="32" t="s">
        <v>1366</v>
      </c>
      <c r="V651" s="6"/>
      <c r="W651" s="6"/>
      <c r="X651" s="6"/>
      <c r="Y651" s="6"/>
      <c r="Z651" s="6"/>
      <c r="AA651" s="6"/>
      <c r="AB651" s="6"/>
      <c r="AC651" s="6"/>
      <c r="AD651" s="6"/>
      <c r="AE651" s="6"/>
      <c r="AF651" s="6"/>
      <c r="AG651" s="6"/>
      <c r="AH651" s="6"/>
    </row>
    <row r="652" ht="15.75" customHeight="1">
      <c r="A652" s="6"/>
      <c r="B652" s="25"/>
      <c r="C652" s="25"/>
      <c r="D652" s="25"/>
      <c r="E652" s="41" t="s">
        <v>35</v>
      </c>
      <c r="F652" s="25"/>
      <c r="G652" s="9"/>
      <c r="H652" s="9"/>
      <c r="I652" s="9"/>
      <c r="J652" s="9"/>
      <c r="K652" s="6"/>
      <c r="L652" s="9"/>
      <c r="M652" s="10"/>
      <c r="N652" s="10"/>
      <c r="O652" s="9"/>
      <c r="P652" s="26" t="s">
        <v>1367</v>
      </c>
      <c r="Q652" s="19">
        <f t="shared" ref="Q652:S652" si="308">SUM(Q644:Q651)</f>
        <v>2119659378</v>
      </c>
      <c r="R652" s="19">
        <f t="shared" si="308"/>
        <v>2657349104</v>
      </c>
      <c r="S652" s="19">
        <f t="shared" si="308"/>
        <v>2694103724</v>
      </c>
      <c r="T652" s="20">
        <v>8.54017404E8</v>
      </c>
      <c r="U652" s="6"/>
      <c r="V652" s="6"/>
      <c r="W652" s="6"/>
      <c r="X652" s="6"/>
      <c r="Y652" s="6"/>
      <c r="Z652" s="6"/>
      <c r="AA652" s="6"/>
      <c r="AB652" s="6"/>
      <c r="AC652" s="6"/>
      <c r="AD652" s="6"/>
      <c r="AE652" s="6"/>
      <c r="AF652" s="6"/>
      <c r="AG652" s="6"/>
      <c r="AH652" s="6"/>
    </row>
    <row r="653" ht="15.75" customHeight="1">
      <c r="A653" s="7">
        <v>51.0</v>
      </c>
      <c r="B653" s="7" t="s">
        <v>1368</v>
      </c>
      <c r="C653" s="7" t="s">
        <v>1369</v>
      </c>
      <c r="D653" s="6"/>
      <c r="E653" s="6"/>
      <c r="F653" s="7" t="s">
        <v>1</v>
      </c>
      <c r="G653" s="8">
        <v>3.188779E9</v>
      </c>
      <c r="H653" s="8">
        <v>1.1816143E10</v>
      </c>
      <c r="I653" s="9">
        <f t="shared" ref="I653:I657" si="309">H653-J653</f>
        <v>11816143000</v>
      </c>
      <c r="J653" s="9"/>
      <c r="K653" s="6"/>
      <c r="L653" s="9"/>
      <c r="M653" s="10"/>
      <c r="N653" s="8">
        <v>5.56953E8</v>
      </c>
      <c r="O653" s="9">
        <f t="shared" ref="O653:O657" si="310">G653+I653</f>
        <v>15004922000</v>
      </c>
      <c r="P653" s="31">
        <v>0.0837</v>
      </c>
      <c r="Q653" s="9">
        <f t="shared" ref="Q653:Q657" si="311">I653*P653</f>
        <v>989011169.1</v>
      </c>
      <c r="R653" s="9">
        <f t="shared" ref="R653:R657" si="312">(O653-N653-M653)*P653</f>
        <v>1209295005</v>
      </c>
      <c r="S653" s="9">
        <f t="shared" ref="S653:S657" si="313">O653*P653</f>
        <v>1255911971</v>
      </c>
      <c r="T653" s="9"/>
      <c r="U653" s="56" t="s">
        <v>1370</v>
      </c>
      <c r="V653" s="6"/>
      <c r="W653" s="6"/>
      <c r="X653" s="6"/>
      <c r="Y653" s="6"/>
      <c r="Z653" s="6"/>
      <c r="AA653" s="6"/>
      <c r="AB653" s="6"/>
      <c r="AC653" s="6"/>
      <c r="AD653" s="6"/>
      <c r="AE653" s="6"/>
      <c r="AF653" s="6"/>
      <c r="AG653" s="6"/>
      <c r="AH653" s="6"/>
    </row>
    <row r="654" ht="15.75" customHeight="1">
      <c r="A654" s="7"/>
      <c r="B654" s="7" t="s">
        <v>1368</v>
      </c>
      <c r="C654" s="57"/>
      <c r="D654" s="57" t="s">
        <v>1371</v>
      </c>
      <c r="E654" s="6"/>
      <c r="F654" s="7" t="s">
        <v>3</v>
      </c>
      <c r="G654" s="22">
        <v>1.95215E8</v>
      </c>
      <c r="H654" s="22">
        <v>6.29089E8</v>
      </c>
      <c r="I654" s="9">
        <f t="shared" si="309"/>
        <v>629089000</v>
      </c>
      <c r="J654" s="9"/>
      <c r="K654" s="6"/>
      <c r="L654" s="9"/>
      <c r="M654" s="10"/>
      <c r="N654" s="51">
        <v>1.966E7</v>
      </c>
      <c r="O654" s="9">
        <f t="shared" si="310"/>
        <v>824304000</v>
      </c>
      <c r="P654" s="11">
        <v>1.0</v>
      </c>
      <c r="Q654" s="9">
        <f t="shared" si="311"/>
        <v>629089000</v>
      </c>
      <c r="R654" s="9">
        <f t="shared" si="312"/>
        <v>804644000</v>
      </c>
      <c r="S654" s="9">
        <f t="shared" si="313"/>
        <v>824304000</v>
      </c>
      <c r="T654" s="9"/>
      <c r="U654" s="56" t="s">
        <v>1372</v>
      </c>
      <c r="V654" s="6"/>
      <c r="W654" s="6"/>
      <c r="X654" s="6"/>
      <c r="Y654" s="6"/>
      <c r="Z654" s="6"/>
      <c r="AA654" s="6"/>
      <c r="AB654" s="6"/>
      <c r="AC654" s="6"/>
      <c r="AD654" s="6"/>
      <c r="AE654" s="6"/>
      <c r="AF654" s="6"/>
      <c r="AG654" s="6"/>
      <c r="AH654" s="6"/>
    </row>
    <row r="655" ht="15.75" customHeight="1">
      <c r="A655" s="6"/>
      <c r="B655" s="6"/>
      <c r="C655" s="6"/>
      <c r="D655" s="6"/>
      <c r="E655" s="7" t="s">
        <v>1373</v>
      </c>
      <c r="F655" s="7" t="s">
        <v>43</v>
      </c>
      <c r="G655" s="9"/>
      <c r="H655" s="9"/>
      <c r="I655" s="9">
        <f t="shared" si="309"/>
        <v>0</v>
      </c>
      <c r="J655" s="9"/>
      <c r="K655" s="6"/>
      <c r="L655" s="9"/>
      <c r="M655" s="10"/>
      <c r="N655" s="10"/>
      <c r="O655" s="9">
        <f t="shared" si="310"/>
        <v>0</v>
      </c>
      <c r="P655" s="11">
        <v>0.9859</v>
      </c>
      <c r="Q655" s="9">
        <f t="shared" si="311"/>
        <v>0</v>
      </c>
      <c r="R655" s="9">
        <f t="shared" si="312"/>
        <v>0</v>
      </c>
      <c r="S655" s="9">
        <f t="shared" si="313"/>
        <v>0</v>
      </c>
      <c r="T655" s="9"/>
      <c r="U655" s="6" t="s">
        <v>60</v>
      </c>
      <c r="V655" s="6"/>
      <c r="W655" s="6"/>
      <c r="X655" s="6"/>
      <c r="Y655" s="6"/>
      <c r="Z655" s="6"/>
      <c r="AA655" s="6"/>
      <c r="AB655" s="6"/>
      <c r="AC655" s="6"/>
      <c r="AD655" s="6"/>
      <c r="AE655" s="6"/>
      <c r="AF655" s="6"/>
      <c r="AG655" s="6"/>
      <c r="AH655" s="6"/>
    </row>
    <row r="656" ht="15.75" customHeight="1">
      <c r="A656" s="6"/>
      <c r="B656" s="6"/>
      <c r="C656" s="6"/>
      <c r="D656" s="6"/>
      <c r="E656" s="58" t="s">
        <v>1374</v>
      </c>
      <c r="F656" s="25" t="s">
        <v>47</v>
      </c>
      <c r="G656" s="8">
        <v>7693477.0</v>
      </c>
      <c r="H656" s="8">
        <v>1.306637023E9</v>
      </c>
      <c r="I656" s="9">
        <f t="shared" si="309"/>
        <v>529388836</v>
      </c>
      <c r="J656" s="8">
        <v>7.77248187E8</v>
      </c>
      <c r="K656" s="30" t="s">
        <v>1375</v>
      </c>
      <c r="L656" s="9"/>
      <c r="M656" s="10"/>
      <c r="N656" s="10"/>
      <c r="O656" s="9">
        <f t="shared" si="310"/>
        <v>537082313</v>
      </c>
      <c r="P656" s="11">
        <v>1.0</v>
      </c>
      <c r="Q656" s="9">
        <f t="shared" si="311"/>
        <v>529388836</v>
      </c>
      <c r="R656" s="9">
        <f t="shared" si="312"/>
        <v>537082313</v>
      </c>
      <c r="S656" s="9">
        <f t="shared" si="313"/>
        <v>537082313</v>
      </c>
      <c r="T656" s="9"/>
      <c r="U656" s="56" t="s">
        <v>1376</v>
      </c>
      <c r="V656" s="6"/>
      <c r="W656" s="6"/>
      <c r="X656" s="6"/>
      <c r="Y656" s="6"/>
      <c r="Z656" s="6"/>
      <c r="AA656" s="6"/>
      <c r="AB656" s="6"/>
      <c r="AC656" s="6"/>
      <c r="AD656" s="6"/>
      <c r="AE656" s="6"/>
      <c r="AF656" s="6"/>
      <c r="AG656" s="6"/>
      <c r="AH656" s="6"/>
    </row>
    <row r="657" ht="15.75" customHeight="1">
      <c r="A657" s="6"/>
      <c r="B657" s="6"/>
      <c r="C657" s="6"/>
      <c r="D657" s="6"/>
      <c r="E657" s="58" t="s">
        <v>1377</v>
      </c>
      <c r="F657" s="25" t="s">
        <v>29</v>
      </c>
      <c r="G657" s="9"/>
      <c r="H657" s="59">
        <f>9481149+63298117+2967939+57848109+10913502+1927905+1229875+258788</f>
        <v>147925384</v>
      </c>
      <c r="I657" s="9">
        <f t="shared" si="309"/>
        <v>76005993</v>
      </c>
      <c r="J657" s="9">
        <f>57848109+10913502+1927905+1229875</f>
        <v>71919391</v>
      </c>
      <c r="K657" s="30" t="s">
        <v>1378</v>
      </c>
      <c r="L657" s="9"/>
      <c r="M657" s="10"/>
      <c r="N657" s="10"/>
      <c r="O657" s="9">
        <f t="shared" si="310"/>
        <v>76005993</v>
      </c>
      <c r="P657" s="11">
        <v>1.0</v>
      </c>
      <c r="Q657" s="9">
        <f t="shared" si="311"/>
        <v>76005993</v>
      </c>
      <c r="R657" s="9">
        <f t="shared" si="312"/>
        <v>76005993</v>
      </c>
      <c r="S657" s="9">
        <f t="shared" si="313"/>
        <v>76005993</v>
      </c>
      <c r="U657" s="56" t="s">
        <v>1379</v>
      </c>
      <c r="V657" s="6"/>
      <c r="W657" s="6"/>
      <c r="X657" s="6"/>
      <c r="Y657" s="6"/>
      <c r="Z657" s="6"/>
      <c r="AA657" s="6"/>
      <c r="AB657" s="6"/>
      <c r="AC657" s="6"/>
      <c r="AD657" s="6"/>
      <c r="AE657" s="6"/>
      <c r="AF657" s="6"/>
      <c r="AG657" s="6"/>
      <c r="AH657" s="6"/>
    </row>
    <row r="658" ht="15.75" customHeight="1">
      <c r="A658" s="6"/>
      <c r="B658" s="6"/>
      <c r="C658" s="6"/>
      <c r="D658" s="6"/>
      <c r="E658" s="41" t="s">
        <v>35</v>
      </c>
      <c r="F658" s="7"/>
      <c r="G658" s="9"/>
      <c r="H658" s="9"/>
      <c r="I658" s="9"/>
      <c r="J658" s="9"/>
      <c r="K658" s="6"/>
      <c r="L658" s="9"/>
      <c r="M658" s="10"/>
      <c r="N658" s="10"/>
      <c r="O658" s="9"/>
      <c r="P658" s="60" t="s">
        <v>1380</v>
      </c>
      <c r="Q658" s="19">
        <f t="shared" ref="Q658:S658" si="314">sum(Q653:Q657)</f>
        <v>2223494998</v>
      </c>
      <c r="R658" s="19">
        <f t="shared" si="314"/>
        <v>2627027311</v>
      </c>
      <c r="S658" s="19">
        <f t="shared" si="314"/>
        <v>2693304277</v>
      </c>
      <c r="T658" s="61">
        <v>1.532520516E9</v>
      </c>
      <c r="U658" s="6"/>
      <c r="V658" s="6"/>
      <c r="W658" s="6"/>
      <c r="X658" s="6"/>
      <c r="Y658" s="6"/>
      <c r="Z658" s="6"/>
      <c r="AA658" s="6"/>
      <c r="AB658" s="6"/>
      <c r="AC658" s="6"/>
      <c r="AD658" s="6"/>
      <c r="AE658" s="6"/>
      <c r="AF658" s="6"/>
      <c r="AG658" s="6"/>
      <c r="AH658" s="6"/>
    </row>
    <row r="659" ht="15.75" customHeight="1">
      <c r="A659" s="6"/>
      <c r="B659" s="6"/>
      <c r="C659" s="6"/>
      <c r="D659" s="6"/>
      <c r="E659" s="6"/>
      <c r="F659" s="6"/>
      <c r="G659" s="9"/>
      <c r="H659" s="9"/>
      <c r="I659" s="9"/>
      <c r="J659" s="9"/>
      <c r="K659" s="6"/>
      <c r="L659" s="9"/>
      <c r="M659" s="10"/>
      <c r="N659" s="10"/>
      <c r="O659" s="9"/>
      <c r="P659" s="15"/>
      <c r="Q659" s="9"/>
      <c r="R659" s="9"/>
      <c r="S659" s="9"/>
      <c r="T659" s="9"/>
      <c r="U659" s="6"/>
      <c r="V659" s="6"/>
      <c r="W659" s="6"/>
      <c r="X659" s="6"/>
      <c r="Y659" s="6"/>
      <c r="Z659" s="6"/>
      <c r="AA659" s="6"/>
      <c r="AB659" s="6"/>
      <c r="AC659" s="6"/>
      <c r="AD659" s="6"/>
      <c r="AE659" s="6"/>
      <c r="AF659" s="6"/>
      <c r="AG659" s="6"/>
      <c r="AH659" s="6"/>
    </row>
    <row r="660" ht="15.75" customHeight="1">
      <c r="A660" s="6"/>
      <c r="B660" s="6"/>
      <c r="C660" s="6"/>
      <c r="D660" s="6"/>
      <c r="E660" s="7" t="s">
        <v>1381</v>
      </c>
      <c r="F660" s="6"/>
      <c r="G660" s="9"/>
      <c r="H660" s="9"/>
      <c r="I660" s="9"/>
      <c r="J660" s="9"/>
      <c r="K660" s="6"/>
      <c r="L660" s="9"/>
      <c r="M660" s="10"/>
      <c r="N660" s="10"/>
      <c r="O660" s="9"/>
      <c r="P660" s="15"/>
      <c r="Q660" s="9"/>
      <c r="R660" s="9"/>
      <c r="S660" s="9"/>
      <c r="T660" s="9"/>
      <c r="U660" s="6"/>
      <c r="V660" s="6"/>
      <c r="W660" s="6"/>
      <c r="X660" s="6"/>
      <c r="Y660" s="6"/>
      <c r="Z660" s="6"/>
      <c r="AA660" s="6"/>
      <c r="AB660" s="6"/>
      <c r="AC660" s="6"/>
      <c r="AD660" s="6"/>
      <c r="AE660" s="6"/>
      <c r="AF660" s="6"/>
      <c r="AG660" s="6"/>
      <c r="AH660" s="6"/>
    </row>
    <row r="661" ht="15.75" customHeight="1">
      <c r="A661" s="6"/>
      <c r="B661" s="6"/>
      <c r="C661" s="6"/>
      <c r="D661" s="6"/>
      <c r="E661" s="6"/>
      <c r="F661" s="6"/>
      <c r="G661" s="9"/>
      <c r="H661" s="9"/>
      <c r="I661" s="9"/>
      <c r="J661" s="9"/>
      <c r="K661" s="6"/>
      <c r="L661" s="9"/>
      <c r="M661" s="10"/>
      <c r="N661" s="10"/>
      <c r="O661" s="9"/>
      <c r="P661" s="15"/>
      <c r="Q661" s="9"/>
      <c r="R661" s="9"/>
      <c r="S661" s="9"/>
      <c r="T661" s="9"/>
      <c r="U661" s="6"/>
      <c r="V661" s="6"/>
      <c r="W661" s="6"/>
      <c r="X661" s="6"/>
      <c r="Y661" s="6"/>
      <c r="Z661" s="6"/>
      <c r="AA661" s="6"/>
      <c r="AB661" s="6"/>
      <c r="AC661" s="6"/>
      <c r="AD661" s="6"/>
      <c r="AE661" s="6"/>
      <c r="AF661" s="6"/>
      <c r="AG661" s="6"/>
      <c r="AH661" s="6"/>
    </row>
    <row r="662" ht="15.75" customHeight="1">
      <c r="A662" s="6"/>
      <c r="B662" s="6"/>
      <c r="C662" s="6"/>
      <c r="D662" s="6"/>
      <c r="E662" s="6"/>
      <c r="F662" s="6"/>
      <c r="G662" s="9"/>
      <c r="H662" s="9"/>
      <c r="I662" s="9"/>
      <c r="J662" s="9"/>
      <c r="K662" s="6"/>
      <c r="L662" s="9"/>
      <c r="M662" s="10"/>
      <c r="N662" s="10"/>
      <c r="O662" s="9"/>
      <c r="P662" s="15"/>
      <c r="Q662" s="9"/>
      <c r="R662" s="9"/>
      <c r="S662" s="9"/>
      <c r="T662" s="9"/>
      <c r="U662" s="6"/>
      <c r="V662" s="6"/>
      <c r="W662" s="6"/>
      <c r="X662" s="6"/>
      <c r="Y662" s="6"/>
      <c r="Z662" s="6"/>
      <c r="AA662" s="6"/>
      <c r="AB662" s="6"/>
      <c r="AC662" s="6"/>
      <c r="AD662" s="6"/>
      <c r="AE662" s="6"/>
      <c r="AF662" s="6"/>
      <c r="AG662" s="6"/>
      <c r="AH662" s="6"/>
    </row>
    <row r="663" ht="15.75" customHeight="1">
      <c r="A663" s="6"/>
      <c r="B663" s="6"/>
      <c r="C663" s="6"/>
      <c r="D663" s="6"/>
      <c r="E663" s="6"/>
      <c r="F663" s="6"/>
      <c r="G663" s="9"/>
      <c r="H663" s="9"/>
      <c r="I663" s="9"/>
      <c r="J663" s="9"/>
      <c r="K663" s="6"/>
      <c r="L663" s="9"/>
      <c r="M663" s="10"/>
      <c r="N663" s="10"/>
      <c r="O663" s="9"/>
      <c r="P663" s="15"/>
      <c r="Q663" s="9"/>
      <c r="R663" s="9"/>
      <c r="S663" s="9"/>
      <c r="T663" s="9"/>
      <c r="U663" s="6"/>
      <c r="V663" s="6"/>
      <c r="W663" s="6"/>
      <c r="X663" s="6"/>
      <c r="Y663" s="6"/>
      <c r="Z663" s="6"/>
      <c r="AA663" s="6"/>
      <c r="AB663" s="6"/>
      <c r="AC663" s="6"/>
      <c r="AD663" s="6"/>
      <c r="AE663" s="6"/>
      <c r="AF663" s="6"/>
      <c r="AG663" s="6"/>
      <c r="AH663" s="6"/>
    </row>
    <row r="664" ht="15.75" customHeight="1">
      <c r="A664" s="6"/>
      <c r="B664" s="6"/>
      <c r="C664" s="6"/>
      <c r="D664" s="6"/>
      <c r="E664" s="6"/>
      <c r="F664" s="6"/>
      <c r="G664" s="9"/>
      <c r="H664" s="9"/>
      <c r="I664" s="9"/>
      <c r="J664" s="9"/>
      <c r="K664" s="6"/>
      <c r="L664" s="9"/>
      <c r="M664" s="10"/>
      <c r="N664" s="10"/>
      <c r="O664" s="9"/>
      <c r="P664" s="15"/>
      <c r="Q664" s="9"/>
      <c r="R664" s="9"/>
      <c r="S664" s="9"/>
      <c r="T664" s="9"/>
      <c r="U664" s="6"/>
      <c r="V664" s="6"/>
      <c r="W664" s="6"/>
      <c r="X664" s="6"/>
      <c r="Y664" s="6"/>
      <c r="Z664" s="6"/>
      <c r="AA664" s="6"/>
      <c r="AB664" s="6"/>
      <c r="AC664" s="6"/>
      <c r="AD664" s="6"/>
      <c r="AE664" s="6"/>
      <c r="AF664" s="6"/>
      <c r="AG664" s="6"/>
      <c r="AH664" s="6"/>
    </row>
    <row r="665" ht="15.75" customHeight="1">
      <c r="A665" s="6"/>
      <c r="B665" s="6"/>
      <c r="C665" s="6"/>
      <c r="D665" s="6"/>
      <c r="E665" s="6"/>
      <c r="F665" s="6"/>
      <c r="G665" s="9"/>
      <c r="H665" s="9"/>
      <c r="I665" s="9"/>
      <c r="J665" s="9"/>
      <c r="K665" s="6"/>
      <c r="L665" s="9"/>
      <c r="M665" s="10"/>
      <c r="N665" s="10"/>
      <c r="O665" s="9"/>
      <c r="P665" s="15"/>
      <c r="Q665" s="9"/>
      <c r="R665" s="9"/>
      <c r="S665" s="9"/>
      <c r="T665" s="9"/>
      <c r="U665" s="6"/>
      <c r="V665" s="6"/>
      <c r="W665" s="6"/>
      <c r="X665" s="6"/>
      <c r="Y665" s="6"/>
      <c r="Z665" s="6"/>
      <c r="AA665" s="6"/>
      <c r="AB665" s="6"/>
      <c r="AC665" s="6"/>
      <c r="AD665" s="6"/>
      <c r="AE665" s="6"/>
      <c r="AF665" s="6"/>
      <c r="AG665" s="6"/>
      <c r="AH665" s="6"/>
    </row>
    <row r="666" ht="15.75" customHeight="1">
      <c r="A666" s="6"/>
      <c r="B666" s="6"/>
      <c r="C666" s="6"/>
      <c r="D666" s="6"/>
      <c r="E666" s="6"/>
      <c r="F666" s="6"/>
      <c r="G666" s="9"/>
      <c r="H666" s="9"/>
      <c r="I666" s="9"/>
      <c r="J666" s="9"/>
      <c r="K666" s="6"/>
      <c r="L666" s="9"/>
      <c r="M666" s="10"/>
      <c r="N666" s="10"/>
      <c r="O666" s="9"/>
      <c r="P666" s="15"/>
      <c r="Q666" s="9"/>
      <c r="R666" s="9"/>
      <c r="S666" s="9"/>
      <c r="T666" s="9"/>
      <c r="U666" s="6"/>
      <c r="V666" s="6"/>
      <c r="W666" s="6"/>
      <c r="X666" s="6"/>
      <c r="Y666" s="6"/>
      <c r="Z666" s="6"/>
      <c r="AA666" s="6"/>
      <c r="AB666" s="6"/>
      <c r="AC666" s="6"/>
      <c r="AD666" s="6"/>
      <c r="AE666" s="6"/>
      <c r="AF666" s="6"/>
      <c r="AG666" s="6"/>
      <c r="AH666" s="6"/>
    </row>
    <row r="667" ht="15.75" customHeight="1">
      <c r="A667" s="6"/>
      <c r="B667" s="6"/>
      <c r="C667" s="6"/>
      <c r="D667" s="6"/>
      <c r="E667" s="6"/>
      <c r="F667" s="6"/>
      <c r="G667" s="9"/>
      <c r="H667" s="9"/>
      <c r="I667" s="9"/>
      <c r="J667" s="9"/>
      <c r="K667" s="6"/>
      <c r="L667" s="9"/>
      <c r="M667" s="10"/>
      <c r="N667" s="10"/>
      <c r="O667" s="9"/>
      <c r="P667" s="15"/>
      <c r="Q667" s="9"/>
      <c r="R667" s="9"/>
      <c r="S667" s="9"/>
      <c r="T667" s="9"/>
      <c r="U667" s="6"/>
      <c r="V667" s="6"/>
      <c r="W667" s="6"/>
      <c r="X667" s="6"/>
      <c r="Y667" s="6"/>
      <c r="Z667" s="6"/>
      <c r="AA667" s="6"/>
      <c r="AB667" s="6"/>
      <c r="AC667" s="6"/>
      <c r="AD667" s="6"/>
      <c r="AE667" s="6"/>
      <c r="AF667" s="6"/>
      <c r="AG667" s="6"/>
      <c r="AH667" s="6"/>
    </row>
    <row r="668" ht="15.75" customHeight="1">
      <c r="A668" s="6"/>
      <c r="B668" s="6"/>
      <c r="C668" s="6"/>
      <c r="D668" s="6"/>
      <c r="E668" s="6"/>
      <c r="F668" s="6"/>
      <c r="G668" s="9"/>
      <c r="H668" s="9"/>
      <c r="I668" s="9"/>
      <c r="J668" s="9"/>
      <c r="K668" s="6"/>
      <c r="L668" s="9"/>
      <c r="M668" s="10"/>
      <c r="N668" s="10"/>
      <c r="O668" s="9"/>
      <c r="P668" s="15"/>
      <c r="Q668" s="9"/>
      <c r="R668" s="9"/>
      <c r="S668" s="9"/>
      <c r="T668" s="9"/>
      <c r="U668" s="6"/>
      <c r="V668" s="6"/>
      <c r="W668" s="6"/>
      <c r="X668" s="6"/>
      <c r="Y668" s="6"/>
      <c r="Z668" s="6"/>
      <c r="AA668" s="6"/>
      <c r="AB668" s="6"/>
      <c r="AC668" s="6"/>
      <c r="AD668" s="6"/>
      <c r="AE668" s="6"/>
      <c r="AF668" s="6"/>
      <c r="AG668" s="6"/>
      <c r="AH668" s="6"/>
    </row>
    <row r="669" ht="15.75" customHeight="1">
      <c r="A669" s="6"/>
      <c r="B669" s="6"/>
      <c r="C669" s="6"/>
      <c r="D669" s="6"/>
      <c r="E669" s="6"/>
      <c r="F669" s="6"/>
      <c r="G669" s="9"/>
      <c r="H669" s="9"/>
      <c r="I669" s="9"/>
      <c r="J669" s="9"/>
      <c r="K669" s="6"/>
      <c r="L669" s="9"/>
      <c r="M669" s="10"/>
      <c r="N669" s="10"/>
      <c r="O669" s="9"/>
      <c r="P669" s="15"/>
      <c r="Q669" s="9"/>
      <c r="R669" s="9"/>
      <c r="S669" s="9"/>
      <c r="T669" s="9"/>
      <c r="U669" s="6"/>
      <c r="V669" s="6"/>
      <c r="W669" s="6"/>
      <c r="X669" s="6"/>
      <c r="Y669" s="6"/>
      <c r="Z669" s="6"/>
      <c r="AA669" s="6"/>
      <c r="AB669" s="6"/>
      <c r="AC669" s="6"/>
      <c r="AD669" s="6"/>
      <c r="AE669" s="6"/>
      <c r="AF669" s="6"/>
      <c r="AG669" s="6"/>
      <c r="AH669" s="6"/>
    </row>
    <row r="670" ht="15.75" customHeight="1">
      <c r="A670" s="6"/>
      <c r="B670" s="6"/>
      <c r="C670" s="6"/>
      <c r="D670" s="6"/>
      <c r="E670" s="6"/>
      <c r="F670" s="6"/>
      <c r="G670" s="9"/>
      <c r="H670" s="9"/>
      <c r="I670" s="9"/>
      <c r="J670" s="9"/>
      <c r="K670" s="6"/>
      <c r="L670" s="9"/>
      <c r="M670" s="10"/>
      <c r="N670" s="10"/>
      <c r="O670" s="9"/>
      <c r="P670" s="15"/>
      <c r="Q670" s="9"/>
      <c r="R670" s="9"/>
      <c r="S670" s="9"/>
      <c r="T670" s="9"/>
      <c r="U670" s="6"/>
      <c r="V670" s="6"/>
      <c r="W670" s="6"/>
      <c r="X670" s="6"/>
      <c r="Y670" s="6"/>
      <c r="Z670" s="6"/>
      <c r="AA670" s="6"/>
      <c r="AB670" s="6"/>
      <c r="AC670" s="6"/>
      <c r="AD670" s="6"/>
      <c r="AE670" s="6"/>
      <c r="AF670" s="6"/>
      <c r="AG670" s="6"/>
      <c r="AH670" s="6"/>
    </row>
    <row r="671" ht="15.75" customHeight="1">
      <c r="A671" s="6"/>
      <c r="B671" s="6"/>
      <c r="C671" s="6"/>
      <c r="D671" s="6"/>
      <c r="E671" s="6"/>
      <c r="F671" s="6"/>
      <c r="G671" s="9"/>
      <c r="H671" s="9"/>
      <c r="I671" s="9"/>
      <c r="J671" s="9"/>
      <c r="K671" s="6"/>
      <c r="L671" s="9"/>
      <c r="M671" s="10"/>
      <c r="N671" s="10"/>
      <c r="O671" s="9"/>
      <c r="P671" s="15"/>
      <c r="Q671" s="9"/>
      <c r="R671" s="9"/>
      <c r="S671" s="9"/>
      <c r="T671" s="9"/>
      <c r="U671" s="6"/>
      <c r="V671" s="6"/>
      <c r="W671" s="6"/>
      <c r="X671" s="6"/>
      <c r="Y671" s="6"/>
      <c r="Z671" s="6"/>
      <c r="AA671" s="6"/>
      <c r="AB671" s="6"/>
      <c r="AC671" s="6"/>
      <c r="AD671" s="6"/>
      <c r="AE671" s="6"/>
      <c r="AF671" s="6"/>
      <c r="AG671" s="6"/>
      <c r="AH671" s="6"/>
    </row>
    <row r="672" ht="15.75" customHeight="1">
      <c r="A672" s="6"/>
      <c r="B672" s="6"/>
      <c r="C672" s="6"/>
      <c r="D672" s="6"/>
      <c r="E672" s="6"/>
      <c r="F672" s="6"/>
      <c r="G672" s="9"/>
      <c r="H672" s="9"/>
      <c r="I672" s="9"/>
      <c r="J672" s="9"/>
      <c r="K672" s="6"/>
      <c r="L672" s="9"/>
      <c r="M672" s="10"/>
      <c r="N672" s="10"/>
      <c r="O672" s="9"/>
      <c r="P672" s="15"/>
      <c r="Q672" s="9"/>
      <c r="R672" s="9"/>
      <c r="S672" s="9"/>
      <c r="T672" s="9"/>
      <c r="U672" s="6"/>
      <c r="V672" s="6"/>
      <c r="W672" s="6"/>
      <c r="X672" s="6"/>
      <c r="Y672" s="6"/>
      <c r="Z672" s="6"/>
      <c r="AA672" s="6"/>
      <c r="AB672" s="6"/>
      <c r="AC672" s="6"/>
      <c r="AD672" s="6"/>
      <c r="AE672" s="6"/>
      <c r="AF672" s="6"/>
      <c r="AG672" s="6"/>
      <c r="AH672" s="6"/>
    </row>
    <row r="673" ht="15.75" customHeight="1">
      <c r="A673" s="6"/>
      <c r="B673" s="6"/>
      <c r="C673" s="6"/>
      <c r="D673" s="6"/>
      <c r="E673" s="6"/>
      <c r="F673" s="6"/>
      <c r="G673" s="9"/>
      <c r="H673" s="9"/>
      <c r="I673" s="9"/>
      <c r="J673" s="9"/>
      <c r="K673" s="6"/>
      <c r="L673" s="9"/>
      <c r="M673" s="10"/>
      <c r="N673" s="10"/>
      <c r="O673" s="9"/>
      <c r="P673" s="15"/>
      <c r="Q673" s="9"/>
      <c r="R673" s="9"/>
      <c r="S673" s="9"/>
      <c r="T673" s="9"/>
      <c r="U673" s="6"/>
      <c r="V673" s="6"/>
      <c r="W673" s="6"/>
      <c r="X673" s="6"/>
      <c r="Y673" s="6"/>
      <c r="Z673" s="6"/>
      <c r="AA673" s="6"/>
      <c r="AB673" s="6"/>
      <c r="AC673" s="6"/>
      <c r="AD673" s="6"/>
      <c r="AE673" s="6"/>
      <c r="AF673" s="6"/>
      <c r="AG673" s="6"/>
      <c r="AH673" s="6"/>
    </row>
    <row r="674" ht="15.75" customHeight="1">
      <c r="A674" s="6"/>
      <c r="B674" s="6"/>
      <c r="C674" s="6"/>
      <c r="D674" s="6"/>
      <c r="E674" s="6"/>
      <c r="F674" s="6"/>
      <c r="G674" s="9"/>
      <c r="H674" s="9"/>
      <c r="I674" s="9"/>
      <c r="J674" s="9"/>
      <c r="K674" s="6"/>
      <c r="L674" s="9"/>
      <c r="M674" s="10"/>
      <c r="N674" s="10"/>
      <c r="O674" s="9"/>
      <c r="P674" s="15"/>
      <c r="Q674" s="9"/>
      <c r="R674" s="9"/>
      <c r="S674" s="9"/>
      <c r="T674" s="9"/>
      <c r="U674" s="6"/>
      <c r="V674" s="6"/>
      <c r="W674" s="6"/>
      <c r="X674" s="6"/>
      <c r="Y674" s="6"/>
      <c r="Z674" s="6"/>
      <c r="AA674" s="6"/>
      <c r="AB674" s="6"/>
      <c r="AC674" s="6"/>
      <c r="AD674" s="6"/>
      <c r="AE674" s="6"/>
      <c r="AF674" s="6"/>
      <c r="AG674" s="6"/>
      <c r="AH674" s="6"/>
    </row>
    <row r="675" ht="15.75" customHeight="1">
      <c r="A675" s="6"/>
      <c r="B675" s="6"/>
      <c r="C675" s="6"/>
      <c r="D675" s="6"/>
      <c r="E675" s="6"/>
      <c r="F675" s="6"/>
      <c r="G675" s="9"/>
      <c r="H675" s="9"/>
      <c r="I675" s="9"/>
      <c r="J675" s="9"/>
      <c r="K675" s="6"/>
      <c r="L675" s="9"/>
      <c r="M675" s="10"/>
      <c r="N675" s="10"/>
      <c r="O675" s="9"/>
      <c r="P675" s="15"/>
      <c r="Q675" s="9"/>
      <c r="R675" s="9"/>
      <c r="S675" s="9"/>
      <c r="T675" s="9"/>
      <c r="U675" s="6"/>
      <c r="V675" s="6"/>
      <c r="W675" s="6"/>
      <c r="X675" s="6"/>
      <c r="Y675" s="6"/>
      <c r="Z675" s="6"/>
      <c r="AA675" s="6"/>
      <c r="AB675" s="6"/>
      <c r="AC675" s="6"/>
      <c r="AD675" s="6"/>
      <c r="AE675" s="6"/>
      <c r="AF675" s="6"/>
      <c r="AG675" s="6"/>
      <c r="AH675" s="6"/>
    </row>
    <row r="676" ht="15.75" customHeight="1">
      <c r="A676" s="6"/>
      <c r="B676" s="6"/>
      <c r="C676" s="6"/>
      <c r="D676" s="6"/>
      <c r="E676" s="6"/>
      <c r="F676" s="6"/>
      <c r="G676" s="9"/>
      <c r="H676" s="9"/>
      <c r="I676" s="9"/>
      <c r="J676" s="9"/>
      <c r="K676" s="6"/>
      <c r="L676" s="9"/>
      <c r="M676" s="10"/>
      <c r="N676" s="10"/>
      <c r="O676" s="9"/>
      <c r="P676" s="15"/>
      <c r="Q676" s="9"/>
      <c r="R676" s="9"/>
      <c r="S676" s="9"/>
      <c r="T676" s="9"/>
      <c r="U676" s="6"/>
      <c r="V676" s="6"/>
      <c r="W676" s="6"/>
      <c r="X676" s="6"/>
      <c r="Y676" s="6"/>
      <c r="Z676" s="6"/>
      <c r="AA676" s="6"/>
      <c r="AB676" s="6"/>
      <c r="AC676" s="6"/>
      <c r="AD676" s="6"/>
      <c r="AE676" s="6"/>
      <c r="AF676" s="6"/>
      <c r="AG676" s="6"/>
      <c r="AH676" s="6"/>
    </row>
    <row r="677" ht="15.75" customHeight="1">
      <c r="A677" s="6"/>
      <c r="B677" s="6"/>
      <c r="C677" s="6"/>
      <c r="D677" s="6"/>
      <c r="E677" s="6"/>
      <c r="F677" s="6"/>
      <c r="G677" s="9"/>
      <c r="H677" s="9"/>
      <c r="I677" s="9"/>
      <c r="J677" s="9"/>
      <c r="K677" s="6"/>
      <c r="L677" s="9"/>
      <c r="M677" s="10"/>
      <c r="N677" s="10"/>
      <c r="O677" s="9"/>
      <c r="P677" s="15"/>
      <c r="Q677" s="9"/>
      <c r="R677" s="9"/>
      <c r="S677" s="9"/>
      <c r="T677" s="9"/>
      <c r="U677" s="6"/>
      <c r="V677" s="6"/>
      <c r="W677" s="6"/>
      <c r="X677" s="6"/>
      <c r="Y677" s="6"/>
      <c r="Z677" s="6"/>
      <c r="AA677" s="6"/>
      <c r="AB677" s="6"/>
      <c r="AC677" s="6"/>
      <c r="AD677" s="6"/>
      <c r="AE677" s="6"/>
      <c r="AF677" s="6"/>
      <c r="AG677" s="6"/>
      <c r="AH677" s="6"/>
    </row>
    <row r="678" ht="15.75" customHeight="1">
      <c r="A678" s="6"/>
      <c r="B678" s="6"/>
      <c r="C678" s="6"/>
      <c r="D678" s="6"/>
      <c r="E678" s="6"/>
      <c r="F678" s="6"/>
      <c r="G678" s="9"/>
      <c r="H678" s="9"/>
      <c r="I678" s="9"/>
      <c r="J678" s="9"/>
      <c r="K678" s="6"/>
      <c r="L678" s="9"/>
      <c r="M678" s="10"/>
      <c r="N678" s="10"/>
      <c r="O678" s="9"/>
      <c r="P678" s="15"/>
      <c r="Q678" s="9"/>
      <c r="R678" s="9"/>
      <c r="S678" s="9"/>
      <c r="T678" s="9"/>
      <c r="U678" s="6"/>
      <c r="V678" s="6"/>
      <c r="W678" s="6"/>
      <c r="X678" s="6"/>
      <c r="Y678" s="6"/>
      <c r="Z678" s="6"/>
      <c r="AA678" s="6"/>
      <c r="AB678" s="6"/>
      <c r="AC678" s="6"/>
      <c r="AD678" s="6"/>
      <c r="AE678" s="6"/>
      <c r="AF678" s="6"/>
      <c r="AG678" s="6"/>
      <c r="AH678" s="6"/>
    </row>
    <row r="679" ht="15.75" customHeight="1">
      <c r="A679" s="6"/>
      <c r="B679" s="6"/>
      <c r="C679" s="6"/>
      <c r="D679" s="6"/>
      <c r="E679" s="6"/>
      <c r="F679" s="6"/>
      <c r="G679" s="9"/>
      <c r="H679" s="9"/>
      <c r="I679" s="9"/>
      <c r="J679" s="9"/>
      <c r="K679" s="6"/>
      <c r="L679" s="9"/>
      <c r="M679" s="10"/>
      <c r="N679" s="10"/>
      <c r="O679" s="9"/>
      <c r="P679" s="15"/>
      <c r="Q679" s="9"/>
      <c r="R679" s="9"/>
      <c r="S679" s="9"/>
      <c r="T679" s="9"/>
      <c r="U679" s="6"/>
      <c r="V679" s="6"/>
      <c r="W679" s="6"/>
      <c r="X679" s="6"/>
      <c r="Y679" s="6"/>
      <c r="Z679" s="6"/>
      <c r="AA679" s="6"/>
      <c r="AB679" s="6"/>
      <c r="AC679" s="6"/>
      <c r="AD679" s="6"/>
      <c r="AE679" s="6"/>
      <c r="AF679" s="6"/>
      <c r="AG679" s="6"/>
      <c r="AH679" s="6"/>
    </row>
    <row r="680" ht="15.75" customHeight="1">
      <c r="A680" s="6"/>
      <c r="B680" s="6"/>
      <c r="C680" s="6"/>
      <c r="D680" s="6"/>
      <c r="E680" s="6"/>
      <c r="F680" s="6"/>
      <c r="G680" s="9"/>
      <c r="H680" s="9"/>
      <c r="I680" s="9"/>
      <c r="J680" s="9"/>
      <c r="K680" s="6"/>
      <c r="L680" s="9"/>
      <c r="M680" s="10"/>
      <c r="N680" s="10"/>
      <c r="O680" s="9"/>
      <c r="P680" s="15"/>
      <c r="Q680" s="9"/>
      <c r="R680" s="9"/>
      <c r="S680" s="9"/>
      <c r="T680" s="9"/>
      <c r="U680" s="6"/>
      <c r="V680" s="6"/>
      <c r="W680" s="6"/>
      <c r="X680" s="6"/>
      <c r="Y680" s="6"/>
      <c r="Z680" s="6"/>
      <c r="AA680" s="6"/>
      <c r="AB680" s="6"/>
      <c r="AC680" s="6"/>
      <c r="AD680" s="6"/>
      <c r="AE680" s="6"/>
      <c r="AF680" s="6"/>
      <c r="AG680" s="6"/>
      <c r="AH680" s="6"/>
    </row>
    <row r="681" ht="15.75" customHeight="1">
      <c r="A681" s="6"/>
      <c r="B681" s="6"/>
      <c r="C681" s="6"/>
      <c r="D681" s="6"/>
      <c r="E681" s="6"/>
      <c r="F681" s="6"/>
      <c r="G681" s="9"/>
      <c r="H681" s="9"/>
      <c r="I681" s="9"/>
      <c r="J681" s="9"/>
      <c r="K681" s="6"/>
      <c r="L681" s="9"/>
      <c r="M681" s="10"/>
      <c r="N681" s="10"/>
      <c r="O681" s="9"/>
      <c r="P681" s="15"/>
      <c r="Q681" s="9"/>
      <c r="R681" s="9"/>
      <c r="S681" s="9"/>
      <c r="T681" s="9"/>
      <c r="U681" s="6"/>
      <c r="V681" s="6"/>
      <c r="W681" s="6"/>
      <c r="X681" s="6"/>
      <c r="Y681" s="6"/>
      <c r="Z681" s="6"/>
      <c r="AA681" s="6"/>
      <c r="AB681" s="6"/>
      <c r="AC681" s="6"/>
      <c r="AD681" s="6"/>
      <c r="AE681" s="6"/>
      <c r="AF681" s="6"/>
      <c r="AG681" s="6"/>
      <c r="AH681" s="6"/>
    </row>
    <row r="682" ht="15.75" customHeight="1">
      <c r="A682" s="6"/>
      <c r="B682" s="6"/>
      <c r="C682" s="6"/>
      <c r="D682" s="6"/>
      <c r="E682" s="6"/>
      <c r="F682" s="6"/>
      <c r="G682" s="9"/>
      <c r="H682" s="9"/>
      <c r="I682" s="9"/>
      <c r="J682" s="9"/>
      <c r="K682" s="6"/>
      <c r="L682" s="9"/>
      <c r="M682" s="10"/>
      <c r="N682" s="10"/>
      <c r="O682" s="9"/>
      <c r="P682" s="15"/>
      <c r="Q682" s="9"/>
      <c r="R682" s="9"/>
      <c r="S682" s="9"/>
      <c r="T682" s="9"/>
      <c r="U682" s="6"/>
      <c r="V682" s="6"/>
      <c r="W682" s="6"/>
      <c r="X682" s="6"/>
      <c r="Y682" s="6"/>
      <c r="Z682" s="6"/>
      <c r="AA682" s="6"/>
      <c r="AB682" s="6"/>
      <c r="AC682" s="6"/>
      <c r="AD682" s="6"/>
      <c r="AE682" s="6"/>
      <c r="AF682" s="6"/>
      <c r="AG682" s="6"/>
      <c r="AH682" s="6"/>
    </row>
    <row r="683" ht="15.75" customHeight="1">
      <c r="A683" s="6"/>
      <c r="B683" s="6"/>
      <c r="C683" s="6"/>
      <c r="D683" s="6"/>
      <c r="E683" s="6"/>
      <c r="F683" s="6"/>
      <c r="G683" s="9"/>
      <c r="H683" s="9"/>
      <c r="I683" s="9"/>
      <c r="J683" s="9"/>
      <c r="K683" s="6"/>
      <c r="L683" s="9"/>
      <c r="M683" s="10"/>
      <c r="N683" s="10"/>
      <c r="O683" s="9"/>
      <c r="P683" s="15"/>
      <c r="Q683" s="9"/>
      <c r="R683" s="9"/>
      <c r="S683" s="9"/>
      <c r="T683" s="9"/>
      <c r="U683" s="6"/>
      <c r="V683" s="6"/>
      <c r="W683" s="6"/>
      <c r="X683" s="6"/>
      <c r="Y683" s="6"/>
      <c r="Z683" s="6"/>
      <c r="AA683" s="6"/>
      <c r="AB683" s="6"/>
      <c r="AC683" s="6"/>
      <c r="AD683" s="6"/>
      <c r="AE683" s="6"/>
      <c r="AF683" s="6"/>
      <c r="AG683" s="6"/>
      <c r="AH683" s="6"/>
    </row>
    <row r="684" ht="15.75" customHeight="1">
      <c r="A684" s="6"/>
      <c r="B684" s="6"/>
      <c r="C684" s="6"/>
      <c r="D684" s="6"/>
      <c r="E684" s="6"/>
      <c r="F684" s="6"/>
      <c r="G684" s="9"/>
      <c r="H684" s="9"/>
      <c r="I684" s="9"/>
      <c r="J684" s="9"/>
      <c r="K684" s="6"/>
      <c r="L684" s="9"/>
      <c r="M684" s="10"/>
      <c r="N684" s="10"/>
      <c r="O684" s="9"/>
      <c r="P684" s="15"/>
      <c r="Q684" s="9"/>
      <c r="R684" s="9"/>
      <c r="S684" s="9"/>
      <c r="T684" s="9"/>
      <c r="U684" s="6"/>
      <c r="V684" s="6"/>
      <c r="W684" s="6"/>
      <c r="X684" s="6"/>
      <c r="Y684" s="6"/>
      <c r="Z684" s="6"/>
      <c r="AA684" s="6"/>
      <c r="AB684" s="6"/>
      <c r="AC684" s="6"/>
      <c r="AD684" s="6"/>
      <c r="AE684" s="6"/>
      <c r="AF684" s="6"/>
      <c r="AG684" s="6"/>
      <c r="AH684" s="6"/>
    </row>
    <row r="685" ht="15.75" customHeight="1">
      <c r="A685" s="6"/>
      <c r="B685" s="6"/>
      <c r="C685" s="6"/>
      <c r="D685" s="6"/>
      <c r="E685" s="6"/>
      <c r="F685" s="6"/>
      <c r="G685" s="9"/>
      <c r="H685" s="9"/>
      <c r="I685" s="9"/>
      <c r="J685" s="9"/>
      <c r="K685" s="6"/>
      <c r="L685" s="9"/>
      <c r="M685" s="10"/>
      <c r="N685" s="10"/>
      <c r="O685" s="9"/>
      <c r="P685" s="15"/>
      <c r="Q685" s="9"/>
      <c r="R685" s="9"/>
      <c r="S685" s="9"/>
      <c r="T685" s="9"/>
      <c r="U685" s="6"/>
      <c r="V685" s="6"/>
      <c r="W685" s="6"/>
      <c r="X685" s="6"/>
      <c r="Y685" s="6"/>
      <c r="Z685" s="6"/>
      <c r="AA685" s="6"/>
      <c r="AB685" s="6"/>
      <c r="AC685" s="6"/>
      <c r="AD685" s="6"/>
      <c r="AE685" s="6"/>
      <c r="AF685" s="6"/>
      <c r="AG685" s="6"/>
      <c r="AH685" s="6"/>
    </row>
    <row r="686" ht="15.75" customHeight="1">
      <c r="A686" s="6"/>
      <c r="B686" s="6"/>
      <c r="C686" s="6"/>
      <c r="D686" s="6"/>
      <c r="E686" s="6"/>
      <c r="F686" s="6"/>
      <c r="G686" s="9"/>
      <c r="H686" s="9"/>
      <c r="I686" s="9"/>
      <c r="J686" s="9"/>
      <c r="K686" s="6"/>
      <c r="L686" s="9"/>
      <c r="M686" s="10"/>
      <c r="N686" s="10"/>
      <c r="O686" s="9"/>
      <c r="P686" s="15"/>
      <c r="Q686" s="9"/>
      <c r="R686" s="9"/>
      <c r="S686" s="9"/>
      <c r="T686" s="9"/>
      <c r="U686" s="6"/>
      <c r="V686" s="6"/>
      <c r="W686" s="6"/>
      <c r="X686" s="6"/>
      <c r="Y686" s="6"/>
      <c r="Z686" s="6"/>
      <c r="AA686" s="6"/>
      <c r="AB686" s="6"/>
      <c r="AC686" s="6"/>
      <c r="AD686" s="6"/>
      <c r="AE686" s="6"/>
      <c r="AF686" s="6"/>
      <c r="AG686" s="6"/>
      <c r="AH686" s="6"/>
    </row>
    <row r="687" ht="15.75" customHeight="1">
      <c r="A687" s="6"/>
      <c r="B687" s="6"/>
      <c r="C687" s="6"/>
      <c r="D687" s="6"/>
      <c r="E687" s="6"/>
      <c r="F687" s="6"/>
      <c r="G687" s="9"/>
      <c r="H687" s="9"/>
      <c r="I687" s="9"/>
      <c r="J687" s="9"/>
      <c r="K687" s="6"/>
      <c r="L687" s="9"/>
      <c r="M687" s="10"/>
      <c r="N687" s="10"/>
      <c r="O687" s="9"/>
      <c r="P687" s="15"/>
      <c r="Q687" s="9"/>
      <c r="R687" s="9"/>
      <c r="S687" s="9"/>
      <c r="T687" s="9"/>
      <c r="U687" s="6"/>
      <c r="V687" s="6"/>
      <c r="W687" s="6"/>
      <c r="X687" s="6"/>
      <c r="Y687" s="6"/>
      <c r="Z687" s="6"/>
      <c r="AA687" s="6"/>
      <c r="AB687" s="6"/>
      <c r="AC687" s="6"/>
      <c r="AD687" s="6"/>
      <c r="AE687" s="6"/>
      <c r="AF687" s="6"/>
      <c r="AG687" s="6"/>
      <c r="AH687" s="6"/>
    </row>
    <row r="688" ht="15.75" customHeight="1">
      <c r="A688" s="6"/>
      <c r="B688" s="6"/>
      <c r="C688" s="6"/>
      <c r="D688" s="6"/>
      <c r="E688" s="6"/>
      <c r="F688" s="6"/>
      <c r="G688" s="9"/>
      <c r="H688" s="9"/>
      <c r="I688" s="9"/>
      <c r="J688" s="9"/>
      <c r="K688" s="6"/>
      <c r="L688" s="9"/>
      <c r="M688" s="10"/>
      <c r="N688" s="10"/>
      <c r="O688" s="9"/>
      <c r="P688" s="15"/>
      <c r="Q688" s="9"/>
      <c r="R688" s="9"/>
      <c r="S688" s="9"/>
      <c r="T688" s="9"/>
      <c r="U688" s="6"/>
      <c r="V688" s="6"/>
      <c r="W688" s="6"/>
      <c r="X688" s="6"/>
      <c r="Y688" s="6"/>
      <c r="Z688" s="6"/>
      <c r="AA688" s="6"/>
      <c r="AB688" s="6"/>
      <c r="AC688" s="6"/>
      <c r="AD688" s="6"/>
      <c r="AE688" s="6"/>
      <c r="AF688" s="6"/>
      <c r="AG688" s="6"/>
      <c r="AH688" s="6"/>
    </row>
    <row r="689" ht="15.75" customHeight="1">
      <c r="A689" s="6"/>
      <c r="B689" s="6"/>
      <c r="C689" s="6"/>
      <c r="D689" s="6"/>
      <c r="E689" s="6"/>
      <c r="F689" s="6"/>
      <c r="G689" s="9"/>
      <c r="H689" s="9"/>
      <c r="I689" s="9"/>
      <c r="J689" s="9"/>
      <c r="K689" s="6"/>
      <c r="L689" s="9"/>
      <c r="M689" s="10"/>
      <c r="N689" s="10"/>
      <c r="O689" s="9"/>
      <c r="P689" s="15"/>
      <c r="Q689" s="9"/>
      <c r="R689" s="9"/>
      <c r="S689" s="9"/>
      <c r="T689" s="9"/>
      <c r="U689" s="6"/>
      <c r="V689" s="6"/>
      <c r="W689" s="6"/>
      <c r="X689" s="6"/>
      <c r="Y689" s="6"/>
      <c r="Z689" s="6"/>
      <c r="AA689" s="6"/>
      <c r="AB689" s="6"/>
      <c r="AC689" s="6"/>
      <c r="AD689" s="6"/>
      <c r="AE689" s="6"/>
      <c r="AF689" s="6"/>
      <c r="AG689" s="6"/>
      <c r="AH689" s="6"/>
    </row>
    <row r="690" ht="15.75" customHeight="1">
      <c r="A690" s="6"/>
      <c r="B690" s="6"/>
      <c r="C690" s="6"/>
      <c r="D690" s="6"/>
      <c r="E690" s="6"/>
      <c r="F690" s="6"/>
      <c r="G690" s="9"/>
      <c r="H690" s="9"/>
      <c r="I690" s="9"/>
      <c r="J690" s="9"/>
      <c r="K690" s="6"/>
      <c r="L690" s="9"/>
      <c r="M690" s="10"/>
      <c r="N690" s="10"/>
      <c r="O690" s="9"/>
      <c r="P690" s="15"/>
      <c r="Q690" s="9"/>
      <c r="R690" s="9"/>
      <c r="S690" s="9"/>
      <c r="T690" s="9"/>
      <c r="U690" s="6"/>
      <c r="V690" s="6"/>
      <c r="W690" s="6"/>
      <c r="X690" s="6"/>
      <c r="Y690" s="6"/>
      <c r="Z690" s="6"/>
      <c r="AA690" s="6"/>
      <c r="AB690" s="6"/>
      <c r="AC690" s="6"/>
      <c r="AD690" s="6"/>
      <c r="AE690" s="6"/>
      <c r="AF690" s="6"/>
      <c r="AG690" s="6"/>
      <c r="AH690" s="6"/>
    </row>
    <row r="691" ht="15.75" customHeight="1">
      <c r="A691" s="6"/>
      <c r="B691" s="6"/>
      <c r="C691" s="6"/>
      <c r="D691" s="6"/>
      <c r="E691" s="6"/>
      <c r="F691" s="6"/>
      <c r="G691" s="9"/>
      <c r="H691" s="9"/>
      <c r="I691" s="9"/>
      <c r="J691" s="9"/>
      <c r="K691" s="6"/>
      <c r="L691" s="9"/>
      <c r="M691" s="10"/>
      <c r="N691" s="10"/>
      <c r="O691" s="9"/>
      <c r="P691" s="15"/>
      <c r="Q691" s="9"/>
      <c r="R691" s="9"/>
      <c r="S691" s="9"/>
      <c r="T691" s="9"/>
      <c r="U691" s="6"/>
      <c r="V691" s="6"/>
      <c r="W691" s="6"/>
      <c r="X691" s="6"/>
      <c r="Y691" s="6"/>
      <c r="Z691" s="6"/>
      <c r="AA691" s="6"/>
      <c r="AB691" s="6"/>
      <c r="AC691" s="6"/>
      <c r="AD691" s="6"/>
      <c r="AE691" s="6"/>
      <c r="AF691" s="6"/>
      <c r="AG691" s="6"/>
      <c r="AH691" s="6"/>
    </row>
    <row r="692" ht="15.75" customHeight="1">
      <c r="A692" s="6"/>
      <c r="B692" s="6"/>
      <c r="C692" s="6"/>
      <c r="D692" s="6"/>
      <c r="E692" s="6"/>
      <c r="F692" s="6"/>
      <c r="G692" s="9"/>
      <c r="H692" s="9"/>
      <c r="I692" s="9"/>
      <c r="J692" s="9"/>
      <c r="K692" s="6"/>
      <c r="L692" s="9"/>
      <c r="M692" s="10"/>
      <c r="N692" s="10"/>
      <c r="O692" s="9"/>
      <c r="P692" s="15"/>
      <c r="Q692" s="9"/>
      <c r="R692" s="9"/>
      <c r="S692" s="9"/>
      <c r="T692" s="9"/>
      <c r="U692" s="6"/>
      <c r="V692" s="6"/>
      <c r="W692" s="6"/>
      <c r="X692" s="6"/>
      <c r="Y692" s="6"/>
      <c r="Z692" s="6"/>
      <c r="AA692" s="6"/>
      <c r="AB692" s="6"/>
      <c r="AC692" s="6"/>
      <c r="AD692" s="6"/>
      <c r="AE692" s="6"/>
      <c r="AF692" s="6"/>
      <c r="AG692" s="6"/>
      <c r="AH692" s="6"/>
    </row>
    <row r="693" ht="15.75" customHeight="1">
      <c r="A693" s="6"/>
      <c r="B693" s="6"/>
      <c r="C693" s="6"/>
      <c r="D693" s="6"/>
      <c r="E693" s="6"/>
      <c r="F693" s="6"/>
      <c r="G693" s="9"/>
      <c r="H693" s="9"/>
      <c r="I693" s="9"/>
      <c r="J693" s="9"/>
      <c r="K693" s="6"/>
      <c r="L693" s="9"/>
      <c r="M693" s="10"/>
      <c r="N693" s="10"/>
      <c r="O693" s="9"/>
      <c r="P693" s="15"/>
      <c r="Q693" s="9"/>
      <c r="R693" s="9"/>
      <c r="S693" s="9"/>
      <c r="T693" s="9"/>
      <c r="U693" s="6"/>
      <c r="V693" s="6"/>
      <c r="W693" s="6"/>
      <c r="X693" s="6"/>
      <c r="Y693" s="6"/>
      <c r="Z693" s="6"/>
      <c r="AA693" s="6"/>
      <c r="AB693" s="6"/>
      <c r="AC693" s="6"/>
      <c r="AD693" s="6"/>
      <c r="AE693" s="6"/>
      <c r="AF693" s="6"/>
      <c r="AG693" s="6"/>
      <c r="AH693" s="6"/>
    </row>
    <row r="694" ht="15.75" customHeight="1">
      <c r="A694" s="6"/>
      <c r="B694" s="6"/>
      <c r="C694" s="6"/>
      <c r="D694" s="6"/>
      <c r="E694" s="6"/>
      <c r="F694" s="6"/>
      <c r="G694" s="9"/>
      <c r="H694" s="9"/>
      <c r="I694" s="9"/>
      <c r="J694" s="9"/>
      <c r="K694" s="6"/>
      <c r="L694" s="9"/>
      <c r="M694" s="10"/>
      <c r="N694" s="10"/>
      <c r="O694" s="9"/>
      <c r="P694" s="15"/>
      <c r="Q694" s="9"/>
      <c r="R694" s="9"/>
      <c r="S694" s="9"/>
      <c r="T694" s="9"/>
      <c r="U694" s="6"/>
      <c r="V694" s="6"/>
      <c r="W694" s="6"/>
      <c r="X694" s="6"/>
      <c r="Y694" s="6"/>
      <c r="Z694" s="6"/>
      <c r="AA694" s="6"/>
      <c r="AB694" s="6"/>
      <c r="AC694" s="6"/>
      <c r="AD694" s="6"/>
      <c r="AE694" s="6"/>
      <c r="AF694" s="6"/>
      <c r="AG694" s="6"/>
      <c r="AH694" s="6"/>
    </row>
    <row r="695" ht="15.75" customHeight="1">
      <c r="A695" s="6"/>
      <c r="B695" s="6"/>
      <c r="C695" s="6"/>
      <c r="D695" s="6"/>
      <c r="E695" s="6"/>
      <c r="F695" s="6"/>
      <c r="G695" s="9"/>
      <c r="H695" s="9"/>
      <c r="I695" s="9"/>
      <c r="J695" s="9"/>
      <c r="K695" s="6"/>
      <c r="L695" s="9"/>
      <c r="M695" s="10"/>
      <c r="N695" s="10"/>
      <c r="O695" s="9"/>
      <c r="P695" s="15"/>
      <c r="Q695" s="9"/>
      <c r="R695" s="9"/>
      <c r="S695" s="9"/>
      <c r="T695" s="9"/>
      <c r="U695" s="6"/>
      <c r="V695" s="6"/>
      <c r="W695" s="6"/>
      <c r="X695" s="6"/>
      <c r="Y695" s="6"/>
      <c r="Z695" s="6"/>
      <c r="AA695" s="6"/>
      <c r="AB695" s="6"/>
      <c r="AC695" s="6"/>
      <c r="AD695" s="6"/>
      <c r="AE695" s="6"/>
      <c r="AF695" s="6"/>
      <c r="AG695" s="6"/>
      <c r="AH695" s="6"/>
    </row>
    <row r="696" ht="15.75" customHeight="1">
      <c r="A696" s="6"/>
      <c r="B696" s="6"/>
      <c r="C696" s="6"/>
      <c r="D696" s="6"/>
      <c r="E696" s="6"/>
      <c r="F696" s="6"/>
      <c r="G696" s="9"/>
      <c r="H696" s="9"/>
      <c r="I696" s="9"/>
      <c r="J696" s="9"/>
      <c r="K696" s="6"/>
      <c r="L696" s="9"/>
      <c r="M696" s="10"/>
      <c r="N696" s="10"/>
      <c r="O696" s="9"/>
      <c r="P696" s="15"/>
      <c r="Q696" s="9"/>
      <c r="R696" s="9"/>
      <c r="S696" s="9"/>
      <c r="T696" s="9"/>
      <c r="U696" s="6"/>
      <c r="V696" s="6"/>
      <c r="W696" s="6"/>
      <c r="X696" s="6"/>
      <c r="Y696" s="6"/>
      <c r="Z696" s="6"/>
      <c r="AA696" s="6"/>
      <c r="AB696" s="6"/>
      <c r="AC696" s="6"/>
      <c r="AD696" s="6"/>
      <c r="AE696" s="6"/>
      <c r="AF696" s="6"/>
      <c r="AG696" s="6"/>
      <c r="AH696" s="6"/>
    </row>
    <row r="697" ht="15.75" customHeight="1">
      <c r="A697" s="6"/>
      <c r="B697" s="6"/>
      <c r="C697" s="6"/>
      <c r="D697" s="6"/>
      <c r="E697" s="6"/>
      <c r="F697" s="6"/>
      <c r="G697" s="9"/>
      <c r="H697" s="9"/>
      <c r="I697" s="9"/>
      <c r="J697" s="9"/>
      <c r="K697" s="6"/>
      <c r="L697" s="9"/>
      <c r="M697" s="10"/>
      <c r="N697" s="10"/>
      <c r="O697" s="9"/>
      <c r="P697" s="15"/>
      <c r="Q697" s="9"/>
      <c r="R697" s="9"/>
      <c r="S697" s="9"/>
      <c r="T697" s="9"/>
      <c r="U697" s="6"/>
      <c r="V697" s="6"/>
      <c r="W697" s="6"/>
      <c r="X697" s="6"/>
      <c r="Y697" s="6"/>
      <c r="Z697" s="6"/>
      <c r="AA697" s="6"/>
      <c r="AB697" s="6"/>
      <c r="AC697" s="6"/>
      <c r="AD697" s="6"/>
      <c r="AE697" s="6"/>
      <c r="AF697" s="6"/>
      <c r="AG697" s="6"/>
      <c r="AH697" s="6"/>
    </row>
    <row r="698" ht="15.75" customHeight="1">
      <c r="A698" s="6"/>
      <c r="B698" s="6"/>
      <c r="C698" s="6"/>
      <c r="D698" s="6"/>
      <c r="E698" s="6"/>
      <c r="F698" s="6"/>
      <c r="G698" s="9"/>
      <c r="H698" s="9"/>
      <c r="I698" s="9"/>
      <c r="J698" s="9"/>
      <c r="K698" s="6"/>
      <c r="L698" s="9"/>
      <c r="M698" s="10"/>
      <c r="N698" s="10"/>
      <c r="O698" s="9"/>
      <c r="P698" s="15"/>
      <c r="Q698" s="9"/>
      <c r="R698" s="9"/>
      <c r="S698" s="9"/>
      <c r="T698" s="9"/>
      <c r="U698" s="6"/>
      <c r="V698" s="6"/>
      <c r="W698" s="6"/>
      <c r="X698" s="6"/>
      <c r="Y698" s="6"/>
      <c r="Z698" s="6"/>
      <c r="AA698" s="6"/>
      <c r="AB698" s="6"/>
      <c r="AC698" s="6"/>
      <c r="AD698" s="6"/>
      <c r="AE698" s="6"/>
      <c r="AF698" s="6"/>
      <c r="AG698" s="6"/>
      <c r="AH698" s="6"/>
    </row>
    <row r="699" ht="15.75" customHeight="1">
      <c r="A699" s="6"/>
      <c r="B699" s="6"/>
      <c r="C699" s="6"/>
      <c r="D699" s="6"/>
      <c r="E699" s="6"/>
      <c r="F699" s="6"/>
      <c r="G699" s="9"/>
      <c r="H699" s="9"/>
      <c r="I699" s="9"/>
      <c r="J699" s="9"/>
      <c r="K699" s="6"/>
      <c r="L699" s="9"/>
      <c r="M699" s="10"/>
      <c r="N699" s="10"/>
      <c r="O699" s="9"/>
      <c r="P699" s="15"/>
      <c r="Q699" s="9"/>
      <c r="R699" s="9"/>
      <c r="S699" s="9"/>
      <c r="T699" s="9"/>
      <c r="U699" s="6"/>
      <c r="V699" s="6"/>
      <c r="W699" s="6"/>
      <c r="X699" s="6"/>
      <c r="Y699" s="6"/>
      <c r="Z699" s="6"/>
      <c r="AA699" s="6"/>
      <c r="AB699" s="6"/>
      <c r="AC699" s="6"/>
      <c r="AD699" s="6"/>
      <c r="AE699" s="6"/>
      <c r="AF699" s="6"/>
      <c r="AG699" s="6"/>
      <c r="AH699" s="6"/>
    </row>
    <row r="700" ht="15.75" customHeight="1">
      <c r="A700" s="6"/>
      <c r="B700" s="6"/>
      <c r="C700" s="6"/>
      <c r="D700" s="6"/>
      <c r="E700" s="6"/>
      <c r="F700" s="6"/>
      <c r="G700" s="9"/>
      <c r="H700" s="9"/>
      <c r="I700" s="9"/>
      <c r="J700" s="9"/>
      <c r="K700" s="6"/>
      <c r="L700" s="9"/>
      <c r="M700" s="10"/>
      <c r="N700" s="10"/>
      <c r="O700" s="9"/>
      <c r="P700" s="15"/>
      <c r="Q700" s="9"/>
      <c r="R700" s="9"/>
      <c r="S700" s="9"/>
      <c r="T700" s="9"/>
      <c r="U700" s="6"/>
      <c r="V700" s="6"/>
      <c r="W700" s="6"/>
      <c r="X700" s="6"/>
      <c r="Y700" s="6"/>
      <c r="Z700" s="6"/>
      <c r="AA700" s="6"/>
      <c r="AB700" s="6"/>
      <c r="AC700" s="6"/>
      <c r="AD700" s="6"/>
      <c r="AE700" s="6"/>
      <c r="AF700" s="6"/>
      <c r="AG700" s="6"/>
      <c r="AH700" s="6"/>
    </row>
    <row r="701" ht="15.75" customHeight="1">
      <c r="A701" s="6"/>
      <c r="B701" s="6"/>
      <c r="C701" s="6"/>
      <c r="D701" s="6"/>
      <c r="E701" s="6"/>
      <c r="F701" s="6"/>
      <c r="G701" s="9"/>
      <c r="H701" s="9"/>
      <c r="I701" s="9"/>
      <c r="J701" s="9"/>
      <c r="K701" s="6"/>
      <c r="L701" s="9"/>
      <c r="M701" s="10"/>
      <c r="N701" s="10"/>
      <c r="O701" s="9"/>
      <c r="P701" s="15"/>
      <c r="Q701" s="9"/>
      <c r="R701" s="9"/>
      <c r="S701" s="9"/>
      <c r="T701" s="9"/>
      <c r="U701" s="6"/>
      <c r="V701" s="6"/>
      <c r="W701" s="6"/>
      <c r="X701" s="6"/>
      <c r="Y701" s="6"/>
      <c r="Z701" s="6"/>
      <c r="AA701" s="6"/>
      <c r="AB701" s="6"/>
      <c r="AC701" s="6"/>
      <c r="AD701" s="6"/>
      <c r="AE701" s="6"/>
      <c r="AF701" s="6"/>
      <c r="AG701" s="6"/>
      <c r="AH701" s="6"/>
    </row>
    <row r="702" ht="15.75" customHeight="1">
      <c r="A702" s="6"/>
      <c r="B702" s="6"/>
      <c r="C702" s="6"/>
      <c r="D702" s="6"/>
      <c r="E702" s="6"/>
      <c r="F702" s="6"/>
      <c r="G702" s="9"/>
      <c r="H702" s="9"/>
      <c r="I702" s="9"/>
      <c r="J702" s="9"/>
      <c r="K702" s="6"/>
      <c r="L702" s="9"/>
      <c r="M702" s="10"/>
      <c r="N702" s="10"/>
      <c r="O702" s="9"/>
      <c r="P702" s="15"/>
      <c r="Q702" s="9"/>
      <c r="R702" s="9"/>
      <c r="S702" s="9"/>
      <c r="T702" s="9"/>
      <c r="U702" s="6"/>
      <c r="V702" s="6"/>
      <c r="W702" s="6"/>
      <c r="X702" s="6"/>
      <c r="Y702" s="6"/>
      <c r="Z702" s="6"/>
      <c r="AA702" s="6"/>
      <c r="AB702" s="6"/>
      <c r="AC702" s="6"/>
      <c r="AD702" s="6"/>
      <c r="AE702" s="6"/>
      <c r="AF702" s="6"/>
      <c r="AG702" s="6"/>
      <c r="AH702" s="6"/>
    </row>
    <row r="703" ht="15.75" customHeight="1">
      <c r="A703" s="6"/>
      <c r="B703" s="6"/>
      <c r="C703" s="6"/>
      <c r="D703" s="6"/>
      <c r="E703" s="6"/>
      <c r="F703" s="6"/>
      <c r="G703" s="9"/>
      <c r="H703" s="9"/>
      <c r="I703" s="9"/>
      <c r="J703" s="9"/>
      <c r="K703" s="6"/>
      <c r="L703" s="9"/>
      <c r="M703" s="10"/>
      <c r="N703" s="10"/>
      <c r="O703" s="9"/>
      <c r="P703" s="15"/>
      <c r="Q703" s="9"/>
      <c r="R703" s="9"/>
      <c r="S703" s="9"/>
      <c r="T703" s="9"/>
      <c r="U703" s="6"/>
      <c r="V703" s="6"/>
      <c r="W703" s="6"/>
      <c r="X703" s="6"/>
      <c r="Y703" s="6"/>
      <c r="Z703" s="6"/>
      <c r="AA703" s="6"/>
      <c r="AB703" s="6"/>
      <c r="AC703" s="6"/>
      <c r="AD703" s="6"/>
      <c r="AE703" s="6"/>
      <c r="AF703" s="6"/>
      <c r="AG703" s="6"/>
      <c r="AH703" s="6"/>
    </row>
    <row r="704" ht="15.75" customHeight="1">
      <c r="A704" s="6"/>
      <c r="B704" s="6"/>
      <c r="C704" s="6"/>
      <c r="D704" s="6"/>
      <c r="E704" s="6"/>
      <c r="F704" s="6"/>
      <c r="G704" s="9"/>
      <c r="H704" s="9"/>
      <c r="I704" s="9"/>
      <c r="J704" s="9"/>
      <c r="K704" s="6"/>
      <c r="L704" s="9"/>
      <c r="M704" s="10"/>
      <c r="N704" s="10"/>
      <c r="O704" s="9"/>
      <c r="P704" s="15"/>
      <c r="Q704" s="9"/>
      <c r="R704" s="9"/>
      <c r="S704" s="9"/>
      <c r="T704" s="9"/>
      <c r="U704" s="6"/>
      <c r="V704" s="6"/>
      <c r="W704" s="6"/>
      <c r="X704" s="6"/>
      <c r="Y704" s="6"/>
      <c r="Z704" s="6"/>
      <c r="AA704" s="6"/>
      <c r="AB704" s="6"/>
      <c r="AC704" s="6"/>
      <c r="AD704" s="6"/>
      <c r="AE704" s="6"/>
      <c r="AF704" s="6"/>
      <c r="AG704" s="6"/>
      <c r="AH704" s="6"/>
    </row>
    <row r="705" ht="15.75" customHeight="1">
      <c r="A705" s="6"/>
      <c r="B705" s="6"/>
      <c r="C705" s="6"/>
      <c r="D705" s="6"/>
      <c r="E705" s="6"/>
      <c r="F705" s="6"/>
      <c r="G705" s="9"/>
      <c r="H705" s="9"/>
      <c r="I705" s="9"/>
      <c r="J705" s="9"/>
      <c r="K705" s="6"/>
      <c r="L705" s="9"/>
      <c r="M705" s="10"/>
      <c r="N705" s="10"/>
      <c r="O705" s="9"/>
      <c r="P705" s="15"/>
      <c r="Q705" s="9"/>
      <c r="R705" s="9"/>
      <c r="S705" s="9"/>
      <c r="T705" s="9"/>
      <c r="U705" s="6"/>
      <c r="V705" s="6"/>
      <c r="W705" s="6"/>
      <c r="X705" s="6"/>
      <c r="Y705" s="6"/>
      <c r="Z705" s="6"/>
      <c r="AA705" s="6"/>
      <c r="AB705" s="6"/>
      <c r="AC705" s="6"/>
      <c r="AD705" s="6"/>
      <c r="AE705" s="6"/>
      <c r="AF705" s="6"/>
      <c r="AG705" s="6"/>
      <c r="AH705" s="6"/>
    </row>
    <row r="706" ht="15.75" customHeight="1">
      <c r="A706" s="6"/>
      <c r="B706" s="6"/>
      <c r="C706" s="6"/>
      <c r="D706" s="6"/>
      <c r="E706" s="6"/>
      <c r="F706" s="6"/>
      <c r="G706" s="9"/>
      <c r="H706" s="9"/>
      <c r="I706" s="9"/>
      <c r="J706" s="9"/>
      <c r="K706" s="6"/>
      <c r="L706" s="9"/>
      <c r="M706" s="10"/>
      <c r="N706" s="10"/>
      <c r="O706" s="9"/>
      <c r="P706" s="15"/>
      <c r="Q706" s="9"/>
      <c r="R706" s="9"/>
      <c r="S706" s="9"/>
      <c r="T706" s="9"/>
      <c r="U706" s="6"/>
      <c r="V706" s="6"/>
      <c r="W706" s="6"/>
      <c r="X706" s="6"/>
      <c r="Y706" s="6"/>
      <c r="Z706" s="6"/>
      <c r="AA706" s="6"/>
      <c r="AB706" s="6"/>
      <c r="AC706" s="6"/>
      <c r="AD706" s="6"/>
      <c r="AE706" s="6"/>
      <c r="AF706" s="6"/>
      <c r="AG706" s="6"/>
      <c r="AH706" s="6"/>
    </row>
    <row r="707" ht="15.75" customHeight="1">
      <c r="A707" s="6"/>
      <c r="B707" s="6"/>
      <c r="C707" s="6"/>
      <c r="D707" s="6"/>
      <c r="E707" s="6"/>
      <c r="F707" s="6"/>
      <c r="G707" s="9"/>
      <c r="H707" s="9"/>
      <c r="I707" s="9"/>
      <c r="J707" s="9"/>
      <c r="K707" s="6"/>
      <c r="L707" s="9"/>
      <c r="M707" s="10"/>
      <c r="N707" s="10"/>
      <c r="O707" s="9"/>
      <c r="P707" s="15"/>
      <c r="Q707" s="9"/>
      <c r="R707" s="9"/>
      <c r="S707" s="9"/>
      <c r="T707" s="9"/>
      <c r="U707" s="6"/>
      <c r="V707" s="6"/>
      <c r="W707" s="6"/>
      <c r="X707" s="6"/>
      <c r="Y707" s="6"/>
      <c r="Z707" s="6"/>
      <c r="AA707" s="6"/>
      <c r="AB707" s="6"/>
      <c r="AC707" s="6"/>
      <c r="AD707" s="6"/>
      <c r="AE707" s="6"/>
      <c r="AF707" s="6"/>
      <c r="AG707" s="6"/>
      <c r="AH707" s="6"/>
    </row>
    <row r="708" ht="15.75" customHeight="1">
      <c r="A708" s="6"/>
      <c r="B708" s="6"/>
      <c r="C708" s="6"/>
      <c r="D708" s="6"/>
      <c r="E708" s="6"/>
      <c r="F708" s="6"/>
      <c r="G708" s="9"/>
      <c r="H708" s="9"/>
      <c r="I708" s="9"/>
      <c r="J708" s="9"/>
      <c r="K708" s="6"/>
      <c r="L708" s="9"/>
      <c r="M708" s="10"/>
      <c r="N708" s="10"/>
      <c r="O708" s="9"/>
      <c r="P708" s="15"/>
      <c r="Q708" s="9"/>
      <c r="R708" s="9"/>
      <c r="S708" s="9"/>
      <c r="T708" s="9"/>
      <c r="U708" s="6"/>
      <c r="V708" s="6"/>
      <c r="W708" s="6"/>
      <c r="X708" s="6"/>
      <c r="Y708" s="6"/>
      <c r="Z708" s="6"/>
      <c r="AA708" s="6"/>
      <c r="AB708" s="6"/>
      <c r="AC708" s="6"/>
      <c r="AD708" s="6"/>
      <c r="AE708" s="6"/>
      <c r="AF708" s="6"/>
      <c r="AG708" s="6"/>
      <c r="AH708" s="6"/>
    </row>
    <row r="709" ht="15.75" customHeight="1">
      <c r="A709" s="6"/>
      <c r="B709" s="6"/>
      <c r="C709" s="6"/>
      <c r="D709" s="6"/>
      <c r="E709" s="6"/>
      <c r="F709" s="6"/>
      <c r="G709" s="9"/>
      <c r="H709" s="9"/>
      <c r="I709" s="9"/>
      <c r="J709" s="9"/>
      <c r="K709" s="6"/>
      <c r="L709" s="9"/>
      <c r="M709" s="10"/>
      <c r="N709" s="10"/>
      <c r="O709" s="9"/>
      <c r="P709" s="15"/>
      <c r="Q709" s="9"/>
      <c r="R709" s="9"/>
      <c r="S709" s="9"/>
      <c r="T709" s="9"/>
      <c r="U709" s="6"/>
      <c r="V709" s="6"/>
      <c r="W709" s="6"/>
      <c r="X709" s="6"/>
      <c r="Y709" s="6"/>
      <c r="Z709" s="6"/>
      <c r="AA709" s="6"/>
      <c r="AB709" s="6"/>
      <c r="AC709" s="6"/>
      <c r="AD709" s="6"/>
      <c r="AE709" s="6"/>
      <c r="AF709" s="6"/>
      <c r="AG709" s="6"/>
      <c r="AH709" s="6"/>
    </row>
    <row r="710" ht="15.75" customHeight="1">
      <c r="A710" s="6"/>
      <c r="B710" s="6"/>
      <c r="C710" s="6"/>
      <c r="D710" s="6"/>
      <c r="E710" s="6"/>
      <c r="F710" s="6"/>
      <c r="G710" s="9"/>
      <c r="H710" s="9"/>
      <c r="I710" s="9"/>
      <c r="J710" s="9"/>
      <c r="K710" s="6"/>
      <c r="L710" s="9"/>
      <c r="M710" s="10"/>
      <c r="N710" s="10"/>
      <c r="O710" s="9"/>
      <c r="P710" s="15"/>
      <c r="Q710" s="9"/>
      <c r="R710" s="9"/>
      <c r="S710" s="9"/>
      <c r="T710" s="9"/>
      <c r="U710" s="6"/>
      <c r="V710" s="6"/>
      <c r="W710" s="6"/>
      <c r="X710" s="6"/>
      <c r="Y710" s="6"/>
      <c r="Z710" s="6"/>
      <c r="AA710" s="6"/>
      <c r="AB710" s="6"/>
      <c r="AC710" s="6"/>
      <c r="AD710" s="6"/>
      <c r="AE710" s="6"/>
      <c r="AF710" s="6"/>
      <c r="AG710" s="6"/>
      <c r="AH710" s="6"/>
    </row>
    <row r="711" ht="15.75" customHeight="1">
      <c r="A711" s="6"/>
      <c r="B711" s="6"/>
      <c r="C711" s="6"/>
      <c r="D711" s="6"/>
      <c r="E711" s="6"/>
      <c r="F711" s="6"/>
      <c r="G711" s="9"/>
      <c r="H711" s="9"/>
      <c r="I711" s="9"/>
      <c r="J711" s="9"/>
      <c r="K711" s="6"/>
      <c r="L711" s="9"/>
      <c r="M711" s="10"/>
      <c r="N711" s="10"/>
      <c r="O711" s="9"/>
      <c r="P711" s="15"/>
      <c r="Q711" s="9"/>
      <c r="R711" s="9"/>
      <c r="S711" s="9"/>
      <c r="T711" s="9"/>
      <c r="U711" s="6"/>
      <c r="V711" s="6"/>
      <c r="W711" s="6"/>
      <c r="X711" s="6"/>
      <c r="Y711" s="6"/>
      <c r="Z711" s="6"/>
      <c r="AA711" s="6"/>
      <c r="AB711" s="6"/>
      <c r="AC711" s="6"/>
      <c r="AD711" s="6"/>
      <c r="AE711" s="6"/>
      <c r="AF711" s="6"/>
      <c r="AG711" s="6"/>
      <c r="AH711" s="6"/>
    </row>
    <row r="712" ht="15.75" customHeight="1">
      <c r="A712" s="6"/>
      <c r="B712" s="6"/>
      <c r="C712" s="6"/>
      <c r="D712" s="6"/>
      <c r="E712" s="6"/>
      <c r="F712" s="6"/>
      <c r="G712" s="9"/>
      <c r="H712" s="9"/>
      <c r="I712" s="9"/>
      <c r="J712" s="9"/>
      <c r="K712" s="6"/>
      <c r="L712" s="9"/>
      <c r="M712" s="10"/>
      <c r="N712" s="10"/>
      <c r="O712" s="9"/>
      <c r="P712" s="15"/>
      <c r="Q712" s="9"/>
      <c r="R712" s="9"/>
      <c r="S712" s="9"/>
      <c r="T712" s="9"/>
      <c r="U712" s="6"/>
      <c r="V712" s="6"/>
      <c r="W712" s="6"/>
      <c r="X712" s="6"/>
      <c r="Y712" s="6"/>
      <c r="Z712" s="6"/>
      <c r="AA712" s="6"/>
      <c r="AB712" s="6"/>
      <c r="AC712" s="6"/>
      <c r="AD712" s="6"/>
      <c r="AE712" s="6"/>
      <c r="AF712" s="6"/>
      <c r="AG712" s="6"/>
      <c r="AH712" s="6"/>
    </row>
    <row r="713" ht="15.75" customHeight="1">
      <c r="A713" s="6"/>
      <c r="B713" s="6"/>
      <c r="C713" s="6"/>
      <c r="D713" s="6"/>
      <c r="E713" s="6"/>
      <c r="F713" s="6"/>
      <c r="G713" s="9"/>
      <c r="H713" s="9"/>
      <c r="I713" s="9"/>
      <c r="J713" s="9"/>
      <c r="K713" s="6"/>
      <c r="L713" s="9"/>
      <c r="M713" s="10"/>
      <c r="N713" s="10"/>
      <c r="O713" s="9"/>
      <c r="P713" s="15"/>
      <c r="Q713" s="9"/>
      <c r="R713" s="9"/>
      <c r="S713" s="9"/>
      <c r="T713" s="9"/>
      <c r="U713" s="6"/>
      <c r="V713" s="6"/>
      <c r="W713" s="6"/>
      <c r="X713" s="6"/>
      <c r="Y713" s="6"/>
      <c r="Z713" s="6"/>
      <c r="AA713" s="6"/>
      <c r="AB713" s="6"/>
      <c r="AC713" s="6"/>
      <c r="AD713" s="6"/>
      <c r="AE713" s="6"/>
      <c r="AF713" s="6"/>
      <c r="AG713" s="6"/>
      <c r="AH713" s="6"/>
    </row>
    <row r="714" ht="15.75" customHeight="1">
      <c r="A714" s="6"/>
      <c r="B714" s="6"/>
      <c r="C714" s="6"/>
      <c r="D714" s="6"/>
      <c r="E714" s="6"/>
      <c r="F714" s="6"/>
      <c r="G714" s="9"/>
      <c r="H714" s="9"/>
      <c r="I714" s="9"/>
      <c r="J714" s="9"/>
      <c r="K714" s="6"/>
      <c r="L714" s="9"/>
      <c r="M714" s="10"/>
      <c r="N714" s="10"/>
      <c r="O714" s="9"/>
      <c r="P714" s="15"/>
      <c r="Q714" s="9"/>
      <c r="R714" s="9"/>
      <c r="S714" s="9"/>
      <c r="T714" s="9"/>
      <c r="U714" s="6"/>
      <c r="V714" s="6"/>
      <c r="W714" s="6"/>
      <c r="X714" s="6"/>
      <c r="Y714" s="6"/>
      <c r="Z714" s="6"/>
      <c r="AA714" s="6"/>
      <c r="AB714" s="6"/>
      <c r="AC714" s="6"/>
      <c r="AD714" s="6"/>
      <c r="AE714" s="6"/>
      <c r="AF714" s="6"/>
      <c r="AG714" s="6"/>
      <c r="AH714" s="6"/>
    </row>
    <row r="715" ht="15.75" customHeight="1">
      <c r="A715" s="6"/>
      <c r="B715" s="6"/>
      <c r="C715" s="6"/>
      <c r="D715" s="6"/>
      <c r="E715" s="6"/>
      <c r="F715" s="6"/>
      <c r="G715" s="9"/>
      <c r="H715" s="9"/>
      <c r="I715" s="9"/>
      <c r="J715" s="9"/>
      <c r="K715" s="6"/>
      <c r="L715" s="9"/>
      <c r="M715" s="10"/>
      <c r="N715" s="10"/>
      <c r="O715" s="9"/>
      <c r="P715" s="15"/>
      <c r="Q715" s="9"/>
      <c r="R715" s="9"/>
      <c r="S715" s="9"/>
      <c r="T715" s="9"/>
      <c r="U715" s="6"/>
      <c r="V715" s="6"/>
      <c r="W715" s="6"/>
      <c r="X715" s="6"/>
      <c r="Y715" s="6"/>
      <c r="Z715" s="6"/>
      <c r="AA715" s="6"/>
      <c r="AB715" s="6"/>
      <c r="AC715" s="6"/>
      <c r="AD715" s="6"/>
      <c r="AE715" s="6"/>
      <c r="AF715" s="6"/>
      <c r="AG715" s="6"/>
      <c r="AH715" s="6"/>
    </row>
    <row r="716" ht="15.75" customHeight="1">
      <c r="A716" s="6"/>
      <c r="B716" s="6"/>
      <c r="C716" s="6"/>
      <c r="D716" s="6"/>
      <c r="E716" s="6"/>
      <c r="F716" s="6"/>
      <c r="G716" s="9"/>
      <c r="H716" s="9"/>
      <c r="I716" s="9"/>
      <c r="J716" s="9"/>
      <c r="K716" s="6"/>
      <c r="L716" s="9"/>
      <c r="M716" s="10"/>
      <c r="N716" s="10"/>
      <c r="O716" s="9"/>
      <c r="P716" s="15"/>
      <c r="Q716" s="9"/>
      <c r="R716" s="9"/>
      <c r="S716" s="9"/>
      <c r="T716" s="9"/>
      <c r="U716" s="6"/>
      <c r="V716" s="6"/>
      <c r="W716" s="6"/>
      <c r="X716" s="6"/>
      <c r="Y716" s="6"/>
      <c r="Z716" s="6"/>
      <c r="AA716" s="6"/>
      <c r="AB716" s="6"/>
      <c r="AC716" s="6"/>
      <c r="AD716" s="6"/>
      <c r="AE716" s="6"/>
      <c r="AF716" s="6"/>
      <c r="AG716" s="6"/>
      <c r="AH716" s="6"/>
    </row>
    <row r="717" ht="15.75" customHeight="1">
      <c r="A717" s="6"/>
      <c r="B717" s="6"/>
      <c r="C717" s="6"/>
      <c r="D717" s="6"/>
      <c r="E717" s="6"/>
      <c r="F717" s="6"/>
      <c r="G717" s="9"/>
      <c r="H717" s="9"/>
      <c r="I717" s="9"/>
      <c r="J717" s="9"/>
      <c r="K717" s="6"/>
      <c r="L717" s="9"/>
      <c r="M717" s="10"/>
      <c r="N717" s="10"/>
      <c r="O717" s="9"/>
      <c r="P717" s="15"/>
      <c r="Q717" s="9"/>
      <c r="R717" s="9"/>
      <c r="S717" s="9"/>
      <c r="T717" s="9"/>
      <c r="U717" s="6"/>
      <c r="V717" s="6"/>
      <c r="W717" s="6"/>
      <c r="X717" s="6"/>
      <c r="Y717" s="6"/>
      <c r="Z717" s="6"/>
      <c r="AA717" s="6"/>
      <c r="AB717" s="6"/>
      <c r="AC717" s="6"/>
      <c r="AD717" s="6"/>
      <c r="AE717" s="6"/>
      <c r="AF717" s="6"/>
      <c r="AG717" s="6"/>
      <c r="AH717" s="6"/>
    </row>
    <row r="718" ht="15.75" customHeight="1">
      <c r="A718" s="6"/>
      <c r="B718" s="6"/>
      <c r="C718" s="6"/>
      <c r="D718" s="6"/>
      <c r="E718" s="6"/>
      <c r="F718" s="6"/>
      <c r="G718" s="9"/>
      <c r="H718" s="9"/>
      <c r="I718" s="9"/>
      <c r="J718" s="9"/>
      <c r="K718" s="6"/>
      <c r="L718" s="9"/>
      <c r="M718" s="10"/>
      <c r="N718" s="10"/>
      <c r="O718" s="9"/>
      <c r="P718" s="15"/>
      <c r="Q718" s="9"/>
      <c r="R718" s="9"/>
      <c r="S718" s="9"/>
      <c r="T718" s="9"/>
      <c r="U718" s="6"/>
      <c r="V718" s="6"/>
      <c r="W718" s="6"/>
      <c r="X718" s="6"/>
      <c r="Y718" s="6"/>
      <c r="Z718" s="6"/>
      <c r="AA718" s="6"/>
      <c r="AB718" s="6"/>
      <c r="AC718" s="6"/>
      <c r="AD718" s="6"/>
      <c r="AE718" s="6"/>
      <c r="AF718" s="6"/>
      <c r="AG718" s="6"/>
      <c r="AH718" s="6"/>
    </row>
    <row r="719" ht="15.75" customHeight="1">
      <c r="A719" s="6"/>
      <c r="B719" s="6"/>
      <c r="C719" s="6"/>
      <c r="D719" s="6"/>
      <c r="E719" s="6"/>
      <c r="F719" s="6"/>
      <c r="G719" s="9"/>
      <c r="H719" s="9"/>
      <c r="I719" s="9"/>
      <c r="J719" s="9"/>
      <c r="K719" s="6"/>
      <c r="L719" s="9"/>
      <c r="M719" s="10"/>
      <c r="N719" s="10"/>
      <c r="O719" s="9"/>
      <c r="P719" s="15"/>
      <c r="Q719" s="9"/>
      <c r="R719" s="9"/>
      <c r="S719" s="9"/>
      <c r="T719" s="9"/>
      <c r="U719" s="6"/>
      <c r="V719" s="6"/>
      <c r="W719" s="6"/>
      <c r="X719" s="6"/>
      <c r="Y719" s="6"/>
      <c r="Z719" s="6"/>
      <c r="AA719" s="6"/>
      <c r="AB719" s="6"/>
      <c r="AC719" s="6"/>
      <c r="AD719" s="6"/>
      <c r="AE719" s="6"/>
      <c r="AF719" s="6"/>
      <c r="AG719" s="6"/>
      <c r="AH719" s="6"/>
    </row>
    <row r="720" ht="15.75" customHeight="1">
      <c r="A720" s="6"/>
      <c r="B720" s="6"/>
      <c r="C720" s="6"/>
      <c r="D720" s="6"/>
      <c r="E720" s="6"/>
      <c r="F720" s="6"/>
      <c r="G720" s="9"/>
      <c r="H720" s="9"/>
      <c r="I720" s="9"/>
      <c r="J720" s="9"/>
      <c r="K720" s="6"/>
      <c r="L720" s="9"/>
      <c r="M720" s="10"/>
      <c r="N720" s="10"/>
      <c r="O720" s="9"/>
      <c r="P720" s="15"/>
      <c r="Q720" s="9"/>
      <c r="R720" s="9"/>
      <c r="S720" s="9"/>
      <c r="T720" s="9"/>
      <c r="U720" s="6"/>
      <c r="V720" s="6"/>
      <c r="W720" s="6"/>
      <c r="X720" s="6"/>
      <c r="Y720" s="6"/>
      <c r="Z720" s="6"/>
      <c r="AA720" s="6"/>
      <c r="AB720" s="6"/>
      <c r="AC720" s="6"/>
      <c r="AD720" s="6"/>
      <c r="AE720" s="6"/>
      <c r="AF720" s="6"/>
      <c r="AG720" s="6"/>
      <c r="AH720" s="6"/>
    </row>
    <row r="721" ht="15.75" customHeight="1">
      <c r="A721" s="6"/>
      <c r="B721" s="6"/>
      <c r="C721" s="6"/>
      <c r="D721" s="6"/>
      <c r="E721" s="6"/>
      <c r="F721" s="6"/>
      <c r="G721" s="9"/>
      <c r="H721" s="9"/>
      <c r="I721" s="9"/>
      <c r="J721" s="9"/>
      <c r="K721" s="6"/>
      <c r="L721" s="9"/>
      <c r="M721" s="10"/>
      <c r="N721" s="10"/>
      <c r="O721" s="9"/>
      <c r="P721" s="15"/>
      <c r="Q721" s="9"/>
      <c r="R721" s="9"/>
      <c r="S721" s="9"/>
      <c r="T721" s="9"/>
      <c r="U721" s="6"/>
      <c r="V721" s="6"/>
      <c r="W721" s="6"/>
      <c r="X721" s="6"/>
      <c r="Y721" s="6"/>
      <c r="Z721" s="6"/>
      <c r="AA721" s="6"/>
      <c r="AB721" s="6"/>
      <c r="AC721" s="6"/>
      <c r="AD721" s="6"/>
      <c r="AE721" s="6"/>
      <c r="AF721" s="6"/>
      <c r="AG721" s="6"/>
      <c r="AH721" s="6"/>
    </row>
    <row r="722" ht="15.75" customHeight="1">
      <c r="A722" s="6"/>
      <c r="B722" s="6"/>
      <c r="C722" s="6"/>
      <c r="D722" s="6"/>
      <c r="E722" s="6"/>
      <c r="F722" s="6"/>
      <c r="G722" s="9"/>
      <c r="H722" s="9"/>
      <c r="I722" s="9"/>
      <c r="J722" s="9"/>
      <c r="K722" s="6"/>
      <c r="L722" s="9"/>
      <c r="M722" s="10"/>
      <c r="N722" s="10"/>
      <c r="O722" s="9"/>
      <c r="P722" s="15"/>
      <c r="Q722" s="9"/>
      <c r="R722" s="9"/>
      <c r="S722" s="9"/>
      <c r="T722" s="9"/>
      <c r="U722" s="6"/>
      <c r="V722" s="6"/>
      <c r="W722" s="6"/>
      <c r="X722" s="6"/>
      <c r="Y722" s="6"/>
      <c r="Z722" s="6"/>
      <c r="AA722" s="6"/>
      <c r="AB722" s="6"/>
      <c r="AC722" s="6"/>
      <c r="AD722" s="6"/>
      <c r="AE722" s="6"/>
      <c r="AF722" s="6"/>
      <c r="AG722" s="6"/>
      <c r="AH722" s="6"/>
    </row>
    <row r="723" ht="15.75" customHeight="1">
      <c r="A723" s="6"/>
      <c r="B723" s="6"/>
      <c r="C723" s="6"/>
      <c r="D723" s="6"/>
      <c r="E723" s="6"/>
      <c r="F723" s="6"/>
      <c r="G723" s="9"/>
      <c r="H723" s="9"/>
      <c r="I723" s="9"/>
      <c r="J723" s="9"/>
      <c r="K723" s="6"/>
      <c r="L723" s="9"/>
      <c r="M723" s="10"/>
      <c r="N723" s="10"/>
      <c r="O723" s="9"/>
      <c r="P723" s="15"/>
      <c r="Q723" s="9"/>
      <c r="R723" s="9"/>
      <c r="S723" s="9"/>
      <c r="T723" s="9"/>
      <c r="U723" s="6"/>
      <c r="V723" s="6"/>
      <c r="W723" s="6"/>
      <c r="X723" s="6"/>
      <c r="Y723" s="6"/>
      <c r="Z723" s="6"/>
      <c r="AA723" s="6"/>
      <c r="AB723" s="6"/>
      <c r="AC723" s="6"/>
      <c r="AD723" s="6"/>
      <c r="AE723" s="6"/>
      <c r="AF723" s="6"/>
      <c r="AG723" s="6"/>
      <c r="AH723" s="6"/>
    </row>
    <row r="724" ht="15.75" customHeight="1">
      <c r="A724" s="6"/>
      <c r="B724" s="6"/>
      <c r="C724" s="6"/>
      <c r="D724" s="6"/>
      <c r="E724" s="6"/>
      <c r="F724" s="6"/>
      <c r="G724" s="9"/>
      <c r="H724" s="9"/>
      <c r="I724" s="9"/>
      <c r="J724" s="9"/>
      <c r="K724" s="6"/>
      <c r="L724" s="9"/>
      <c r="M724" s="10"/>
      <c r="N724" s="10"/>
      <c r="O724" s="9"/>
      <c r="P724" s="15"/>
      <c r="Q724" s="9"/>
      <c r="R724" s="9"/>
      <c r="S724" s="9"/>
      <c r="T724" s="9"/>
      <c r="U724" s="6"/>
      <c r="V724" s="6"/>
      <c r="W724" s="6"/>
      <c r="X724" s="6"/>
      <c r="Y724" s="6"/>
      <c r="Z724" s="6"/>
      <c r="AA724" s="6"/>
      <c r="AB724" s="6"/>
      <c r="AC724" s="6"/>
      <c r="AD724" s="6"/>
      <c r="AE724" s="6"/>
      <c r="AF724" s="6"/>
      <c r="AG724" s="6"/>
      <c r="AH724" s="6"/>
    </row>
    <row r="725" ht="15.75" customHeight="1">
      <c r="A725" s="6"/>
      <c r="B725" s="6"/>
      <c r="C725" s="6"/>
      <c r="D725" s="6"/>
      <c r="E725" s="6"/>
      <c r="F725" s="6"/>
      <c r="G725" s="9"/>
      <c r="H725" s="9"/>
      <c r="I725" s="9"/>
      <c r="J725" s="9"/>
      <c r="K725" s="6"/>
      <c r="L725" s="9"/>
      <c r="M725" s="10"/>
      <c r="N725" s="10"/>
      <c r="O725" s="9"/>
      <c r="P725" s="15"/>
      <c r="Q725" s="9"/>
      <c r="R725" s="9"/>
      <c r="S725" s="9"/>
      <c r="T725" s="9"/>
      <c r="U725" s="6"/>
      <c r="V725" s="6"/>
      <c r="W725" s="6"/>
      <c r="X725" s="6"/>
      <c r="Y725" s="6"/>
      <c r="Z725" s="6"/>
      <c r="AA725" s="6"/>
      <c r="AB725" s="6"/>
      <c r="AC725" s="6"/>
      <c r="AD725" s="6"/>
      <c r="AE725" s="6"/>
      <c r="AF725" s="6"/>
      <c r="AG725" s="6"/>
      <c r="AH725" s="6"/>
    </row>
    <row r="726" ht="15.75" customHeight="1">
      <c r="A726" s="6"/>
      <c r="B726" s="6"/>
      <c r="C726" s="6"/>
      <c r="D726" s="6"/>
      <c r="E726" s="6"/>
      <c r="F726" s="6"/>
      <c r="G726" s="9"/>
      <c r="H726" s="9"/>
      <c r="I726" s="9"/>
      <c r="J726" s="9"/>
      <c r="K726" s="6"/>
      <c r="L726" s="9"/>
      <c r="M726" s="10"/>
      <c r="N726" s="10"/>
      <c r="O726" s="9"/>
      <c r="P726" s="15"/>
      <c r="Q726" s="9"/>
      <c r="R726" s="9"/>
      <c r="S726" s="9"/>
      <c r="T726" s="9"/>
      <c r="U726" s="6"/>
      <c r="V726" s="6"/>
      <c r="W726" s="6"/>
      <c r="X726" s="6"/>
      <c r="Y726" s="6"/>
      <c r="Z726" s="6"/>
      <c r="AA726" s="6"/>
      <c r="AB726" s="6"/>
      <c r="AC726" s="6"/>
      <c r="AD726" s="6"/>
      <c r="AE726" s="6"/>
      <c r="AF726" s="6"/>
      <c r="AG726" s="6"/>
      <c r="AH726" s="6"/>
    </row>
    <row r="727" ht="15.75" customHeight="1">
      <c r="A727" s="6"/>
      <c r="B727" s="6"/>
      <c r="C727" s="6"/>
      <c r="D727" s="6"/>
      <c r="E727" s="6"/>
      <c r="F727" s="6"/>
      <c r="G727" s="9"/>
      <c r="H727" s="9"/>
      <c r="I727" s="9"/>
      <c r="J727" s="9"/>
      <c r="K727" s="6"/>
      <c r="L727" s="9"/>
      <c r="M727" s="10"/>
      <c r="N727" s="10"/>
      <c r="O727" s="9"/>
      <c r="P727" s="15"/>
      <c r="Q727" s="9"/>
      <c r="R727" s="9"/>
      <c r="S727" s="9"/>
      <c r="T727" s="9"/>
      <c r="U727" s="6"/>
      <c r="V727" s="6"/>
      <c r="W727" s="6"/>
      <c r="X727" s="6"/>
      <c r="Y727" s="6"/>
      <c r="Z727" s="6"/>
      <c r="AA727" s="6"/>
      <c r="AB727" s="6"/>
      <c r="AC727" s="6"/>
      <c r="AD727" s="6"/>
      <c r="AE727" s="6"/>
      <c r="AF727" s="6"/>
      <c r="AG727" s="6"/>
      <c r="AH727" s="6"/>
    </row>
    <row r="728" ht="15.75" customHeight="1">
      <c r="A728" s="6"/>
      <c r="B728" s="6"/>
      <c r="C728" s="6"/>
      <c r="D728" s="6"/>
      <c r="E728" s="6"/>
      <c r="F728" s="6"/>
      <c r="G728" s="9"/>
      <c r="H728" s="9"/>
      <c r="I728" s="9"/>
      <c r="J728" s="9"/>
      <c r="K728" s="6"/>
      <c r="L728" s="9"/>
      <c r="M728" s="10"/>
      <c r="N728" s="10"/>
      <c r="O728" s="9"/>
      <c r="P728" s="15"/>
      <c r="Q728" s="9"/>
      <c r="R728" s="9"/>
      <c r="S728" s="9"/>
      <c r="T728" s="9"/>
      <c r="U728" s="6"/>
      <c r="V728" s="6"/>
      <c r="W728" s="6"/>
      <c r="X728" s="6"/>
      <c r="Y728" s="6"/>
      <c r="Z728" s="6"/>
      <c r="AA728" s="6"/>
      <c r="AB728" s="6"/>
      <c r="AC728" s="6"/>
      <c r="AD728" s="6"/>
      <c r="AE728" s="6"/>
      <c r="AF728" s="6"/>
      <c r="AG728" s="6"/>
      <c r="AH728" s="6"/>
    </row>
    <row r="729" ht="15.75" customHeight="1">
      <c r="A729" s="6"/>
      <c r="B729" s="6"/>
      <c r="C729" s="6"/>
      <c r="D729" s="6"/>
      <c r="E729" s="6"/>
      <c r="F729" s="6"/>
      <c r="G729" s="9"/>
      <c r="H729" s="9"/>
      <c r="I729" s="9"/>
      <c r="J729" s="9"/>
      <c r="K729" s="6"/>
      <c r="L729" s="9"/>
      <c r="M729" s="10"/>
      <c r="N729" s="10"/>
      <c r="O729" s="9"/>
      <c r="P729" s="15"/>
      <c r="Q729" s="9"/>
      <c r="R729" s="9"/>
      <c r="S729" s="9"/>
      <c r="T729" s="9"/>
      <c r="U729" s="6"/>
      <c r="V729" s="6"/>
      <c r="W729" s="6"/>
      <c r="X729" s="6"/>
      <c r="Y729" s="6"/>
      <c r="Z729" s="6"/>
      <c r="AA729" s="6"/>
      <c r="AB729" s="6"/>
      <c r="AC729" s="6"/>
      <c r="AD729" s="6"/>
      <c r="AE729" s="6"/>
      <c r="AF729" s="6"/>
      <c r="AG729" s="6"/>
      <c r="AH729" s="6"/>
    </row>
    <row r="730" ht="15.75" customHeight="1">
      <c r="A730" s="6"/>
      <c r="B730" s="6"/>
      <c r="C730" s="6"/>
      <c r="D730" s="6"/>
      <c r="E730" s="6"/>
      <c r="F730" s="6"/>
      <c r="G730" s="9"/>
      <c r="H730" s="9"/>
      <c r="I730" s="9"/>
      <c r="J730" s="9"/>
      <c r="K730" s="6"/>
      <c r="L730" s="9"/>
      <c r="M730" s="10"/>
      <c r="N730" s="10"/>
      <c r="O730" s="9"/>
      <c r="P730" s="15"/>
      <c r="Q730" s="9"/>
      <c r="R730" s="9"/>
      <c r="S730" s="9"/>
      <c r="T730" s="9"/>
      <c r="U730" s="6"/>
      <c r="V730" s="6"/>
      <c r="W730" s="6"/>
      <c r="X730" s="6"/>
      <c r="Y730" s="6"/>
      <c r="Z730" s="6"/>
      <c r="AA730" s="6"/>
      <c r="AB730" s="6"/>
      <c r="AC730" s="6"/>
      <c r="AD730" s="6"/>
      <c r="AE730" s="6"/>
      <c r="AF730" s="6"/>
      <c r="AG730" s="6"/>
      <c r="AH730" s="6"/>
    </row>
    <row r="731" ht="15.75" customHeight="1">
      <c r="A731" s="6"/>
      <c r="B731" s="6"/>
      <c r="C731" s="6"/>
      <c r="D731" s="6"/>
      <c r="E731" s="6"/>
      <c r="F731" s="6"/>
      <c r="G731" s="9"/>
      <c r="H731" s="9"/>
      <c r="I731" s="9"/>
      <c r="J731" s="9"/>
      <c r="K731" s="6"/>
      <c r="L731" s="9"/>
      <c r="M731" s="10"/>
      <c r="N731" s="10"/>
      <c r="O731" s="9"/>
      <c r="P731" s="15"/>
      <c r="Q731" s="9"/>
      <c r="R731" s="9"/>
      <c r="S731" s="9"/>
      <c r="T731" s="9"/>
      <c r="U731" s="6"/>
      <c r="V731" s="6"/>
      <c r="W731" s="6"/>
      <c r="X731" s="6"/>
      <c r="Y731" s="6"/>
      <c r="Z731" s="6"/>
      <c r="AA731" s="6"/>
      <c r="AB731" s="6"/>
      <c r="AC731" s="6"/>
      <c r="AD731" s="6"/>
      <c r="AE731" s="6"/>
      <c r="AF731" s="6"/>
      <c r="AG731" s="6"/>
      <c r="AH731" s="6"/>
    </row>
    <row r="732" ht="15.75" customHeight="1">
      <c r="A732" s="6"/>
      <c r="B732" s="6"/>
      <c r="C732" s="6"/>
      <c r="D732" s="6"/>
      <c r="E732" s="6"/>
      <c r="F732" s="6"/>
      <c r="G732" s="9"/>
      <c r="H732" s="9"/>
      <c r="I732" s="9"/>
      <c r="J732" s="9"/>
      <c r="K732" s="6"/>
      <c r="L732" s="9"/>
      <c r="M732" s="10"/>
      <c r="N732" s="10"/>
      <c r="O732" s="9"/>
      <c r="P732" s="15"/>
      <c r="Q732" s="9"/>
      <c r="R732" s="9"/>
      <c r="S732" s="9"/>
      <c r="T732" s="9"/>
      <c r="U732" s="6"/>
      <c r="V732" s="6"/>
      <c r="W732" s="6"/>
      <c r="X732" s="6"/>
      <c r="Y732" s="6"/>
      <c r="Z732" s="6"/>
      <c r="AA732" s="6"/>
      <c r="AB732" s="6"/>
      <c r="AC732" s="6"/>
      <c r="AD732" s="6"/>
      <c r="AE732" s="6"/>
      <c r="AF732" s="6"/>
      <c r="AG732" s="6"/>
      <c r="AH732" s="6"/>
    </row>
    <row r="733" ht="15.75" customHeight="1">
      <c r="A733" s="6"/>
      <c r="B733" s="6"/>
      <c r="C733" s="6"/>
      <c r="D733" s="6"/>
      <c r="E733" s="6"/>
      <c r="F733" s="6"/>
      <c r="G733" s="9"/>
      <c r="H733" s="9"/>
      <c r="I733" s="9"/>
      <c r="J733" s="9"/>
      <c r="K733" s="6"/>
      <c r="L733" s="9"/>
      <c r="M733" s="10"/>
      <c r="N733" s="10"/>
      <c r="O733" s="9"/>
      <c r="P733" s="15"/>
      <c r="Q733" s="9"/>
      <c r="R733" s="9"/>
      <c r="S733" s="9"/>
      <c r="T733" s="9"/>
      <c r="U733" s="6"/>
      <c r="V733" s="6"/>
      <c r="W733" s="6"/>
      <c r="X733" s="6"/>
      <c r="Y733" s="6"/>
      <c r="Z733" s="6"/>
      <c r="AA733" s="6"/>
      <c r="AB733" s="6"/>
      <c r="AC733" s="6"/>
      <c r="AD733" s="6"/>
      <c r="AE733" s="6"/>
      <c r="AF733" s="6"/>
      <c r="AG733" s="6"/>
      <c r="AH733" s="6"/>
    </row>
    <row r="734" ht="15.75" customHeight="1">
      <c r="A734" s="6"/>
      <c r="B734" s="6"/>
      <c r="C734" s="6"/>
      <c r="D734" s="6"/>
      <c r="E734" s="6"/>
      <c r="F734" s="6"/>
      <c r="G734" s="9"/>
      <c r="H734" s="9"/>
      <c r="I734" s="9"/>
      <c r="J734" s="9"/>
      <c r="K734" s="6"/>
      <c r="L734" s="9"/>
      <c r="M734" s="10"/>
      <c r="N734" s="10"/>
      <c r="O734" s="9"/>
      <c r="P734" s="15"/>
      <c r="Q734" s="9"/>
      <c r="R734" s="9"/>
      <c r="S734" s="9"/>
      <c r="T734" s="9"/>
      <c r="U734" s="6"/>
      <c r="V734" s="6"/>
      <c r="W734" s="6"/>
      <c r="X734" s="6"/>
      <c r="Y734" s="6"/>
      <c r="Z734" s="6"/>
      <c r="AA734" s="6"/>
      <c r="AB734" s="6"/>
      <c r="AC734" s="6"/>
      <c r="AD734" s="6"/>
      <c r="AE734" s="6"/>
      <c r="AF734" s="6"/>
      <c r="AG734" s="6"/>
      <c r="AH734" s="6"/>
    </row>
    <row r="735" ht="15.75" customHeight="1">
      <c r="A735" s="6"/>
      <c r="B735" s="6"/>
      <c r="C735" s="6"/>
      <c r="D735" s="6"/>
      <c r="E735" s="6"/>
      <c r="F735" s="6"/>
      <c r="G735" s="9"/>
      <c r="H735" s="9"/>
      <c r="I735" s="9"/>
      <c r="J735" s="9"/>
      <c r="K735" s="6"/>
      <c r="L735" s="9"/>
      <c r="M735" s="10"/>
      <c r="N735" s="10"/>
      <c r="O735" s="9"/>
      <c r="P735" s="15"/>
      <c r="Q735" s="9"/>
      <c r="R735" s="9"/>
      <c r="S735" s="9"/>
      <c r="T735" s="9"/>
      <c r="U735" s="6"/>
      <c r="V735" s="6"/>
      <c r="W735" s="6"/>
      <c r="X735" s="6"/>
      <c r="Y735" s="6"/>
      <c r="Z735" s="6"/>
      <c r="AA735" s="6"/>
      <c r="AB735" s="6"/>
      <c r="AC735" s="6"/>
      <c r="AD735" s="6"/>
      <c r="AE735" s="6"/>
      <c r="AF735" s="6"/>
      <c r="AG735" s="6"/>
      <c r="AH735" s="6"/>
    </row>
    <row r="736" ht="15.75" customHeight="1">
      <c r="A736" s="6"/>
      <c r="B736" s="6"/>
      <c r="C736" s="6"/>
      <c r="D736" s="6"/>
      <c r="E736" s="6"/>
      <c r="F736" s="6"/>
      <c r="G736" s="9"/>
      <c r="H736" s="9"/>
      <c r="I736" s="9"/>
      <c r="J736" s="9"/>
      <c r="K736" s="6"/>
      <c r="L736" s="9"/>
      <c r="M736" s="10"/>
      <c r="N736" s="10"/>
      <c r="O736" s="9"/>
      <c r="P736" s="15"/>
      <c r="Q736" s="9"/>
      <c r="R736" s="9"/>
      <c r="S736" s="9"/>
      <c r="T736" s="9"/>
      <c r="U736" s="6"/>
      <c r="V736" s="6"/>
      <c r="W736" s="6"/>
      <c r="X736" s="6"/>
      <c r="Y736" s="6"/>
      <c r="Z736" s="6"/>
      <c r="AA736" s="6"/>
      <c r="AB736" s="6"/>
      <c r="AC736" s="6"/>
      <c r="AD736" s="6"/>
      <c r="AE736" s="6"/>
      <c r="AF736" s="6"/>
      <c r="AG736" s="6"/>
      <c r="AH736" s="6"/>
    </row>
    <row r="737" ht="15.75" customHeight="1">
      <c r="A737" s="6"/>
      <c r="B737" s="6"/>
      <c r="C737" s="6"/>
      <c r="D737" s="6"/>
      <c r="E737" s="6"/>
      <c r="F737" s="6"/>
      <c r="G737" s="9"/>
      <c r="H737" s="9"/>
      <c r="I737" s="9"/>
      <c r="J737" s="9"/>
      <c r="K737" s="6"/>
      <c r="L737" s="9"/>
      <c r="M737" s="10"/>
      <c r="N737" s="10"/>
      <c r="O737" s="9"/>
      <c r="P737" s="15"/>
      <c r="Q737" s="9"/>
      <c r="R737" s="9"/>
      <c r="S737" s="9"/>
      <c r="T737" s="9"/>
      <c r="U737" s="6"/>
      <c r="V737" s="6"/>
      <c r="W737" s="6"/>
      <c r="X737" s="6"/>
      <c r="Y737" s="6"/>
      <c r="Z737" s="6"/>
      <c r="AA737" s="6"/>
      <c r="AB737" s="6"/>
      <c r="AC737" s="6"/>
      <c r="AD737" s="6"/>
      <c r="AE737" s="6"/>
      <c r="AF737" s="6"/>
      <c r="AG737" s="6"/>
      <c r="AH737" s="6"/>
    </row>
    <row r="738" ht="15.75" customHeight="1">
      <c r="A738" s="6"/>
      <c r="B738" s="6"/>
      <c r="C738" s="6"/>
      <c r="D738" s="6"/>
      <c r="E738" s="6"/>
      <c r="F738" s="6"/>
      <c r="G738" s="9"/>
      <c r="H738" s="9"/>
      <c r="I738" s="9"/>
      <c r="J738" s="9"/>
      <c r="K738" s="6"/>
      <c r="L738" s="9"/>
      <c r="M738" s="10"/>
      <c r="N738" s="10"/>
      <c r="O738" s="9"/>
      <c r="P738" s="15"/>
      <c r="Q738" s="9"/>
      <c r="R738" s="9"/>
      <c r="S738" s="9"/>
      <c r="T738" s="9"/>
      <c r="U738" s="6"/>
      <c r="V738" s="6"/>
      <c r="W738" s="6"/>
      <c r="X738" s="6"/>
      <c r="Y738" s="6"/>
      <c r="Z738" s="6"/>
      <c r="AA738" s="6"/>
      <c r="AB738" s="6"/>
      <c r="AC738" s="6"/>
      <c r="AD738" s="6"/>
      <c r="AE738" s="6"/>
      <c r="AF738" s="6"/>
      <c r="AG738" s="6"/>
      <c r="AH738" s="6"/>
    </row>
    <row r="739" ht="15.75" customHeight="1">
      <c r="A739" s="6"/>
      <c r="B739" s="6"/>
      <c r="C739" s="6"/>
      <c r="D739" s="6"/>
      <c r="E739" s="6"/>
      <c r="F739" s="6"/>
      <c r="G739" s="9"/>
      <c r="H739" s="9"/>
      <c r="I739" s="9"/>
      <c r="J739" s="9"/>
      <c r="K739" s="6"/>
      <c r="L739" s="9"/>
      <c r="M739" s="10"/>
      <c r="N739" s="10"/>
      <c r="O739" s="9"/>
      <c r="P739" s="15"/>
      <c r="Q739" s="9"/>
      <c r="R739" s="9"/>
      <c r="S739" s="9"/>
      <c r="T739" s="9"/>
      <c r="U739" s="6"/>
      <c r="V739" s="6"/>
      <c r="W739" s="6"/>
      <c r="X739" s="6"/>
      <c r="Y739" s="6"/>
      <c r="Z739" s="6"/>
      <c r="AA739" s="6"/>
      <c r="AB739" s="6"/>
      <c r="AC739" s="6"/>
      <c r="AD739" s="6"/>
      <c r="AE739" s="6"/>
      <c r="AF739" s="6"/>
      <c r="AG739" s="6"/>
      <c r="AH739" s="6"/>
    </row>
    <row r="740" ht="15.75" customHeight="1">
      <c r="A740" s="6"/>
      <c r="B740" s="6"/>
      <c r="C740" s="6"/>
      <c r="D740" s="6"/>
      <c r="E740" s="6"/>
      <c r="F740" s="6"/>
      <c r="G740" s="9"/>
      <c r="H740" s="9"/>
      <c r="I740" s="9"/>
      <c r="J740" s="9"/>
      <c r="K740" s="6"/>
      <c r="L740" s="9"/>
      <c r="M740" s="10"/>
      <c r="N740" s="10"/>
      <c r="O740" s="9"/>
      <c r="P740" s="15"/>
      <c r="Q740" s="9"/>
      <c r="R740" s="9"/>
      <c r="S740" s="9"/>
      <c r="T740" s="9"/>
      <c r="U740" s="6"/>
      <c r="V740" s="6"/>
      <c r="W740" s="6"/>
      <c r="X740" s="6"/>
      <c r="Y740" s="6"/>
      <c r="Z740" s="6"/>
      <c r="AA740" s="6"/>
      <c r="AB740" s="6"/>
      <c r="AC740" s="6"/>
      <c r="AD740" s="6"/>
      <c r="AE740" s="6"/>
      <c r="AF740" s="6"/>
      <c r="AG740" s="6"/>
      <c r="AH740" s="6"/>
    </row>
    <row r="741" ht="15.75" customHeight="1">
      <c r="A741" s="6"/>
      <c r="B741" s="6"/>
      <c r="C741" s="6"/>
      <c r="D741" s="6"/>
      <c r="E741" s="6"/>
      <c r="F741" s="6"/>
      <c r="G741" s="9"/>
      <c r="H741" s="9"/>
      <c r="I741" s="9"/>
      <c r="J741" s="9"/>
      <c r="K741" s="6"/>
      <c r="L741" s="9"/>
      <c r="M741" s="10"/>
      <c r="N741" s="10"/>
      <c r="O741" s="9"/>
      <c r="P741" s="15"/>
      <c r="Q741" s="9"/>
      <c r="R741" s="9"/>
      <c r="S741" s="9"/>
      <c r="T741" s="9"/>
      <c r="U741" s="6"/>
      <c r="V741" s="6"/>
      <c r="W741" s="6"/>
      <c r="X741" s="6"/>
      <c r="Y741" s="6"/>
      <c r="Z741" s="6"/>
      <c r="AA741" s="6"/>
      <c r="AB741" s="6"/>
      <c r="AC741" s="6"/>
      <c r="AD741" s="6"/>
      <c r="AE741" s="6"/>
      <c r="AF741" s="6"/>
      <c r="AG741" s="6"/>
      <c r="AH741" s="6"/>
    </row>
    <row r="742" ht="15.75" customHeight="1">
      <c r="A742" s="6"/>
      <c r="B742" s="6"/>
      <c r="C742" s="6"/>
      <c r="D742" s="6"/>
      <c r="E742" s="6"/>
      <c r="F742" s="6"/>
      <c r="G742" s="9"/>
      <c r="H742" s="9"/>
      <c r="I742" s="9"/>
      <c r="J742" s="9"/>
      <c r="K742" s="6"/>
      <c r="L742" s="9"/>
      <c r="M742" s="10"/>
      <c r="N742" s="10"/>
      <c r="O742" s="9"/>
      <c r="P742" s="15"/>
      <c r="Q742" s="9"/>
      <c r="R742" s="9"/>
      <c r="S742" s="9"/>
      <c r="T742" s="9"/>
      <c r="U742" s="6"/>
      <c r="V742" s="6"/>
      <c r="W742" s="6"/>
      <c r="X742" s="6"/>
      <c r="Y742" s="6"/>
      <c r="Z742" s="6"/>
      <c r="AA742" s="6"/>
      <c r="AB742" s="6"/>
      <c r="AC742" s="6"/>
      <c r="AD742" s="6"/>
      <c r="AE742" s="6"/>
      <c r="AF742" s="6"/>
      <c r="AG742" s="6"/>
      <c r="AH742" s="6"/>
    </row>
    <row r="743" ht="15.75" customHeight="1">
      <c r="A743" s="6"/>
      <c r="B743" s="6"/>
      <c r="C743" s="6"/>
      <c r="D743" s="6"/>
      <c r="E743" s="6"/>
      <c r="F743" s="6"/>
      <c r="G743" s="9"/>
      <c r="H743" s="9"/>
      <c r="I743" s="9"/>
      <c r="J743" s="9"/>
      <c r="K743" s="6"/>
      <c r="L743" s="9"/>
      <c r="M743" s="10"/>
      <c r="N743" s="10"/>
      <c r="O743" s="9"/>
      <c r="P743" s="15"/>
      <c r="Q743" s="9"/>
      <c r="R743" s="9"/>
      <c r="S743" s="9"/>
      <c r="T743" s="9"/>
      <c r="U743" s="6"/>
      <c r="V743" s="6"/>
      <c r="W743" s="6"/>
      <c r="X743" s="6"/>
      <c r="Y743" s="6"/>
      <c r="Z743" s="6"/>
      <c r="AA743" s="6"/>
      <c r="AB743" s="6"/>
      <c r="AC743" s="6"/>
      <c r="AD743" s="6"/>
      <c r="AE743" s="6"/>
      <c r="AF743" s="6"/>
      <c r="AG743" s="6"/>
      <c r="AH743" s="6"/>
    </row>
    <row r="744" ht="15.75" customHeight="1">
      <c r="A744" s="6"/>
      <c r="B744" s="6"/>
      <c r="C744" s="6"/>
      <c r="D744" s="6"/>
      <c r="E744" s="6"/>
      <c r="F744" s="6"/>
      <c r="G744" s="9"/>
      <c r="H744" s="9"/>
      <c r="I744" s="9"/>
      <c r="J744" s="9"/>
      <c r="K744" s="6"/>
      <c r="L744" s="9"/>
      <c r="M744" s="10"/>
      <c r="N744" s="10"/>
      <c r="O744" s="9"/>
      <c r="P744" s="15"/>
      <c r="Q744" s="9"/>
      <c r="R744" s="9"/>
      <c r="S744" s="9"/>
      <c r="T744" s="9"/>
      <c r="U744" s="6"/>
      <c r="V744" s="6"/>
      <c r="W744" s="6"/>
      <c r="X744" s="6"/>
      <c r="Y744" s="6"/>
      <c r="Z744" s="6"/>
      <c r="AA744" s="6"/>
      <c r="AB744" s="6"/>
      <c r="AC744" s="6"/>
      <c r="AD744" s="6"/>
      <c r="AE744" s="6"/>
      <c r="AF744" s="6"/>
      <c r="AG744" s="6"/>
      <c r="AH744" s="6"/>
    </row>
    <row r="745" ht="15.75" customHeight="1">
      <c r="A745" s="6"/>
      <c r="B745" s="6"/>
      <c r="C745" s="6"/>
      <c r="D745" s="6"/>
      <c r="E745" s="6"/>
      <c r="F745" s="6"/>
      <c r="G745" s="9"/>
      <c r="H745" s="9"/>
      <c r="I745" s="9"/>
      <c r="J745" s="9"/>
      <c r="K745" s="6"/>
      <c r="L745" s="9"/>
      <c r="M745" s="10"/>
      <c r="N745" s="10"/>
      <c r="O745" s="9"/>
      <c r="P745" s="15"/>
      <c r="Q745" s="9"/>
      <c r="R745" s="9"/>
      <c r="S745" s="9"/>
      <c r="T745" s="9"/>
      <c r="U745" s="6"/>
      <c r="V745" s="6"/>
      <c r="W745" s="6"/>
      <c r="X745" s="6"/>
      <c r="Y745" s="6"/>
      <c r="Z745" s="6"/>
      <c r="AA745" s="6"/>
      <c r="AB745" s="6"/>
      <c r="AC745" s="6"/>
      <c r="AD745" s="6"/>
      <c r="AE745" s="6"/>
      <c r="AF745" s="6"/>
      <c r="AG745" s="6"/>
      <c r="AH745" s="6"/>
    </row>
    <row r="746" ht="15.75" customHeight="1">
      <c r="A746" s="6"/>
      <c r="B746" s="6"/>
      <c r="C746" s="6"/>
      <c r="D746" s="6"/>
      <c r="E746" s="6"/>
      <c r="F746" s="6"/>
      <c r="G746" s="9"/>
      <c r="H746" s="9"/>
      <c r="I746" s="9"/>
      <c r="J746" s="9"/>
      <c r="K746" s="6"/>
      <c r="L746" s="9"/>
      <c r="M746" s="10"/>
      <c r="N746" s="10"/>
      <c r="O746" s="9"/>
      <c r="P746" s="15"/>
      <c r="Q746" s="9"/>
      <c r="R746" s="9"/>
      <c r="S746" s="9"/>
      <c r="T746" s="9"/>
      <c r="U746" s="6"/>
      <c r="V746" s="6"/>
      <c r="W746" s="6"/>
      <c r="X746" s="6"/>
      <c r="Y746" s="6"/>
      <c r="Z746" s="6"/>
      <c r="AA746" s="6"/>
      <c r="AB746" s="6"/>
      <c r="AC746" s="6"/>
      <c r="AD746" s="6"/>
      <c r="AE746" s="6"/>
      <c r="AF746" s="6"/>
      <c r="AG746" s="6"/>
      <c r="AH746" s="6"/>
    </row>
    <row r="747" ht="15.75" customHeight="1">
      <c r="A747" s="6"/>
      <c r="B747" s="6"/>
      <c r="C747" s="6"/>
      <c r="D747" s="6"/>
      <c r="E747" s="6"/>
      <c r="F747" s="6"/>
      <c r="G747" s="9"/>
      <c r="H747" s="9"/>
      <c r="I747" s="9"/>
      <c r="J747" s="9"/>
      <c r="K747" s="6"/>
      <c r="L747" s="9"/>
      <c r="M747" s="10"/>
      <c r="N747" s="10"/>
      <c r="O747" s="9"/>
      <c r="P747" s="15"/>
      <c r="Q747" s="9"/>
      <c r="R747" s="9"/>
      <c r="S747" s="9"/>
      <c r="T747" s="9"/>
      <c r="U747" s="6"/>
      <c r="V747" s="6"/>
      <c r="W747" s="6"/>
      <c r="X747" s="6"/>
      <c r="Y747" s="6"/>
      <c r="Z747" s="6"/>
      <c r="AA747" s="6"/>
      <c r="AB747" s="6"/>
      <c r="AC747" s="6"/>
      <c r="AD747" s="6"/>
      <c r="AE747" s="6"/>
      <c r="AF747" s="6"/>
      <c r="AG747" s="6"/>
      <c r="AH747" s="6"/>
    </row>
    <row r="748" ht="15.75" customHeight="1">
      <c r="A748" s="6"/>
      <c r="B748" s="6"/>
      <c r="C748" s="6"/>
      <c r="D748" s="6"/>
      <c r="E748" s="6"/>
      <c r="F748" s="6"/>
      <c r="G748" s="9"/>
      <c r="H748" s="9"/>
      <c r="I748" s="9"/>
      <c r="J748" s="9"/>
      <c r="K748" s="6"/>
      <c r="L748" s="9"/>
      <c r="M748" s="10"/>
      <c r="N748" s="10"/>
      <c r="O748" s="9"/>
      <c r="P748" s="15"/>
      <c r="Q748" s="9"/>
      <c r="R748" s="9"/>
      <c r="S748" s="9"/>
      <c r="T748" s="9"/>
      <c r="U748" s="6"/>
      <c r="V748" s="6"/>
      <c r="W748" s="6"/>
      <c r="X748" s="6"/>
      <c r="Y748" s="6"/>
      <c r="Z748" s="6"/>
      <c r="AA748" s="6"/>
      <c r="AB748" s="6"/>
      <c r="AC748" s="6"/>
      <c r="AD748" s="6"/>
      <c r="AE748" s="6"/>
      <c r="AF748" s="6"/>
      <c r="AG748" s="6"/>
      <c r="AH748" s="6"/>
    </row>
    <row r="749" ht="15.75" customHeight="1">
      <c r="A749" s="6"/>
      <c r="B749" s="6"/>
      <c r="C749" s="6"/>
      <c r="D749" s="6"/>
      <c r="E749" s="6"/>
      <c r="F749" s="6"/>
      <c r="G749" s="9"/>
      <c r="H749" s="9"/>
      <c r="I749" s="9"/>
      <c r="J749" s="9"/>
      <c r="K749" s="6"/>
      <c r="L749" s="9"/>
      <c r="M749" s="10"/>
      <c r="N749" s="10"/>
      <c r="O749" s="9"/>
      <c r="P749" s="15"/>
      <c r="Q749" s="9"/>
      <c r="R749" s="9"/>
      <c r="S749" s="9"/>
      <c r="T749" s="9"/>
      <c r="U749" s="6"/>
      <c r="V749" s="6"/>
      <c r="W749" s="6"/>
      <c r="X749" s="6"/>
      <c r="Y749" s="6"/>
      <c r="Z749" s="6"/>
      <c r="AA749" s="6"/>
      <c r="AB749" s="6"/>
      <c r="AC749" s="6"/>
      <c r="AD749" s="6"/>
      <c r="AE749" s="6"/>
      <c r="AF749" s="6"/>
      <c r="AG749" s="6"/>
      <c r="AH749" s="6"/>
    </row>
    <row r="750" ht="15.75" customHeight="1">
      <c r="A750" s="6"/>
      <c r="B750" s="6"/>
      <c r="C750" s="6"/>
      <c r="D750" s="6"/>
      <c r="E750" s="6"/>
      <c r="F750" s="6"/>
      <c r="G750" s="9"/>
      <c r="H750" s="9"/>
      <c r="I750" s="9"/>
      <c r="J750" s="9"/>
      <c r="K750" s="6"/>
      <c r="L750" s="9"/>
      <c r="M750" s="10"/>
      <c r="N750" s="10"/>
      <c r="O750" s="9"/>
      <c r="P750" s="15"/>
      <c r="Q750" s="9"/>
      <c r="R750" s="9"/>
      <c r="S750" s="9"/>
      <c r="T750" s="9"/>
      <c r="U750" s="6"/>
      <c r="V750" s="6"/>
      <c r="W750" s="6"/>
      <c r="X750" s="6"/>
      <c r="Y750" s="6"/>
      <c r="Z750" s="6"/>
      <c r="AA750" s="6"/>
      <c r="AB750" s="6"/>
      <c r="AC750" s="6"/>
      <c r="AD750" s="6"/>
      <c r="AE750" s="6"/>
      <c r="AF750" s="6"/>
      <c r="AG750" s="6"/>
      <c r="AH750" s="6"/>
    </row>
    <row r="751" ht="15.75" customHeight="1">
      <c r="A751" s="6"/>
      <c r="B751" s="6"/>
      <c r="C751" s="6"/>
      <c r="D751" s="6"/>
      <c r="E751" s="6"/>
      <c r="F751" s="6"/>
      <c r="G751" s="9"/>
      <c r="H751" s="9"/>
      <c r="I751" s="9"/>
      <c r="J751" s="9"/>
      <c r="K751" s="6"/>
      <c r="L751" s="9"/>
      <c r="M751" s="10"/>
      <c r="N751" s="10"/>
      <c r="O751" s="9"/>
      <c r="P751" s="15"/>
      <c r="Q751" s="9"/>
      <c r="R751" s="9"/>
      <c r="S751" s="9"/>
      <c r="T751" s="9"/>
      <c r="U751" s="6"/>
      <c r="V751" s="6"/>
      <c r="W751" s="6"/>
      <c r="X751" s="6"/>
      <c r="Y751" s="6"/>
      <c r="Z751" s="6"/>
      <c r="AA751" s="6"/>
      <c r="AB751" s="6"/>
      <c r="AC751" s="6"/>
      <c r="AD751" s="6"/>
      <c r="AE751" s="6"/>
      <c r="AF751" s="6"/>
      <c r="AG751" s="6"/>
      <c r="AH751" s="6"/>
    </row>
    <row r="752" ht="15.75" customHeight="1">
      <c r="A752" s="6"/>
      <c r="B752" s="6"/>
      <c r="C752" s="6"/>
      <c r="D752" s="6"/>
      <c r="E752" s="6"/>
      <c r="F752" s="6"/>
      <c r="G752" s="9"/>
      <c r="H752" s="9"/>
      <c r="I752" s="9"/>
      <c r="J752" s="9"/>
      <c r="K752" s="6"/>
      <c r="L752" s="9"/>
      <c r="M752" s="10"/>
      <c r="N752" s="10"/>
      <c r="O752" s="9"/>
      <c r="P752" s="15"/>
      <c r="Q752" s="9"/>
      <c r="R752" s="9"/>
      <c r="S752" s="9"/>
      <c r="T752" s="9"/>
      <c r="U752" s="6"/>
      <c r="V752" s="6"/>
      <c r="W752" s="6"/>
      <c r="X752" s="6"/>
      <c r="Y752" s="6"/>
      <c r="Z752" s="6"/>
      <c r="AA752" s="6"/>
      <c r="AB752" s="6"/>
      <c r="AC752" s="6"/>
      <c r="AD752" s="6"/>
      <c r="AE752" s="6"/>
      <c r="AF752" s="6"/>
      <c r="AG752" s="6"/>
      <c r="AH752" s="6"/>
    </row>
    <row r="753" ht="15.75" customHeight="1">
      <c r="A753" s="6"/>
      <c r="B753" s="6"/>
      <c r="C753" s="6"/>
      <c r="D753" s="6"/>
      <c r="E753" s="6"/>
      <c r="F753" s="6"/>
      <c r="G753" s="9"/>
      <c r="H753" s="9"/>
      <c r="I753" s="9"/>
      <c r="J753" s="9"/>
      <c r="K753" s="6"/>
      <c r="L753" s="9"/>
      <c r="M753" s="10"/>
      <c r="N753" s="10"/>
      <c r="O753" s="9"/>
      <c r="P753" s="15"/>
      <c r="Q753" s="9"/>
      <c r="R753" s="9"/>
      <c r="S753" s="9"/>
      <c r="T753" s="9"/>
      <c r="U753" s="6"/>
      <c r="V753" s="6"/>
      <c r="W753" s="6"/>
      <c r="X753" s="6"/>
      <c r="Y753" s="6"/>
      <c r="Z753" s="6"/>
      <c r="AA753" s="6"/>
      <c r="AB753" s="6"/>
      <c r="AC753" s="6"/>
      <c r="AD753" s="6"/>
      <c r="AE753" s="6"/>
      <c r="AF753" s="6"/>
      <c r="AG753" s="6"/>
      <c r="AH753" s="6"/>
    </row>
    <row r="754" ht="15.75" customHeight="1">
      <c r="A754" s="6"/>
      <c r="B754" s="6"/>
      <c r="C754" s="6"/>
      <c r="D754" s="6"/>
      <c r="E754" s="6"/>
      <c r="F754" s="6"/>
      <c r="G754" s="9"/>
      <c r="H754" s="9"/>
      <c r="I754" s="9"/>
      <c r="J754" s="9"/>
      <c r="K754" s="6"/>
      <c r="L754" s="9"/>
      <c r="M754" s="10"/>
      <c r="N754" s="10"/>
      <c r="O754" s="9"/>
      <c r="P754" s="15"/>
      <c r="Q754" s="9"/>
      <c r="R754" s="9"/>
      <c r="S754" s="9"/>
      <c r="T754" s="9"/>
      <c r="U754" s="6"/>
      <c r="V754" s="6"/>
      <c r="W754" s="6"/>
      <c r="X754" s="6"/>
      <c r="Y754" s="6"/>
      <c r="Z754" s="6"/>
      <c r="AA754" s="6"/>
      <c r="AB754" s="6"/>
      <c r="AC754" s="6"/>
      <c r="AD754" s="6"/>
      <c r="AE754" s="6"/>
      <c r="AF754" s="6"/>
      <c r="AG754" s="6"/>
      <c r="AH754" s="6"/>
    </row>
    <row r="755" ht="15.75" customHeight="1">
      <c r="A755" s="6"/>
      <c r="B755" s="6"/>
      <c r="C755" s="6"/>
      <c r="D755" s="6"/>
      <c r="E755" s="6"/>
      <c r="F755" s="6"/>
      <c r="G755" s="9"/>
      <c r="H755" s="9"/>
      <c r="I755" s="9"/>
      <c r="J755" s="9"/>
      <c r="K755" s="6"/>
      <c r="L755" s="9"/>
      <c r="M755" s="10"/>
      <c r="N755" s="10"/>
      <c r="O755" s="9"/>
      <c r="P755" s="15"/>
      <c r="Q755" s="9"/>
      <c r="R755" s="9"/>
      <c r="S755" s="9"/>
      <c r="T755" s="9"/>
      <c r="U755" s="6"/>
      <c r="V755" s="6"/>
      <c r="W755" s="6"/>
      <c r="X755" s="6"/>
      <c r="Y755" s="6"/>
      <c r="Z755" s="6"/>
      <c r="AA755" s="6"/>
      <c r="AB755" s="6"/>
      <c r="AC755" s="6"/>
      <c r="AD755" s="6"/>
      <c r="AE755" s="6"/>
      <c r="AF755" s="6"/>
      <c r="AG755" s="6"/>
      <c r="AH755" s="6"/>
    </row>
    <row r="756" ht="15.75" customHeight="1">
      <c r="A756" s="6"/>
      <c r="B756" s="6"/>
      <c r="C756" s="6"/>
      <c r="D756" s="6"/>
      <c r="E756" s="6"/>
      <c r="F756" s="6"/>
      <c r="G756" s="9"/>
      <c r="H756" s="9"/>
      <c r="I756" s="9"/>
      <c r="J756" s="9"/>
      <c r="K756" s="6"/>
      <c r="L756" s="9"/>
      <c r="M756" s="10"/>
      <c r="N756" s="10"/>
      <c r="O756" s="9"/>
      <c r="P756" s="15"/>
      <c r="Q756" s="9"/>
      <c r="R756" s="9"/>
      <c r="S756" s="9"/>
      <c r="T756" s="9"/>
      <c r="U756" s="6"/>
      <c r="V756" s="6"/>
      <c r="W756" s="6"/>
      <c r="X756" s="6"/>
      <c r="Y756" s="6"/>
      <c r="Z756" s="6"/>
      <c r="AA756" s="6"/>
      <c r="AB756" s="6"/>
      <c r="AC756" s="6"/>
      <c r="AD756" s="6"/>
      <c r="AE756" s="6"/>
      <c r="AF756" s="6"/>
      <c r="AG756" s="6"/>
      <c r="AH756" s="6"/>
    </row>
    <row r="757" ht="15.75" customHeight="1">
      <c r="A757" s="6"/>
      <c r="B757" s="6"/>
      <c r="C757" s="6"/>
      <c r="D757" s="6"/>
      <c r="E757" s="6"/>
      <c r="F757" s="6"/>
      <c r="G757" s="9"/>
      <c r="H757" s="9"/>
      <c r="I757" s="9"/>
      <c r="J757" s="9"/>
      <c r="K757" s="6"/>
      <c r="L757" s="9"/>
      <c r="M757" s="10"/>
      <c r="N757" s="10"/>
      <c r="O757" s="9"/>
      <c r="P757" s="15"/>
      <c r="Q757" s="9"/>
      <c r="R757" s="9"/>
      <c r="S757" s="9"/>
      <c r="T757" s="9"/>
      <c r="U757" s="6"/>
      <c r="V757" s="6"/>
      <c r="W757" s="6"/>
      <c r="X757" s="6"/>
      <c r="Y757" s="6"/>
      <c r="Z757" s="6"/>
      <c r="AA757" s="6"/>
      <c r="AB757" s="6"/>
      <c r="AC757" s="6"/>
      <c r="AD757" s="6"/>
      <c r="AE757" s="6"/>
      <c r="AF757" s="6"/>
      <c r="AG757" s="6"/>
      <c r="AH757" s="6"/>
    </row>
    <row r="758" ht="15.75" customHeight="1">
      <c r="A758" s="6"/>
      <c r="B758" s="6"/>
      <c r="C758" s="6"/>
      <c r="D758" s="6"/>
      <c r="E758" s="6"/>
      <c r="F758" s="6"/>
      <c r="G758" s="9"/>
      <c r="H758" s="9"/>
      <c r="I758" s="9"/>
      <c r="J758" s="9"/>
      <c r="K758" s="6"/>
      <c r="L758" s="9"/>
      <c r="M758" s="10"/>
      <c r="N758" s="10"/>
      <c r="O758" s="9"/>
      <c r="P758" s="15"/>
      <c r="Q758" s="9"/>
      <c r="R758" s="9"/>
      <c r="S758" s="9"/>
      <c r="T758" s="9"/>
      <c r="U758" s="6"/>
      <c r="V758" s="6"/>
      <c r="W758" s="6"/>
      <c r="X758" s="6"/>
      <c r="Y758" s="6"/>
      <c r="Z758" s="6"/>
      <c r="AA758" s="6"/>
      <c r="AB758" s="6"/>
      <c r="AC758" s="6"/>
      <c r="AD758" s="6"/>
      <c r="AE758" s="6"/>
      <c r="AF758" s="6"/>
      <c r="AG758" s="6"/>
      <c r="AH758" s="6"/>
    </row>
    <row r="759" ht="15.75" customHeight="1">
      <c r="A759" s="6"/>
      <c r="B759" s="6"/>
      <c r="C759" s="6"/>
      <c r="D759" s="6"/>
      <c r="E759" s="6"/>
      <c r="F759" s="6"/>
      <c r="G759" s="9"/>
      <c r="H759" s="9"/>
      <c r="I759" s="9"/>
      <c r="J759" s="9"/>
      <c r="K759" s="6"/>
      <c r="L759" s="9"/>
      <c r="M759" s="10"/>
      <c r="N759" s="10"/>
      <c r="O759" s="9"/>
      <c r="P759" s="15"/>
      <c r="Q759" s="9"/>
      <c r="R759" s="9"/>
      <c r="S759" s="9"/>
      <c r="T759" s="9"/>
      <c r="U759" s="6"/>
      <c r="V759" s="6"/>
      <c r="W759" s="6"/>
      <c r="X759" s="6"/>
      <c r="Y759" s="6"/>
      <c r="Z759" s="6"/>
      <c r="AA759" s="6"/>
      <c r="AB759" s="6"/>
      <c r="AC759" s="6"/>
      <c r="AD759" s="6"/>
      <c r="AE759" s="6"/>
      <c r="AF759" s="6"/>
      <c r="AG759" s="6"/>
      <c r="AH759" s="6"/>
    </row>
    <row r="760" ht="15.75" customHeight="1">
      <c r="A760" s="6"/>
      <c r="B760" s="6"/>
      <c r="C760" s="6"/>
      <c r="D760" s="6"/>
      <c r="E760" s="6"/>
      <c r="F760" s="6"/>
      <c r="G760" s="9"/>
      <c r="H760" s="9"/>
      <c r="I760" s="9"/>
      <c r="J760" s="9"/>
      <c r="K760" s="6"/>
      <c r="L760" s="9"/>
      <c r="M760" s="10"/>
      <c r="N760" s="10"/>
      <c r="O760" s="9"/>
      <c r="P760" s="15"/>
      <c r="Q760" s="9"/>
      <c r="R760" s="9"/>
      <c r="S760" s="9"/>
      <c r="T760" s="9"/>
      <c r="U760" s="6"/>
      <c r="V760" s="6"/>
      <c r="W760" s="6"/>
      <c r="X760" s="6"/>
      <c r="Y760" s="6"/>
      <c r="Z760" s="6"/>
      <c r="AA760" s="6"/>
      <c r="AB760" s="6"/>
      <c r="AC760" s="6"/>
      <c r="AD760" s="6"/>
      <c r="AE760" s="6"/>
      <c r="AF760" s="6"/>
      <c r="AG760" s="6"/>
      <c r="AH760" s="6"/>
    </row>
    <row r="761" ht="15.75" customHeight="1">
      <c r="A761" s="6"/>
      <c r="B761" s="6"/>
      <c r="C761" s="6"/>
      <c r="D761" s="6"/>
      <c r="E761" s="6"/>
      <c r="F761" s="6"/>
      <c r="G761" s="9"/>
      <c r="H761" s="9"/>
      <c r="I761" s="9"/>
      <c r="J761" s="9"/>
      <c r="K761" s="6"/>
      <c r="L761" s="9"/>
      <c r="M761" s="10"/>
      <c r="N761" s="10"/>
      <c r="O761" s="9"/>
      <c r="P761" s="15"/>
      <c r="Q761" s="9"/>
      <c r="R761" s="9"/>
      <c r="S761" s="9"/>
      <c r="T761" s="9"/>
      <c r="U761" s="6"/>
      <c r="V761" s="6"/>
      <c r="W761" s="6"/>
      <c r="X761" s="6"/>
      <c r="Y761" s="6"/>
      <c r="Z761" s="6"/>
      <c r="AA761" s="6"/>
      <c r="AB761" s="6"/>
      <c r="AC761" s="6"/>
      <c r="AD761" s="6"/>
      <c r="AE761" s="6"/>
      <c r="AF761" s="6"/>
      <c r="AG761" s="6"/>
      <c r="AH761" s="6"/>
    </row>
    <row r="762" ht="15.75" customHeight="1">
      <c r="A762" s="6"/>
      <c r="B762" s="6"/>
      <c r="C762" s="6"/>
      <c r="D762" s="6"/>
      <c r="E762" s="6"/>
      <c r="F762" s="6"/>
      <c r="G762" s="9"/>
      <c r="H762" s="9"/>
      <c r="I762" s="9"/>
      <c r="J762" s="9"/>
      <c r="K762" s="6"/>
      <c r="L762" s="9"/>
      <c r="M762" s="10"/>
      <c r="N762" s="10"/>
      <c r="O762" s="9"/>
      <c r="P762" s="15"/>
      <c r="Q762" s="9"/>
      <c r="R762" s="9"/>
      <c r="S762" s="9"/>
      <c r="T762" s="9"/>
      <c r="U762" s="6"/>
      <c r="V762" s="6"/>
      <c r="W762" s="6"/>
      <c r="X762" s="6"/>
      <c r="Y762" s="6"/>
      <c r="Z762" s="6"/>
      <c r="AA762" s="6"/>
      <c r="AB762" s="6"/>
      <c r="AC762" s="6"/>
      <c r="AD762" s="6"/>
      <c r="AE762" s="6"/>
      <c r="AF762" s="6"/>
      <c r="AG762" s="6"/>
      <c r="AH762" s="6"/>
    </row>
    <row r="763" ht="15.75" customHeight="1">
      <c r="A763" s="6"/>
      <c r="B763" s="6"/>
      <c r="C763" s="6"/>
      <c r="D763" s="6"/>
      <c r="E763" s="6"/>
      <c r="F763" s="6"/>
      <c r="G763" s="9"/>
      <c r="H763" s="9"/>
      <c r="I763" s="9"/>
      <c r="J763" s="9"/>
      <c r="K763" s="6"/>
      <c r="L763" s="9"/>
      <c r="M763" s="10"/>
      <c r="N763" s="10"/>
      <c r="O763" s="9"/>
      <c r="P763" s="15"/>
      <c r="Q763" s="9"/>
      <c r="R763" s="9"/>
      <c r="S763" s="9"/>
      <c r="T763" s="9"/>
      <c r="U763" s="6"/>
      <c r="V763" s="6"/>
      <c r="W763" s="6"/>
      <c r="X763" s="6"/>
      <c r="Y763" s="6"/>
      <c r="Z763" s="6"/>
      <c r="AA763" s="6"/>
      <c r="AB763" s="6"/>
      <c r="AC763" s="6"/>
      <c r="AD763" s="6"/>
      <c r="AE763" s="6"/>
      <c r="AF763" s="6"/>
      <c r="AG763" s="6"/>
      <c r="AH763" s="6"/>
    </row>
    <row r="764" ht="15.75" customHeight="1">
      <c r="A764" s="6"/>
      <c r="B764" s="6"/>
      <c r="C764" s="6"/>
      <c r="D764" s="6"/>
      <c r="E764" s="6"/>
      <c r="F764" s="6"/>
      <c r="G764" s="9"/>
      <c r="H764" s="9"/>
      <c r="I764" s="9"/>
      <c r="J764" s="9"/>
      <c r="K764" s="6"/>
      <c r="L764" s="9"/>
      <c r="M764" s="10"/>
      <c r="N764" s="10"/>
      <c r="O764" s="9"/>
      <c r="P764" s="15"/>
      <c r="Q764" s="9"/>
      <c r="R764" s="9"/>
      <c r="S764" s="9"/>
      <c r="T764" s="9"/>
      <c r="U764" s="6"/>
      <c r="V764" s="6"/>
      <c r="W764" s="6"/>
      <c r="X764" s="6"/>
      <c r="Y764" s="6"/>
      <c r="Z764" s="6"/>
      <c r="AA764" s="6"/>
      <c r="AB764" s="6"/>
      <c r="AC764" s="6"/>
      <c r="AD764" s="6"/>
      <c r="AE764" s="6"/>
      <c r="AF764" s="6"/>
      <c r="AG764" s="6"/>
      <c r="AH764" s="6"/>
    </row>
    <row r="765" ht="15.75" customHeight="1">
      <c r="A765" s="6"/>
      <c r="B765" s="6"/>
      <c r="C765" s="6"/>
      <c r="D765" s="6"/>
      <c r="E765" s="6"/>
      <c r="F765" s="6"/>
      <c r="G765" s="9"/>
      <c r="H765" s="9"/>
      <c r="I765" s="9"/>
      <c r="J765" s="9"/>
      <c r="K765" s="6"/>
      <c r="L765" s="9"/>
      <c r="M765" s="10"/>
      <c r="N765" s="10"/>
      <c r="O765" s="9"/>
      <c r="P765" s="15"/>
      <c r="Q765" s="9"/>
      <c r="R765" s="9"/>
      <c r="S765" s="9"/>
      <c r="T765" s="9"/>
      <c r="U765" s="6"/>
      <c r="V765" s="6"/>
      <c r="W765" s="6"/>
      <c r="X765" s="6"/>
      <c r="Y765" s="6"/>
      <c r="Z765" s="6"/>
      <c r="AA765" s="6"/>
      <c r="AB765" s="6"/>
      <c r="AC765" s="6"/>
      <c r="AD765" s="6"/>
      <c r="AE765" s="6"/>
      <c r="AF765" s="6"/>
      <c r="AG765" s="6"/>
      <c r="AH765" s="6"/>
    </row>
    <row r="766" ht="15.75" customHeight="1">
      <c r="A766" s="6"/>
      <c r="B766" s="6"/>
      <c r="C766" s="6"/>
      <c r="D766" s="6"/>
      <c r="E766" s="6"/>
      <c r="F766" s="6"/>
      <c r="G766" s="9"/>
      <c r="H766" s="9"/>
      <c r="I766" s="9"/>
      <c r="J766" s="9"/>
      <c r="K766" s="6"/>
      <c r="L766" s="9"/>
      <c r="M766" s="10"/>
      <c r="N766" s="10"/>
      <c r="O766" s="9"/>
      <c r="P766" s="15"/>
      <c r="Q766" s="9"/>
      <c r="R766" s="9"/>
      <c r="S766" s="9"/>
      <c r="T766" s="9"/>
      <c r="U766" s="6"/>
      <c r="V766" s="6"/>
      <c r="W766" s="6"/>
      <c r="X766" s="6"/>
      <c r="Y766" s="6"/>
      <c r="Z766" s="6"/>
      <c r="AA766" s="6"/>
      <c r="AB766" s="6"/>
      <c r="AC766" s="6"/>
      <c r="AD766" s="6"/>
      <c r="AE766" s="6"/>
      <c r="AF766" s="6"/>
      <c r="AG766" s="6"/>
      <c r="AH766" s="6"/>
    </row>
    <row r="767" ht="15.75" customHeight="1">
      <c r="A767" s="6"/>
      <c r="B767" s="6"/>
      <c r="C767" s="6"/>
      <c r="D767" s="6"/>
      <c r="E767" s="6"/>
      <c r="F767" s="6"/>
      <c r="G767" s="9"/>
      <c r="H767" s="9"/>
      <c r="I767" s="9"/>
      <c r="J767" s="9"/>
      <c r="K767" s="6"/>
      <c r="L767" s="9"/>
      <c r="M767" s="10"/>
      <c r="N767" s="10"/>
      <c r="O767" s="9"/>
      <c r="P767" s="15"/>
      <c r="Q767" s="9"/>
      <c r="R767" s="9"/>
      <c r="S767" s="9"/>
      <c r="T767" s="9"/>
      <c r="U767" s="6"/>
      <c r="V767" s="6"/>
      <c r="W767" s="6"/>
      <c r="X767" s="6"/>
      <c r="Y767" s="6"/>
      <c r="Z767" s="6"/>
      <c r="AA767" s="6"/>
      <c r="AB767" s="6"/>
      <c r="AC767" s="6"/>
      <c r="AD767" s="6"/>
      <c r="AE767" s="6"/>
      <c r="AF767" s="6"/>
      <c r="AG767" s="6"/>
      <c r="AH767" s="6"/>
    </row>
    <row r="768" ht="15.75" customHeight="1">
      <c r="A768" s="6"/>
      <c r="B768" s="6"/>
      <c r="C768" s="6"/>
      <c r="D768" s="6"/>
      <c r="E768" s="6"/>
      <c r="F768" s="6"/>
      <c r="G768" s="9"/>
      <c r="H768" s="9"/>
      <c r="I768" s="9"/>
      <c r="J768" s="9"/>
      <c r="K768" s="6"/>
      <c r="L768" s="9"/>
      <c r="M768" s="10"/>
      <c r="N768" s="10"/>
      <c r="O768" s="9"/>
      <c r="P768" s="15"/>
      <c r="Q768" s="9"/>
      <c r="R768" s="9"/>
      <c r="S768" s="9"/>
      <c r="T768" s="9"/>
      <c r="U768" s="6"/>
      <c r="V768" s="6"/>
      <c r="W768" s="6"/>
      <c r="X768" s="6"/>
      <c r="Y768" s="6"/>
      <c r="Z768" s="6"/>
      <c r="AA768" s="6"/>
      <c r="AB768" s="6"/>
      <c r="AC768" s="6"/>
      <c r="AD768" s="6"/>
      <c r="AE768" s="6"/>
      <c r="AF768" s="6"/>
      <c r="AG768" s="6"/>
      <c r="AH768" s="6"/>
    </row>
    <row r="769" ht="15.75" customHeight="1">
      <c r="A769" s="6"/>
      <c r="B769" s="6"/>
      <c r="C769" s="6"/>
      <c r="D769" s="6"/>
      <c r="E769" s="6"/>
      <c r="F769" s="6"/>
      <c r="G769" s="9"/>
      <c r="H769" s="9"/>
      <c r="I769" s="9"/>
      <c r="J769" s="9"/>
      <c r="K769" s="6"/>
      <c r="L769" s="9"/>
      <c r="M769" s="10"/>
      <c r="N769" s="10"/>
      <c r="O769" s="9"/>
      <c r="P769" s="15"/>
      <c r="Q769" s="9"/>
      <c r="R769" s="9"/>
      <c r="S769" s="9"/>
      <c r="T769" s="9"/>
      <c r="U769" s="6"/>
      <c r="V769" s="6"/>
      <c r="W769" s="6"/>
      <c r="X769" s="6"/>
      <c r="Y769" s="6"/>
      <c r="Z769" s="6"/>
      <c r="AA769" s="6"/>
      <c r="AB769" s="6"/>
      <c r="AC769" s="6"/>
      <c r="AD769" s="6"/>
      <c r="AE769" s="6"/>
      <c r="AF769" s="6"/>
      <c r="AG769" s="6"/>
      <c r="AH769" s="6"/>
    </row>
    <row r="770" ht="15.75" customHeight="1">
      <c r="A770" s="6"/>
      <c r="B770" s="6"/>
      <c r="C770" s="6"/>
      <c r="D770" s="6"/>
      <c r="E770" s="6"/>
      <c r="F770" s="6"/>
      <c r="G770" s="9"/>
      <c r="H770" s="9"/>
      <c r="I770" s="9"/>
      <c r="J770" s="9"/>
      <c r="K770" s="6"/>
      <c r="L770" s="9"/>
      <c r="M770" s="10"/>
      <c r="N770" s="10"/>
      <c r="O770" s="9"/>
      <c r="P770" s="15"/>
      <c r="Q770" s="9"/>
      <c r="R770" s="9"/>
      <c r="S770" s="9"/>
      <c r="T770" s="9"/>
      <c r="U770" s="6"/>
      <c r="V770" s="6"/>
      <c r="W770" s="6"/>
      <c r="X770" s="6"/>
      <c r="Y770" s="6"/>
      <c r="Z770" s="6"/>
      <c r="AA770" s="6"/>
      <c r="AB770" s="6"/>
      <c r="AC770" s="6"/>
      <c r="AD770" s="6"/>
      <c r="AE770" s="6"/>
      <c r="AF770" s="6"/>
      <c r="AG770" s="6"/>
      <c r="AH770" s="6"/>
    </row>
    <row r="771" ht="15.75" customHeight="1">
      <c r="A771" s="6"/>
      <c r="B771" s="6"/>
      <c r="C771" s="6"/>
      <c r="D771" s="6"/>
      <c r="E771" s="6"/>
      <c r="F771" s="6"/>
      <c r="G771" s="9"/>
      <c r="H771" s="9"/>
      <c r="I771" s="9"/>
      <c r="J771" s="9"/>
      <c r="K771" s="6"/>
      <c r="L771" s="9"/>
      <c r="M771" s="10"/>
      <c r="N771" s="10"/>
      <c r="O771" s="9"/>
      <c r="P771" s="15"/>
      <c r="Q771" s="9"/>
      <c r="R771" s="9"/>
      <c r="S771" s="9"/>
      <c r="T771" s="9"/>
      <c r="U771" s="6"/>
      <c r="V771" s="6"/>
      <c r="W771" s="6"/>
      <c r="X771" s="6"/>
      <c r="Y771" s="6"/>
      <c r="Z771" s="6"/>
      <c r="AA771" s="6"/>
      <c r="AB771" s="6"/>
      <c r="AC771" s="6"/>
      <c r="AD771" s="6"/>
      <c r="AE771" s="6"/>
      <c r="AF771" s="6"/>
      <c r="AG771" s="6"/>
      <c r="AH771" s="6"/>
    </row>
    <row r="772" ht="15.75" customHeight="1">
      <c r="A772" s="6"/>
      <c r="B772" s="6"/>
      <c r="C772" s="6"/>
      <c r="D772" s="6"/>
      <c r="E772" s="6"/>
      <c r="F772" s="6"/>
      <c r="G772" s="9"/>
      <c r="H772" s="9"/>
      <c r="I772" s="9"/>
      <c r="J772" s="9"/>
      <c r="K772" s="6"/>
      <c r="L772" s="9"/>
      <c r="M772" s="10"/>
      <c r="N772" s="10"/>
      <c r="O772" s="9"/>
      <c r="P772" s="15"/>
      <c r="Q772" s="9"/>
      <c r="R772" s="9"/>
      <c r="S772" s="9"/>
      <c r="T772" s="9"/>
      <c r="U772" s="6"/>
      <c r="V772" s="6"/>
      <c r="W772" s="6"/>
      <c r="X772" s="6"/>
      <c r="Y772" s="6"/>
      <c r="Z772" s="6"/>
      <c r="AA772" s="6"/>
      <c r="AB772" s="6"/>
      <c r="AC772" s="6"/>
      <c r="AD772" s="6"/>
      <c r="AE772" s="6"/>
      <c r="AF772" s="6"/>
      <c r="AG772" s="6"/>
      <c r="AH772" s="6"/>
    </row>
    <row r="773" ht="15.75" customHeight="1">
      <c r="A773" s="6"/>
      <c r="B773" s="6"/>
      <c r="C773" s="6"/>
      <c r="D773" s="6"/>
      <c r="E773" s="6"/>
      <c r="F773" s="6"/>
      <c r="G773" s="9"/>
      <c r="H773" s="9"/>
      <c r="I773" s="9"/>
      <c r="J773" s="9"/>
      <c r="K773" s="6"/>
      <c r="L773" s="9"/>
      <c r="M773" s="10"/>
      <c r="N773" s="10"/>
      <c r="O773" s="9"/>
      <c r="P773" s="15"/>
      <c r="Q773" s="9"/>
      <c r="R773" s="9"/>
      <c r="S773" s="9"/>
      <c r="T773" s="9"/>
      <c r="U773" s="6"/>
      <c r="V773" s="6"/>
      <c r="W773" s="6"/>
      <c r="X773" s="6"/>
      <c r="Y773" s="6"/>
      <c r="Z773" s="6"/>
      <c r="AA773" s="6"/>
      <c r="AB773" s="6"/>
      <c r="AC773" s="6"/>
      <c r="AD773" s="6"/>
      <c r="AE773" s="6"/>
      <c r="AF773" s="6"/>
      <c r="AG773" s="6"/>
      <c r="AH773" s="6"/>
    </row>
    <row r="774" ht="15.75" customHeight="1">
      <c r="A774" s="6"/>
      <c r="B774" s="6"/>
      <c r="C774" s="6"/>
      <c r="D774" s="6"/>
      <c r="E774" s="6"/>
      <c r="F774" s="6"/>
      <c r="G774" s="9"/>
      <c r="H774" s="9"/>
      <c r="I774" s="9"/>
      <c r="J774" s="9"/>
      <c r="K774" s="6"/>
      <c r="L774" s="9"/>
      <c r="M774" s="10"/>
      <c r="N774" s="10"/>
      <c r="O774" s="9"/>
      <c r="P774" s="15"/>
      <c r="Q774" s="9"/>
      <c r="R774" s="9"/>
      <c r="S774" s="9"/>
      <c r="T774" s="9"/>
      <c r="U774" s="6"/>
      <c r="V774" s="6"/>
      <c r="W774" s="6"/>
      <c r="X774" s="6"/>
      <c r="Y774" s="6"/>
      <c r="Z774" s="6"/>
      <c r="AA774" s="6"/>
      <c r="AB774" s="6"/>
      <c r="AC774" s="6"/>
      <c r="AD774" s="6"/>
      <c r="AE774" s="6"/>
      <c r="AF774" s="6"/>
      <c r="AG774" s="6"/>
      <c r="AH774" s="6"/>
    </row>
    <row r="775" ht="15.75" customHeight="1">
      <c r="A775" s="6"/>
      <c r="B775" s="6"/>
      <c r="C775" s="6"/>
      <c r="D775" s="6"/>
      <c r="E775" s="6"/>
      <c r="F775" s="6"/>
      <c r="G775" s="9"/>
      <c r="H775" s="9"/>
      <c r="I775" s="9"/>
      <c r="J775" s="9"/>
      <c r="K775" s="6"/>
      <c r="L775" s="9"/>
      <c r="M775" s="10"/>
      <c r="N775" s="10"/>
      <c r="O775" s="9"/>
      <c r="P775" s="15"/>
      <c r="Q775" s="9"/>
      <c r="R775" s="9"/>
      <c r="S775" s="9"/>
      <c r="T775" s="9"/>
      <c r="U775" s="6"/>
      <c r="V775" s="6"/>
      <c r="W775" s="6"/>
      <c r="X775" s="6"/>
      <c r="Y775" s="6"/>
      <c r="Z775" s="6"/>
      <c r="AA775" s="6"/>
      <c r="AB775" s="6"/>
      <c r="AC775" s="6"/>
      <c r="AD775" s="6"/>
      <c r="AE775" s="6"/>
      <c r="AF775" s="6"/>
      <c r="AG775" s="6"/>
      <c r="AH775" s="6"/>
    </row>
    <row r="776" ht="15.75" customHeight="1">
      <c r="A776" s="6"/>
      <c r="B776" s="6"/>
      <c r="C776" s="6"/>
      <c r="D776" s="6"/>
      <c r="E776" s="6"/>
      <c r="F776" s="6"/>
      <c r="G776" s="9"/>
      <c r="H776" s="9"/>
      <c r="I776" s="9"/>
      <c r="J776" s="9"/>
      <c r="K776" s="6"/>
      <c r="L776" s="9"/>
      <c r="M776" s="10"/>
      <c r="N776" s="10"/>
      <c r="O776" s="9"/>
      <c r="P776" s="15"/>
      <c r="Q776" s="9"/>
      <c r="R776" s="9"/>
      <c r="S776" s="9"/>
      <c r="T776" s="9"/>
      <c r="U776" s="6"/>
      <c r="V776" s="6"/>
      <c r="W776" s="6"/>
      <c r="X776" s="6"/>
      <c r="Y776" s="6"/>
      <c r="Z776" s="6"/>
      <c r="AA776" s="6"/>
      <c r="AB776" s="6"/>
      <c r="AC776" s="6"/>
      <c r="AD776" s="6"/>
      <c r="AE776" s="6"/>
      <c r="AF776" s="6"/>
      <c r="AG776" s="6"/>
      <c r="AH776" s="6"/>
    </row>
    <row r="777" ht="15.75" customHeight="1">
      <c r="A777" s="6"/>
      <c r="B777" s="6"/>
      <c r="C777" s="6"/>
      <c r="D777" s="6"/>
      <c r="E777" s="6"/>
      <c r="F777" s="6"/>
      <c r="G777" s="9"/>
      <c r="H777" s="9"/>
      <c r="I777" s="9"/>
      <c r="J777" s="9"/>
      <c r="K777" s="6"/>
      <c r="L777" s="9"/>
      <c r="M777" s="10"/>
      <c r="N777" s="10"/>
      <c r="O777" s="9"/>
      <c r="P777" s="15"/>
      <c r="Q777" s="9"/>
      <c r="R777" s="9"/>
      <c r="S777" s="9"/>
      <c r="T777" s="9"/>
      <c r="U777" s="6"/>
      <c r="V777" s="6"/>
      <c r="W777" s="6"/>
      <c r="X777" s="6"/>
      <c r="Y777" s="6"/>
      <c r="Z777" s="6"/>
      <c r="AA777" s="6"/>
      <c r="AB777" s="6"/>
      <c r="AC777" s="6"/>
      <c r="AD777" s="6"/>
      <c r="AE777" s="6"/>
      <c r="AF777" s="6"/>
      <c r="AG777" s="6"/>
      <c r="AH777" s="6"/>
    </row>
    <row r="778" ht="15.75" customHeight="1">
      <c r="A778" s="6"/>
      <c r="B778" s="6"/>
      <c r="C778" s="6"/>
      <c r="D778" s="6"/>
      <c r="E778" s="6"/>
      <c r="F778" s="6"/>
      <c r="G778" s="9"/>
      <c r="H778" s="9"/>
      <c r="I778" s="9"/>
      <c r="J778" s="9"/>
      <c r="K778" s="6"/>
      <c r="L778" s="9"/>
      <c r="M778" s="10"/>
      <c r="N778" s="10"/>
      <c r="O778" s="9"/>
      <c r="P778" s="15"/>
      <c r="Q778" s="9"/>
      <c r="R778" s="9"/>
      <c r="S778" s="9"/>
      <c r="T778" s="9"/>
      <c r="U778" s="6"/>
      <c r="V778" s="6"/>
      <c r="W778" s="6"/>
      <c r="X778" s="6"/>
      <c r="Y778" s="6"/>
      <c r="Z778" s="6"/>
      <c r="AA778" s="6"/>
      <c r="AB778" s="6"/>
      <c r="AC778" s="6"/>
      <c r="AD778" s="6"/>
      <c r="AE778" s="6"/>
      <c r="AF778" s="6"/>
      <c r="AG778" s="6"/>
      <c r="AH778" s="6"/>
    </row>
    <row r="779" ht="15.75" customHeight="1">
      <c r="A779" s="6"/>
      <c r="B779" s="6"/>
      <c r="C779" s="6"/>
      <c r="D779" s="6"/>
      <c r="E779" s="6"/>
      <c r="F779" s="6"/>
      <c r="G779" s="9"/>
      <c r="H779" s="9"/>
      <c r="I779" s="9"/>
      <c r="J779" s="9"/>
      <c r="K779" s="6"/>
      <c r="L779" s="9"/>
      <c r="M779" s="10"/>
      <c r="N779" s="10"/>
      <c r="O779" s="9"/>
      <c r="P779" s="15"/>
      <c r="Q779" s="9"/>
      <c r="R779" s="9"/>
      <c r="S779" s="9"/>
      <c r="T779" s="9"/>
      <c r="U779" s="6"/>
      <c r="V779" s="6"/>
      <c r="W779" s="6"/>
      <c r="X779" s="6"/>
      <c r="Y779" s="6"/>
      <c r="Z779" s="6"/>
      <c r="AA779" s="6"/>
      <c r="AB779" s="6"/>
      <c r="AC779" s="6"/>
      <c r="AD779" s="6"/>
      <c r="AE779" s="6"/>
      <c r="AF779" s="6"/>
      <c r="AG779" s="6"/>
      <c r="AH779" s="6"/>
    </row>
    <row r="780" ht="15.75" customHeight="1">
      <c r="A780" s="6"/>
      <c r="B780" s="6"/>
      <c r="C780" s="6"/>
      <c r="D780" s="6"/>
      <c r="E780" s="6"/>
      <c r="F780" s="6"/>
      <c r="G780" s="9"/>
      <c r="H780" s="9"/>
      <c r="I780" s="9"/>
      <c r="J780" s="9"/>
      <c r="K780" s="6"/>
      <c r="L780" s="9"/>
      <c r="M780" s="10"/>
      <c r="N780" s="10"/>
      <c r="O780" s="9"/>
      <c r="P780" s="15"/>
      <c r="Q780" s="9"/>
      <c r="R780" s="9"/>
      <c r="S780" s="9"/>
      <c r="T780" s="9"/>
      <c r="U780" s="6"/>
      <c r="V780" s="6"/>
      <c r="W780" s="6"/>
      <c r="X780" s="6"/>
      <c r="Y780" s="6"/>
      <c r="Z780" s="6"/>
      <c r="AA780" s="6"/>
      <c r="AB780" s="6"/>
      <c r="AC780" s="6"/>
      <c r="AD780" s="6"/>
      <c r="AE780" s="6"/>
      <c r="AF780" s="6"/>
      <c r="AG780" s="6"/>
      <c r="AH780" s="6"/>
    </row>
    <row r="781" ht="15.75" customHeight="1">
      <c r="A781" s="6"/>
      <c r="B781" s="6"/>
      <c r="C781" s="6"/>
      <c r="D781" s="6"/>
      <c r="E781" s="6"/>
      <c r="F781" s="6"/>
      <c r="G781" s="9"/>
      <c r="H781" s="9"/>
      <c r="I781" s="9"/>
      <c r="J781" s="9"/>
      <c r="K781" s="6"/>
      <c r="L781" s="9"/>
      <c r="M781" s="10"/>
      <c r="N781" s="10"/>
      <c r="O781" s="9"/>
      <c r="P781" s="15"/>
      <c r="Q781" s="9"/>
      <c r="R781" s="9"/>
      <c r="S781" s="9"/>
      <c r="T781" s="9"/>
      <c r="U781" s="6"/>
      <c r="V781" s="6"/>
      <c r="W781" s="6"/>
      <c r="X781" s="6"/>
      <c r="Y781" s="6"/>
      <c r="Z781" s="6"/>
      <c r="AA781" s="6"/>
      <c r="AB781" s="6"/>
      <c r="AC781" s="6"/>
      <c r="AD781" s="6"/>
      <c r="AE781" s="6"/>
      <c r="AF781" s="6"/>
      <c r="AG781" s="6"/>
      <c r="AH781" s="6"/>
    </row>
    <row r="782" ht="15.75" customHeight="1">
      <c r="A782" s="6"/>
      <c r="B782" s="6"/>
      <c r="C782" s="6"/>
      <c r="D782" s="6"/>
      <c r="E782" s="6"/>
      <c r="F782" s="6"/>
      <c r="G782" s="9"/>
      <c r="H782" s="9"/>
      <c r="I782" s="9"/>
      <c r="J782" s="9"/>
      <c r="K782" s="6"/>
      <c r="L782" s="9"/>
      <c r="M782" s="10"/>
      <c r="N782" s="10"/>
      <c r="O782" s="9"/>
      <c r="P782" s="15"/>
      <c r="Q782" s="9"/>
      <c r="R782" s="9"/>
      <c r="S782" s="9"/>
      <c r="T782" s="9"/>
      <c r="U782" s="6"/>
      <c r="V782" s="6"/>
      <c r="W782" s="6"/>
      <c r="X782" s="6"/>
      <c r="Y782" s="6"/>
      <c r="Z782" s="6"/>
      <c r="AA782" s="6"/>
      <c r="AB782" s="6"/>
      <c r="AC782" s="6"/>
      <c r="AD782" s="6"/>
      <c r="AE782" s="6"/>
      <c r="AF782" s="6"/>
      <c r="AG782" s="6"/>
      <c r="AH782" s="6"/>
    </row>
    <row r="783" ht="15.75" customHeight="1">
      <c r="A783" s="6"/>
      <c r="B783" s="6"/>
      <c r="C783" s="6"/>
      <c r="D783" s="6"/>
      <c r="E783" s="6"/>
      <c r="F783" s="6"/>
      <c r="G783" s="9"/>
      <c r="H783" s="9"/>
      <c r="I783" s="9"/>
      <c r="J783" s="9"/>
      <c r="K783" s="6"/>
      <c r="L783" s="9"/>
      <c r="M783" s="10"/>
      <c r="N783" s="10"/>
      <c r="O783" s="9"/>
      <c r="P783" s="15"/>
      <c r="Q783" s="9"/>
      <c r="R783" s="9"/>
      <c r="S783" s="9"/>
      <c r="T783" s="9"/>
      <c r="U783" s="6"/>
      <c r="V783" s="6"/>
      <c r="W783" s="6"/>
      <c r="X783" s="6"/>
      <c r="Y783" s="6"/>
      <c r="Z783" s="6"/>
      <c r="AA783" s="6"/>
      <c r="AB783" s="6"/>
      <c r="AC783" s="6"/>
      <c r="AD783" s="6"/>
      <c r="AE783" s="6"/>
      <c r="AF783" s="6"/>
      <c r="AG783" s="6"/>
      <c r="AH783" s="6"/>
    </row>
    <row r="784" ht="15.75" customHeight="1">
      <c r="A784" s="6"/>
      <c r="B784" s="6"/>
      <c r="C784" s="6"/>
      <c r="D784" s="6"/>
      <c r="E784" s="6"/>
      <c r="F784" s="6"/>
      <c r="G784" s="9"/>
      <c r="H784" s="9"/>
      <c r="I784" s="9"/>
      <c r="J784" s="9"/>
      <c r="K784" s="6"/>
      <c r="L784" s="9"/>
      <c r="M784" s="10"/>
      <c r="N784" s="10"/>
      <c r="O784" s="9"/>
      <c r="P784" s="15"/>
      <c r="Q784" s="9"/>
      <c r="R784" s="9"/>
      <c r="S784" s="9"/>
      <c r="T784" s="9"/>
      <c r="U784" s="6"/>
      <c r="V784" s="6"/>
      <c r="W784" s="6"/>
      <c r="X784" s="6"/>
      <c r="Y784" s="6"/>
      <c r="Z784" s="6"/>
      <c r="AA784" s="6"/>
      <c r="AB784" s="6"/>
      <c r="AC784" s="6"/>
      <c r="AD784" s="6"/>
      <c r="AE784" s="6"/>
      <c r="AF784" s="6"/>
      <c r="AG784" s="6"/>
      <c r="AH784" s="6"/>
    </row>
    <row r="785" ht="15.75" customHeight="1">
      <c r="A785" s="6"/>
      <c r="B785" s="6"/>
      <c r="C785" s="6"/>
      <c r="D785" s="6"/>
      <c r="E785" s="6"/>
      <c r="F785" s="6"/>
      <c r="G785" s="9"/>
      <c r="H785" s="9"/>
      <c r="I785" s="9"/>
      <c r="J785" s="9"/>
      <c r="K785" s="6"/>
      <c r="L785" s="9"/>
      <c r="M785" s="10"/>
      <c r="N785" s="10"/>
      <c r="O785" s="9"/>
      <c r="P785" s="15"/>
      <c r="Q785" s="9"/>
      <c r="R785" s="9"/>
      <c r="S785" s="9"/>
      <c r="T785" s="9"/>
      <c r="U785" s="6"/>
      <c r="V785" s="6"/>
      <c r="W785" s="6"/>
      <c r="X785" s="6"/>
      <c r="Y785" s="6"/>
      <c r="Z785" s="6"/>
      <c r="AA785" s="6"/>
      <c r="AB785" s="6"/>
      <c r="AC785" s="6"/>
      <c r="AD785" s="6"/>
      <c r="AE785" s="6"/>
      <c r="AF785" s="6"/>
      <c r="AG785" s="6"/>
      <c r="AH785" s="6"/>
    </row>
    <row r="786" ht="15.75" customHeight="1">
      <c r="A786" s="6"/>
      <c r="B786" s="6"/>
      <c r="C786" s="6"/>
      <c r="D786" s="6"/>
      <c r="E786" s="6"/>
      <c r="F786" s="6"/>
      <c r="G786" s="9"/>
      <c r="H786" s="9"/>
      <c r="I786" s="9"/>
      <c r="J786" s="9"/>
      <c r="K786" s="6"/>
      <c r="L786" s="9"/>
      <c r="M786" s="10"/>
      <c r="N786" s="10"/>
      <c r="O786" s="9"/>
      <c r="P786" s="15"/>
      <c r="Q786" s="9"/>
      <c r="R786" s="9"/>
      <c r="S786" s="9"/>
      <c r="T786" s="9"/>
      <c r="U786" s="6"/>
      <c r="V786" s="6"/>
      <c r="W786" s="6"/>
      <c r="X786" s="6"/>
      <c r="Y786" s="6"/>
      <c r="Z786" s="6"/>
      <c r="AA786" s="6"/>
      <c r="AB786" s="6"/>
      <c r="AC786" s="6"/>
      <c r="AD786" s="6"/>
      <c r="AE786" s="6"/>
      <c r="AF786" s="6"/>
      <c r="AG786" s="6"/>
      <c r="AH786" s="6"/>
    </row>
    <row r="787" ht="15.75" customHeight="1">
      <c r="A787" s="6"/>
      <c r="B787" s="6"/>
      <c r="C787" s="6"/>
      <c r="D787" s="6"/>
      <c r="E787" s="6"/>
      <c r="F787" s="6"/>
      <c r="G787" s="9"/>
      <c r="H787" s="9"/>
      <c r="I787" s="9"/>
      <c r="J787" s="9"/>
      <c r="K787" s="6"/>
      <c r="L787" s="9"/>
      <c r="M787" s="10"/>
      <c r="N787" s="10"/>
      <c r="O787" s="9"/>
      <c r="P787" s="15"/>
      <c r="Q787" s="9"/>
      <c r="R787" s="9"/>
      <c r="S787" s="9"/>
      <c r="T787" s="9"/>
      <c r="U787" s="6"/>
      <c r="V787" s="6"/>
      <c r="W787" s="6"/>
      <c r="X787" s="6"/>
      <c r="Y787" s="6"/>
      <c r="Z787" s="6"/>
      <c r="AA787" s="6"/>
      <c r="AB787" s="6"/>
      <c r="AC787" s="6"/>
      <c r="AD787" s="6"/>
      <c r="AE787" s="6"/>
      <c r="AF787" s="6"/>
      <c r="AG787" s="6"/>
      <c r="AH787" s="6"/>
    </row>
    <row r="788" ht="15.75" customHeight="1">
      <c r="A788" s="6"/>
      <c r="B788" s="6"/>
      <c r="C788" s="6"/>
      <c r="D788" s="6"/>
      <c r="E788" s="6"/>
      <c r="F788" s="6"/>
      <c r="G788" s="9"/>
      <c r="H788" s="9"/>
      <c r="I788" s="9"/>
      <c r="J788" s="9"/>
      <c r="K788" s="6"/>
      <c r="L788" s="9"/>
      <c r="M788" s="10"/>
      <c r="N788" s="10"/>
      <c r="O788" s="9"/>
      <c r="P788" s="15"/>
      <c r="Q788" s="9"/>
      <c r="R788" s="9"/>
      <c r="S788" s="9"/>
      <c r="T788" s="9"/>
      <c r="U788" s="6"/>
      <c r="V788" s="6"/>
      <c r="W788" s="6"/>
      <c r="X788" s="6"/>
      <c r="Y788" s="6"/>
      <c r="Z788" s="6"/>
      <c r="AA788" s="6"/>
      <c r="AB788" s="6"/>
      <c r="AC788" s="6"/>
      <c r="AD788" s="6"/>
      <c r="AE788" s="6"/>
      <c r="AF788" s="6"/>
      <c r="AG788" s="6"/>
      <c r="AH788" s="6"/>
    </row>
    <row r="789" ht="15.75" customHeight="1">
      <c r="A789" s="6"/>
      <c r="B789" s="6"/>
      <c r="C789" s="6"/>
      <c r="D789" s="6"/>
      <c r="E789" s="6"/>
      <c r="F789" s="6"/>
      <c r="G789" s="9"/>
      <c r="H789" s="9"/>
      <c r="I789" s="9"/>
      <c r="J789" s="9"/>
      <c r="K789" s="6"/>
      <c r="L789" s="9"/>
      <c r="M789" s="10"/>
      <c r="N789" s="10"/>
      <c r="O789" s="9"/>
      <c r="P789" s="15"/>
      <c r="Q789" s="9"/>
      <c r="R789" s="9"/>
      <c r="S789" s="9"/>
      <c r="T789" s="9"/>
      <c r="U789" s="6"/>
      <c r="V789" s="6"/>
      <c r="W789" s="6"/>
      <c r="X789" s="6"/>
      <c r="Y789" s="6"/>
      <c r="Z789" s="6"/>
      <c r="AA789" s="6"/>
      <c r="AB789" s="6"/>
      <c r="AC789" s="6"/>
      <c r="AD789" s="6"/>
      <c r="AE789" s="6"/>
      <c r="AF789" s="6"/>
      <c r="AG789" s="6"/>
      <c r="AH789" s="6"/>
    </row>
    <row r="790" ht="15.75" customHeight="1">
      <c r="A790" s="6"/>
      <c r="B790" s="6"/>
      <c r="C790" s="6"/>
      <c r="D790" s="6"/>
      <c r="E790" s="6"/>
      <c r="F790" s="6"/>
      <c r="G790" s="9"/>
      <c r="H790" s="9"/>
      <c r="I790" s="9"/>
      <c r="J790" s="9"/>
      <c r="K790" s="6"/>
      <c r="L790" s="9"/>
      <c r="M790" s="10"/>
      <c r="N790" s="10"/>
      <c r="O790" s="9"/>
      <c r="P790" s="15"/>
      <c r="Q790" s="9"/>
      <c r="R790" s="9"/>
      <c r="S790" s="9"/>
      <c r="T790" s="9"/>
      <c r="U790" s="6"/>
      <c r="V790" s="6"/>
      <c r="W790" s="6"/>
      <c r="X790" s="6"/>
      <c r="Y790" s="6"/>
      <c r="Z790" s="6"/>
      <c r="AA790" s="6"/>
      <c r="AB790" s="6"/>
      <c r="AC790" s="6"/>
      <c r="AD790" s="6"/>
      <c r="AE790" s="6"/>
      <c r="AF790" s="6"/>
      <c r="AG790" s="6"/>
      <c r="AH790" s="6"/>
    </row>
    <row r="791" ht="15.75" customHeight="1">
      <c r="A791" s="6"/>
      <c r="B791" s="6"/>
      <c r="C791" s="6"/>
      <c r="D791" s="6"/>
      <c r="E791" s="6"/>
      <c r="F791" s="6"/>
      <c r="G791" s="9"/>
      <c r="H791" s="9"/>
      <c r="I791" s="9"/>
      <c r="J791" s="9"/>
      <c r="K791" s="6"/>
      <c r="L791" s="9"/>
      <c r="M791" s="10"/>
      <c r="N791" s="10"/>
      <c r="O791" s="9"/>
      <c r="P791" s="15"/>
      <c r="Q791" s="9"/>
      <c r="R791" s="9"/>
      <c r="S791" s="9"/>
      <c r="T791" s="9"/>
      <c r="U791" s="6"/>
      <c r="V791" s="6"/>
      <c r="W791" s="6"/>
      <c r="X791" s="6"/>
      <c r="Y791" s="6"/>
      <c r="Z791" s="6"/>
      <c r="AA791" s="6"/>
      <c r="AB791" s="6"/>
      <c r="AC791" s="6"/>
      <c r="AD791" s="6"/>
      <c r="AE791" s="6"/>
      <c r="AF791" s="6"/>
      <c r="AG791" s="6"/>
      <c r="AH791" s="6"/>
    </row>
    <row r="792" ht="15.75" customHeight="1">
      <c r="A792" s="6"/>
      <c r="B792" s="6"/>
      <c r="C792" s="6"/>
      <c r="D792" s="6"/>
      <c r="E792" s="6"/>
      <c r="F792" s="6"/>
      <c r="G792" s="9"/>
      <c r="H792" s="9"/>
      <c r="I792" s="9"/>
      <c r="J792" s="9"/>
      <c r="K792" s="6"/>
      <c r="L792" s="9"/>
      <c r="M792" s="10"/>
      <c r="N792" s="10"/>
      <c r="O792" s="9"/>
      <c r="P792" s="15"/>
      <c r="Q792" s="9"/>
      <c r="R792" s="9"/>
      <c r="S792" s="9"/>
      <c r="T792" s="9"/>
      <c r="U792" s="6"/>
      <c r="V792" s="6"/>
      <c r="W792" s="6"/>
      <c r="X792" s="6"/>
      <c r="Y792" s="6"/>
      <c r="Z792" s="6"/>
      <c r="AA792" s="6"/>
      <c r="AB792" s="6"/>
      <c r="AC792" s="6"/>
      <c r="AD792" s="6"/>
      <c r="AE792" s="6"/>
      <c r="AF792" s="6"/>
      <c r="AG792" s="6"/>
      <c r="AH792" s="6"/>
    </row>
    <row r="793" ht="15.75" customHeight="1">
      <c r="A793" s="6"/>
      <c r="B793" s="6"/>
      <c r="C793" s="6"/>
      <c r="D793" s="6"/>
      <c r="E793" s="6"/>
      <c r="F793" s="6"/>
      <c r="G793" s="9"/>
      <c r="H793" s="9"/>
      <c r="I793" s="9"/>
      <c r="J793" s="9"/>
      <c r="K793" s="6"/>
      <c r="L793" s="9"/>
      <c r="M793" s="10"/>
      <c r="N793" s="10"/>
      <c r="O793" s="9"/>
      <c r="P793" s="15"/>
      <c r="Q793" s="9"/>
      <c r="R793" s="9"/>
      <c r="S793" s="9"/>
      <c r="T793" s="9"/>
      <c r="U793" s="6"/>
      <c r="V793" s="6"/>
      <c r="W793" s="6"/>
      <c r="X793" s="6"/>
      <c r="Y793" s="6"/>
      <c r="Z793" s="6"/>
      <c r="AA793" s="6"/>
      <c r="AB793" s="6"/>
      <c r="AC793" s="6"/>
      <c r="AD793" s="6"/>
      <c r="AE793" s="6"/>
      <c r="AF793" s="6"/>
      <c r="AG793" s="6"/>
      <c r="AH793" s="6"/>
    </row>
    <row r="794" ht="15.75" customHeight="1">
      <c r="A794" s="6"/>
      <c r="B794" s="6"/>
      <c r="C794" s="6"/>
      <c r="D794" s="6"/>
      <c r="E794" s="6"/>
      <c r="F794" s="6"/>
      <c r="G794" s="9"/>
      <c r="H794" s="9"/>
      <c r="I794" s="9"/>
      <c r="J794" s="9"/>
      <c r="K794" s="6"/>
      <c r="L794" s="9"/>
      <c r="M794" s="10"/>
      <c r="N794" s="10"/>
      <c r="O794" s="9"/>
      <c r="P794" s="15"/>
      <c r="Q794" s="9"/>
      <c r="R794" s="9"/>
      <c r="S794" s="9"/>
      <c r="T794" s="9"/>
      <c r="U794" s="6"/>
      <c r="V794" s="6"/>
      <c r="W794" s="6"/>
      <c r="X794" s="6"/>
      <c r="Y794" s="6"/>
      <c r="Z794" s="6"/>
      <c r="AA794" s="6"/>
      <c r="AB794" s="6"/>
      <c r="AC794" s="6"/>
      <c r="AD794" s="6"/>
      <c r="AE794" s="6"/>
      <c r="AF794" s="6"/>
      <c r="AG794" s="6"/>
      <c r="AH794" s="6"/>
    </row>
    <row r="795" ht="15.75" customHeight="1">
      <c r="A795" s="6"/>
      <c r="B795" s="6"/>
      <c r="C795" s="6"/>
      <c r="D795" s="6"/>
      <c r="E795" s="6"/>
      <c r="F795" s="6"/>
      <c r="G795" s="9"/>
      <c r="H795" s="9"/>
      <c r="I795" s="9"/>
      <c r="J795" s="9"/>
      <c r="K795" s="6"/>
      <c r="L795" s="9"/>
      <c r="M795" s="10"/>
      <c r="N795" s="10"/>
      <c r="O795" s="9"/>
      <c r="P795" s="15"/>
      <c r="Q795" s="9"/>
      <c r="R795" s="9"/>
      <c r="S795" s="9"/>
      <c r="T795" s="9"/>
      <c r="U795" s="6"/>
      <c r="V795" s="6"/>
      <c r="W795" s="6"/>
      <c r="X795" s="6"/>
      <c r="Y795" s="6"/>
      <c r="Z795" s="6"/>
      <c r="AA795" s="6"/>
      <c r="AB795" s="6"/>
      <c r="AC795" s="6"/>
      <c r="AD795" s="6"/>
      <c r="AE795" s="6"/>
      <c r="AF795" s="6"/>
      <c r="AG795" s="6"/>
      <c r="AH795" s="6"/>
    </row>
    <row r="796" ht="15.75" customHeight="1">
      <c r="A796" s="6"/>
      <c r="B796" s="6"/>
      <c r="C796" s="6"/>
      <c r="D796" s="6"/>
      <c r="E796" s="6"/>
      <c r="F796" s="6"/>
      <c r="G796" s="9"/>
      <c r="H796" s="9"/>
      <c r="I796" s="9"/>
      <c r="J796" s="9"/>
      <c r="K796" s="6"/>
      <c r="L796" s="9"/>
      <c r="M796" s="10"/>
      <c r="N796" s="10"/>
      <c r="O796" s="9"/>
      <c r="P796" s="15"/>
      <c r="Q796" s="9"/>
      <c r="R796" s="9"/>
      <c r="S796" s="9"/>
      <c r="T796" s="9"/>
      <c r="U796" s="6"/>
      <c r="V796" s="6"/>
      <c r="W796" s="6"/>
      <c r="X796" s="6"/>
      <c r="Y796" s="6"/>
      <c r="Z796" s="6"/>
      <c r="AA796" s="6"/>
      <c r="AB796" s="6"/>
      <c r="AC796" s="6"/>
      <c r="AD796" s="6"/>
      <c r="AE796" s="6"/>
      <c r="AF796" s="6"/>
      <c r="AG796" s="6"/>
      <c r="AH796" s="6"/>
    </row>
    <row r="797" ht="15.75" customHeight="1">
      <c r="A797" s="6"/>
      <c r="B797" s="6"/>
      <c r="C797" s="6"/>
      <c r="D797" s="6"/>
      <c r="E797" s="6"/>
      <c r="F797" s="6"/>
      <c r="G797" s="9"/>
      <c r="H797" s="9"/>
      <c r="I797" s="9"/>
      <c r="J797" s="9"/>
      <c r="K797" s="6"/>
      <c r="L797" s="9"/>
      <c r="M797" s="10"/>
      <c r="N797" s="10"/>
      <c r="O797" s="9"/>
      <c r="P797" s="15"/>
      <c r="Q797" s="9"/>
      <c r="R797" s="9"/>
      <c r="S797" s="9"/>
      <c r="T797" s="9"/>
      <c r="U797" s="6"/>
      <c r="V797" s="6"/>
      <c r="W797" s="6"/>
      <c r="X797" s="6"/>
      <c r="Y797" s="6"/>
      <c r="Z797" s="6"/>
      <c r="AA797" s="6"/>
      <c r="AB797" s="6"/>
      <c r="AC797" s="6"/>
      <c r="AD797" s="6"/>
      <c r="AE797" s="6"/>
      <c r="AF797" s="6"/>
      <c r="AG797" s="6"/>
      <c r="AH797" s="6"/>
    </row>
    <row r="798" ht="15.75" customHeight="1">
      <c r="A798" s="6"/>
      <c r="B798" s="6"/>
      <c r="C798" s="6"/>
      <c r="D798" s="6"/>
      <c r="E798" s="6"/>
      <c r="F798" s="6"/>
      <c r="G798" s="9"/>
      <c r="H798" s="9"/>
      <c r="I798" s="9"/>
      <c r="J798" s="9"/>
      <c r="K798" s="6"/>
      <c r="L798" s="9"/>
      <c r="M798" s="10"/>
      <c r="N798" s="10"/>
      <c r="O798" s="9"/>
      <c r="P798" s="15"/>
      <c r="Q798" s="9"/>
      <c r="R798" s="9"/>
      <c r="S798" s="9"/>
      <c r="T798" s="9"/>
      <c r="U798" s="6"/>
      <c r="V798" s="6"/>
      <c r="W798" s="6"/>
      <c r="X798" s="6"/>
      <c r="Y798" s="6"/>
      <c r="Z798" s="6"/>
      <c r="AA798" s="6"/>
      <c r="AB798" s="6"/>
      <c r="AC798" s="6"/>
      <c r="AD798" s="6"/>
      <c r="AE798" s="6"/>
      <c r="AF798" s="6"/>
      <c r="AG798" s="6"/>
      <c r="AH798" s="6"/>
    </row>
    <row r="799" ht="15.75" customHeight="1">
      <c r="A799" s="6"/>
      <c r="B799" s="6"/>
      <c r="C799" s="6"/>
      <c r="D799" s="6"/>
      <c r="E799" s="6"/>
      <c r="F799" s="6"/>
      <c r="G799" s="9"/>
      <c r="H799" s="9"/>
      <c r="I799" s="9"/>
      <c r="J799" s="9"/>
      <c r="K799" s="6"/>
      <c r="L799" s="9"/>
      <c r="M799" s="10"/>
      <c r="N799" s="10"/>
      <c r="O799" s="9"/>
      <c r="P799" s="15"/>
      <c r="Q799" s="9"/>
      <c r="R799" s="9"/>
      <c r="S799" s="9"/>
      <c r="T799" s="9"/>
      <c r="U799" s="6"/>
      <c r="V799" s="6"/>
      <c r="W799" s="6"/>
      <c r="X799" s="6"/>
      <c r="Y799" s="6"/>
      <c r="Z799" s="6"/>
      <c r="AA799" s="6"/>
      <c r="AB799" s="6"/>
      <c r="AC799" s="6"/>
      <c r="AD799" s="6"/>
      <c r="AE799" s="6"/>
      <c r="AF799" s="6"/>
      <c r="AG799" s="6"/>
      <c r="AH799" s="6"/>
    </row>
    <row r="800" ht="15.75" customHeight="1">
      <c r="A800" s="6"/>
      <c r="B800" s="6"/>
      <c r="C800" s="6"/>
      <c r="D800" s="6"/>
      <c r="E800" s="6"/>
      <c r="F800" s="6"/>
      <c r="G800" s="9"/>
      <c r="H800" s="9"/>
      <c r="I800" s="9"/>
      <c r="J800" s="9"/>
      <c r="K800" s="6"/>
      <c r="L800" s="9"/>
      <c r="M800" s="10"/>
      <c r="N800" s="10"/>
      <c r="O800" s="9"/>
      <c r="P800" s="15"/>
      <c r="Q800" s="9"/>
      <c r="R800" s="9"/>
      <c r="S800" s="9"/>
      <c r="T800" s="9"/>
      <c r="U800" s="6"/>
      <c r="V800" s="6"/>
      <c r="W800" s="6"/>
      <c r="X800" s="6"/>
      <c r="Y800" s="6"/>
      <c r="Z800" s="6"/>
      <c r="AA800" s="6"/>
      <c r="AB800" s="6"/>
      <c r="AC800" s="6"/>
      <c r="AD800" s="6"/>
      <c r="AE800" s="6"/>
      <c r="AF800" s="6"/>
      <c r="AG800" s="6"/>
      <c r="AH800" s="6"/>
    </row>
    <row r="801" ht="15.75" customHeight="1">
      <c r="A801" s="6"/>
      <c r="B801" s="6"/>
      <c r="C801" s="6"/>
      <c r="D801" s="6"/>
      <c r="E801" s="6"/>
      <c r="F801" s="6"/>
      <c r="G801" s="9"/>
      <c r="H801" s="9"/>
      <c r="I801" s="9"/>
      <c r="J801" s="9"/>
      <c r="K801" s="6"/>
      <c r="L801" s="9"/>
      <c r="M801" s="10"/>
      <c r="N801" s="10"/>
      <c r="O801" s="9"/>
      <c r="P801" s="15"/>
      <c r="Q801" s="9"/>
      <c r="R801" s="9"/>
      <c r="S801" s="9"/>
      <c r="T801" s="9"/>
      <c r="U801" s="6"/>
      <c r="V801" s="6"/>
      <c r="W801" s="6"/>
      <c r="X801" s="6"/>
      <c r="Y801" s="6"/>
      <c r="Z801" s="6"/>
      <c r="AA801" s="6"/>
      <c r="AB801" s="6"/>
      <c r="AC801" s="6"/>
      <c r="AD801" s="6"/>
      <c r="AE801" s="6"/>
      <c r="AF801" s="6"/>
      <c r="AG801" s="6"/>
      <c r="AH801" s="6"/>
    </row>
    <row r="802" ht="15.75" customHeight="1">
      <c r="A802" s="6"/>
      <c r="B802" s="6"/>
      <c r="C802" s="6"/>
      <c r="D802" s="6"/>
      <c r="E802" s="6"/>
      <c r="F802" s="6"/>
      <c r="G802" s="9"/>
      <c r="H802" s="9"/>
      <c r="I802" s="9"/>
      <c r="J802" s="9"/>
      <c r="K802" s="6"/>
      <c r="L802" s="9"/>
      <c r="M802" s="10"/>
      <c r="N802" s="10"/>
      <c r="O802" s="9"/>
      <c r="P802" s="15"/>
      <c r="Q802" s="9"/>
      <c r="R802" s="9"/>
      <c r="S802" s="9"/>
      <c r="T802" s="9"/>
      <c r="U802" s="6"/>
      <c r="V802" s="6"/>
      <c r="W802" s="6"/>
      <c r="X802" s="6"/>
      <c r="Y802" s="6"/>
      <c r="Z802" s="6"/>
      <c r="AA802" s="6"/>
      <c r="AB802" s="6"/>
      <c r="AC802" s="6"/>
      <c r="AD802" s="6"/>
      <c r="AE802" s="6"/>
      <c r="AF802" s="6"/>
      <c r="AG802" s="6"/>
      <c r="AH802" s="6"/>
    </row>
    <row r="803" ht="15.75" customHeight="1">
      <c r="A803" s="6"/>
      <c r="B803" s="6"/>
      <c r="C803" s="6"/>
      <c r="D803" s="6"/>
      <c r="E803" s="6"/>
      <c r="F803" s="6"/>
      <c r="G803" s="9"/>
      <c r="H803" s="9"/>
      <c r="I803" s="9"/>
      <c r="J803" s="9"/>
      <c r="K803" s="6"/>
      <c r="L803" s="9"/>
      <c r="M803" s="10"/>
      <c r="N803" s="10"/>
      <c r="O803" s="9"/>
      <c r="P803" s="15"/>
      <c r="Q803" s="9"/>
      <c r="R803" s="9"/>
      <c r="S803" s="9"/>
      <c r="T803" s="9"/>
      <c r="U803" s="6"/>
      <c r="V803" s="6"/>
      <c r="W803" s="6"/>
      <c r="X803" s="6"/>
      <c r="Y803" s="6"/>
      <c r="Z803" s="6"/>
      <c r="AA803" s="6"/>
      <c r="AB803" s="6"/>
      <c r="AC803" s="6"/>
      <c r="AD803" s="6"/>
      <c r="AE803" s="6"/>
      <c r="AF803" s="6"/>
      <c r="AG803" s="6"/>
      <c r="AH803" s="6"/>
    </row>
    <row r="804" ht="15.75" customHeight="1">
      <c r="A804" s="6"/>
      <c r="B804" s="6"/>
      <c r="C804" s="6"/>
      <c r="D804" s="6"/>
      <c r="E804" s="6"/>
      <c r="F804" s="6"/>
      <c r="G804" s="9"/>
      <c r="H804" s="9"/>
      <c r="I804" s="9"/>
      <c r="J804" s="9"/>
      <c r="K804" s="6"/>
      <c r="L804" s="9"/>
      <c r="M804" s="10"/>
      <c r="N804" s="10"/>
      <c r="O804" s="9"/>
      <c r="P804" s="15"/>
      <c r="Q804" s="9"/>
      <c r="R804" s="9"/>
      <c r="S804" s="9"/>
      <c r="T804" s="9"/>
      <c r="U804" s="6"/>
      <c r="V804" s="6"/>
      <c r="W804" s="6"/>
      <c r="X804" s="6"/>
      <c r="Y804" s="6"/>
      <c r="Z804" s="6"/>
      <c r="AA804" s="6"/>
      <c r="AB804" s="6"/>
      <c r="AC804" s="6"/>
      <c r="AD804" s="6"/>
      <c r="AE804" s="6"/>
      <c r="AF804" s="6"/>
      <c r="AG804" s="6"/>
      <c r="AH804" s="6"/>
    </row>
    <row r="805" ht="15.75" customHeight="1">
      <c r="A805" s="6"/>
      <c r="B805" s="6"/>
      <c r="C805" s="6"/>
      <c r="D805" s="6"/>
      <c r="E805" s="6"/>
      <c r="F805" s="6"/>
      <c r="G805" s="9"/>
      <c r="H805" s="9"/>
      <c r="I805" s="9"/>
      <c r="J805" s="9"/>
      <c r="K805" s="6"/>
      <c r="L805" s="9"/>
      <c r="M805" s="10"/>
      <c r="N805" s="10"/>
      <c r="O805" s="9"/>
      <c r="P805" s="15"/>
      <c r="Q805" s="9"/>
      <c r="R805" s="9"/>
      <c r="S805" s="9"/>
      <c r="T805" s="9"/>
      <c r="U805" s="6"/>
      <c r="V805" s="6"/>
      <c r="W805" s="6"/>
      <c r="X805" s="6"/>
      <c r="Y805" s="6"/>
      <c r="Z805" s="6"/>
      <c r="AA805" s="6"/>
      <c r="AB805" s="6"/>
      <c r="AC805" s="6"/>
      <c r="AD805" s="6"/>
      <c r="AE805" s="6"/>
      <c r="AF805" s="6"/>
      <c r="AG805" s="6"/>
      <c r="AH805" s="6"/>
    </row>
    <row r="806" ht="15.75" customHeight="1">
      <c r="A806" s="6"/>
      <c r="B806" s="6"/>
      <c r="C806" s="6"/>
      <c r="D806" s="6"/>
      <c r="E806" s="6"/>
      <c r="F806" s="6"/>
      <c r="G806" s="9"/>
      <c r="H806" s="9"/>
      <c r="I806" s="9"/>
      <c r="J806" s="9"/>
      <c r="K806" s="6"/>
      <c r="L806" s="9"/>
      <c r="M806" s="10"/>
      <c r="N806" s="10"/>
      <c r="O806" s="9"/>
      <c r="P806" s="15"/>
      <c r="Q806" s="9"/>
      <c r="R806" s="9"/>
      <c r="S806" s="9"/>
      <c r="T806" s="9"/>
      <c r="U806" s="6"/>
      <c r="V806" s="6"/>
      <c r="W806" s="6"/>
      <c r="X806" s="6"/>
      <c r="Y806" s="6"/>
      <c r="Z806" s="6"/>
      <c r="AA806" s="6"/>
      <c r="AB806" s="6"/>
      <c r="AC806" s="6"/>
      <c r="AD806" s="6"/>
      <c r="AE806" s="6"/>
      <c r="AF806" s="6"/>
      <c r="AG806" s="6"/>
      <c r="AH806" s="6"/>
    </row>
    <row r="807" ht="15.75" customHeight="1">
      <c r="A807" s="6"/>
      <c r="B807" s="6"/>
      <c r="C807" s="6"/>
      <c r="D807" s="6"/>
      <c r="E807" s="6"/>
      <c r="F807" s="6"/>
      <c r="G807" s="9"/>
      <c r="H807" s="9"/>
      <c r="I807" s="9"/>
      <c r="J807" s="9"/>
      <c r="K807" s="6"/>
      <c r="L807" s="9"/>
      <c r="M807" s="10"/>
      <c r="N807" s="10"/>
      <c r="O807" s="9"/>
      <c r="P807" s="15"/>
      <c r="Q807" s="9"/>
      <c r="R807" s="9"/>
      <c r="S807" s="9"/>
      <c r="T807" s="9"/>
      <c r="U807" s="6"/>
      <c r="V807" s="6"/>
      <c r="W807" s="6"/>
      <c r="X807" s="6"/>
      <c r="Y807" s="6"/>
      <c r="Z807" s="6"/>
      <c r="AA807" s="6"/>
      <c r="AB807" s="6"/>
      <c r="AC807" s="6"/>
      <c r="AD807" s="6"/>
      <c r="AE807" s="6"/>
      <c r="AF807" s="6"/>
      <c r="AG807" s="6"/>
      <c r="AH807" s="6"/>
    </row>
    <row r="808" ht="15.75" customHeight="1">
      <c r="A808" s="6"/>
      <c r="B808" s="6"/>
      <c r="C808" s="6"/>
      <c r="D808" s="6"/>
      <c r="E808" s="6"/>
      <c r="F808" s="6"/>
      <c r="G808" s="9"/>
      <c r="H808" s="9"/>
      <c r="I808" s="9"/>
      <c r="J808" s="9"/>
      <c r="K808" s="6"/>
      <c r="L808" s="9"/>
      <c r="M808" s="10"/>
      <c r="N808" s="10"/>
      <c r="O808" s="9"/>
      <c r="P808" s="15"/>
      <c r="Q808" s="9"/>
      <c r="R808" s="9"/>
      <c r="S808" s="9"/>
      <c r="T808" s="9"/>
      <c r="U808" s="6"/>
      <c r="V808" s="6"/>
      <c r="W808" s="6"/>
      <c r="X808" s="6"/>
      <c r="Y808" s="6"/>
      <c r="Z808" s="6"/>
      <c r="AA808" s="6"/>
      <c r="AB808" s="6"/>
      <c r="AC808" s="6"/>
      <c r="AD808" s="6"/>
      <c r="AE808" s="6"/>
      <c r="AF808" s="6"/>
      <c r="AG808" s="6"/>
      <c r="AH808" s="6"/>
    </row>
    <row r="809" ht="15.75" customHeight="1">
      <c r="A809" s="6"/>
      <c r="B809" s="6"/>
      <c r="C809" s="6"/>
      <c r="D809" s="6"/>
      <c r="E809" s="6"/>
      <c r="F809" s="6"/>
      <c r="G809" s="9"/>
      <c r="H809" s="9"/>
      <c r="I809" s="9"/>
      <c r="J809" s="9"/>
      <c r="K809" s="6"/>
      <c r="L809" s="9"/>
      <c r="M809" s="10"/>
      <c r="N809" s="10"/>
      <c r="O809" s="9"/>
      <c r="P809" s="15"/>
      <c r="Q809" s="9"/>
      <c r="R809" s="9"/>
      <c r="S809" s="9"/>
      <c r="T809" s="9"/>
      <c r="U809" s="6"/>
      <c r="V809" s="6"/>
      <c r="W809" s="6"/>
      <c r="X809" s="6"/>
      <c r="Y809" s="6"/>
      <c r="Z809" s="6"/>
      <c r="AA809" s="6"/>
      <c r="AB809" s="6"/>
      <c r="AC809" s="6"/>
      <c r="AD809" s="6"/>
      <c r="AE809" s="6"/>
      <c r="AF809" s="6"/>
      <c r="AG809" s="6"/>
      <c r="AH809" s="6"/>
    </row>
    <row r="810" ht="15.75" customHeight="1">
      <c r="A810" s="6"/>
      <c r="B810" s="6"/>
      <c r="C810" s="6"/>
      <c r="D810" s="6"/>
      <c r="E810" s="6"/>
      <c r="F810" s="6"/>
      <c r="G810" s="9"/>
      <c r="H810" s="9"/>
      <c r="I810" s="9"/>
      <c r="J810" s="9"/>
      <c r="K810" s="6"/>
      <c r="L810" s="9"/>
      <c r="M810" s="10"/>
      <c r="N810" s="10"/>
      <c r="O810" s="9"/>
      <c r="P810" s="15"/>
      <c r="Q810" s="9"/>
      <c r="R810" s="9"/>
      <c r="S810" s="9"/>
      <c r="T810" s="9"/>
      <c r="U810" s="6"/>
      <c r="V810" s="6"/>
      <c r="W810" s="6"/>
      <c r="X810" s="6"/>
      <c r="Y810" s="6"/>
      <c r="Z810" s="6"/>
      <c r="AA810" s="6"/>
      <c r="AB810" s="6"/>
      <c r="AC810" s="6"/>
      <c r="AD810" s="6"/>
      <c r="AE810" s="6"/>
      <c r="AF810" s="6"/>
      <c r="AG810" s="6"/>
      <c r="AH810" s="6"/>
    </row>
    <row r="811" ht="15.75" customHeight="1">
      <c r="A811" s="6"/>
      <c r="B811" s="6"/>
      <c r="C811" s="6"/>
      <c r="D811" s="6"/>
      <c r="E811" s="6"/>
      <c r="F811" s="6"/>
      <c r="G811" s="9"/>
      <c r="H811" s="9"/>
      <c r="I811" s="9"/>
      <c r="J811" s="9"/>
      <c r="K811" s="6"/>
      <c r="L811" s="9"/>
      <c r="M811" s="10"/>
      <c r="N811" s="10"/>
      <c r="O811" s="9"/>
      <c r="P811" s="15"/>
      <c r="Q811" s="9"/>
      <c r="R811" s="9"/>
      <c r="S811" s="9"/>
      <c r="T811" s="9"/>
      <c r="U811" s="6"/>
      <c r="V811" s="6"/>
      <c r="W811" s="6"/>
      <c r="X811" s="6"/>
      <c r="Y811" s="6"/>
      <c r="Z811" s="6"/>
      <c r="AA811" s="6"/>
      <c r="AB811" s="6"/>
      <c r="AC811" s="6"/>
      <c r="AD811" s="6"/>
      <c r="AE811" s="6"/>
      <c r="AF811" s="6"/>
      <c r="AG811" s="6"/>
      <c r="AH811" s="6"/>
    </row>
    <row r="812" ht="15.75" customHeight="1">
      <c r="A812" s="6"/>
      <c r="B812" s="6"/>
      <c r="C812" s="6"/>
      <c r="D812" s="6"/>
      <c r="E812" s="6"/>
      <c r="F812" s="6"/>
      <c r="G812" s="9"/>
      <c r="H812" s="9"/>
      <c r="I812" s="9"/>
      <c r="J812" s="9"/>
      <c r="K812" s="6"/>
      <c r="L812" s="9"/>
      <c r="M812" s="10"/>
      <c r="N812" s="10"/>
      <c r="O812" s="9"/>
      <c r="P812" s="15"/>
      <c r="Q812" s="9"/>
      <c r="R812" s="9"/>
      <c r="S812" s="9"/>
      <c r="T812" s="9"/>
      <c r="U812" s="6"/>
      <c r="V812" s="6"/>
      <c r="W812" s="6"/>
      <c r="X812" s="6"/>
      <c r="Y812" s="6"/>
      <c r="Z812" s="6"/>
      <c r="AA812" s="6"/>
      <c r="AB812" s="6"/>
      <c r="AC812" s="6"/>
      <c r="AD812" s="6"/>
      <c r="AE812" s="6"/>
      <c r="AF812" s="6"/>
      <c r="AG812" s="6"/>
      <c r="AH812" s="6"/>
    </row>
    <row r="813" ht="15.75" customHeight="1">
      <c r="A813" s="6"/>
      <c r="B813" s="6"/>
      <c r="C813" s="6"/>
      <c r="D813" s="6"/>
      <c r="E813" s="6"/>
      <c r="F813" s="6"/>
      <c r="G813" s="9"/>
      <c r="H813" s="9"/>
      <c r="I813" s="9"/>
      <c r="J813" s="9"/>
      <c r="K813" s="6"/>
      <c r="L813" s="9"/>
      <c r="M813" s="10"/>
      <c r="N813" s="10"/>
      <c r="O813" s="9"/>
      <c r="P813" s="15"/>
      <c r="Q813" s="9"/>
      <c r="R813" s="9"/>
      <c r="S813" s="9"/>
      <c r="T813" s="9"/>
      <c r="U813" s="6"/>
      <c r="V813" s="6"/>
      <c r="W813" s="6"/>
      <c r="X813" s="6"/>
      <c r="Y813" s="6"/>
      <c r="Z813" s="6"/>
      <c r="AA813" s="6"/>
      <c r="AB813" s="6"/>
      <c r="AC813" s="6"/>
      <c r="AD813" s="6"/>
      <c r="AE813" s="6"/>
      <c r="AF813" s="6"/>
      <c r="AG813" s="6"/>
      <c r="AH813" s="6"/>
    </row>
    <row r="814" ht="15.75" customHeight="1">
      <c r="A814" s="6"/>
      <c r="B814" s="6"/>
      <c r="C814" s="6"/>
      <c r="D814" s="6"/>
      <c r="E814" s="6"/>
      <c r="F814" s="6"/>
      <c r="G814" s="9"/>
      <c r="H814" s="9"/>
      <c r="I814" s="9"/>
      <c r="J814" s="9"/>
      <c r="K814" s="6"/>
      <c r="L814" s="9"/>
      <c r="M814" s="10"/>
      <c r="N814" s="10"/>
      <c r="O814" s="9"/>
      <c r="P814" s="15"/>
      <c r="Q814" s="9"/>
      <c r="R814" s="9"/>
      <c r="S814" s="9"/>
      <c r="T814" s="9"/>
      <c r="U814" s="6"/>
      <c r="V814" s="6"/>
      <c r="W814" s="6"/>
      <c r="X814" s="6"/>
      <c r="Y814" s="6"/>
      <c r="Z814" s="6"/>
      <c r="AA814" s="6"/>
      <c r="AB814" s="6"/>
      <c r="AC814" s="6"/>
      <c r="AD814" s="6"/>
      <c r="AE814" s="6"/>
      <c r="AF814" s="6"/>
      <c r="AG814" s="6"/>
      <c r="AH814" s="6"/>
    </row>
    <row r="815" ht="15.75" customHeight="1">
      <c r="A815" s="6"/>
      <c r="B815" s="6"/>
      <c r="C815" s="6"/>
      <c r="D815" s="6"/>
      <c r="E815" s="6"/>
      <c r="F815" s="6"/>
      <c r="G815" s="9"/>
      <c r="H815" s="9"/>
      <c r="I815" s="9"/>
      <c r="J815" s="9"/>
      <c r="K815" s="6"/>
      <c r="L815" s="9"/>
      <c r="M815" s="10"/>
      <c r="N815" s="10"/>
      <c r="O815" s="9"/>
      <c r="P815" s="15"/>
      <c r="Q815" s="9"/>
      <c r="R815" s="9"/>
      <c r="S815" s="9"/>
      <c r="T815" s="9"/>
      <c r="U815" s="6"/>
      <c r="V815" s="6"/>
      <c r="W815" s="6"/>
      <c r="X815" s="6"/>
      <c r="Y815" s="6"/>
      <c r="Z815" s="6"/>
      <c r="AA815" s="6"/>
      <c r="AB815" s="6"/>
      <c r="AC815" s="6"/>
      <c r="AD815" s="6"/>
      <c r="AE815" s="6"/>
      <c r="AF815" s="6"/>
      <c r="AG815" s="6"/>
      <c r="AH815" s="6"/>
    </row>
    <row r="816" ht="15.75" customHeight="1">
      <c r="A816" s="6"/>
      <c r="B816" s="6"/>
      <c r="C816" s="6"/>
      <c r="D816" s="6"/>
      <c r="E816" s="6"/>
      <c r="F816" s="6"/>
      <c r="G816" s="9"/>
      <c r="H816" s="9"/>
      <c r="I816" s="9"/>
      <c r="J816" s="9"/>
      <c r="K816" s="6"/>
      <c r="L816" s="9"/>
      <c r="M816" s="10"/>
      <c r="N816" s="10"/>
      <c r="O816" s="9"/>
      <c r="P816" s="15"/>
      <c r="Q816" s="9"/>
      <c r="R816" s="9"/>
      <c r="S816" s="9"/>
      <c r="T816" s="9"/>
      <c r="U816" s="6"/>
      <c r="V816" s="6"/>
      <c r="W816" s="6"/>
      <c r="X816" s="6"/>
      <c r="Y816" s="6"/>
      <c r="Z816" s="6"/>
      <c r="AA816" s="6"/>
      <c r="AB816" s="6"/>
      <c r="AC816" s="6"/>
      <c r="AD816" s="6"/>
      <c r="AE816" s="6"/>
      <c r="AF816" s="6"/>
      <c r="AG816" s="6"/>
      <c r="AH816" s="6"/>
    </row>
    <row r="817" ht="15.75" customHeight="1">
      <c r="A817" s="6"/>
      <c r="B817" s="6"/>
      <c r="C817" s="6"/>
      <c r="D817" s="6"/>
      <c r="E817" s="6"/>
      <c r="F817" s="6"/>
      <c r="G817" s="9"/>
      <c r="H817" s="9"/>
      <c r="I817" s="9"/>
      <c r="J817" s="9"/>
      <c r="K817" s="6"/>
      <c r="L817" s="9"/>
      <c r="M817" s="10"/>
      <c r="N817" s="10"/>
      <c r="O817" s="9"/>
      <c r="P817" s="15"/>
      <c r="Q817" s="9"/>
      <c r="R817" s="9"/>
      <c r="S817" s="9"/>
      <c r="T817" s="9"/>
      <c r="U817" s="6"/>
      <c r="V817" s="6"/>
      <c r="W817" s="6"/>
      <c r="X817" s="6"/>
      <c r="Y817" s="6"/>
      <c r="Z817" s="6"/>
      <c r="AA817" s="6"/>
      <c r="AB817" s="6"/>
      <c r="AC817" s="6"/>
      <c r="AD817" s="6"/>
      <c r="AE817" s="6"/>
      <c r="AF817" s="6"/>
      <c r="AG817" s="6"/>
      <c r="AH817" s="6"/>
    </row>
    <row r="818" ht="15.75" customHeight="1">
      <c r="A818" s="6"/>
      <c r="B818" s="6"/>
      <c r="C818" s="6"/>
      <c r="D818" s="6"/>
      <c r="E818" s="6"/>
      <c r="F818" s="6"/>
      <c r="G818" s="9"/>
      <c r="H818" s="9"/>
      <c r="I818" s="9"/>
      <c r="J818" s="9"/>
      <c r="K818" s="6"/>
      <c r="L818" s="9"/>
      <c r="M818" s="10"/>
      <c r="N818" s="10"/>
      <c r="O818" s="9"/>
      <c r="P818" s="15"/>
      <c r="Q818" s="9"/>
      <c r="R818" s="9"/>
      <c r="S818" s="9"/>
      <c r="T818" s="9"/>
      <c r="U818" s="6"/>
      <c r="V818" s="6"/>
      <c r="W818" s="6"/>
      <c r="X818" s="6"/>
      <c r="Y818" s="6"/>
      <c r="Z818" s="6"/>
      <c r="AA818" s="6"/>
      <c r="AB818" s="6"/>
      <c r="AC818" s="6"/>
      <c r="AD818" s="6"/>
      <c r="AE818" s="6"/>
      <c r="AF818" s="6"/>
      <c r="AG818" s="6"/>
      <c r="AH818" s="6"/>
    </row>
    <row r="819" ht="15.75" customHeight="1">
      <c r="A819" s="6"/>
      <c r="B819" s="6"/>
      <c r="C819" s="6"/>
      <c r="D819" s="6"/>
      <c r="E819" s="6"/>
      <c r="F819" s="6"/>
      <c r="G819" s="9"/>
      <c r="H819" s="9"/>
      <c r="I819" s="9"/>
      <c r="J819" s="9"/>
      <c r="K819" s="6"/>
      <c r="L819" s="9"/>
      <c r="M819" s="10"/>
      <c r="N819" s="10"/>
      <c r="O819" s="9"/>
      <c r="P819" s="15"/>
      <c r="Q819" s="9"/>
      <c r="R819" s="9"/>
      <c r="S819" s="9"/>
      <c r="T819" s="9"/>
      <c r="U819" s="6"/>
      <c r="V819" s="6"/>
      <c r="W819" s="6"/>
      <c r="X819" s="6"/>
      <c r="Y819" s="6"/>
      <c r="Z819" s="6"/>
      <c r="AA819" s="6"/>
      <c r="AB819" s="6"/>
      <c r="AC819" s="6"/>
      <c r="AD819" s="6"/>
      <c r="AE819" s="6"/>
      <c r="AF819" s="6"/>
      <c r="AG819" s="6"/>
      <c r="AH819" s="6"/>
    </row>
    <row r="820" ht="15.75" customHeight="1">
      <c r="A820" s="6"/>
      <c r="B820" s="6"/>
      <c r="C820" s="6"/>
      <c r="D820" s="6"/>
      <c r="E820" s="6"/>
      <c r="F820" s="6"/>
      <c r="G820" s="9"/>
      <c r="H820" s="9"/>
      <c r="I820" s="9"/>
      <c r="J820" s="9"/>
      <c r="K820" s="6"/>
      <c r="L820" s="9"/>
      <c r="M820" s="10"/>
      <c r="N820" s="10"/>
      <c r="O820" s="9"/>
      <c r="P820" s="15"/>
      <c r="Q820" s="9"/>
      <c r="R820" s="9"/>
      <c r="S820" s="9"/>
      <c r="T820" s="9"/>
      <c r="U820" s="6"/>
      <c r="V820" s="6"/>
      <c r="W820" s="6"/>
      <c r="X820" s="6"/>
      <c r="Y820" s="6"/>
      <c r="Z820" s="6"/>
      <c r="AA820" s="6"/>
      <c r="AB820" s="6"/>
      <c r="AC820" s="6"/>
      <c r="AD820" s="6"/>
      <c r="AE820" s="6"/>
      <c r="AF820" s="6"/>
      <c r="AG820" s="6"/>
      <c r="AH820" s="6"/>
    </row>
    <row r="821" ht="15.75" customHeight="1">
      <c r="A821" s="6"/>
      <c r="B821" s="6"/>
      <c r="C821" s="6"/>
      <c r="D821" s="6"/>
      <c r="E821" s="6"/>
      <c r="F821" s="6"/>
      <c r="G821" s="9"/>
      <c r="H821" s="9"/>
      <c r="I821" s="9"/>
      <c r="J821" s="9"/>
      <c r="K821" s="6"/>
      <c r="L821" s="9"/>
      <c r="M821" s="10"/>
      <c r="N821" s="10"/>
      <c r="O821" s="9"/>
      <c r="P821" s="15"/>
      <c r="Q821" s="9"/>
      <c r="R821" s="9"/>
      <c r="S821" s="9"/>
      <c r="T821" s="9"/>
      <c r="U821" s="6"/>
      <c r="V821" s="6"/>
      <c r="W821" s="6"/>
      <c r="X821" s="6"/>
      <c r="Y821" s="6"/>
      <c r="Z821" s="6"/>
      <c r="AA821" s="6"/>
      <c r="AB821" s="6"/>
      <c r="AC821" s="6"/>
      <c r="AD821" s="6"/>
      <c r="AE821" s="6"/>
      <c r="AF821" s="6"/>
      <c r="AG821" s="6"/>
      <c r="AH821" s="6"/>
    </row>
    <row r="822" ht="15.75" customHeight="1">
      <c r="A822" s="6"/>
      <c r="B822" s="6"/>
      <c r="C822" s="6"/>
      <c r="D822" s="6"/>
      <c r="E822" s="6"/>
      <c r="F822" s="6"/>
      <c r="G822" s="9"/>
      <c r="H822" s="9"/>
      <c r="I822" s="9"/>
      <c r="J822" s="9"/>
      <c r="K822" s="6"/>
      <c r="L822" s="9"/>
      <c r="M822" s="10"/>
      <c r="N822" s="10"/>
      <c r="O822" s="9"/>
      <c r="P822" s="15"/>
      <c r="Q822" s="9"/>
      <c r="R822" s="9"/>
      <c r="S822" s="9"/>
      <c r="T822" s="9"/>
      <c r="U822" s="6"/>
      <c r="V822" s="6"/>
      <c r="W822" s="6"/>
      <c r="X822" s="6"/>
      <c r="Y822" s="6"/>
      <c r="Z822" s="6"/>
      <c r="AA822" s="6"/>
      <c r="AB822" s="6"/>
      <c r="AC822" s="6"/>
      <c r="AD822" s="6"/>
      <c r="AE822" s="6"/>
      <c r="AF822" s="6"/>
      <c r="AG822" s="6"/>
      <c r="AH822" s="6"/>
    </row>
    <row r="823" ht="15.75" customHeight="1">
      <c r="A823" s="6"/>
      <c r="B823" s="6"/>
      <c r="C823" s="6"/>
      <c r="D823" s="6"/>
      <c r="E823" s="6"/>
      <c r="F823" s="6"/>
      <c r="G823" s="9"/>
      <c r="H823" s="9"/>
      <c r="I823" s="9"/>
      <c r="J823" s="9"/>
      <c r="K823" s="6"/>
      <c r="L823" s="9"/>
      <c r="M823" s="10"/>
      <c r="N823" s="10"/>
      <c r="O823" s="9"/>
      <c r="P823" s="15"/>
      <c r="Q823" s="9"/>
      <c r="R823" s="9"/>
      <c r="S823" s="9"/>
      <c r="T823" s="9"/>
      <c r="U823" s="6"/>
      <c r="V823" s="6"/>
      <c r="W823" s="6"/>
      <c r="X823" s="6"/>
      <c r="Y823" s="6"/>
      <c r="Z823" s="6"/>
      <c r="AA823" s="6"/>
      <c r="AB823" s="6"/>
      <c r="AC823" s="6"/>
      <c r="AD823" s="6"/>
      <c r="AE823" s="6"/>
      <c r="AF823" s="6"/>
      <c r="AG823" s="6"/>
      <c r="AH823" s="6"/>
    </row>
    <row r="824" ht="15.75" customHeight="1">
      <c r="A824" s="6"/>
      <c r="B824" s="6"/>
      <c r="C824" s="6"/>
      <c r="D824" s="6"/>
      <c r="E824" s="6"/>
      <c r="F824" s="6"/>
      <c r="G824" s="9"/>
      <c r="H824" s="9"/>
      <c r="I824" s="9"/>
      <c r="J824" s="9"/>
      <c r="K824" s="6"/>
      <c r="L824" s="9"/>
      <c r="M824" s="10"/>
      <c r="N824" s="10"/>
      <c r="O824" s="9"/>
      <c r="P824" s="15"/>
      <c r="Q824" s="9"/>
      <c r="R824" s="9"/>
      <c r="S824" s="9"/>
      <c r="T824" s="9"/>
      <c r="U824" s="6"/>
      <c r="V824" s="6"/>
      <c r="W824" s="6"/>
      <c r="X824" s="6"/>
      <c r="Y824" s="6"/>
      <c r="Z824" s="6"/>
      <c r="AA824" s="6"/>
      <c r="AB824" s="6"/>
      <c r="AC824" s="6"/>
      <c r="AD824" s="6"/>
      <c r="AE824" s="6"/>
      <c r="AF824" s="6"/>
      <c r="AG824" s="6"/>
      <c r="AH824" s="6"/>
    </row>
    <row r="825" ht="15.75" customHeight="1">
      <c r="A825" s="6"/>
      <c r="B825" s="6"/>
      <c r="C825" s="6"/>
      <c r="D825" s="6"/>
      <c r="E825" s="6"/>
      <c r="F825" s="6"/>
      <c r="G825" s="9"/>
      <c r="H825" s="9"/>
      <c r="I825" s="9"/>
      <c r="J825" s="9"/>
      <c r="K825" s="6"/>
      <c r="L825" s="9"/>
      <c r="M825" s="10"/>
      <c r="N825" s="10"/>
      <c r="O825" s="9"/>
      <c r="P825" s="15"/>
      <c r="Q825" s="9"/>
      <c r="R825" s="9"/>
      <c r="S825" s="9"/>
      <c r="T825" s="9"/>
      <c r="U825" s="6"/>
      <c r="V825" s="6"/>
      <c r="W825" s="6"/>
      <c r="X825" s="6"/>
      <c r="Y825" s="6"/>
      <c r="Z825" s="6"/>
      <c r="AA825" s="6"/>
      <c r="AB825" s="6"/>
      <c r="AC825" s="6"/>
      <c r="AD825" s="6"/>
      <c r="AE825" s="6"/>
      <c r="AF825" s="6"/>
      <c r="AG825" s="6"/>
      <c r="AH825" s="6"/>
    </row>
    <row r="826" ht="15.75" customHeight="1">
      <c r="A826" s="6"/>
      <c r="B826" s="6"/>
      <c r="C826" s="6"/>
      <c r="D826" s="6"/>
      <c r="E826" s="6"/>
      <c r="F826" s="6"/>
      <c r="G826" s="9"/>
      <c r="H826" s="9"/>
      <c r="I826" s="9"/>
      <c r="J826" s="9"/>
      <c r="K826" s="6"/>
      <c r="L826" s="9"/>
      <c r="M826" s="10"/>
      <c r="N826" s="10"/>
      <c r="O826" s="9"/>
      <c r="P826" s="15"/>
      <c r="Q826" s="9"/>
      <c r="R826" s="9"/>
      <c r="S826" s="9"/>
      <c r="T826" s="9"/>
      <c r="U826" s="6"/>
      <c r="V826" s="6"/>
      <c r="W826" s="6"/>
      <c r="X826" s="6"/>
      <c r="Y826" s="6"/>
      <c r="Z826" s="6"/>
      <c r="AA826" s="6"/>
      <c r="AB826" s="6"/>
      <c r="AC826" s="6"/>
      <c r="AD826" s="6"/>
      <c r="AE826" s="6"/>
      <c r="AF826" s="6"/>
      <c r="AG826" s="6"/>
      <c r="AH826" s="6"/>
    </row>
    <row r="827" ht="15.75" customHeight="1">
      <c r="A827" s="6"/>
      <c r="B827" s="6"/>
      <c r="C827" s="6"/>
      <c r="D827" s="6"/>
      <c r="E827" s="6"/>
      <c r="F827" s="6"/>
      <c r="G827" s="9"/>
      <c r="H827" s="9"/>
      <c r="I827" s="9"/>
      <c r="J827" s="9"/>
      <c r="K827" s="6"/>
      <c r="L827" s="9"/>
      <c r="M827" s="10"/>
      <c r="N827" s="10"/>
      <c r="O827" s="9"/>
      <c r="P827" s="15"/>
      <c r="Q827" s="9"/>
      <c r="R827" s="9"/>
      <c r="S827" s="9"/>
      <c r="T827" s="9"/>
      <c r="U827" s="6"/>
      <c r="V827" s="6"/>
      <c r="W827" s="6"/>
      <c r="X827" s="6"/>
      <c r="Y827" s="6"/>
      <c r="Z827" s="6"/>
      <c r="AA827" s="6"/>
      <c r="AB827" s="6"/>
      <c r="AC827" s="6"/>
      <c r="AD827" s="6"/>
      <c r="AE827" s="6"/>
      <c r="AF827" s="6"/>
      <c r="AG827" s="6"/>
      <c r="AH827" s="6"/>
    </row>
    <row r="828" ht="15.75" customHeight="1">
      <c r="A828" s="6"/>
      <c r="B828" s="6"/>
      <c r="C828" s="6"/>
      <c r="D828" s="6"/>
      <c r="E828" s="6"/>
      <c r="F828" s="6"/>
      <c r="G828" s="9"/>
      <c r="H828" s="9"/>
      <c r="I828" s="9"/>
      <c r="J828" s="9"/>
      <c r="K828" s="6"/>
      <c r="L828" s="9"/>
      <c r="M828" s="10"/>
      <c r="N828" s="10"/>
      <c r="O828" s="9"/>
      <c r="P828" s="15"/>
      <c r="Q828" s="9"/>
      <c r="R828" s="9"/>
      <c r="S828" s="9"/>
      <c r="T828" s="9"/>
      <c r="U828" s="6"/>
      <c r="V828" s="6"/>
      <c r="W828" s="6"/>
      <c r="X828" s="6"/>
      <c r="Y828" s="6"/>
      <c r="Z828" s="6"/>
      <c r="AA828" s="6"/>
      <c r="AB828" s="6"/>
      <c r="AC828" s="6"/>
      <c r="AD828" s="6"/>
      <c r="AE828" s="6"/>
      <c r="AF828" s="6"/>
      <c r="AG828" s="6"/>
      <c r="AH828" s="6"/>
    </row>
    <row r="829" ht="15.75" customHeight="1">
      <c r="A829" s="6"/>
      <c r="B829" s="6"/>
      <c r="C829" s="6"/>
      <c r="D829" s="6"/>
      <c r="E829" s="6"/>
      <c r="F829" s="6"/>
      <c r="G829" s="9"/>
      <c r="H829" s="9"/>
      <c r="I829" s="9"/>
      <c r="J829" s="9"/>
      <c r="K829" s="6"/>
      <c r="L829" s="9"/>
      <c r="M829" s="10"/>
      <c r="N829" s="10"/>
      <c r="O829" s="9"/>
      <c r="P829" s="15"/>
      <c r="Q829" s="9"/>
      <c r="R829" s="9"/>
      <c r="S829" s="9"/>
      <c r="T829" s="9"/>
      <c r="U829" s="6"/>
      <c r="V829" s="6"/>
      <c r="W829" s="6"/>
      <c r="X829" s="6"/>
      <c r="Y829" s="6"/>
      <c r="Z829" s="6"/>
      <c r="AA829" s="6"/>
      <c r="AB829" s="6"/>
      <c r="AC829" s="6"/>
      <c r="AD829" s="6"/>
      <c r="AE829" s="6"/>
      <c r="AF829" s="6"/>
      <c r="AG829" s="6"/>
      <c r="AH829" s="6"/>
    </row>
    <row r="830" ht="15.75" customHeight="1">
      <c r="A830" s="6"/>
      <c r="B830" s="6"/>
      <c r="C830" s="6"/>
      <c r="D830" s="6"/>
      <c r="E830" s="6"/>
      <c r="F830" s="6"/>
      <c r="G830" s="9"/>
      <c r="H830" s="9"/>
      <c r="I830" s="9"/>
      <c r="J830" s="9"/>
      <c r="K830" s="6"/>
      <c r="L830" s="9"/>
      <c r="M830" s="10"/>
      <c r="N830" s="10"/>
      <c r="O830" s="9"/>
      <c r="P830" s="15"/>
      <c r="Q830" s="9"/>
      <c r="R830" s="9"/>
      <c r="S830" s="9"/>
      <c r="T830" s="9"/>
      <c r="U830" s="6"/>
      <c r="V830" s="6"/>
      <c r="W830" s="6"/>
      <c r="X830" s="6"/>
      <c r="Y830" s="6"/>
      <c r="Z830" s="6"/>
      <c r="AA830" s="6"/>
      <c r="AB830" s="6"/>
      <c r="AC830" s="6"/>
      <c r="AD830" s="6"/>
      <c r="AE830" s="6"/>
      <c r="AF830" s="6"/>
      <c r="AG830" s="6"/>
      <c r="AH830" s="6"/>
    </row>
    <row r="831" ht="15.75" customHeight="1">
      <c r="A831" s="6"/>
      <c r="B831" s="6"/>
      <c r="C831" s="6"/>
      <c r="D831" s="6"/>
      <c r="E831" s="6"/>
      <c r="F831" s="6"/>
      <c r="G831" s="9"/>
      <c r="H831" s="9"/>
      <c r="I831" s="9"/>
      <c r="J831" s="9"/>
      <c r="K831" s="6"/>
      <c r="L831" s="9"/>
      <c r="M831" s="10"/>
      <c r="N831" s="10"/>
      <c r="O831" s="9"/>
      <c r="P831" s="15"/>
      <c r="Q831" s="9"/>
      <c r="R831" s="9"/>
      <c r="S831" s="9"/>
      <c r="T831" s="9"/>
      <c r="U831" s="6"/>
      <c r="V831" s="6"/>
      <c r="W831" s="6"/>
      <c r="X831" s="6"/>
      <c r="Y831" s="6"/>
      <c r="Z831" s="6"/>
      <c r="AA831" s="6"/>
      <c r="AB831" s="6"/>
      <c r="AC831" s="6"/>
      <c r="AD831" s="6"/>
      <c r="AE831" s="6"/>
      <c r="AF831" s="6"/>
      <c r="AG831" s="6"/>
      <c r="AH831" s="6"/>
    </row>
    <row r="832" ht="15.75" customHeight="1">
      <c r="A832" s="6"/>
      <c r="B832" s="6"/>
      <c r="C832" s="6"/>
      <c r="D832" s="6"/>
      <c r="E832" s="6"/>
      <c r="F832" s="6"/>
      <c r="G832" s="9"/>
      <c r="H832" s="9"/>
      <c r="I832" s="9"/>
      <c r="J832" s="9"/>
      <c r="K832" s="6"/>
      <c r="L832" s="9"/>
      <c r="M832" s="10"/>
      <c r="N832" s="10"/>
      <c r="O832" s="9"/>
      <c r="P832" s="15"/>
      <c r="Q832" s="9"/>
      <c r="R832" s="9"/>
      <c r="S832" s="9"/>
      <c r="T832" s="9"/>
      <c r="U832" s="6"/>
      <c r="V832" s="6"/>
      <c r="W832" s="6"/>
      <c r="X832" s="6"/>
      <c r="Y832" s="6"/>
      <c r="Z832" s="6"/>
      <c r="AA832" s="6"/>
      <c r="AB832" s="6"/>
      <c r="AC832" s="6"/>
      <c r="AD832" s="6"/>
      <c r="AE832" s="6"/>
      <c r="AF832" s="6"/>
      <c r="AG832" s="6"/>
      <c r="AH832" s="6"/>
    </row>
    <row r="833" ht="15.75" customHeight="1">
      <c r="A833" s="6"/>
      <c r="B833" s="6"/>
      <c r="C833" s="6"/>
      <c r="D833" s="6"/>
      <c r="E833" s="6"/>
      <c r="F833" s="6"/>
      <c r="G833" s="9"/>
      <c r="H833" s="9"/>
      <c r="I833" s="9"/>
      <c r="J833" s="9"/>
      <c r="K833" s="6"/>
      <c r="L833" s="9"/>
      <c r="M833" s="10"/>
      <c r="N833" s="10"/>
      <c r="O833" s="9"/>
      <c r="P833" s="15"/>
      <c r="Q833" s="9"/>
      <c r="R833" s="9"/>
      <c r="S833" s="9"/>
      <c r="T833" s="9"/>
      <c r="U833" s="6"/>
      <c r="V833" s="6"/>
      <c r="W833" s="6"/>
      <c r="X833" s="6"/>
      <c r="Y833" s="6"/>
      <c r="Z833" s="6"/>
      <c r="AA833" s="6"/>
      <c r="AB833" s="6"/>
      <c r="AC833" s="6"/>
      <c r="AD833" s="6"/>
      <c r="AE833" s="6"/>
      <c r="AF833" s="6"/>
      <c r="AG833" s="6"/>
      <c r="AH833" s="6"/>
    </row>
    <row r="834" ht="15.75" customHeight="1">
      <c r="A834" s="6"/>
      <c r="B834" s="6"/>
      <c r="C834" s="6"/>
      <c r="D834" s="6"/>
      <c r="E834" s="6"/>
      <c r="F834" s="6"/>
      <c r="G834" s="9"/>
      <c r="H834" s="9"/>
      <c r="I834" s="9"/>
      <c r="J834" s="9"/>
      <c r="K834" s="6"/>
      <c r="L834" s="9"/>
      <c r="M834" s="10"/>
      <c r="N834" s="10"/>
      <c r="O834" s="9"/>
      <c r="P834" s="15"/>
      <c r="Q834" s="9"/>
      <c r="R834" s="9"/>
      <c r="S834" s="9"/>
      <c r="T834" s="9"/>
      <c r="U834" s="6"/>
      <c r="V834" s="6"/>
      <c r="W834" s="6"/>
      <c r="X834" s="6"/>
      <c r="Y834" s="6"/>
      <c r="Z834" s="6"/>
      <c r="AA834" s="6"/>
      <c r="AB834" s="6"/>
      <c r="AC834" s="6"/>
      <c r="AD834" s="6"/>
      <c r="AE834" s="6"/>
      <c r="AF834" s="6"/>
      <c r="AG834" s="6"/>
      <c r="AH834" s="6"/>
    </row>
    <row r="835" ht="15.75" customHeight="1">
      <c r="A835" s="6"/>
      <c r="B835" s="6"/>
      <c r="C835" s="6"/>
      <c r="D835" s="6"/>
      <c r="E835" s="6"/>
      <c r="F835" s="6"/>
      <c r="G835" s="9"/>
      <c r="H835" s="9"/>
      <c r="I835" s="9"/>
      <c r="J835" s="9"/>
      <c r="K835" s="6"/>
      <c r="L835" s="9"/>
      <c r="M835" s="10"/>
      <c r="N835" s="10"/>
      <c r="O835" s="9"/>
      <c r="P835" s="15"/>
      <c r="Q835" s="9"/>
      <c r="R835" s="9"/>
      <c r="S835" s="9"/>
      <c r="T835" s="9"/>
      <c r="U835" s="6"/>
      <c r="V835" s="6"/>
      <c r="W835" s="6"/>
      <c r="X835" s="6"/>
      <c r="Y835" s="6"/>
      <c r="Z835" s="6"/>
      <c r="AA835" s="6"/>
      <c r="AB835" s="6"/>
      <c r="AC835" s="6"/>
      <c r="AD835" s="6"/>
      <c r="AE835" s="6"/>
      <c r="AF835" s="6"/>
      <c r="AG835" s="6"/>
      <c r="AH835" s="6"/>
    </row>
    <row r="836" ht="15.75" customHeight="1">
      <c r="A836" s="6"/>
      <c r="B836" s="6"/>
      <c r="C836" s="6"/>
      <c r="D836" s="6"/>
      <c r="E836" s="6"/>
      <c r="F836" s="6"/>
      <c r="G836" s="9"/>
      <c r="H836" s="9"/>
      <c r="I836" s="9"/>
      <c r="J836" s="9"/>
      <c r="K836" s="6"/>
      <c r="L836" s="9"/>
      <c r="M836" s="10"/>
      <c r="N836" s="10"/>
      <c r="O836" s="9"/>
      <c r="P836" s="15"/>
      <c r="Q836" s="9"/>
      <c r="R836" s="9"/>
      <c r="S836" s="9"/>
      <c r="T836" s="9"/>
      <c r="U836" s="6"/>
      <c r="V836" s="6"/>
      <c r="W836" s="6"/>
      <c r="X836" s="6"/>
      <c r="Y836" s="6"/>
      <c r="Z836" s="6"/>
      <c r="AA836" s="6"/>
      <c r="AB836" s="6"/>
      <c r="AC836" s="6"/>
      <c r="AD836" s="6"/>
      <c r="AE836" s="6"/>
      <c r="AF836" s="6"/>
      <c r="AG836" s="6"/>
      <c r="AH836" s="6"/>
    </row>
    <row r="837" ht="15.75" customHeight="1">
      <c r="A837" s="6"/>
      <c r="B837" s="6"/>
      <c r="C837" s="6"/>
      <c r="D837" s="6"/>
      <c r="E837" s="6"/>
      <c r="F837" s="6"/>
      <c r="G837" s="9"/>
      <c r="H837" s="9"/>
      <c r="I837" s="9"/>
      <c r="J837" s="9"/>
      <c r="K837" s="6"/>
      <c r="L837" s="9"/>
      <c r="M837" s="10"/>
      <c r="N837" s="10"/>
      <c r="O837" s="9"/>
      <c r="P837" s="15"/>
      <c r="Q837" s="9"/>
      <c r="R837" s="9"/>
      <c r="S837" s="9"/>
      <c r="T837" s="9"/>
      <c r="U837" s="6"/>
      <c r="V837" s="6"/>
      <c r="W837" s="6"/>
      <c r="X837" s="6"/>
      <c r="Y837" s="6"/>
      <c r="Z837" s="6"/>
      <c r="AA837" s="6"/>
      <c r="AB837" s="6"/>
      <c r="AC837" s="6"/>
      <c r="AD837" s="6"/>
      <c r="AE837" s="6"/>
      <c r="AF837" s="6"/>
      <c r="AG837" s="6"/>
      <c r="AH837" s="6"/>
    </row>
    <row r="838" ht="15.75" customHeight="1">
      <c r="A838" s="6"/>
      <c r="B838" s="6"/>
      <c r="C838" s="6"/>
      <c r="D838" s="6"/>
      <c r="E838" s="6"/>
      <c r="F838" s="6"/>
      <c r="G838" s="9"/>
      <c r="H838" s="9"/>
      <c r="I838" s="9"/>
      <c r="J838" s="9"/>
      <c r="K838" s="6"/>
      <c r="L838" s="9"/>
      <c r="M838" s="10"/>
      <c r="N838" s="10"/>
      <c r="O838" s="9"/>
      <c r="P838" s="15"/>
      <c r="Q838" s="9"/>
      <c r="R838" s="9"/>
      <c r="S838" s="9"/>
      <c r="T838" s="9"/>
      <c r="U838" s="6"/>
      <c r="V838" s="6"/>
      <c r="W838" s="6"/>
      <c r="X838" s="6"/>
      <c r="Y838" s="6"/>
      <c r="Z838" s="6"/>
      <c r="AA838" s="6"/>
      <c r="AB838" s="6"/>
      <c r="AC838" s="6"/>
      <c r="AD838" s="6"/>
      <c r="AE838" s="6"/>
      <c r="AF838" s="6"/>
      <c r="AG838" s="6"/>
      <c r="AH838" s="6"/>
    </row>
    <row r="839" ht="15.75" customHeight="1">
      <c r="A839" s="6"/>
      <c r="B839" s="6"/>
      <c r="C839" s="6"/>
      <c r="D839" s="6"/>
      <c r="E839" s="6"/>
      <c r="F839" s="6"/>
      <c r="G839" s="9"/>
      <c r="H839" s="9"/>
      <c r="I839" s="9"/>
      <c r="J839" s="9"/>
      <c r="K839" s="6"/>
      <c r="L839" s="9"/>
      <c r="M839" s="10"/>
      <c r="N839" s="10"/>
      <c r="O839" s="9"/>
      <c r="P839" s="15"/>
      <c r="Q839" s="9"/>
      <c r="R839" s="9"/>
      <c r="S839" s="9"/>
      <c r="T839" s="9"/>
      <c r="U839" s="6"/>
      <c r="V839" s="6"/>
      <c r="W839" s="6"/>
      <c r="X839" s="6"/>
      <c r="Y839" s="6"/>
      <c r="Z839" s="6"/>
      <c r="AA839" s="6"/>
      <c r="AB839" s="6"/>
      <c r="AC839" s="6"/>
      <c r="AD839" s="6"/>
      <c r="AE839" s="6"/>
      <c r="AF839" s="6"/>
      <c r="AG839" s="6"/>
      <c r="AH839" s="6"/>
    </row>
    <row r="840" ht="15.75" customHeight="1">
      <c r="A840" s="6"/>
      <c r="B840" s="6"/>
      <c r="C840" s="6"/>
      <c r="D840" s="6"/>
      <c r="E840" s="6"/>
      <c r="F840" s="6"/>
      <c r="G840" s="9"/>
      <c r="H840" s="9"/>
      <c r="I840" s="9"/>
      <c r="J840" s="9"/>
      <c r="K840" s="6"/>
      <c r="L840" s="9"/>
      <c r="M840" s="10"/>
      <c r="N840" s="10"/>
      <c r="O840" s="9"/>
      <c r="P840" s="15"/>
      <c r="Q840" s="9"/>
      <c r="R840" s="9"/>
      <c r="S840" s="9"/>
      <c r="T840" s="9"/>
      <c r="U840" s="6"/>
      <c r="V840" s="6"/>
      <c r="W840" s="6"/>
      <c r="X840" s="6"/>
      <c r="Y840" s="6"/>
      <c r="Z840" s="6"/>
      <c r="AA840" s="6"/>
      <c r="AB840" s="6"/>
      <c r="AC840" s="6"/>
      <c r="AD840" s="6"/>
      <c r="AE840" s="6"/>
      <c r="AF840" s="6"/>
      <c r="AG840" s="6"/>
      <c r="AH840" s="6"/>
    </row>
    <row r="841" ht="15.75" customHeight="1">
      <c r="A841" s="6"/>
      <c r="B841" s="6"/>
      <c r="C841" s="6"/>
      <c r="D841" s="6"/>
      <c r="E841" s="6"/>
      <c r="F841" s="6"/>
      <c r="G841" s="9"/>
      <c r="H841" s="9"/>
      <c r="I841" s="9"/>
      <c r="J841" s="9"/>
      <c r="K841" s="6"/>
      <c r="L841" s="9"/>
      <c r="M841" s="10"/>
      <c r="N841" s="10"/>
      <c r="O841" s="9"/>
      <c r="P841" s="15"/>
      <c r="Q841" s="9"/>
      <c r="R841" s="9"/>
      <c r="S841" s="9"/>
      <c r="T841" s="9"/>
      <c r="U841" s="6"/>
      <c r="V841" s="6"/>
      <c r="W841" s="6"/>
      <c r="X841" s="6"/>
      <c r="Y841" s="6"/>
      <c r="Z841" s="6"/>
      <c r="AA841" s="6"/>
      <c r="AB841" s="6"/>
      <c r="AC841" s="6"/>
      <c r="AD841" s="6"/>
      <c r="AE841" s="6"/>
      <c r="AF841" s="6"/>
      <c r="AG841" s="6"/>
      <c r="AH841" s="6"/>
    </row>
    <row r="842" ht="15.75" customHeight="1">
      <c r="A842" s="6"/>
      <c r="B842" s="6"/>
      <c r="C842" s="6"/>
      <c r="D842" s="6"/>
      <c r="E842" s="6"/>
      <c r="F842" s="6"/>
      <c r="G842" s="9"/>
      <c r="H842" s="9"/>
      <c r="I842" s="9"/>
      <c r="J842" s="9"/>
      <c r="K842" s="6"/>
      <c r="L842" s="9"/>
      <c r="M842" s="10"/>
      <c r="N842" s="10"/>
      <c r="O842" s="9"/>
      <c r="P842" s="15"/>
      <c r="Q842" s="9"/>
      <c r="R842" s="9"/>
      <c r="S842" s="9"/>
      <c r="T842" s="9"/>
      <c r="U842" s="6"/>
      <c r="V842" s="6"/>
      <c r="W842" s="6"/>
      <c r="X842" s="6"/>
      <c r="Y842" s="6"/>
      <c r="Z842" s="6"/>
      <c r="AA842" s="6"/>
      <c r="AB842" s="6"/>
      <c r="AC842" s="6"/>
      <c r="AD842" s="6"/>
      <c r="AE842" s="6"/>
      <c r="AF842" s="6"/>
      <c r="AG842" s="6"/>
      <c r="AH842" s="6"/>
    </row>
    <row r="843" ht="15.75" customHeight="1">
      <c r="A843" s="6"/>
      <c r="B843" s="6"/>
      <c r="C843" s="6"/>
      <c r="D843" s="6"/>
      <c r="E843" s="6"/>
      <c r="F843" s="6"/>
      <c r="G843" s="9"/>
      <c r="H843" s="9"/>
      <c r="I843" s="9"/>
      <c r="J843" s="9"/>
      <c r="K843" s="6"/>
      <c r="L843" s="9"/>
      <c r="M843" s="10"/>
      <c r="N843" s="10"/>
      <c r="O843" s="9"/>
      <c r="P843" s="15"/>
      <c r="Q843" s="9"/>
      <c r="R843" s="9"/>
      <c r="S843" s="9"/>
      <c r="T843" s="9"/>
      <c r="U843" s="6"/>
      <c r="V843" s="6"/>
      <c r="W843" s="6"/>
      <c r="X843" s="6"/>
      <c r="Y843" s="6"/>
      <c r="Z843" s="6"/>
      <c r="AA843" s="6"/>
      <c r="AB843" s="6"/>
      <c r="AC843" s="6"/>
      <c r="AD843" s="6"/>
      <c r="AE843" s="6"/>
      <c r="AF843" s="6"/>
      <c r="AG843" s="6"/>
      <c r="AH843" s="6"/>
    </row>
    <row r="844" ht="15.75" customHeight="1">
      <c r="A844" s="6"/>
      <c r="B844" s="6"/>
      <c r="C844" s="6"/>
      <c r="D844" s="6"/>
      <c r="E844" s="6"/>
      <c r="F844" s="6"/>
      <c r="G844" s="9"/>
      <c r="H844" s="9"/>
      <c r="I844" s="9"/>
      <c r="J844" s="9"/>
      <c r="K844" s="6"/>
      <c r="L844" s="9"/>
      <c r="M844" s="10"/>
      <c r="N844" s="10"/>
      <c r="O844" s="9"/>
      <c r="P844" s="15"/>
      <c r="Q844" s="9"/>
      <c r="R844" s="9"/>
      <c r="S844" s="9"/>
      <c r="T844" s="9"/>
      <c r="U844" s="6"/>
      <c r="V844" s="6"/>
      <c r="W844" s="6"/>
      <c r="X844" s="6"/>
      <c r="Y844" s="6"/>
      <c r="Z844" s="6"/>
      <c r="AA844" s="6"/>
      <c r="AB844" s="6"/>
      <c r="AC844" s="6"/>
      <c r="AD844" s="6"/>
      <c r="AE844" s="6"/>
      <c r="AF844" s="6"/>
      <c r="AG844" s="6"/>
      <c r="AH844" s="6"/>
    </row>
    <row r="845" ht="15.75" customHeight="1">
      <c r="A845" s="6"/>
      <c r="B845" s="6"/>
      <c r="C845" s="6"/>
      <c r="D845" s="6"/>
      <c r="E845" s="6"/>
      <c r="F845" s="6"/>
      <c r="G845" s="9"/>
      <c r="H845" s="9"/>
      <c r="I845" s="9"/>
      <c r="J845" s="9"/>
      <c r="K845" s="6"/>
      <c r="L845" s="9"/>
      <c r="M845" s="10"/>
      <c r="N845" s="10"/>
      <c r="O845" s="9"/>
      <c r="P845" s="15"/>
      <c r="Q845" s="9"/>
      <c r="R845" s="9"/>
      <c r="S845" s="9"/>
      <c r="T845" s="9"/>
      <c r="U845" s="6"/>
      <c r="V845" s="6"/>
      <c r="W845" s="6"/>
      <c r="X845" s="6"/>
      <c r="Y845" s="6"/>
      <c r="Z845" s="6"/>
      <c r="AA845" s="6"/>
      <c r="AB845" s="6"/>
      <c r="AC845" s="6"/>
      <c r="AD845" s="6"/>
      <c r="AE845" s="6"/>
      <c r="AF845" s="6"/>
      <c r="AG845" s="6"/>
      <c r="AH845" s="6"/>
    </row>
    <row r="846" ht="15.75" customHeight="1">
      <c r="A846" s="6"/>
      <c r="B846" s="6"/>
      <c r="C846" s="6"/>
      <c r="D846" s="6"/>
      <c r="E846" s="6"/>
      <c r="F846" s="6"/>
      <c r="G846" s="9"/>
      <c r="H846" s="9"/>
      <c r="I846" s="9"/>
      <c r="J846" s="9"/>
      <c r="K846" s="6"/>
      <c r="L846" s="9"/>
      <c r="M846" s="10"/>
      <c r="N846" s="10"/>
      <c r="O846" s="9"/>
      <c r="P846" s="15"/>
      <c r="Q846" s="9"/>
      <c r="R846" s="9"/>
      <c r="S846" s="9"/>
      <c r="T846" s="9"/>
      <c r="U846" s="6"/>
      <c r="V846" s="6"/>
      <c r="W846" s="6"/>
      <c r="X846" s="6"/>
      <c r="Y846" s="6"/>
      <c r="Z846" s="6"/>
      <c r="AA846" s="6"/>
      <c r="AB846" s="6"/>
      <c r="AC846" s="6"/>
      <c r="AD846" s="6"/>
      <c r="AE846" s="6"/>
      <c r="AF846" s="6"/>
      <c r="AG846" s="6"/>
      <c r="AH846" s="6"/>
    </row>
    <row r="847" ht="15.75" customHeight="1">
      <c r="A847" s="6"/>
      <c r="B847" s="6"/>
      <c r="C847" s="6"/>
      <c r="D847" s="6"/>
      <c r="E847" s="6"/>
      <c r="F847" s="6"/>
      <c r="G847" s="9"/>
      <c r="H847" s="9"/>
      <c r="I847" s="9"/>
      <c r="J847" s="9"/>
      <c r="K847" s="6"/>
      <c r="L847" s="9"/>
      <c r="M847" s="10"/>
      <c r="N847" s="10"/>
      <c r="O847" s="9"/>
      <c r="P847" s="15"/>
      <c r="Q847" s="9"/>
      <c r="R847" s="9"/>
      <c r="S847" s="9"/>
      <c r="T847" s="9"/>
      <c r="U847" s="6"/>
      <c r="V847" s="6"/>
      <c r="W847" s="6"/>
      <c r="X847" s="6"/>
      <c r="Y847" s="6"/>
      <c r="Z847" s="6"/>
      <c r="AA847" s="6"/>
      <c r="AB847" s="6"/>
      <c r="AC847" s="6"/>
      <c r="AD847" s="6"/>
      <c r="AE847" s="6"/>
      <c r="AF847" s="6"/>
      <c r="AG847" s="6"/>
      <c r="AH847" s="6"/>
    </row>
    <row r="848" ht="15.75" customHeight="1">
      <c r="A848" s="6"/>
      <c r="B848" s="6"/>
      <c r="C848" s="6"/>
      <c r="D848" s="6"/>
      <c r="E848" s="6"/>
      <c r="F848" s="6"/>
      <c r="G848" s="9"/>
      <c r="H848" s="9"/>
      <c r="I848" s="9"/>
      <c r="J848" s="9"/>
      <c r="K848" s="6"/>
      <c r="L848" s="9"/>
      <c r="M848" s="10"/>
      <c r="N848" s="10"/>
      <c r="O848" s="9"/>
      <c r="P848" s="15"/>
      <c r="Q848" s="9"/>
      <c r="R848" s="9"/>
      <c r="S848" s="9"/>
      <c r="T848" s="9"/>
      <c r="U848" s="6"/>
      <c r="V848" s="6"/>
      <c r="W848" s="6"/>
      <c r="X848" s="6"/>
      <c r="Y848" s="6"/>
      <c r="Z848" s="6"/>
      <c r="AA848" s="6"/>
      <c r="AB848" s="6"/>
      <c r="AC848" s="6"/>
      <c r="AD848" s="6"/>
      <c r="AE848" s="6"/>
      <c r="AF848" s="6"/>
      <c r="AG848" s="6"/>
      <c r="AH848" s="6"/>
    </row>
    <row r="849" ht="15.75" customHeight="1">
      <c r="A849" s="6"/>
      <c r="B849" s="6"/>
      <c r="C849" s="6"/>
      <c r="D849" s="6"/>
      <c r="E849" s="6"/>
      <c r="F849" s="6"/>
      <c r="G849" s="9"/>
      <c r="H849" s="9"/>
      <c r="I849" s="9"/>
      <c r="J849" s="9"/>
      <c r="K849" s="6"/>
      <c r="L849" s="9"/>
      <c r="M849" s="10"/>
      <c r="N849" s="10"/>
      <c r="O849" s="9"/>
      <c r="P849" s="15"/>
      <c r="Q849" s="9"/>
      <c r="R849" s="9"/>
      <c r="S849" s="9"/>
      <c r="T849" s="9"/>
      <c r="U849" s="6"/>
      <c r="V849" s="6"/>
      <c r="W849" s="6"/>
      <c r="X849" s="6"/>
      <c r="Y849" s="6"/>
      <c r="Z849" s="6"/>
      <c r="AA849" s="6"/>
      <c r="AB849" s="6"/>
      <c r="AC849" s="6"/>
      <c r="AD849" s="6"/>
      <c r="AE849" s="6"/>
      <c r="AF849" s="6"/>
      <c r="AG849" s="6"/>
      <c r="AH849" s="6"/>
    </row>
    <row r="850" ht="15.75" customHeight="1">
      <c r="A850" s="6"/>
      <c r="B850" s="6"/>
      <c r="C850" s="6"/>
      <c r="D850" s="6"/>
      <c r="E850" s="6"/>
      <c r="F850" s="6"/>
      <c r="G850" s="9"/>
      <c r="H850" s="9"/>
      <c r="I850" s="9"/>
      <c r="J850" s="9"/>
      <c r="K850" s="6"/>
      <c r="L850" s="9"/>
      <c r="M850" s="10"/>
      <c r="N850" s="10"/>
      <c r="O850" s="9"/>
      <c r="P850" s="15"/>
      <c r="Q850" s="9"/>
      <c r="R850" s="9"/>
      <c r="S850" s="9"/>
      <c r="T850" s="9"/>
      <c r="U850" s="6"/>
      <c r="V850" s="6"/>
      <c r="W850" s="6"/>
      <c r="X850" s="6"/>
      <c r="Y850" s="6"/>
      <c r="Z850" s="6"/>
      <c r="AA850" s="6"/>
      <c r="AB850" s="6"/>
      <c r="AC850" s="6"/>
      <c r="AD850" s="6"/>
      <c r="AE850" s="6"/>
      <c r="AF850" s="6"/>
      <c r="AG850" s="6"/>
      <c r="AH850" s="6"/>
    </row>
    <row r="851" ht="15.75" customHeight="1">
      <c r="A851" s="6"/>
      <c r="B851" s="6"/>
      <c r="C851" s="6"/>
      <c r="D851" s="6"/>
      <c r="E851" s="6"/>
      <c r="F851" s="6"/>
      <c r="G851" s="9"/>
      <c r="H851" s="9"/>
      <c r="I851" s="9"/>
      <c r="J851" s="9"/>
      <c r="K851" s="6"/>
      <c r="L851" s="9"/>
      <c r="M851" s="10"/>
      <c r="N851" s="10"/>
      <c r="O851" s="9"/>
      <c r="P851" s="15"/>
      <c r="Q851" s="9"/>
      <c r="R851" s="9"/>
      <c r="S851" s="9"/>
      <c r="T851" s="9"/>
      <c r="U851" s="6"/>
      <c r="V851" s="6"/>
      <c r="W851" s="6"/>
      <c r="X851" s="6"/>
      <c r="Y851" s="6"/>
      <c r="Z851" s="6"/>
      <c r="AA851" s="6"/>
      <c r="AB851" s="6"/>
      <c r="AC851" s="6"/>
      <c r="AD851" s="6"/>
      <c r="AE851" s="6"/>
      <c r="AF851" s="6"/>
      <c r="AG851" s="6"/>
      <c r="AH851" s="6"/>
    </row>
    <row r="852" ht="15.75" customHeight="1">
      <c r="A852" s="6"/>
      <c r="B852" s="6"/>
      <c r="C852" s="6"/>
      <c r="D852" s="6"/>
      <c r="E852" s="6"/>
      <c r="F852" s="6"/>
      <c r="G852" s="9"/>
      <c r="H852" s="9"/>
      <c r="I852" s="9"/>
      <c r="J852" s="9"/>
      <c r="K852" s="6"/>
      <c r="L852" s="9"/>
      <c r="M852" s="10"/>
      <c r="N852" s="10"/>
      <c r="O852" s="9"/>
      <c r="P852" s="15"/>
      <c r="Q852" s="9"/>
      <c r="R852" s="9"/>
      <c r="S852" s="9"/>
      <c r="T852" s="9"/>
      <c r="U852" s="6"/>
      <c r="V852" s="6"/>
      <c r="W852" s="6"/>
      <c r="X852" s="6"/>
      <c r="Y852" s="6"/>
      <c r="Z852" s="6"/>
      <c r="AA852" s="6"/>
      <c r="AB852" s="6"/>
      <c r="AC852" s="6"/>
      <c r="AD852" s="6"/>
      <c r="AE852" s="6"/>
      <c r="AF852" s="6"/>
      <c r="AG852" s="6"/>
      <c r="AH852" s="6"/>
    </row>
    <row r="853" ht="15.75" customHeight="1">
      <c r="A853" s="6"/>
      <c r="B853" s="6"/>
      <c r="C853" s="6"/>
      <c r="D853" s="6"/>
      <c r="E853" s="6"/>
      <c r="F853" s="6"/>
      <c r="G853" s="9"/>
      <c r="H853" s="9"/>
      <c r="I853" s="9"/>
      <c r="J853" s="9"/>
      <c r="K853" s="6"/>
      <c r="L853" s="9"/>
      <c r="M853" s="10"/>
      <c r="N853" s="10"/>
      <c r="O853" s="9"/>
      <c r="P853" s="15"/>
      <c r="Q853" s="9"/>
      <c r="R853" s="9"/>
      <c r="S853" s="9"/>
      <c r="T853" s="9"/>
      <c r="U853" s="6"/>
      <c r="V853" s="6"/>
      <c r="W853" s="6"/>
      <c r="X853" s="6"/>
      <c r="Y853" s="6"/>
      <c r="Z853" s="6"/>
      <c r="AA853" s="6"/>
      <c r="AB853" s="6"/>
      <c r="AC853" s="6"/>
      <c r="AD853" s="6"/>
      <c r="AE853" s="6"/>
      <c r="AF853" s="6"/>
      <c r="AG853" s="6"/>
      <c r="AH853" s="6"/>
    </row>
    <row r="854" ht="15.75" customHeight="1">
      <c r="A854" s="6"/>
      <c r="B854" s="6"/>
      <c r="C854" s="6"/>
      <c r="D854" s="6"/>
      <c r="E854" s="6"/>
      <c r="F854" s="6"/>
      <c r="G854" s="9"/>
      <c r="H854" s="9"/>
      <c r="I854" s="9"/>
      <c r="J854" s="9"/>
      <c r="K854" s="6"/>
      <c r="L854" s="9"/>
      <c r="M854" s="10"/>
      <c r="N854" s="10"/>
      <c r="O854" s="9"/>
      <c r="P854" s="15"/>
      <c r="Q854" s="9"/>
      <c r="R854" s="9"/>
      <c r="S854" s="9"/>
      <c r="T854" s="9"/>
      <c r="U854" s="6"/>
      <c r="V854" s="6"/>
      <c r="W854" s="6"/>
      <c r="X854" s="6"/>
      <c r="Y854" s="6"/>
      <c r="Z854" s="6"/>
      <c r="AA854" s="6"/>
      <c r="AB854" s="6"/>
      <c r="AC854" s="6"/>
      <c r="AD854" s="6"/>
      <c r="AE854" s="6"/>
      <c r="AF854" s="6"/>
      <c r="AG854" s="6"/>
      <c r="AH854" s="6"/>
    </row>
    <row r="855" ht="15.75" customHeight="1">
      <c r="A855" s="6"/>
      <c r="B855" s="6"/>
      <c r="C855" s="6"/>
      <c r="D855" s="6"/>
      <c r="E855" s="6"/>
      <c r="F855" s="6"/>
      <c r="G855" s="9"/>
      <c r="H855" s="9"/>
      <c r="I855" s="9"/>
      <c r="J855" s="9"/>
      <c r="K855" s="6"/>
      <c r="L855" s="9"/>
      <c r="M855" s="10"/>
      <c r="N855" s="10"/>
      <c r="O855" s="9"/>
      <c r="P855" s="15"/>
      <c r="Q855" s="9"/>
      <c r="R855" s="9"/>
      <c r="S855" s="9"/>
      <c r="T855" s="9"/>
      <c r="U855" s="6"/>
      <c r="V855" s="6"/>
      <c r="W855" s="6"/>
      <c r="X855" s="6"/>
      <c r="Y855" s="6"/>
      <c r="Z855" s="6"/>
      <c r="AA855" s="6"/>
      <c r="AB855" s="6"/>
      <c r="AC855" s="6"/>
      <c r="AD855" s="6"/>
      <c r="AE855" s="6"/>
      <c r="AF855" s="6"/>
      <c r="AG855" s="6"/>
      <c r="AH855" s="6"/>
    </row>
    <row r="856" ht="15.75" customHeight="1">
      <c r="A856" s="6"/>
      <c r="B856" s="6"/>
      <c r="C856" s="6"/>
      <c r="D856" s="6"/>
      <c r="E856" s="6"/>
      <c r="F856" s="6"/>
      <c r="G856" s="9"/>
      <c r="H856" s="9"/>
      <c r="I856" s="9"/>
      <c r="J856" s="9"/>
      <c r="K856" s="6"/>
      <c r="L856" s="9"/>
      <c r="M856" s="10"/>
      <c r="N856" s="10"/>
      <c r="O856" s="9"/>
      <c r="P856" s="15"/>
      <c r="Q856" s="9"/>
      <c r="R856" s="9"/>
      <c r="S856" s="9"/>
      <c r="T856" s="9"/>
      <c r="U856" s="6"/>
      <c r="V856" s="6"/>
      <c r="W856" s="6"/>
      <c r="X856" s="6"/>
      <c r="Y856" s="6"/>
      <c r="Z856" s="6"/>
      <c r="AA856" s="6"/>
      <c r="AB856" s="6"/>
      <c r="AC856" s="6"/>
      <c r="AD856" s="6"/>
      <c r="AE856" s="6"/>
      <c r="AF856" s="6"/>
      <c r="AG856" s="6"/>
      <c r="AH856" s="6"/>
    </row>
    <row r="857" ht="15.75" customHeight="1">
      <c r="A857" s="6"/>
      <c r="B857" s="6"/>
      <c r="C857" s="6"/>
      <c r="D857" s="6"/>
      <c r="E857" s="6"/>
      <c r="F857" s="6"/>
      <c r="G857" s="9"/>
      <c r="H857" s="9"/>
      <c r="I857" s="9"/>
      <c r="J857" s="9"/>
      <c r="K857" s="6"/>
      <c r="L857" s="9"/>
      <c r="M857" s="10"/>
      <c r="N857" s="10"/>
      <c r="O857" s="9"/>
      <c r="P857" s="15"/>
      <c r="Q857" s="9"/>
      <c r="R857" s="9"/>
      <c r="S857" s="9"/>
      <c r="T857" s="9"/>
      <c r="U857" s="6"/>
      <c r="V857" s="6"/>
      <c r="W857" s="6"/>
      <c r="X857" s="6"/>
      <c r="Y857" s="6"/>
      <c r="Z857" s="6"/>
      <c r="AA857" s="6"/>
      <c r="AB857" s="6"/>
      <c r="AC857" s="6"/>
      <c r="AD857" s="6"/>
      <c r="AE857" s="6"/>
      <c r="AF857" s="6"/>
      <c r="AG857" s="6"/>
      <c r="AH857" s="6"/>
    </row>
    <row r="858" ht="15.75" customHeight="1">
      <c r="A858" s="6"/>
      <c r="B858" s="6"/>
      <c r="C858" s="6"/>
      <c r="D858" s="6"/>
      <c r="E858" s="6"/>
      <c r="F858" s="6"/>
      <c r="G858" s="9"/>
      <c r="H858" s="9"/>
      <c r="I858" s="9"/>
      <c r="J858" s="9"/>
      <c r="K858" s="6"/>
      <c r="L858" s="9"/>
      <c r="M858" s="10"/>
      <c r="N858" s="10"/>
      <c r="O858" s="9"/>
      <c r="P858" s="15"/>
      <c r="Q858" s="9"/>
      <c r="R858" s="9"/>
      <c r="S858" s="9"/>
      <c r="T858" s="9"/>
      <c r="U858" s="6"/>
      <c r="V858" s="6"/>
      <c r="W858" s="6"/>
      <c r="X858" s="6"/>
      <c r="Y858" s="6"/>
      <c r="Z858" s="6"/>
      <c r="AA858" s="6"/>
      <c r="AB858" s="6"/>
      <c r="AC858" s="6"/>
      <c r="AD858" s="6"/>
      <c r="AE858" s="6"/>
      <c r="AF858" s="6"/>
      <c r="AG858" s="6"/>
      <c r="AH858" s="6"/>
    </row>
    <row r="859" ht="15.75" customHeight="1">
      <c r="A859" s="6"/>
      <c r="B859" s="6"/>
      <c r="C859" s="6"/>
      <c r="D859" s="6"/>
      <c r="E859" s="6"/>
      <c r="F859" s="6"/>
      <c r="G859" s="9"/>
      <c r="H859" s="9"/>
      <c r="I859" s="9"/>
      <c r="J859" s="9"/>
      <c r="K859" s="6"/>
      <c r="L859" s="9"/>
      <c r="M859" s="10"/>
      <c r="N859" s="10"/>
      <c r="O859" s="9"/>
      <c r="P859" s="15"/>
      <c r="Q859" s="9"/>
      <c r="R859" s="9"/>
      <c r="S859" s="9"/>
      <c r="T859" s="9"/>
      <c r="U859" s="6"/>
      <c r="V859" s="6"/>
      <c r="W859" s="6"/>
      <c r="X859" s="6"/>
      <c r="Y859" s="6"/>
      <c r="Z859" s="6"/>
      <c r="AA859" s="6"/>
      <c r="AB859" s="6"/>
      <c r="AC859" s="6"/>
      <c r="AD859" s="6"/>
      <c r="AE859" s="6"/>
      <c r="AF859" s="6"/>
      <c r="AG859" s="6"/>
      <c r="AH859" s="6"/>
    </row>
    <row r="860" ht="15.75" customHeight="1">
      <c r="A860" s="6"/>
      <c r="B860" s="6"/>
      <c r="C860" s="6"/>
      <c r="D860" s="6"/>
      <c r="E860" s="6"/>
      <c r="F860" s="6"/>
      <c r="G860" s="9"/>
      <c r="H860" s="9"/>
      <c r="I860" s="9"/>
      <c r="J860" s="9"/>
      <c r="K860" s="6"/>
      <c r="L860" s="9"/>
      <c r="M860" s="10"/>
      <c r="N860" s="10"/>
      <c r="O860" s="9"/>
      <c r="P860" s="15"/>
      <c r="Q860" s="9"/>
      <c r="R860" s="9"/>
      <c r="S860" s="9"/>
      <c r="T860" s="9"/>
      <c r="U860" s="6"/>
      <c r="V860" s="6"/>
      <c r="W860" s="6"/>
      <c r="X860" s="6"/>
      <c r="Y860" s="6"/>
      <c r="Z860" s="6"/>
      <c r="AA860" s="6"/>
      <c r="AB860" s="6"/>
      <c r="AC860" s="6"/>
      <c r="AD860" s="6"/>
      <c r="AE860" s="6"/>
      <c r="AF860" s="6"/>
      <c r="AG860" s="6"/>
      <c r="AH860" s="6"/>
    </row>
    <row r="861" ht="15.75" customHeight="1">
      <c r="A861" s="6"/>
      <c r="B861" s="6"/>
      <c r="C861" s="6"/>
      <c r="D861" s="6"/>
      <c r="E861" s="6"/>
      <c r="F861" s="6"/>
      <c r="G861" s="9"/>
      <c r="H861" s="9"/>
      <c r="I861" s="9"/>
      <c r="J861" s="9"/>
      <c r="K861" s="6"/>
      <c r="L861" s="9"/>
      <c r="M861" s="10"/>
      <c r="N861" s="10"/>
      <c r="O861" s="9"/>
      <c r="P861" s="15"/>
      <c r="Q861" s="9"/>
      <c r="R861" s="9"/>
      <c r="S861" s="9"/>
      <c r="T861" s="9"/>
      <c r="U861" s="6"/>
      <c r="V861" s="6"/>
      <c r="W861" s="6"/>
      <c r="X861" s="6"/>
      <c r="Y861" s="6"/>
      <c r="Z861" s="6"/>
      <c r="AA861" s="6"/>
      <c r="AB861" s="6"/>
      <c r="AC861" s="6"/>
      <c r="AD861" s="6"/>
      <c r="AE861" s="6"/>
      <c r="AF861" s="6"/>
      <c r="AG861" s="6"/>
      <c r="AH861" s="6"/>
    </row>
    <row r="862" ht="15.75" customHeight="1">
      <c r="A862" s="6"/>
      <c r="B862" s="6"/>
      <c r="C862" s="6"/>
      <c r="D862" s="6"/>
      <c r="E862" s="6"/>
      <c r="F862" s="6"/>
      <c r="G862" s="9"/>
      <c r="H862" s="9"/>
      <c r="I862" s="9"/>
      <c r="J862" s="9"/>
      <c r="K862" s="6"/>
      <c r="L862" s="9"/>
      <c r="M862" s="10"/>
      <c r="N862" s="10"/>
      <c r="O862" s="9"/>
      <c r="P862" s="15"/>
      <c r="Q862" s="9"/>
      <c r="R862" s="9"/>
      <c r="S862" s="9"/>
      <c r="T862" s="9"/>
      <c r="U862" s="6"/>
      <c r="V862" s="6"/>
      <c r="W862" s="6"/>
      <c r="X862" s="6"/>
      <c r="Y862" s="6"/>
      <c r="Z862" s="6"/>
      <c r="AA862" s="6"/>
      <c r="AB862" s="6"/>
      <c r="AC862" s="6"/>
      <c r="AD862" s="6"/>
      <c r="AE862" s="6"/>
      <c r="AF862" s="6"/>
      <c r="AG862" s="6"/>
      <c r="AH862" s="6"/>
    </row>
    <row r="863" ht="15.75" customHeight="1">
      <c r="A863" s="6"/>
      <c r="B863" s="6"/>
      <c r="C863" s="6"/>
      <c r="D863" s="6"/>
      <c r="E863" s="6"/>
      <c r="F863" s="6"/>
      <c r="G863" s="9"/>
      <c r="H863" s="9"/>
      <c r="I863" s="9"/>
      <c r="J863" s="9"/>
      <c r="K863" s="6"/>
      <c r="L863" s="9"/>
      <c r="M863" s="10"/>
      <c r="N863" s="10"/>
      <c r="O863" s="9"/>
      <c r="P863" s="15"/>
      <c r="Q863" s="9"/>
      <c r="R863" s="9"/>
      <c r="S863" s="9"/>
      <c r="T863" s="9"/>
      <c r="U863" s="6"/>
      <c r="V863" s="6"/>
      <c r="W863" s="6"/>
      <c r="X863" s="6"/>
      <c r="Y863" s="6"/>
      <c r="Z863" s="6"/>
      <c r="AA863" s="6"/>
      <c r="AB863" s="6"/>
      <c r="AC863" s="6"/>
      <c r="AD863" s="6"/>
      <c r="AE863" s="6"/>
      <c r="AF863" s="6"/>
      <c r="AG863" s="6"/>
      <c r="AH863" s="6"/>
    </row>
    <row r="864" ht="15.75" customHeight="1">
      <c r="A864" s="6"/>
      <c r="B864" s="6"/>
      <c r="C864" s="6"/>
      <c r="D864" s="6"/>
      <c r="E864" s="6"/>
      <c r="F864" s="6"/>
      <c r="G864" s="9"/>
      <c r="H864" s="9"/>
      <c r="I864" s="9"/>
      <c r="J864" s="9"/>
      <c r="K864" s="6"/>
      <c r="L864" s="9"/>
      <c r="M864" s="10"/>
      <c r="N864" s="10"/>
      <c r="O864" s="9"/>
      <c r="P864" s="15"/>
      <c r="Q864" s="9"/>
      <c r="R864" s="9"/>
      <c r="S864" s="9"/>
      <c r="T864" s="9"/>
      <c r="U864" s="6"/>
      <c r="V864" s="6"/>
      <c r="W864" s="6"/>
      <c r="X864" s="6"/>
      <c r="Y864" s="6"/>
      <c r="Z864" s="6"/>
      <c r="AA864" s="6"/>
      <c r="AB864" s="6"/>
      <c r="AC864" s="6"/>
      <c r="AD864" s="6"/>
      <c r="AE864" s="6"/>
      <c r="AF864" s="6"/>
      <c r="AG864" s="6"/>
      <c r="AH864" s="6"/>
    </row>
    <row r="865" ht="15.75" customHeight="1">
      <c r="A865" s="6"/>
      <c r="B865" s="6"/>
      <c r="C865" s="6"/>
      <c r="D865" s="6"/>
      <c r="E865" s="6"/>
      <c r="F865" s="6"/>
      <c r="G865" s="9"/>
      <c r="H865" s="9"/>
      <c r="I865" s="9"/>
      <c r="J865" s="9"/>
      <c r="K865" s="6"/>
      <c r="L865" s="9"/>
      <c r="M865" s="10"/>
      <c r="N865" s="10"/>
      <c r="O865" s="9"/>
      <c r="P865" s="15"/>
      <c r="Q865" s="9"/>
      <c r="R865" s="9"/>
      <c r="S865" s="9"/>
      <c r="T865" s="9"/>
      <c r="U865" s="6"/>
      <c r="V865" s="6"/>
      <c r="W865" s="6"/>
      <c r="X865" s="6"/>
      <c r="Y865" s="6"/>
      <c r="Z865" s="6"/>
      <c r="AA865" s="6"/>
      <c r="AB865" s="6"/>
      <c r="AC865" s="6"/>
      <c r="AD865" s="6"/>
      <c r="AE865" s="6"/>
      <c r="AF865" s="6"/>
      <c r="AG865" s="6"/>
      <c r="AH865" s="6"/>
    </row>
    <row r="866" ht="15.75" customHeight="1">
      <c r="A866" s="6"/>
      <c r="B866" s="6"/>
      <c r="C866" s="6"/>
      <c r="D866" s="6"/>
      <c r="E866" s="6"/>
      <c r="F866" s="6"/>
      <c r="G866" s="9"/>
      <c r="H866" s="9"/>
      <c r="I866" s="9"/>
      <c r="J866" s="9"/>
      <c r="K866" s="6"/>
      <c r="L866" s="9"/>
      <c r="M866" s="10"/>
      <c r="N866" s="10"/>
      <c r="O866" s="9"/>
      <c r="P866" s="15"/>
      <c r="Q866" s="9"/>
      <c r="R866" s="9"/>
      <c r="S866" s="9"/>
      <c r="T866" s="9"/>
      <c r="U866" s="6"/>
      <c r="V866" s="6"/>
      <c r="W866" s="6"/>
      <c r="X866" s="6"/>
      <c r="Y866" s="6"/>
      <c r="Z866" s="6"/>
      <c r="AA866" s="6"/>
      <c r="AB866" s="6"/>
      <c r="AC866" s="6"/>
      <c r="AD866" s="6"/>
      <c r="AE866" s="6"/>
      <c r="AF866" s="6"/>
      <c r="AG866" s="6"/>
      <c r="AH866" s="6"/>
    </row>
    <row r="867" ht="15.75" customHeight="1">
      <c r="A867" s="6"/>
      <c r="B867" s="6"/>
      <c r="C867" s="6"/>
      <c r="D867" s="6"/>
      <c r="E867" s="6"/>
      <c r="F867" s="6"/>
      <c r="G867" s="9"/>
      <c r="H867" s="9"/>
      <c r="I867" s="9"/>
      <c r="J867" s="9"/>
      <c r="K867" s="6"/>
      <c r="L867" s="9"/>
      <c r="M867" s="10"/>
      <c r="N867" s="10"/>
      <c r="O867" s="9"/>
      <c r="P867" s="15"/>
      <c r="Q867" s="9"/>
      <c r="R867" s="9"/>
      <c r="S867" s="9"/>
      <c r="T867" s="9"/>
      <c r="U867" s="6"/>
      <c r="V867" s="6"/>
      <c r="W867" s="6"/>
      <c r="X867" s="6"/>
      <c r="Y867" s="6"/>
      <c r="Z867" s="6"/>
      <c r="AA867" s="6"/>
      <c r="AB867" s="6"/>
      <c r="AC867" s="6"/>
      <c r="AD867" s="6"/>
      <c r="AE867" s="6"/>
      <c r="AF867" s="6"/>
      <c r="AG867" s="6"/>
      <c r="AH867" s="6"/>
    </row>
    <row r="868" ht="15.75" customHeight="1">
      <c r="A868" s="6"/>
      <c r="B868" s="6"/>
      <c r="C868" s="6"/>
      <c r="D868" s="6"/>
      <c r="E868" s="6"/>
      <c r="F868" s="6"/>
      <c r="G868" s="9"/>
      <c r="H868" s="9"/>
      <c r="I868" s="9"/>
      <c r="J868" s="9"/>
      <c r="K868" s="6"/>
      <c r="L868" s="9"/>
      <c r="M868" s="10"/>
      <c r="N868" s="10"/>
      <c r="O868" s="9"/>
      <c r="P868" s="15"/>
      <c r="Q868" s="9"/>
      <c r="R868" s="9"/>
      <c r="S868" s="9"/>
      <c r="T868" s="9"/>
      <c r="U868" s="6"/>
      <c r="V868" s="6"/>
      <c r="W868" s="6"/>
      <c r="X868" s="6"/>
      <c r="Y868" s="6"/>
      <c r="Z868" s="6"/>
      <c r="AA868" s="6"/>
      <c r="AB868" s="6"/>
      <c r="AC868" s="6"/>
      <c r="AD868" s="6"/>
      <c r="AE868" s="6"/>
      <c r="AF868" s="6"/>
      <c r="AG868" s="6"/>
      <c r="AH868" s="6"/>
    </row>
    <row r="869" ht="15.75" customHeight="1">
      <c r="A869" s="6"/>
      <c r="B869" s="6"/>
      <c r="C869" s="6"/>
      <c r="D869" s="6"/>
      <c r="E869" s="6"/>
      <c r="F869" s="6"/>
      <c r="G869" s="9"/>
      <c r="H869" s="9"/>
      <c r="I869" s="9"/>
      <c r="J869" s="9"/>
      <c r="K869" s="6"/>
      <c r="L869" s="9"/>
      <c r="M869" s="10"/>
      <c r="N869" s="10"/>
      <c r="O869" s="9"/>
      <c r="P869" s="15"/>
      <c r="Q869" s="9"/>
      <c r="R869" s="9"/>
      <c r="S869" s="9"/>
      <c r="T869" s="9"/>
      <c r="U869" s="6"/>
      <c r="V869" s="6"/>
      <c r="W869" s="6"/>
      <c r="X869" s="6"/>
      <c r="Y869" s="6"/>
      <c r="Z869" s="6"/>
      <c r="AA869" s="6"/>
      <c r="AB869" s="6"/>
      <c r="AC869" s="6"/>
      <c r="AD869" s="6"/>
      <c r="AE869" s="6"/>
      <c r="AF869" s="6"/>
      <c r="AG869" s="6"/>
      <c r="AH869" s="6"/>
    </row>
    <row r="870" ht="15.75" customHeight="1">
      <c r="A870" s="6"/>
      <c r="B870" s="6"/>
      <c r="C870" s="6"/>
      <c r="D870" s="6"/>
      <c r="E870" s="6"/>
      <c r="F870" s="6"/>
      <c r="G870" s="9"/>
      <c r="H870" s="9"/>
      <c r="I870" s="9"/>
      <c r="J870" s="9"/>
      <c r="K870" s="6"/>
      <c r="L870" s="9"/>
      <c r="M870" s="10"/>
      <c r="N870" s="10"/>
      <c r="O870" s="9"/>
      <c r="P870" s="15"/>
      <c r="Q870" s="9"/>
      <c r="R870" s="9"/>
      <c r="S870" s="9"/>
      <c r="T870" s="9"/>
      <c r="U870" s="6"/>
      <c r="V870" s="6"/>
      <c r="W870" s="6"/>
      <c r="X870" s="6"/>
      <c r="Y870" s="6"/>
      <c r="Z870" s="6"/>
      <c r="AA870" s="6"/>
      <c r="AB870" s="6"/>
      <c r="AC870" s="6"/>
      <c r="AD870" s="6"/>
      <c r="AE870" s="6"/>
      <c r="AF870" s="6"/>
      <c r="AG870" s="6"/>
      <c r="AH870" s="6"/>
    </row>
    <row r="871" ht="15.75" customHeight="1">
      <c r="A871" s="6"/>
      <c r="B871" s="6"/>
      <c r="C871" s="6"/>
      <c r="D871" s="6"/>
      <c r="E871" s="6"/>
      <c r="F871" s="6"/>
      <c r="G871" s="9"/>
      <c r="H871" s="9"/>
      <c r="I871" s="9"/>
      <c r="J871" s="9"/>
      <c r="K871" s="6"/>
      <c r="L871" s="9"/>
      <c r="M871" s="10"/>
      <c r="N871" s="10"/>
      <c r="O871" s="9"/>
      <c r="P871" s="15"/>
      <c r="Q871" s="9"/>
      <c r="R871" s="9"/>
      <c r="S871" s="9"/>
      <c r="T871" s="9"/>
      <c r="U871" s="6"/>
      <c r="V871" s="6"/>
      <c r="W871" s="6"/>
      <c r="X871" s="6"/>
      <c r="Y871" s="6"/>
      <c r="Z871" s="6"/>
      <c r="AA871" s="6"/>
      <c r="AB871" s="6"/>
      <c r="AC871" s="6"/>
      <c r="AD871" s="6"/>
      <c r="AE871" s="6"/>
      <c r="AF871" s="6"/>
      <c r="AG871" s="6"/>
      <c r="AH871" s="6"/>
    </row>
    <row r="872" ht="15.75" customHeight="1">
      <c r="A872" s="6"/>
      <c r="B872" s="6"/>
      <c r="C872" s="6"/>
      <c r="D872" s="6"/>
      <c r="E872" s="6"/>
      <c r="F872" s="6"/>
      <c r="G872" s="9"/>
      <c r="H872" s="9"/>
      <c r="I872" s="9"/>
      <c r="J872" s="9"/>
      <c r="K872" s="6"/>
      <c r="L872" s="9"/>
      <c r="M872" s="10"/>
      <c r="N872" s="10"/>
      <c r="O872" s="9"/>
      <c r="P872" s="15"/>
      <c r="Q872" s="9"/>
      <c r="R872" s="9"/>
      <c r="S872" s="9"/>
      <c r="T872" s="9"/>
      <c r="U872" s="6"/>
      <c r="V872" s="6"/>
      <c r="W872" s="6"/>
      <c r="X872" s="6"/>
      <c r="Y872" s="6"/>
      <c r="Z872" s="6"/>
      <c r="AA872" s="6"/>
      <c r="AB872" s="6"/>
      <c r="AC872" s="6"/>
      <c r="AD872" s="6"/>
      <c r="AE872" s="6"/>
      <c r="AF872" s="6"/>
      <c r="AG872" s="6"/>
      <c r="AH872" s="6"/>
    </row>
    <row r="873" ht="15.75" customHeight="1">
      <c r="A873" s="6"/>
      <c r="B873" s="6"/>
      <c r="C873" s="6"/>
      <c r="D873" s="6"/>
      <c r="E873" s="6"/>
      <c r="F873" s="6"/>
      <c r="G873" s="9"/>
      <c r="H873" s="9"/>
      <c r="I873" s="9"/>
      <c r="J873" s="9"/>
      <c r="K873" s="6"/>
      <c r="L873" s="9"/>
      <c r="M873" s="10"/>
      <c r="N873" s="10"/>
      <c r="O873" s="9"/>
      <c r="P873" s="15"/>
      <c r="Q873" s="9"/>
      <c r="R873" s="9"/>
      <c r="S873" s="9"/>
      <c r="T873" s="9"/>
      <c r="U873" s="6"/>
      <c r="V873" s="6"/>
      <c r="W873" s="6"/>
      <c r="X873" s="6"/>
      <c r="Y873" s="6"/>
      <c r="Z873" s="6"/>
      <c r="AA873" s="6"/>
      <c r="AB873" s="6"/>
      <c r="AC873" s="6"/>
      <c r="AD873" s="6"/>
      <c r="AE873" s="6"/>
      <c r="AF873" s="6"/>
      <c r="AG873" s="6"/>
      <c r="AH873" s="6"/>
    </row>
    <row r="874" ht="15.75" customHeight="1">
      <c r="A874" s="6"/>
      <c r="B874" s="6"/>
      <c r="C874" s="6"/>
      <c r="D874" s="6"/>
      <c r="E874" s="6"/>
      <c r="F874" s="6"/>
      <c r="G874" s="9"/>
      <c r="H874" s="9"/>
      <c r="I874" s="9"/>
      <c r="J874" s="9"/>
      <c r="K874" s="6"/>
      <c r="L874" s="9"/>
      <c r="M874" s="10"/>
      <c r="N874" s="10"/>
      <c r="O874" s="9"/>
      <c r="P874" s="15"/>
      <c r="Q874" s="9"/>
      <c r="R874" s="9"/>
      <c r="S874" s="9"/>
      <c r="T874" s="9"/>
      <c r="U874" s="6"/>
      <c r="V874" s="6"/>
      <c r="W874" s="6"/>
      <c r="X874" s="6"/>
      <c r="Y874" s="6"/>
      <c r="Z874" s="6"/>
      <c r="AA874" s="6"/>
      <c r="AB874" s="6"/>
      <c r="AC874" s="6"/>
      <c r="AD874" s="6"/>
      <c r="AE874" s="6"/>
      <c r="AF874" s="6"/>
      <c r="AG874" s="6"/>
      <c r="AH874" s="6"/>
    </row>
    <row r="875" ht="15.75" customHeight="1">
      <c r="A875" s="6"/>
      <c r="B875" s="6"/>
      <c r="C875" s="6"/>
      <c r="D875" s="6"/>
      <c r="E875" s="6"/>
      <c r="F875" s="6"/>
      <c r="G875" s="9"/>
      <c r="H875" s="9"/>
      <c r="I875" s="9"/>
      <c r="J875" s="9"/>
      <c r="K875" s="6"/>
      <c r="L875" s="9"/>
      <c r="M875" s="10"/>
      <c r="N875" s="10"/>
      <c r="O875" s="9"/>
      <c r="P875" s="15"/>
      <c r="Q875" s="9"/>
      <c r="R875" s="9"/>
      <c r="S875" s="9"/>
      <c r="T875" s="9"/>
      <c r="U875" s="6"/>
      <c r="V875" s="6"/>
      <c r="W875" s="6"/>
      <c r="X875" s="6"/>
      <c r="Y875" s="6"/>
      <c r="Z875" s="6"/>
      <c r="AA875" s="6"/>
      <c r="AB875" s="6"/>
      <c r="AC875" s="6"/>
      <c r="AD875" s="6"/>
      <c r="AE875" s="6"/>
      <c r="AF875" s="6"/>
      <c r="AG875" s="6"/>
      <c r="AH875" s="6"/>
    </row>
    <row r="876" ht="15.75" customHeight="1">
      <c r="A876" s="6"/>
      <c r="B876" s="6"/>
      <c r="C876" s="6"/>
      <c r="D876" s="6"/>
      <c r="E876" s="6"/>
      <c r="F876" s="6"/>
      <c r="G876" s="9"/>
      <c r="H876" s="9"/>
      <c r="I876" s="9"/>
      <c r="J876" s="9"/>
      <c r="K876" s="6"/>
      <c r="L876" s="9"/>
      <c r="M876" s="10"/>
      <c r="N876" s="10"/>
      <c r="O876" s="9"/>
      <c r="P876" s="15"/>
      <c r="Q876" s="9"/>
      <c r="R876" s="9"/>
      <c r="S876" s="9"/>
      <c r="T876" s="9"/>
      <c r="U876" s="6"/>
      <c r="V876" s="6"/>
      <c r="W876" s="6"/>
      <c r="X876" s="6"/>
      <c r="Y876" s="6"/>
      <c r="Z876" s="6"/>
      <c r="AA876" s="6"/>
      <c r="AB876" s="6"/>
      <c r="AC876" s="6"/>
      <c r="AD876" s="6"/>
      <c r="AE876" s="6"/>
      <c r="AF876" s="6"/>
      <c r="AG876" s="6"/>
      <c r="AH876" s="6"/>
    </row>
    <row r="877" ht="15.75" customHeight="1">
      <c r="A877" s="6"/>
      <c r="B877" s="6"/>
      <c r="C877" s="6"/>
      <c r="D877" s="6"/>
      <c r="E877" s="6"/>
      <c r="F877" s="6"/>
      <c r="G877" s="9"/>
      <c r="H877" s="9"/>
      <c r="I877" s="9"/>
      <c r="J877" s="9"/>
      <c r="K877" s="6"/>
      <c r="L877" s="9"/>
      <c r="M877" s="10"/>
      <c r="N877" s="10"/>
      <c r="O877" s="9"/>
      <c r="P877" s="15"/>
      <c r="Q877" s="9"/>
      <c r="R877" s="9"/>
      <c r="S877" s="9"/>
      <c r="T877" s="9"/>
      <c r="U877" s="6"/>
      <c r="V877" s="6"/>
      <c r="W877" s="6"/>
      <c r="X877" s="6"/>
      <c r="Y877" s="6"/>
      <c r="Z877" s="6"/>
      <c r="AA877" s="6"/>
      <c r="AB877" s="6"/>
      <c r="AC877" s="6"/>
      <c r="AD877" s="6"/>
      <c r="AE877" s="6"/>
      <c r="AF877" s="6"/>
      <c r="AG877" s="6"/>
      <c r="AH877" s="6"/>
    </row>
    <row r="878" ht="15.75" customHeight="1">
      <c r="A878" s="6"/>
      <c r="B878" s="6"/>
      <c r="C878" s="6"/>
      <c r="D878" s="6"/>
      <c r="E878" s="6"/>
      <c r="F878" s="6"/>
      <c r="G878" s="9"/>
      <c r="H878" s="9"/>
      <c r="I878" s="9"/>
      <c r="J878" s="9"/>
      <c r="K878" s="6"/>
      <c r="L878" s="9"/>
      <c r="M878" s="10"/>
      <c r="N878" s="10"/>
      <c r="O878" s="9"/>
      <c r="P878" s="15"/>
      <c r="Q878" s="9"/>
      <c r="R878" s="9"/>
      <c r="S878" s="9"/>
      <c r="T878" s="9"/>
      <c r="U878" s="6"/>
      <c r="V878" s="6"/>
      <c r="W878" s="6"/>
      <c r="X878" s="6"/>
      <c r="Y878" s="6"/>
      <c r="Z878" s="6"/>
      <c r="AA878" s="6"/>
      <c r="AB878" s="6"/>
      <c r="AC878" s="6"/>
      <c r="AD878" s="6"/>
      <c r="AE878" s="6"/>
      <c r="AF878" s="6"/>
      <c r="AG878" s="6"/>
      <c r="AH878" s="6"/>
    </row>
    <row r="879" ht="15.75" customHeight="1">
      <c r="A879" s="6"/>
      <c r="B879" s="6"/>
      <c r="C879" s="6"/>
      <c r="D879" s="6"/>
      <c r="E879" s="6"/>
      <c r="F879" s="6"/>
      <c r="G879" s="9"/>
      <c r="H879" s="9"/>
      <c r="I879" s="9"/>
      <c r="J879" s="9"/>
      <c r="K879" s="6"/>
      <c r="L879" s="9"/>
      <c r="M879" s="10"/>
      <c r="N879" s="10"/>
      <c r="O879" s="9"/>
      <c r="P879" s="15"/>
      <c r="Q879" s="9"/>
      <c r="R879" s="9"/>
      <c r="S879" s="9"/>
      <c r="T879" s="9"/>
      <c r="U879" s="6"/>
      <c r="V879" s="6"/>
      <c r="W879" s="6"/>
      <c r="X879" s="6"/>
      <c r="Y879" s="6"/>
      <c r="Z879" s="6"/>
      <c r="AA879" s="6"/>
      <c r="AB879" s="6"/>
      <c r="AC879" s="6"/>
      <c r="AD879" s="6"/>
      <c r="AE879" s="6"/>
      <c r="AF879" s="6"/>
      <c r="AG879" s="6"/>
      <c r="AH879" s="6"/>
    </row>
    <row r="880" ht="15.75" customHeight="1">
      <c r="A880" s="6"/>
      <c r="B880" s="6"/>
      <c r="C880" s="6"/>
      <c r="D880" s="6"/>
      <c r="E880" s="6"/>
      <c r="F880" s="6"/>
      <c r="G880" s="9"/>
      <c r="H880" s="9"/>
      <c r="I880" s="9"/>
      <c r="J880" s="9"/>
      <c r="K880" s="6"/>
      <c r="L880" s="9"/>
      <c r="M880" s="10"/>
      <c r="N880" s="10"/>
      <c r="O880" s="9"/>
      <c r="P880" s="15"/>
      <c r="Q880" s="9"/>
      <c r="R880" s="9"/>
      <c r="S880" s="9"/>
      <c r="T880" s="9"/>
      <c r="U880" s="6"/>
      <c r="V880" s="6"/>
      <c r="W880" s="6"/>
      <c r="X880" s="6"/>
      <c r="Y880" s="6"/>
      <c r="Z880" s="6"/>
      <c r="AA880" s="6"/>
      <c r="AB880" s="6"/>
      <c r="AC880" s="6"/>
      <c r="AD880" s="6"/>
      <c r="AE880" s="6"/>
      <c r="AF880" s="6"/>
      <c r="AG880" s="6"/>
      <c r="AH880" s="6"/>
    </row>
    <row r="881" ht="15.75" customHeight="1">
      <c r="A881" s="6"/>
      <c r="B881" s="6"/>
      <c r="C881" s="6"/>
      <c r="D881" s="6"/>
      <c r="E881" s="6"/>
      <c r="F881" s="6"/>
      <c r="G881" s="9"/>
      <c r="H881" s="9"/>
      <c r="I881" s="9"/>
      <c r="J881" s="9"/>
      <c r="K881" s="6"/>
      <c r="L881" s="9"/>
      <c r="M881" s="10"/>
      <c r="N881" s="10"/>
      <c r="O881" s="9"/>
      <c r="P881" s="15"/>
      <c r="Q881" s="9"/>
      <c r="R881" s="9"/>
      <c r="S881" s="9"/>
      <c r="T881" s="9"/>
      <c r="U881" s="6"/>
      <c r="V881" s="6"/>
      <c r="W881" s="6"/>
      <c r="X881" s="6"/>
      <c r="Y881" s="6"/>
      <c r="Z881" s="6"/>
      <c r="AA881" s="6"/>
      <c r="AB881" s="6"/>
      <c r="AC881" s="6"/>
      <c r="AD881" s="6"/>
      <c r="AE881" s="6"/>
      <c r="AF881" s="6"/>
      <c r="AG881" s="6"/>
      <c r="AH881" s="6"/>
    </row>
    <row r="882" ht="15.75" customHeight="1">
      <c r="A882" s="6"/>
      <c r="B882" s="6"/>
      <c r="C882" s="6"/>
      <c r="D882" s="6"/>
      <c r="E882" s="6"/>
      <c r="F882" s="6"/>
      <c r="G882" s="9"/>
      <c r="H882" s="9"/>
      <c r="I882" s="9"/>
      <c r="J882" s="9"/>
      <c r="K882" s="6"/>
      <c r="L882" s="9"/>
      <c r="M882" s="10"/>
      <c r="N882" s="10"/>
      <c r="O882" s="9"/>
      <c r="P882" s="15"/>
      <c r="Q882" s="9"/>
      <c r="R882" s="9"/>
      <c r="S882" s="9"/>
      <c r="T882" s="9"/>
      <c r="U882" s="6"/>
      <c r="V882" s="6"/>
      <c r="W882" s="6"/>
      <c r="X882" s="6"/>
      <c r="Y882" s="6"/>
      <c r="Z882" s="6"/>
      <c r="AA882" s="6"/>
      <c r="AB882" s="6"/>
      <c r="AC882" s="6"/>
      <c r="AD882" s="6"/>
      <c r="AE882" s="6"/>
      <c r="AF882" s="6"/>
      <c r="AG882" s="6"/>
      <c r="AH882" s="6"/>
    </row>
    <row r="883" ht="15.75" customHeight="1">
      <c r="A883" s="6"/>
      <c r="B883" s="6"/>
      <c r="C883" s="6"/>
      <c r="D883" s="6"/>
      <c r="E883" s="6"/>
      <c r="F883" s="6"/>
      <c r="G883" s="9"/>
      <c r="H883" s="9"/>
      <c r="I883" s="9"/>
      <c r="J883" s="9"/>
      <c r="K883" s="6"/>
      <c r="L883" s="9"/>
      <c r="M883" s="10"/>
      <c r="N883" s="10"/>
      <c r="O883" s="9"/>
      <c r="P883" s="15"/>
      <c r="Q883" s="9"/>
      <c r="R883" s="9"/>
      <c r="S883" s="9"/>
      <c r="T883" s="9"/>
      <c r="U883" s="6"/>
      <c r="V883" s="6"/>
      <c r="W883" s="6"/>
      <c r="X883" s="6"/>
      <c r="Y883" s="6"/>
      <c r="Z883" s="6"/>
      <c r="AA883" s="6"/>
      <c r="AB883" s="6"/>
      <c r="AC883" s="6"/>
      <c r="AD883" s="6"/>
      <c r="AE883" s="6"/>
      <c r="AF883" s="6"/>
      <c r="AG883" s="6"/>
      <c r="AH883" s="6"/>
    </row>
    <row r="884" ht="15.75" customHeight="1">
      <c r="A884" s="6"/>
      <c r="B884" s="6"/>
      <c r="C884" s="6"/>
      <c r="D884" s="6"/>
      <c r="E884" s="6"/>
      <c r="F884" s="6"/>
      <c r="G884" s="9"/>
      <c r="H884" s="9"/>
      <c r="I884" s="9"/>
      <c r="J884" s="9"/>
      <c r="K884" s="6"/>
      <c r="L884" s="9"/>
      <c r="M884" s="10"/>
      <c r="N884" s="10"/>
      <c r="O884" s="9"/>
      <c r="P884" s="15"/>
      <c r="Q884" s="9"/>
      <c r="R884" s="9"/>
      <c r="S884" s="9"/>
      <c r="T884" s="9"/>
      <c r="U884" s="6"/>
      <c r="V884" s="6"/>
      <c r="W884" s="6"/>
      <c r="X884" s="6"/>
      <c r="Y884" s="6"/>
      <c r="Z884" s="6"/>
      <c r="AA884" s="6"/>
      <c r="AB884" s="6"/>
      <c r="AC884" s="6"/>
      <c r="AD884" s="6"/>
      <c r="AE884" s="6"/>
      <c r="AF884" s="6"/>
      <c r="AG884" s="6"/>
      <c r="AH884" s="6"/>
    </row>
    <row r="885" ht="15.75" customHeight="1">
      <c r="A885" s="6"/>
      <c r="B885" s="6"/>
      <c r="C885" s="6"/>
      <c r="D885" s="6"/>
      <c r="E885" s="6"/>
      <c r="F885" s="6"/>
      <c r="G885" s="9"/>
      <c r="H885" s="9"/>
      <c r="I885" s="9"/>
      <c r="J885" s="9"/>
      <c r="K885" s="6"/>
      <c r="L885" s="9"/>
      <c r="M885" s="10"/>
      <c r="N885" s="10"/>
      <c r="O885" s="9"/>
      <c r="P885" s="15"/>
      <c r="Q885" s="9"/>
      <c r="R885" s="9"/>
      <c r="S885" s="9"/>
      <c r="T885" s="9"/>
      <c r="U885" s="6"/>
      <c r="V885" s="6"/>
      <c r="W885" s="6"/>
      <c r="X885" s="6"/>
      <c r="Y885" s="6"/>
      <c r="Z885" s="6"/>
      <c r="AA885" s="6"/>
      <c r="AB885" s="6"/>
      <c r="AC885" s="6"/>
      <c r="AD885" s="6"/>
      <c r="AE885" s="6"/>
      <c r="AF885" s="6"/>
      <c r="AG885" s="6"/>
      <c r="AH885" s="6"/>
    </row>
    <row r="886" ht="15.75" customHeight="1">
      <c r="A886" s="6"/>
      <c r="B886" s="6"/>
      <c r="C886" s="6"/>
      <c r="D886" s="6"/>
      <c r="E886" s="6"/>
      <c r="F886" s="6"/>
      <c r="G886" s="9"/>
      <c r="H886" s="9"/>
      <c r="I886" s="9"/>
      <c r="J886" s="9"/>
      <c r="K886" s="6"/>
      <c r="L886" s="9"/>
      <c r="M886" s="10"/>
      <c r="N886" s="10"/>
      <c r="O886" s="9"/>
      <c r="P886" s="15"/>
      <c r="Q886" s="9"/>
      <c r="R886" s="9"/>
      <c r="S886" s="9"/>
      <c r="T886" s="9"/>
      <c r="U886" s="6"/>
      <c r="V886" s="6"/>
      <c r="W886" s="6"/>
      <c r="X886" s="6"/>
      <c r="Y886" s="6"/>
      <c r="Z886" s="6"/>
      <c r="AA886" s="6"/>
      <c r="AB886" s="6"/>
      <c r="AC886" s="6"/>
      <c r="AD886" s="6"/>
      <c r="AE886" s="6"/>
      <c r="AF886" s="6"/>
      <c r="AG886" s="6"/>
      <c r="AH886" s="6"/>
    </row>
    <row r="887" ht="15.75" customHeight="1">
      <c r="A887" s="6"/>
      <c r="B887" s="6"/>
      <c r="C887" s="6"/>
      <c r="D887" s="6"/>
      <c r="E887" s="6"/>
      <c r="F887" s="6"/>
      <c r="G887" s="9"/>
      <c r="H887" s="9"/>
      <c r="I887" s="9"/>
      <c r="J887" s="9"/>
      <c r="K887" s="6"/>
      <c r="L887" s="9"/>
      <c r="M887" s="10"/>
      <c r="N887" s="10"/>
      <c r="O887" s="9"/>
      <c r="P887" s="15"/>
      <c r="Q887" s="9"/>
      <c r="R887" s="9"/>
      <c r="S887" s="9"/>
      <c r="T887" s="9"/>
      <c r="U887" s="6"/>
      <c r="V887" s="6"/>
      <c r="W887" s="6"/>
      <c r="X887" s="6"/>
      <c r="Y887" s="6"/>
      <c r="Z887" s="6"/>
      <c r="AA887" s="6"/>
      <c r="AB887" s="6"/>
      <c r="AC887" s="6"/>
      <c r="AD887" s="6"/>
      <c r="AE887" s="6"/>
      <c r="AF887" s="6"/>
      <c r="AG887" s="6"/>
      <c r="AH887" s="6"/>
    </row>
    <row r="888" ht="15.75" customHeight="1">
      <c r="A888" s="6"/>
      <c r="B888" s="6"/>
      <c r="C888" s="6"/>
      <c r="D888" s="6"/>
      <c r="E888" s="6"/>
      <c r="F888" s="6"/>
      <c r="G888" s="9"/>
      <c r="H888" s="9"/>
      <c r="I888" s="9"/>
      <c r="J888" s="9"/>
      <c r="K888" s="6"/>
      <c r="L888" s="9"/>
      <c r="M888" s="10"/>
      <c r="N888" s="10"/>
      <c r="O888" s="9"/>
      <c r="P888" s="15"/>
      <c r="Q888" s="9"/>
      <c r="R888" s="9"/>
      <c r="S888" s="9"/>
      <c r="T888" s="9"/>
      <c r="U888" s="6"/>
      <c r="V888" s="6"/>
      <c r="W888" s="6"/>
      <c r="X888" s="6"/>
      <c r="Y888" s="6"/>
      <c r="Z888" s="6"/>
      <c r="AA888" s="6"/>
      <c r="AB888" s="6"/>
      <c r="AC888" s="6"/>
      <c r="AD888" s="6"/>
      <c r="AE888" s="6"/>
      <c r="AF888" s="6"/>
      <c r="AG888" s="6"/>
      <c r="AH888" s="6"/>
    </row>
    <row r="889" ht="15.75" customHeight="1">
      <c r="A889" s="6"/>
      <c r="B889" s="6"/>
      <c r="C889" s="6"/>
      <c r="D889" s="6"/>
      <c r="E889" s="6"/>
      <c r="F889" s="6"/>
      <c r="G889" s="9"/>
      <c r="H889" s="9"/>
      <c r="I889" s="9"/>
      <c r="J889" s="9"/>
      <c r="K889" s="6"/>
      <c r="L889" s="9"/>
      <c r="M889" s="10"/>
      <c r="N889" s="10"/>
      <c r="O889" s="9"/>
      <c r="P889" s="15"/>
      <c r="Q889" s="9"/>
      <c r="R889" s="9"/>
      <c r="S889" s="9"/>
      <c r="T889" s="9"/>
      <c r="U889" s="6"/>
      <c r="V889" s="6"/>
      <c r="W889" s="6"/>
      <c r="X889" s="6"/>
      <c r="Y889" s="6"/>
      <c r="Z889" s="6"/>
      <c r="AA889" s="6"/>
      <c r="AB889" s="6"/>
      <c r="AC889" s="6"/>
      <c r="AD889" s="6"/>
      <c r="AE889" s="6"/>
      <c r="AF889" s="6"/>
      <c r="AG889" s="6"/>
      <c r="AH889" s="6"/>
    </row>
    <row r="890" ht="15.75" customHeight="1">
      <c r="A890" s="6"/>
      <c r="B890" s="6"/>
      <c r="C890" s="6"/>
      <c r="D890" s="6"/>
      <c r="E890" s="6"/>
      <c r="F890" s="6"/>
      <c r="G890" s="9"/>
      <c r="H890" s="9"/>
      <c r="I890" s="9"/>
      <c r="J890" s="9"/>
      <c r="K890" s="6"/>
      <c r="L890" s="9"/>
      <c r="M890" s="10"/>
      <c r="N890" s="10"/>
      <c r="O890" s="9"/>
      <c r="P890" s="15"/>
      <c r="Q890" s="9"/>
      <c r="R890" s="9"/>
      <c r="S890" s="9"/>
      <c r="T890" s="9"/>
      <c r="U890" s="6"/>
      <c r="V890" s="6"/>
      <c r="W890" s="6"/>
      <c r="X890" s="6"/>
      <c r="Y890" s="6"/>
      <c r="Z890" s="6"/>
      <c r="AA890" s="6"/>
      <c r="AB890" s="6"/>
      <c r="AC890" s="6"/>
      <c r="AD890" s="6"/>
      <c r="AE890" s="6"/>
      <c r="AF890" s="6"/>
      <c r="AG890" s="6"/>
      <c r="AH890" s="6"/>
    </row>
    <row r="891" ht="15.75" customHeight="1">
      <c r="A891" s="6"/>
      <c r="B891" s="6"/>
      <c r="C891" s="6"/>
      <c r="D891" s="6"/>
      <c r="E891" s="6"/>
      <c r="F891" s="6"/>
      <c r="G891" s="9"/>
      <c r="H891" s="9"/>
      <c r="I891" s="9"/>
      <c r="J891" s="9"/>
      <c r="K891" s="6"/>
      <c r="L891" s="9"/>
      <c r="M891" s="10"/>
      <c r="N891" s="10"/>
      <c r="O891" s="9"/>
      <c r="P891" s="15"/>
      <c r="Q891" s="9"/>
      <c r="R891" s="9"/>
      <c r="S891" s="9"/>
      <c r="T891" s="9"/>
      <c r="U891" s="6"/>
      <c r="V891" s="6"/>
      <c r="W891" s="6"/>
      <c r="X891" s="6"/>
      <c r="Y891" s="6"/>
      <c r="Z891" s="6"/>
      <c r="AA891" s="6"/>
      <c r="AB891" s="6"/>
      <c r="AC891" s="6"/>
      <c r="AD891" s="6"/>
      <c r="AE891" s="6"/>
      <c r="AF891" s="6"/>
      <c r="AG891" s="6"/>
      <c r="AH891" s="6"/>
    </row>
    <row r="892" ht="15.75" customHeight="1">
      <c r="A892" s="6"/>
      <c r="B892" s="6"/>
      <c r="C892" s="6"/>
      <c r="D892" s="6"/>
      <c r="E892" s="6"/>
      <c r="F892" s="6"/>
      <c r="G892" s="9"/>
      <c r="H892" s="9"/>
      <c r="I892" s="9"/>
      <c r="J892" s="9"/>
      <c r="K892" s="6"/>
      <c r="L892" s="9"/>
      <c r="M892" s="10"/>
      <c r="N892" s="10"/>
      <c r="O892" s="9"/>
      <c r="P892" s="15"/>
      <c r="Q892" s="9"/>
      <c r="R892" s="9"/>
      <c r="S892" s="9"/>
      <c r="T892" s="9"/>
      <c r="U892" s="6"/>
      <c r="V892" s="6"/>
      <c r="W892" s="6"/>
      <c r="X892" s="6"/>
      <c r="Y892" s="6"/>
      <c r="Z892" s="6"/>
      <c r="AA892" s="6"/>
      <c r="AB892" s="6"/>
      <c r="AC892" s="6"/>
      <c r="AD892" s="6"/>
      <c r="AE892" s="6"/>
      <c r="AF892" s="6"/>
      <c r="AG892" s="6"/>
      <c r="AH892" s="6"/>
    </row>
    <row r="893" ht="15.75" customHeight="1">
      <c r="A893" s="6"/>
      <c r="B893" s="6"/>
      <c r="C893" s="6"/>
      <c r="D893" s="6"/>
      <c r="E893" s="6"/>
      <c r="F893" s="6"/>
      <c r="G893" s="9"/>
      <c r="H893" s="9"/>
      <c r="I893" s="9"/>
      <c r="J893" s="9"/>
      <c r="K893" s="6"/>
      <c r="L893" s="9"/>
      <c r="M893" s="10"/>
      <c r="N893" s="10"/>
      <c r="O893" s="9"/>
      <c r="P893" s="15"/>
      <c r="Q893" s="9"/>
      <c r="R893" s="9"/>
      <c r="S893" s="9"/>
      <c r="T893" s="9"/>
      <c r="U893" s="6"/>
      <c r="V893" s="6"/>
      <c r="W893" s="6"/>
      <c r="X893" s="6"/>
      <c r="Y893" s="6"/>
      <c r="Z893" s="6"/>
      <c r="AA893" s="6"/>
      <c r="AB893" s="6"/>
      <c r="AC893" s="6"/>
      <c r="AD893" s="6"/>
      <c r="AE893" s="6"/>
      <c r="AF893" s="6"/>
      <c r="AG893" s="6"/>
      <c r="AH893" s="6"/>
    </row>
    <row r="894" ht="15.75" customHeight="1">
      <c r="A894" s="6"/>
      <c r="B894" s="6"/>
      <c r="C894" s="6"/>
      <c r="D894" s="6"/>
      <c r="E894" s="6"/>
      <c r="F894" s="6"/>
      <c r="G894" s="9"/>
      <c r="H894" s="9"/>
      <c r="I894" s="9"/>
      <c r="J894" s="9"/>
      <c r="K894" s="6"/>
      <c r="L894" s="9"/>
      <c r="M894" s="10"/>
      <c r="N894" s="10"/>
      <c r="O894" s="9"/>
      <c r="P894" s="15"/>
      <c r="Q894" s="9"/>
      <c r="R894" s="9"/>
      <c r="S894" s="9"/>
      <c r="T894" s="9"/>
      <c r="U894" s="6"/>
      <c r="V894" s="6"/>
      <c r="W894" s="6"/>
      <c r="X894" s="6"/>
      <c r="Y894" s="6"/>
      <c r="Z894" s="6"/>
      <c r="AA894" s="6"/>
      <c r="AB894" s="6"/>
      <c r="AC894" s="6"/>
      <c r="AD894" s="6"/>
      <c r="AE894" s="6"/>
      <c r="AF894" s="6"/>
      <c r="AG894" s="6"/>
      <c r="AH894" s="6"/>
    </row>
    <row r="895" ht="15.75" customHeight="1">
      <c r="A895" s="6"/>
      <c r="B895" s="6"/>
      <c r="C895" s="6"/>
      <c r="D895" s="6"/>
      <c r="E895" s="6"/>
      <c r="F895" s="6"/>
      <c r="G895" s="9"/>
      <c r="H895" s="9"/>
      <c r="I895" s="9"/>
      <c r="J895" s="9"/>
      <c r="K895" s="6"/>
      <c r="L895" s="9"/>
      <c r="M895" s="10"/>
      <c r="N895" s="10"/>
      <c r="O895" s="9"/>
      <c r="P895" s="15"/>
      <c r="Q895" s="9"/>
      <c r="R895" s="9"/>
      <c r="S895" s="9"/>
      <c r="T895" s="9"/>
      <c r="U895" s="6"/>
      <c r="V895" s="6"/>
      <c r="W895" s="6"/>
      <c r="X895" s="6"/>
      <c r="Y895" s="6"/>
      <c r="Z895" s="6"/>
      <c r="AA895" s="6"/>
      <c r="AB895" s="6"/>
      <c r="AC895" s="6"/>
      <c r="AD895" s="6"/>
      <c r="AE895" s="6"/>
      <c r="AF895" s="6"/>
      <c r="AG895" s="6"/>
      <c r="AH895" s="6"/>
    </row>
    <row r="896" ht="15.75" customHeight="1">
      <c r="A896" s="6"/>
      <c r="B896" s="6"/>
      <c r="C896" s="6"/>
      <c r="D896" s="6"/>
      <c r="E896" s="6"/>
      <c r="F896" s="6"/>
      <c r="G896" s="9"/>
      <c r="H896" s="9"/>
      <c r="I896" s="9"/>
      <c r="J896" s="9"/>
      <c r="K896" s="6"/>
      <c r="L896" s="9"/>
      <c r="M896" s="10"/>
      <c r="N896" s="10"/>
      <c r="O896" s="9"/>
      <c r="P896" s="15"/>
      <c r="Q896" s="9"/>
      <c r="R896" s="9"/>
      <c r="S896" s="9"/>
      <c r="T896" s="9"/>
      <c r="U896" s="6"/>
      <c r="V896" s="6"/>
      <c r="W896" s="6"/>
      <c r="X896" s="6"/>
      <c r="Y896" s="6"/>
      <c r="Z896" s="6"/>
      <c r="AA896" s="6"/>
      <c r="AB896" s="6"/>
      <c r="AC896" s="6"/>
      <c r="AD896" s="6"/>
      <c r="AE896" s="6"/>
      <c r="AF896" s="6"/>
      <c r="AG896" s="6"/>
      <c r="AH896" s="6"/>
    </row>
    <row r="897" ht="15.75" customHeight="1">
      <c r="A897" s="6"/>
      <c r="B897" s="6"/>
      <c r="C897" s="6"/>
      <c r="D897" s="6"/>
      <c r="E897" s="6"/>
      <c r="F897" s="6"/>
      <c r="G897" s="9"/>
      <c r="H897" s="9"/>
      <c r="I897" s="9"/>
      <c r="J897" s="9"/>
      <c r="K897" s="6"/>
      <c r="L897" s="9"/>
      <c r="M897" s="10"/>
      <c r="N897" s="10"/>
      <c r="O897" s="9"/>
      <c r="P897" s="15"/>
      <c r="Q897" s="9"/>
      <c r="R897" s="9"/>
      <c r="S897" s="9"/>
      <c r="T897" s="9"/>
      <c r="U897" s="6"/>
      <c r="V897" s="6"/>
      <c r="W897" s="6"/>
      <c r="X897" s="6"/>
      <c r="Y897" s="6"/>
      <c r="Z897" s="6"/>
      <c r="AA897" s="6"/>
      <c r="AB897" s="6"/>
      <c r="AC897" s="6"/>
      <c r="AD897" s="6"/>
      <c r="AE897" s="6"/>
      <c r="AF897" s="6"/>
      <c r="AG897" s="6"/>
      <c r="AH897" s="6"/>
    </row>
    <row r="898" ht="15.75" customHeight="1">
      <c r="A898" s="6"/>
      <c r="B898" s="6"/>
      <c r="C898" s="6"/>
      <c r="D898" s="6"/>
      <c r="E898" s="6"/>
      <c r="F898" s="6"/>
      <c r="G898" s="9"/>
      <c r="H898" s="9"/>
      <c r="I898" s="9"/>
      <c r="J898" s="9"/>
      <c r="K898" s="6"/>
      <c r="L898" s="9"/>
      <c r="M898" s="10"/>
      <c r="N898" s="10"/>
      <c r="O898" s="9"/>
      <c r="P898" s="15"/>
      <c r="Q898" s="9"/>
      <c r="R898" s="9"/>
      <c r="S898" s="9"/>
      <c r="T898" s="9"/>
      <c r="U898" s="6"/>
      <c r="V898" s="6"/>
      <c r="W898" s="6"/>
      <c r="X898" s="6"/>
      <c r="Y898" s="6"/>
      <c r="Z898" s="6"/>
      <c r="AA898" s="6"/>
      <c r="AB898" s="6"/>
      <c r="AC898" s="6"/>
      <c r="AD898" s="6"/>
      <c r="AE898" s="6"/>
      <c r="AF898" s="6"/>
      <c r="AG898" s="6"/>
      <c r="AH898" s="6"/>
    </row>
    <row r="899" ht="15.75" customHeight="1">
      <c r="A899" s="6"/>
      <c r="B899" s="6"/>
      <c r="C899" s="6"/>
      <c r="D899" s="6"/>
      <c r="E899" s="6"/>
      <c r="F899" s="6"/>
      <c r="G899" s="9"/>
      <c r="H899" s="9"/>
      <c r="I899" s="9"/>
      <c r="J899" s="9"/>
      <c r="K899" s="6"/>
      <c r="L899" s="9"/>
      <c r="M899" s="10"/>
      <c r="N899" s="10"/>
      <c r="O899" s="9"/>
      <c r="P899" s="15"/>
      <c r="Q899" s="9"/>
      <c r="R899" s="9"/>
      <c r="S899" s="9"/>
      <c r="T899" s="9"/>
      <c r="U899" s="6"/>
      <c r="V899" s="6"/>
      <c r="W899" s="6"/>
      <c r="X899" s="6"/>
      <c r="Y899" s="6"/>
      <c r="Z899" s="6"/>
      <c r="AA899" s="6"/>
      <c r="AB899" s="6"/>
      <c r="AC899" s="6"/>
      <c r="AD899" s="6"/>
      <c r="AE899" s="6"/>
      <c r="AF899" s="6"/>
      <c r="AG899" s="6"/>
      <c r="AH899" s="6"/>
    </row>
    <row r="900" ht="15.75" customHeight="1">
      <c r="A900" s="6"/>
      <c r="B900" s="6"/>
      <c r="C900" s="6"/>
      <c r="D900" s="6"/>
      <c r="E900" s="6"/>
      <c r="F900" s="6"/>
      <c r="G900" s="9"/>
      <c r="H900" s="9"/>
      <c r="I900" s="9"/>
      <c r="J900" s="9"/>
      <c r="K900" s="6"/>
      <c r="L900" s="9"/>
      <c r="M900" s="10"/>
      <c r="N900" s="10"/>
      <c r="O900" s="9"/>
      <c r="P900" s="15"/>
      <c r="Q900" s="9"/>
      <c r="R900" s="9"/>
      <c r="S900" s="9"/>
      <c r="T900" s="9"/>
      <c r="U900" s="6"/>
      <c r="V900" s="6"/>
      <c r="W900" s="6"/>
      <c r="X900" s="6"/>
      <c r="Y900" s="6"/>
      <c r="Z900" s="6"/>
      <c r="AA900" s="6"/>
      <c r="AB900" s="6"/>
      <c r="AC900" s="6"/>
      <c r="AD900" s="6"/>
      <c r="AE900" s="6"/>
      <c r="AF900" s="6"/>
      <c r="AG900" s="6"/>
      <c r="AH900" s="6"/>
    </row>
    <row r="901" ht="15.75" customHeight="1">
      <c r="A901" s="6"/>
      <c r="B901" s="6"/>
      <c r="C901" s="6"/>
      <c r="D901" s="6"/>
      <c r="E901" s="6"/>
      <c r="F901" s="6"/>
      <c r="G901" s="9"/>
      <c r="H901" s="9"/>
      <c r="I901" s="9"/>
      <c r="J901" s="9"/>
      <c r="K901" s="6"/>
      <c r="L901" s="9"/>
      <c r="M901" s="10"/>
      <c r="N901" s="10"/>
      <c r="O901" s="9"/>
      <c r="P901" s="15"/>
      <c r="Q901" s="9"/>
      <c r="R901" s="9"/>
      <c r="S901" s="9"/>
      <c r="T901" s="9"/>
      <c r="U901" s="6"/>
      <c r="V901" s="6"/>
      <c r="W901" s="6"/>
      <c r="X901" s="6"/>
      <c r="Y901" s="6"/>
      <c r="Z901" s="6"/>
      <c r="AA901" s="6"/>
      <c r="AB901" s="6"/>
      <c r="AC901" s="6"/>
      <c r="AD901" s="6"/>
      <c r="AE901" s="6"/>
      <c r="AF901" s="6"/>
      <c r="AG901" s="6"/>
      <c r="AH901" s="6"/>
    </row>
    <row r="902" ht="15.75" customHeight="1">
      <c r="A902" s="6"/>
      <c r="B902" s="6"/>
      <c r="C902" s="6"/>
      <c r="D902" s="6"/>
      <c r="E902" s="6"/>
      <c r="F902" s="6"/>
      <c r="G902" s="9"/>
      <c r="H902" s="9"/>
      <c r="I902" s="9"/>
      <c r="J902" s="9"/>
      <c r="K902" s="6"/>
      <c r="L902" s="9"/>
      <c r="M902" s="10"/>
      <c r="N902" s="10"/>
      <c r="O902" s="9"/>
      <c r="P902" s="15"/>
      <c r="Q902" s="9"/>
      <c r="R902" s="9"/>
      <c r="S902" s="9"/>
      <c r="T902" s="9"/>
      <c r="U902" s="6"/>
      <c r="V902" s="6"/>
      <c r="W902" s="6"/>
      <c r="X902" s="6"/>
      <c r="Y902" s="6"/>
      <c r="Z902" s="6"/>
      <c r="AA902" s="6"/>
      <c r="AB902" s="6"/>
      <c r="AC902" s="6"/>
      <c r="AD902" s="6"/>
      <c r="AE902" s="6"/>
      <c r="AF902" s="6"/>
      <c r="AG902" s="6"/>
      <c r="AH902" s="6"/>
    </row>
    <row r="903" ht="15.75" customHeight="1">
      <c r="A903" s="6"/>
      <c r="B903" s="6"/>
      <c r="C903" s="6"/>
      <c r="D903" s="6"/>
      <c r="E903" s="6"/>
      <c r="F903" s="6"/>
      <c r="G903" s="9"/>
      <c r="H903" s="9"/>
      <c r="I903" s="9"/>
      <c r="J903" s="9"/>
      <c r="K903" s="6"/>
      <c r="L903" s="9"/>
      <c r="M903" s="10"/>
      <c r="N903" s="10"/>
      <c r="O903" s="9"/>
      <c r="P903" s="15"/>
      <c r="Q903" s="9"/>
      <c r="R903" s="9"/>
      <c r="S903" s="9"/>
      <c r="T903" s="9"/>
      <c r="U903" s="6"/>
      <c r="V903" s="6"/>
      <c r="W903" s="6"/>
      <c r="X903" s="6"/>
      <c r="Y903" s="6"/>
      <c r="Z903" s="6"/>
      <c r="AA903" s="6"/>
      <c r="AB903" s="6"/>
      <c r="AC903" s="6"/>
      <c r="AD903" s="6"/>
      <c r="AE903" s="6"/>
      <c r="AF903" s="6"/>
      <c r="AG903" s="6"/>
      <c r="AH903" s="6"/>
    </row>
    <row r="904" ht="15.75" customHeight="1">
      <c r="A904" s="6"/>
      <c r="B904" s="6"/>
      <c r="C904" s="6"/>
      <c r="D904" s="6"/>
      <c r="E904" s="6"/>
      <c r="F904" s="6"/>
      <c r="G904" s="9"/>
      <c r="H904" s="9"/>
      <c r="I904" s="9"/>
      <c r="J904" s="9"/>
      <c r="K904" s="6"/>
      <c r="L904" s="9"/>
      <c r="M904" s="10"/>
      <c r="N904" s="10"/>
      <c r="O904" s="9"/>
      <c r="P904" s="15"/>
      <c r="Q904" s="9"/>
      <c r="R904" s="9"/>
      <c r="S904" s="9"/>
      <c r="T904" s="9"/>
      <c r="U904" s="6"/>
      <c r="V904" s="6"/>
      <c r="W904" s="6"/>
      <c r="X904" s="6"/>
      <c r="Y904" s="6"/>
      <c r="Z904" s="6"/>
      <c r="AA904" s="6"/>
      <c r="AB904" s="6"/>
      <c r="AC904" s="6"/>
      <c r="AD904" s="6"/>
      <c r="AE904" s="6"/>
      <c r="AF904" s="6"/>
      <c r="AG904" s="6"/>
      <c r="AH904" s="6"/>
    </row>
    <row r="905" ht="15.75" customHeight="1">
      <c r="A905" s="6"/>
      <c r="B905" s="6"/>
      <c r="C905" s="6"/>
      <c r="D905" s="6"/>
      <c r="E905" s="6"/>
      <c r="F905" s="6"/>
      <c r="G905" s="9"/>
      <c r="H905" s="9"/>
      <c r="I905" s="9"/>
      <c r="J905" s="9"/>
      <c r="K905" s="6"/>
      <c r="L905" s="9"/>
      <c r="M905" s="10"/>
      <c r="N905" s="10"/>
      <c r="O905" s="9"/>
      <c r="P905" s="15"/>
      <c r="Q905" s="9"/>
      <c r="R905" s="9"/>
      <c r="S905" s="9"/>
      <c r="T905" s="9"/>
      <c r="U905" s="6"/>
      <c r="V905" s="6"/>
      <c r="W905" s="6"/>
      <c r="X905" s="6"/>
      <c r="Y905" s="6"/>
      <c r="Z905" s="6"/>
      <c r="AA905" s="6"/>
      <c r="AB905" s="6"/>
      <c r="AC905" s="6"/>
      <c r="AD905" s="6"/>
      <c r="AE905" s="6"/>
      <c r="AF905" s="6"/>
      <c r="AG905" s="6"/>
      <c r="AH905" s="6"/>
    </row>
    <row r="906" ht="15.75" customHeight="1">
      <c r="A906" s="6"/>
      <c r="B906" s="6"/>
      <c r="C906" s="6"/>
      <c r="D906" s="6"/>
      <c r="E906" s="6"/>
      <c r="F906" s="6"/>
      <c r="G906" s="9"/>
      <c r="H906" s="9"/>
      <c r="I906" s="9"/>
      <c r="J906" s="9"/>
      <c r="K906" s="6"/>
      <c r="L906" s="9"/>
      <c r="M906" s="10"/>
      <c r="N906" s="10"/>
      <c r="O906" s="9"/>
      <c r="P906" s="15"/>
      <c r="Q906" s="9"/>
      <c r="R906" s="9"/>
      <c r="S906" s="9"/>
      <c r="T906" s="9"/>
      <c r="U906" s="6"/>
      <c r="V906" s="6"/>
      <c r="W906" s="6"/>
      <c r="X906" s="6"/>
      <c r="Y906" s="6"/>
      <c r="Z906" s="6"/>
      <c r="AA906" s="6"/>
      <c r="AB906" s="6"/>
      <c r="AC906" s="6"/>
      <c r="AD906" s="6"/>
      <c r="AE906" s="6"/>
      <c r="AF906" s="6"/>
      <c r="AG906" s="6"/>
      <c r="AH906" s="6"/>
    </row>
    <row r="907" ht="15.75" customHeight="1">
      <c r="A907" s="6"/>
      <c r="B907" s="6"/>
      <c r="C907" s="6"/>
      <c r="D907" s="6"/>
      <c r="E907" s="6"/>
      <c r="F907" s="6"/>
      <c r="G907" s="9"/>
      <c r="H907" s="9"/>
      <c r="I907" s="9"/>
      <c r="J907" s="9"/>
      <c r="K907" s="6"/>
      <c r="L907" s="9"/>
      <c r="M907" s="10"/>
      <c r="N907" s="10"/>
      <c r="O907" s="9"/>
      <c r="P907" s="15"/>
      <c r="Q907" s="9"/>
      <c r="R907" s="9"/>
      <c r="S907" s="9"/>
      <c r="T907" s="9"/>
      <c r="U907" s="6"/>
      <c r="V907" s="6"/>
      <c r="W907" s="6"/>
      <c r="X907" s="6"/>
      <c r="Y907" s="6"/>
      <c r="Z907" s="6"/>
      <c r="AA907" s="6"/>
      <c r="AB907" s="6"/>
      <c r="AC907" s="6"/>
      <c r="AD907" s="6"/>
      <c r="AE907" s="6"/>
      <c r="AF907" s="6"/>
      <c r="AG907" s="6"/>
      <c r="AH907" s="6"/>
    </row>
    <row r="908" ht="15.75" customHeight="1">
      <c r="A908" s="6"/>
      <c r="B908" s="6"/>
      <c r="C908" s="6"/>
      <c r="D908" s="6"/>
      <c r="E908" s="6"/>
      <c r="F908" s="6"/>
      <c r="G908" s="9"/>
      <c r="H908" s="9"/>
      <c r="I908" s="9"/>
      <c r="J908" s="9"/>
      <c r="K908" s="6"/>
      <c r="L908" s="9"/>
      <c r="M908" s="10"/>
      <c r="N908" s="10"/>
      <c r="O908" s="9"/>
      <c r="P908" s="15"/>
      <c r="Q908" s="9"/>
      <c r="R908" s="9"/>
      <c r="S908" s="9"/>
      <c r="T908" s="9"/>
      <c r="U908" s="6"/>
      <c r="V908" s="6"/>
      <c r="W908" s="6"/>
      <c r="X908" s="6"/>
      <c r="Y908" s="6"/>
      <c r="Z908" s="6"/>
      <c r="AA908" s="6"/>
      <c r="AB908" s="6"/>
      <c r="AC908" s="6"/>
      <c r="AD908" s="6"/>
      <c r="AE908" s="6"/>
      <c r="AF908" s="6"/>
      <c r="AG908" s="6"/>
      <c r="AH908" s="6"/>
    </row>
    <row r="909" ht="15.75" customHeight="1">
      <c r="A909" s="6"/>
      <c r="B909" s="6"/>
      <c r="C909" s="6"/>
      <c r="D909" s="6"/>
      <c r="E909" s="6"/>
      <c r="F909" s="6"/>
      <c r="G909" s="9"/>
      <c r="H909" s="9"/>
      <c r="I909" s="9"/>
      <c r="J909" s="9"/>
      <c r="K909" s="6"/>
      <c r="L909" s="9"/>
      <c r="M909" s="10"/>
      <c r="N909" s="10"/>
      <c r="O909" s="9"/>
      <c r="P909" s="15"/>
      <c r="Q909" s="9"/>
      <c r="R909" s="9"/>
      <c r="S909" s="9"/>
      <c r="T909" s="9"/>
      <c r="U909" s="6"/>
      <c r="V909" s="6"/>
      <c r="W909" s="6"/>
      <c r="X909" s="6"/>
      <c r="Y909" s="6"/>
      <c r="Z909" s="6"/>
      <c r="AA909" s="6"/>
      <c r="AB909" s="6"/>
      <c r="AC909" s="6"/>
      <c r="AD909" s="6"/>
      <c r="AE909" s="6"/>
      <c r="AF909" s="6"/>
      <c r="AG909" s="6"/>
      <c r="AH909" s="6"/>
    </row>
    <row r="910" ht="15.75" customHeight="1">
      <c r="A910" s="6"/>
      <c r="B910" s="6"/>
      <c r="C910" s="6"/>
      <c r="D910" s="6"/>
      <c r="E910" s="6"/>
      <c r="F910" s="6"/>
      <c r="G910" s="9"/>
      <c r="H910" s="9"/>
      <c r="I910" s="9"/>
      <c r="J910" s="9"/>
      <c r="K910" s="6"/>
      <c r="L910" s="9"/>
      <c r="M910" s="10"/>
      <c r="N910" s="10"/>
      <c r="O910" s="9"/>
      <c r="P910" s="15"/>
      <c r="Q910" s="9"/>
      <c r="R910" s="9"/>
      <c r="S910" s="9"/>
      <c r="T910" s="9"/>
      <c r="U910" s="6"/>
      <c r="V910" s="6"/>
      <c r="W910" s="6"/>
      <c r="X910" s="6"/>
      <c r="Y910" s="6"/>
      <c r="Z910" s="6"/>
      <c r="AA910" s="6"/>
      <c r="AB910" s="6"/>
      <c r="AC910" s="6"/>
      <c r="AD910" s="6"/>
      <c r="AE910" s="6"/>
      <c r="AF910" s="6"/>
      <c r="AG910" s="6"/>
      <c r="AH910" s="6"/>
    </row>
    <row r="911" ht="15.75" customHeight="1">
      <c r="A911" s="6"/>
      <c r="B911" s="6"/>
      <c r="C911" s="6"/>
      <c r="D911" s="6"/>
      <c r="E911" s="6"/>
      <c r="F911" s="6"/>
      <c r="G911" s="9"/>
      <c r="H911" s="9"/>
      <c r="I911" s="9"/>
      <c r="J911" s="9"/>
      <c r="K911" s="6"/>
      <c r="L911" s="9"/>
      <c r="M911" s="10"/>
      <c r="N911" s="10"/>
      <c r="O911" s="9"/>
      <c r="P911" s="15"/>
      <c r="Q911" s="9"/>
      <c r="R911" s="9"/>
      <c r="S911" s="9"/>
      <c r="T911" s="9"/>
      <c r="U911" s="6"/>
      <c r="V911" s="6"/>
      <c r="W911" s="6"/>
      <c r="X911" s="6"/>
      <c r="Y911" s="6"/>
      <c r="Z911" s="6"/>
      <c r="AA911" s="6"/>
      <c r="AB911" s="6"/>
      <c r="AC911" s="6"/>
      <c r="AD911" s="6"/>
      <c r="AE911" s="6"/>
      <c r="AF911" s="6"/>
      <c r="AG911" s="6"/>
      <c r="AH911" s="6"/>
    </row>
    <row r="912" ht="15.75" customHeight="1">
      <c r="A912" s="6"/>
      <c r="B912" s="6"/>
      <c r="C912" s="6"/>
      <c r="D912" s="6"/>
      <c r="E912" s="6"/>
      <c r="F912" s="6"/>
      <c r="G912" s="9"/>
      <c r="H912" s="9"/>
      <c r="I912" s="9"/>
      <c r="J912" s="9"/>
      <c r="K912" s="6"/>
      <c r="L912" s="9"/>
      <c r="M912" s="10"/>
      <c r="N912" s="10"/>
      <c r="O912" s="9"/>
      <c r="P912" s="15"/>
      <c r="Q912" s="9"/>
      <c r="R912" s="9"/>
      <c r="S912" s="9"/>
      <c r="T912" s="9"/>
      <c r="U912" s="6"/>
      <c r="V912" s="6"/>
      <c r="W912" s="6"/>
      <c r="X912" s="6"/>
      <c r="Y912" s="6"/>
      <c r="Z912" s="6"/>
      <c r="AA912" s="6"/>
      <c r="AB912" s="6"/>
      <c r="AC912" s="6"/>
      <c r="AD912" s="6"/>
      <c r="AE912" s="6"/>
      <c r="AF912" s="6"/>
      <c r="AG912" s="6"/>
      <c r="AH912" s="6"/>
    </row>
    <row r="913" ht="15.75" customHeight="1">
      <c r="A913" s="6"/>
      <c r="B913" s="6"/>
      <c r="C913" s="6"/>
      <c r="D913" s="6"/>
      <c r="E913" s="6"/>
      <c r="F913" s="6"/>
      <c r="G913" s="9"/>
      <c r="H913" s="9"/>
      <c r="I913" s="9"/>
      <c r="J913" s="9"/>
      <c r="K913" s="6"/>
      <c r="L913" s="9"/>
      <c r="M913" s="10"/>
      <c r="N913" s="10"/>
      <c r="O913" s="9"/>
      <c r="P913" s="15"/>
      <c r="Q913" s="9"/>
      <c r="R913" s="9"/>
      <c r="S913" s="9"/>
      <c r="T913" s="9"/>
      <c r="U913" s="6"/>
      <c r="V913" s="6"/>
      <c r="W913" s="6"/>
      <c r="X913" s="6"/>
      <c r="Y913" s="6"/>
      <c r="Z913" s="6"/>
      <c r="AA913" s="6"/>
      <c r="AB913" s="6"/>
      <c r="AC913" s="6"/>
      <c r="AD913" s="6"/>
      <c r="AE913" s="6"/>
      <c r="AF913" s="6"/>
      <c r="AG913" s="6"/>
      <c r="AH913" s="6"/>
    </row>
    <row r="914" ht="15.75" customHeight="1">
      <c r="A914" s="6"/>
      <c r="B914" s="6"/>
      <c r="C914" s="6"/>
      <c r="D914" s="6"/>
      <c r="E914" s="6"/>
      <c r="F914" s="6"/>
      <c r="G914" s="9"/>
      <c r="H914" s="9"/>
      <c r="I914" s="9"/>
      <c r="J914" s="9"/>
      <c r="K914" s="6"/>
      <c r="L914" s="9"/>
      <c r="M914" s="10"/>
      <c r="N914" s="10"/>
      <c r="O914" s="9"/>
      <c r="P914" s="15"/>
      <c r="Q914" s="9"/>
      <c r="R914" s="9"/>
      <c r="S914" s="9"/>
      <c r="T914" s="9"/>
      <c r="U914" s="6"/>
      <c r="V914" s="6"/>
      <c r="W914" s="6"/>
      <c r="X914" s="6"/>
      <c r="Y914" s="6"/>
      <c r="Z914" s="6"/>
      <c r="AA914" s="6"/>
      <c r="AB914" s="6"/>
      <c r="AC914" s="6"/>
      <c r="AD914" s="6"/>
      <c r="AE914" s="6"/>
      <c r="AF914" s="6"/>
      <c r="AG914" s="6"/>
      <c r="AH914" s="6"/>
    </row>
    <row r="915" ht="15.75" customHeight="1">
      <c r="A915" s="6"/>
      <c r="B915" s="6"/>
      <c r="C915" s="6"/>
      <c r="D915" s="6"/>
      <c r="E915" s="6"/>
      <c r="F915" s="6"/>
      <c r="G915" s="9"/>
      <c r="H915" s="9"/>
      <c r="I915" s="9"/>
      <c r="J915" s="9"/>
      <c r="K915" s="6"/>
      <c r="L915" s="9"/>
      <c r="M915" s="10"/>
      <c r="N915" s="10"/>
      <c r="O915" s="9"/>
      <c r="P915" s="15"/>
      <c r="Q915" s="9"/>
      <c r="R915" s="9"/>
      <c r="S915" s="9"/>
      <c r="T915" s="9"/>
      <c r="U915" s="6"/>
      <c r="V915" s="6"/>
      <c r="W915" s="6"/>
      <c r="X915" s="6"/>
      <c r="Y915" s="6"/>
      <c r="Z915" s="6"/>
      <c r="AA915" s="6"/>
      <c r="AB915" s="6"/>
      <c r="AC915" s="6"/>
      <c r="AD915" s="6"/>
      <c r="AE915" s="6"/>
      <c r="AF915" s="6"/>
      <c r="AG915" s="6"/>
      <c r="AH915" s="6"/>
    </row>
    <row r="916" ht="15.75" customHeight="1">
      <c r="A916" s="6"/>
      <c r="B916" s="6"/>
      <c r="C916" s="6"/>
      <c r="D916" s="6"/>
      <c r="E916" s="6"/>
      <c r="F916" s="6"/>
      <c r="G916" s="9"/>
      <c r="H916" s="9"/>
      <c r="I916" s="9"/>
      <c r="J916" s="9"/>
      <c r="K916" s="6"/>
      <c r="L916" s="9"/>
      <c r="M916" s="10"/>
      <c r="N916" s="10"/>
      <c r="O916" s="9"/>
      <c r="P916" s="15"/>
      <c r="Q916" s="9"/>
      <c r="R916" s="9"/>
      <c r="S916" s="9"/>
      <c r="T916" s="9"/>
      <c r="U916" s="6"/>
      <c r="V916" s="6"/>
      <c r="W916" s="6"/>
      <c r="X916" s="6"/>
      <c r="Y916" s="6"/>
      <c r="Z916" s="6"/>
      <c r="AA916" s="6"/>
      <c r="AB916" s="6"/>
      <c r="AC916" s="6"/>
      <c r="AD916" s="6"/>
      <c r="AE916" s="6"/>
      <c r="AF916" s="6"/>
      <c r="AG916" s="6"/>
      <c r="AH916" s="6"/>
    </row>
    <row r="917" ht="15.75" customHeight="1">
      <c r="A917" s="6"/>
      <c r="B917" s="6"/>
      <c r="C917" s="6"/>
      <c r="D917" s="6"/>
      <c r="E917" s="6"/>
      <c r="F917" s="6"/>
      <c r="G917" s="9"/>
      <c r="H917" s="9"/>
      <c r="I917" s="9"/>
      <c r="J917" s="9"/>
      <c r="K917" s="6"/>
      <c r="L917" s="9"/>
      <c r="M917" s="10"/>
      <c r="N917" s="10"/>
      <c r="O917" s="9"/>
      <c r="P917" s="15"/>
      <c r="Q917" s="9"/>
      <c r="R917" s="9"/>
      <c r="S917" s="9"/>
      <c r="T917" s="9"/>
      <c r="U917" s="6"/>
      <c r="V917" s="6"/>
      <c r="W917" s="6"/>
      <c r="X917" s="6"/>
      <c r="Y917" s="6"/>
      <c r="Z917" s="6"/>
      <c r="AA917" s="6"/>
      <c r="AB917" s="6"/>
      <c r="AC917" s="6"/>
      <c r="AD917" s="6"/>
      <c r="AE917" s="6"/>
      <c r="AF917" s="6"/>
      <c r="AG917" s="6"/>
      <c r="AH917" s="6"/>
    </row>
    <row r="918" ht="15.75" customHeight="1">
      <c r="A918" s="6"/>
      <c r="B918" s="6"/>
      <c r="C918" s="6"/>
      <c r="D918" s="6"/>
      <c r="E918" s="6"/>
      <c r="F918" s="6"/>
      <c r="G918" s="9"/>
      <c r="H918" s="9"/>
      <c r="I918" s="9"/>
      <c r="J918" s="9"/>
      <c r="K918" s="6"/>
      <c r="L918" s="9"/>
      <c r="M918" s="10"/>
      <c r="N918" s="10"/>
      <c r="O918" s="9"/>
      <c r="P918" s="15"/>
      <c r="Q918" s="9"/>
      <c r="R918" s="9"/>
      <c r="S918" s="9"/>
      <c r="T918" s="9"/>
      <c r="U918" s="6"/>
      <c r="V918" s="6"/>
      <c r="W918" s="6"/>
      <c r="X918" s="6"/>
      <c r="Y918" s="6"/>
      <c r="Z918" s="6"/>
      <c r="AA918" s="6"/>
      <c r="AB918" s="6"/>
      <c r="AC918" s="6"/>
      <c r="AD918" s="6"/>
      <c r="AE918" s="6"/>
      <c r="AF918" s="6"/>
      <c r="AG918" s="6"/>
      <c r="AH918" s="6"/>
    </row>
    <row r="919" ht="15.75" customHeight="1">
      <c r="A919" s="6"/>
      <c r="B919" s="6"/>
      <c r="C919" s="6"/>
      <c r="D919" s="6"/>
      <c r="E919" s="6"/>
      <c r="F919" s="6"/>
      <c r="G919" s="9"/>
      <c r="H919" s="9"/>
      <c r="I919" s="9"/>
      <c r="J919" s="9"/>
      <c r="K919" s="6"/>
      <c r="L919" s="9"/>
      <c r="M919" s="10"/>
      <c r="N919" s="10"/>
      <c r="O919" s="9"/>
      <c r="P919" s="15"/>
      <c r="Q919" s="9"/>
      <c r="R919" s="9"/>
      <c r="S919" s="9"/>
      <c r="T919" s="9"/>
      <c r="U919" s="6"/>
      <c r="V919" s="6"/>
      <c r="W919" s="6"/>
      <c r="X919" s="6"/>
      <c r="Y919" s="6"/>
      <c r="Z919" s="6"/>
      <c r="AA919" s="6"/>
      <c r="AB919" s="6"/>
      <c r="AC919" s="6"/>
      <c r="AD919" s="6"/>
      <c r="AE919" s="6"/>
      <c r="AF919" s="6"/>
      <c r="AG919" s="6"/>
      <c r="AH919" s="6"/>
    </row>
    <row r="920" ht="15.75" customHeight="1">
      <c r="A920" s="6"/>
      <c r="B920" s="6"/>
      <c r="C920" s="6"/>
      <c r="D920" s="6"/>
      <c r="E920" s="6"/>
      <c r="F920" s="6"/>
      <c r="G920" s="9"/>
      <c r="H920" s="9"/>
      <c r="I920" s="9"/>
      <c r="J920" s="9"/>
      <c r="K920" s="6"/>
      <c r="L920" s="9"/>
      <c r="M920" s="10"/>
      <c r="N920" s="10"/>
      <c r="O920" s="9"/>
      <c r="P920" s="15"/>
      <c r="Q920" s="9"/>
      <c r="R920" s="9"/>
      <c r="S920" s="9"/>
      <c r="T920" s="9"/>
      <c r="U920" s="6"/>
      <c r="V920" s="6"/>
      <c r="W920" s="6"/>
      <c r="X920" s="6"/>
      <c r="Y920" s="6"/>
      <c r="Z920" s="6"/>
      <c r="AA920" s="6"/>
      <c r="AB920" s="6"/>
      <c r="AC920" s="6"/>
      <c r="AD920" s="6"/>
      <c r="AE920" s="6"/>
      <c r="AF920" s="6"/>
      <c r="AG920" s="6"/>
      <c r="AH920" s="6"/>
    </row>
    <row r="921" ht="15.75" customHeight="1">
      <c r="A921" s="6"/>
      <c r="B921" s="6"/>
      <c r="C921" s="6"/>
      <c r="D921" s="6"/>
      <c r="E921" s="6"/>
      <c r="F921" s="6"/>
      <c r="G921" s="9"/>
      <c r="H921" s="9"/>
      <c r="I921" s="9"/>
      <c r="J921" s="9"/>
      <c r="K921" s="6"/>
      <c r="L921" s="9"/>
      <c r="M921" s="10"/>
      <c r="N921" s="10"/>
      <c r="O921" s="9"/>
      <c r="P921" s="15"/>
      <c r="Q921" s="9"/>
      <c r="R921" s="9"/>
      <c r="S921" s="9"/>
      <c r="T921" s="9"/>
      <c r="U921" s="6"/>
      <c r="V921" s="6"/>
      <c r="W921" s="6"/>
      <c r="X921" s="6"/>
      <c r="Y921" s="6"/>
      <c r="Z921" s="6"/>
      <c r="AA921" s="6"/>
      <c r="AB921" s="6"/>
      <c r="AC921" s="6"/>
      <c r="AD921" s="6"/>
      <c r="AE921" s="6"/>
      <c r="AF921" s="6"/>
      <c r="AG921" s="6"/>
      <c r="AH921" s="6"/>
    </row>
    <row r="922" ht="15.75" customHeight="1">
      <c r="A922" s="6"/>
      <c r="B922" s="6"/>
      <c r="C922" s="6"/>
      <c r="D922" s="6"/>
      <c r="E922" s="6"/>
      <c r="F922" s="6"/>
      <c r="G922" s="9"/>
      <c r="H922" s="9"/>
      <c r="I922" s="9"/>
      <c r="J922" s="9"/>
      <c r="K922" s="6"/>
      <c r="L922" s="9"/>
      <c r="M922" s="10"/>
      <c r="N922" s="10"/>
      <c r="O922" s="9"/>
      <c r="P922" s="15"/>
      <c r="Q922" s="9"/>
      <c r="R922" s="9"/>
      <c r="S922" s="9"/>
      <c r="T922" s="9"/>
      <c r="U922" s="6"/>
      <c r="V922" s="6"/>
      <c r="W922" s="6"/>
      <c r="X922" s="6"/>
      <c r="Y922" s="6"/>
      <c r="Z922" s="6"/>
      <c r="AA922" s="6"/>
      <c r="AB922" s="6"/>
      <c r="AC922" s="6"/>
      <c r="AD922" s="6"/>
      <c r="AE922" s="6"/>
      <c r="AF922" s="6"/>
      <c r="AG922" s="6"/>
      <c r="AH922" s="6"/>
    </row>
    <row r="923" ht="15.75" customHeight="1">
      <c r="A923" s="6"/>
      <c r="B923" s="6"/>
      <c r="C923" s="6"/>
      <c r="D923" s="6"/>
      <c r="E923" s="6"/>
      <c r="F923" s="6"/>
      <c r="G923" s="9"/>
      <c r="H923" s="9"/>
      <c r="I923" s="9"/>
      <c r="J923" s="9"/>
      <c r="K923" s="6"/>
      <c r="L923" s="9"/>
      <c r="M923" s="10"/>
      <c r="N923" s="10"/>
      <c r="O923" s="9"/>
      <c r="P923" s="15"/>
      <c r="Q923" s="9"/>
      <c r="R923" s="9"/>
      <c r="S923" s="9"/>
      <c r="T923" s="9"/>
      <c r="U923" s="6"/>
      <c r="V923" s="6"/>
      <c r="W923" s="6"/>
      <c r="X923" s="6"/>
      <c r="Y923" s="6"/>
      <c r="Z923" s="6"/>
      <c r="AA923" s="6"/>
      <c r="AB923" s="6"/>
      <c r="AC923" s="6"/>
      <c r="AD923" s="6"/>
      <c r="AE923" s="6"/>
      <c r="AF923" s="6"/>
      <c r="AG923" s="6"/>
      <c r="AH923" s="6"/>
    </row>
    <row r="924" ht="15.75" customHeight="1">
      <c r="A924" s="6"/>
      <c r="B924" s="6"/>
      <c r="C924" s="6"/>
      <c r="D924" s="6"/>
      <c r="E924" s="6"/>
      <c r="F924" s="6"/>
      <c r="G924" s="9"/>
      <c r="H924" s="9"/>
      <c r="I924" s="9"/>
      <c r="J924" s="9"/>
      <c r="K924" s="6"/>
      <c r="L924" s="9"/>
      <c r="M924" s="10"/>
      <c r="N924" s="10"/>
      <c r="O924" s="9"/>
      <c r="P924" s="15"/>
      <c r="Q924" s="9"/>
      <c r="R924" s="9"/>
      <c r="S924" s="9"/>
      <c r="T924" s="9"/>
      <c r="U924" s="6"/>
      <c r="V924" s="6"/>
      <c r="W924" s="6"/>
      <c r="X924" s="6"/>
      <c r="Y924" s="6"/>
      <c r="Z924" s="6"/>
      <c r="AA924" s="6"/>
      <c r="AB924" s="6"/>
      <c r="AC924" s="6"/>
      <c r="AD924" s="6"/>
      <c r="AE924" s="6"/>
      <c r="AF924" s="6"/>
      <c r="AG924" s="6"/>
      <c r="AH924" s="6"/>
    </row>
    <row r="925" ht="15.75" customHeight="1">
      <c r="A925" s="6"/>
      <c r="B925" s="6"/>
      <c r="C925" s="6"/>
      <c r="D925" s="6"/>
      <c r="E925" s="6"/>
      <c r="F925" s="6"/>
      <c r="G925" s="9"/>
      <c r="H925" s="9"/>
      <c r="I925" s="9"/>
      <c r="J925" s="9"/>
      <c r="K925" s="6"/>
      <c r="L925" s="9"/>
      <c r="M925" s="10"/>
      <c r="N925" s="10"/>
      <c r="O925" s="9"/>
      <c r="P925" s="15"/>
      <c r="Q925" s="9"/>
      <c r="R925" s="9"/>
      <c r="S925" s="9"/>
      <c r="T925" s="9"/>
      <c r="U925" s="6"/>
      <c r="V925" s="6"/>
      <c r="W925" s="6"/>
      <c r="X925" s="6"/>
      <c r="Y925" s="6"/>
      <c r="Z925" s="6"/>
      <c r="AA925" s="6"/>
      <c r="AB925" s="6"/>
      <c r="AC925" s="6"/>
      <c r="AD925" s="6"/>
      <c r="AE925" s="6"/>
      <c r="AF925" s="6"/>
      <c r="AG925" s="6"/>
      <c r="AH925" s="6"/>
    </row>
    <row r="926" ht="15.75" customHeight="1">
      <c r="A926" s="6"/>
      <c r="B926" s="6"/>
      <c r="C926" s="6"/>
      <c r="D926" s="6"/>
      <c r="E926" s="6"/>
      <c r="F926" s="6"/>
      <c r="G926" s="9"/>
      <c r="H926" s="9"/>
      <c r="I926" s="9"/>
      <c r="J926" s="9"/>
      <c r="K926" s="6"/>
      <c r="L926" s="9"/>
      <c r="M926" s="10"/>
      <c r="N926" s="10"/>
      <c r="O926" s="9"/>
      <c r="P926" s="15"/>
      <c r="Q926" s="9"/>
      <c r="R926" s="9"/>
      <c r="S926" s="9"/>
      <c r="T926" s="9"/>
      <c r="U926" s="6"/>
      <c r="V926" s="6"/>
      <c r="W926" s="6"/>
      <c r="X926" s="6"/>
      <c r="Y926" s="6"/>
      <c r="Z926" s="6"/>
      <c r="AA926" s="6"/>
      <c r="AB926" s="6"/>
      <c r="AC926" s="6"/>
      <c r="AD926" s="6"/>
      <c r="AE926" s="6"/>
      <c r="AF926" s="6"/>
      <c r="AG926" s="6"/>
      <c r="AH926" s="6"/>
    </row>
    <row r="927" ht="15.75" customHeight="1">
      <c r="A927" s="6"/>
      <c r="B927" s="6"/>
      <c r="C927" s="6"/>
      <c r="D927" s="6"/>
      <c r="E927" s="6"/>
      <c r="F927" s="6"/>
      <c r="G927" s="9"/>
      <c r="H927" s="9"/>
      <c r="I927" s="9"/>
      <c r="J927" s="9"/>
      <c r="K927" s="6"/>
      <c r="L927" s="9"/>
      <c r="M927" s="10"/>
      <c r="N927" s="10"/>
      <c r="O927" s="9"/>
      <c r="P927" s="15"/>
      <c r="Q927" s="9"/>
      <c r="R927" s="9"/>
      <c r="S927" s="9"/>
      <c r="T927" s="9"/>
      <c r="U927" s="6"/>
      <c r="V927" s="6"/>
      <c r="W927" s="6"/>
      <c r="X927" s="6"/>
      <c r="Y927" s="6"/>
      <c r="Z927" s="6"/>
      <c r="AA927" s="6"/>
      <c r="AB927" s="6"/>
      <c r="AC927" s="6"/>
      <c r="AD927" s="6"/>
      <c r="AE927" s="6"/>
      <c r="AF927" s="6"/>
      <c r="AG927" s="6"/>
      <c r="AH927" s="6"/>
    </row>
    <row r="928" ht="15.75" customHeight="1">
      <c r="A928" s="6"/>
      <c r="B928" s="6"/>
      <c r="C928" s="6"/>
      <c r="D928" s="6"/>
      <c r="E928" s="6"/>
      <c r="F928" s="6"/>
      <c r="G928" s="9"/>
      <c r="H928" s="9"/>
      <c r="I928" s="9"/>
      <c r="J928" s="9"/>
      <c r="K928" s="6"/>
      <c r="L928" s="9"/>
      <c r="M928" s="10"/>
      <c r="N928" s="10"/>
      <c r="O928" s="9"/>
      <c r="P928" s="15"/>
      <c r="Q928" s="9"/>
      <c r="R928" s="9"/>
      <c r="S928" s="9"/>
      <c r="T928" s="9"/>
      <c r="U928" s="6"/>
      <c r="V928" s="6"/>
      <c r="W928" s="6"/>
      <c r="X928" s="6"/>
      <c r="Y928" s="6"/>
      <c r="Z928" s="6"/>
      <c r="AA928" s="6"/>
      <c r="AB928" s="6"/>
      <c r="AC928" s="6"/>
      <c r="AD928" s="6"/>
      <c r="AE928" s="6"/>
      <c r="AF928" s="6"/>
      <c r="AG928" s="6"/>
      <c r="AH928" s="6"/>
    </row>
    <row r="929" ht="15.75" customHeight="1">
      <c r="A929" s="6"/>
      <c r="B929" s="6"/>
      <c r="C929" s="6"/>
      <c r="D929" s="6"/>
      <c r="E929" s="6"/>
      <c r="F929" s="6"/>
      <c r="G929" s="9"/>
      <c r="H929" s="9"/>
      <c r="I929" s="9"/>
      <c r="J929" s="9"/>
      <c r="K929" s="6"/>
      <c r="L929" s="9"/>
      <c r="M929" s="10"/>
      <c r="N929" s="10"/>
      <c r="O929" s="9"/>
      <c r="P929" s="15"/>
      <c r="Q929" s="9"/>
      <c r="R929" s="9"/>
      <c r="S929" s="9"/>
      <c r="T929" s="9"/>
      <c r="U929" s="6"/>
      <c r="V929" s="6"/>
      <c r="W929" s="6"/>
      <c r="X929" s="6"/>
      <c r="Y929" s="6"/>
      <c r="Z929" s="6"/>
      <c r="AA929" s="6"/>
      <c r="AB929" s="6"/>
      <c r="AC929" s="6"/>
      <c r="AD929" s="6"/>
      <c r="AE929" s="6"/>
      <c r="AF929" s="6"/>
      <c r="AG929" s="6"/>
      <c r="AH929" s="6"/>
    </row>
    <row r="930" ht="15.75" customHeight="1">
      <c r="A930" s="6"/>
      <c r="B930" s="6"/>
      <c r="C930" s="6"/>
      <c r="D930" s="6"/>
      <c r="E930" s="6"/>
      <c r="F930" s="6"/>
      <c r="G930" s="9"/>
      <c r="H930" s="9"/>
      <c r="I930" s="9"/>
      <c r="J930" s="9"/>
      <c r="K930" s="6"/>
      <c r="L930" s="9"/>
      <c r="M930" s="10"/>
      <c r="N930" s="10"/>
      <c r="O930" s="9"/>
      <c r="P930" s="15"/>
      <c r="Q930" s="9"/>
      <c r="R930" s="9"/>
      <c r="S930" s="9"/>
      <c r="T930" s="9"/>
      <c r="U930" s="6"/>
      <c r="V930" s="6"/>
      <c r="W930" s="6"/>
      <c r="X930" s="6"/>
      <c r="Y930" s="6"/>
      <c r="Z930" s="6"/>
      <c r="AA930" s="6"/>
      <c r="AB930" s="6"/>
      <c r="AC930" s="6"/>
      <c r="AD930" s="6"/>
      <c r="AE930" s="6"/>
      <c r="AF930" s="6"/>
      <c r="AG930" s="6"/>
      <c r="AH930" s="6"/>
    </row>
    <row r="931" ht="15.75" customHeight="1">
      <c r="A931" s="6"/>
      <c r="B931" s="6"/>
      <c r="C931" s="6"/>
      <c r="D931" s="6"/>
      <c r="E931" s="6"/>
      <c r="F931" s="6"/>
      <c r="G931" s="9"/>
      <c r="H931" s="9"/>
      <c r="I931" s="9"/>
      <c r="J931" s="9"/>
      <c r="K931" s="6"/>
      <c r="L931" s="9"/>
      <c r="M931" s="10"/>
      <c r="N931" s="10"/>
      <c r="O931" s="9"/>
      <c r="P931" s="15"/>
      <c r="Q931" s="9"/>
      <c r="R931" s="9"/>
      <c r="S931" s="9"/>
      <c r="T931" s="9"/>
      <c r="U931" s="6"/>
      <c r="V931" s="6"/>
      <c r="W931" s="6"/>
      <c r="X931" s="6"/>
      <c r="Y931" s="6"/>
      <c r="Z931" s="6"/>
      <c r="AA931" s="6"/>
      <c r="AB931" s="6"/>
      <c r="AC931" s="6"/>
      <c r="AD931" s="6"/>
      <c r="AE931" s="6"/>
      <c r="AF931" s="6"/>
      <c r="AG931" s="6"/>
      <c r="AH931" s="6"/>
    </row>
    <row r="932" ht="15.75" customHeight="1">
      <c r="A932" s="6"/>
      <c r="B932" s="6"/>
      <c r="C932" s="6"/>
      <c r="D932" s="6"/>
      <c r="E932" s="6"/>
      <c r="F932" s="6"/>
      <c r="G932" s="9"/>
      <c r="H932" s="9"/>
      <c r="I932" s="9"/>
      <c r="J932" s="9"/>
      <c r="K932" s="6"/>
      <c r="L932" s="9"/>
      <c r="M932" s="10"/>
      <c r="N932" s="10"/>
      <c r="O932" s="9"/>
      <c r="P932" s="15"/>
      <c r="Q932" s="9"/>
      <c r="R932" s="9"/>
      <c r="S932" s="9"/>
      <c r="T932" s="9"/>
      <c r="U932" s="6"/>
      <c r="V932" s="6"/>
      <c r="W932" s="6"/>
      <c r="X932" s="6"/>
      <c r="Y932" s="6"/>
      <c r="Z932" s="6"/>
      <c r="AA932" s="6"/>
      <c r="AB932" s="6"/>
      <c r="AC932" s="6"/>
      <c r="AD932" s="6"/>
      <c r="AE932" s="6"/>
      <c r="AF932" s="6"/>
      <c r="AG932" s="6"/>
      <c r="AH932" s="6"/>
    </row>
    <row r="933" ht="15.75" customHeight="1">
      <c r="A933" s="6"/>
      <c r="B933" s="6"/>
      <c r="C933" s="6"/>
      <c r="D933" s="6"/>
      <c r="E933" s="6"/>
      <c r="F933" s="6"/>
      <c r="G933" s="9"/>
      <c r="H933" s="9"/>
      <c r="I933" s="9"/>
      <c r="J933" s="9"/>
      <c r="K933" s="6"/>
      <c r="L933" s="9"/>
      <c r="M933" s="10"/>
      <c r="N933" s="10"/>
      <c r="O933" s="9"/>
      <c r="P933" s="15"/>
      <c r="Q933" s="9"/>
      <c r="R933" s="9"/>
      <c r="S933" s="9"/>
      <c r="T933" s="9"/>
      <c r="U933" s="6"/>
      <c r="V933" s="6"/>
      <c r="W933" s="6"/>
      <c r="X933" s="6"/>
      <c r="Y933" s="6"/>
      <c r="Z933" s="6"/>
      <c r="AA933" s="6"/>
      <c r="AB933" s="6"/>
      <c r="AC933" s="6"/>
      <c r="AD933" s="6"/>
      <c r="AE933" s="6"/>
      <c r="AF933" s="6"/>
      <c r="AG933" s="6"/>
      <c r="AH933" s="6"/>
    </row>
    <row r="934" ht="15.75" customHeight="1">
      <c r="A934" s="6"/>
      <c r="B934" s="6"/>
      <c r="C934" s="6"/>
      <c r="D934" s="6"/>
      <c r="E934" s="6"/>
      <c r="F934" s="6"/>
      <c r="G934" s="9"/>
      <c r="H934" s="9"/>
      <c r="I934" s="9"/>
      <c r="J934" s="9"/>
      <c r="K934" s="6"/>
      <c r="L934" s="9"/>
      <c r="M934" s="10"/>
      <c r="N934" s="10"/>
      <c r="O934" s="9"/>
      <c r="P934" s="15"/>
      <c r="Q934" s="9"/>
      <c r="R934" s="9"/>
      <c r="S934" s="9"/>
      <c r="T934" s="9"/>
      <c r="U934" s="6"/>
      <c r="V934" s="6"/>
      <c r="W934" s="6"/>
      <c r="X934" s="6"/>
      <c r="Y934" s="6"/>
      <c r="Z934" s="6"/>
      <c r="AA934" s="6"/>
      <c r="AB934" s="6"/>
      <c r="AC934" s="6"/>
      <c r="AD934" s="6"/>
      <c r="AE934" s="6"/>
      <c r="AF934" s="6"/>
      <c r="AG934" s="6"/>
      <c r="AH934" s="6"/>
    </row>
    <row r="935" ht="15.75" customHeight="1">
      <c r="A935" s="6"/>
      <c r="B935" s="6"/>
      <c r="C935" s="6"/>
      <c r="D935" s="6"/>
      <c r="E935" s="6"/>
      <c r="F935" s="6"/>
      <c r="G935" s="9"/>
      <c r="H935" s="9"/>
      <c r="I935" s="9"/>
      <c r="J935" s="9"/>
      <c r="K935" s="6"/>
      <c r="L935" s="9"/>
      <c r="M935" s="10"/>
      <c r="N935" s="10"/>
      <c r="O935" s="9"/>
      <c r="P935" s="15"/>
      <c r="Q935" s="9"/>
      <c r="R935" s="9"/>
      <c r="S935" s="9"/>
      <c r="T935" s="9"/>
      <c r="U935" s="6"/>
      <c r="V935" s="6"/>
      <c r="W935" s="6"/>
      <c r="X935" s="6"/>
      <c r="Y935" s="6"/>
      <c r="Z935" s="6"/>
      <c r="AA935" s="6"/>
      <c r="AB935" s="6"/>
      <c r="AC935" s="6"/>
      <c r="AD935" s="6"/>
      <c r="AE935" s="6"/>
      <c r="AF935" s="6"/>
      <c r="AG935" s="6"/>
      <c r="AH935" s="6"/>
    </row>
    <row r="936" ht="15.75" customHeight="1">
      <c r="A936" s="6"/>
      <c r="B936" s="6"/>
      <c r="C936" s="6"/>
      <c r="D936" s="6"/>
      <c r="E936" s="6"/>
      <c r="F936" s="6"/>
      <c r="G936" s="9"/>
      <c r="H936" s="9"/>
      <c r="I936" s="9"/>
      <c r="J936" s="9"/>
      <c r="K936" s="6"/>
      <c r="L936" s="9"/>
      <c r="M936" s="10"/>
      <c r="N936" s="10"/>
      <c r="O936" s="9"/>
      <c r="P936" s="15"/>
      <c r="Q936" s="9"/>
      <c r="R936" s="9"/>
      <c r="S936" s="9"/>
      <c r="T936" s="9"/>
      <c r="U936" s="6"/>
      <c r="V936" s="6"/>
      <c r="W936" s="6"/>
      <c r="X936" s="6"/>
      <c r="Y936" s="6"/>
      <c r="Z936" s="6"/>
      <c r="AA936" s="6"/>
      <c r="AB936" s="6"/>
      <c r="AC936" s="6"/>
      <c r="AD936" s="6"/>
      <c r="AE936" s="6"/>
      <c r="AF936" s="6"/>
      <c r="AG936" s="6"/>
      <c r="AH936" s="6"/>
    </row>
    <row r="937" ht="15.75" customHeight="1">
      <c r="A937" s="6"/>
      <c r="B937" s="6"/>
      <c r="C937" s="6"/>
      <c r="D937" s="6"/>
      <c r="E937" s="6"/>
      <c r="F937" s="6"/>
      <c r="G937" s="9"/>
      <c r="H937" s="9"/>
      <c r="I937" s="9"/>
      <c r="J937" s="9"/>
      <c r="K937" s="6"/>
      <c r="L937" s="9"/>
      <c r="M937" s="10"/>
      <c r="N937" s="10"/>
      <c r="O937" s="9"/>
      <c r="P937" s="15"/>
      <c r="Q937" s="9"/>
      <c r="R937" s="9"/>
      <c r="S937" s="9"/>
      <c r="T937" s="9"/>
      <c r="U937" s="6"/>
      <c r="V937" s="6"/>
      <c r="W937" s="6"/>
      <c r="X937" s="6"/>
      <c r="Y937" s="6"/>
      <c r="Z937" s="6"/>
      <c r="AA937" s="6"/>
      <c r="AB937" s="6"/>
      <c r="AC937" s="6"/>
      <c r="AD937" s="6"/>
      <c r="AE937" s="6"/>
      <c r="AF937" s="6"/>
      <c r="AG937" s="6"/>
      <c r="AH937" s="6"/>
    </row>
    <row r="938" ht="15.75" customHeight="1">
      <c r="A938" s="6"/>
      <c r="B938" s="6"/>
      <c r="C938" s="6"/>
      <c r="D938" s="6"/>
      <c r="E938" s="6"/>
      <c r="F938" s="6"/>
      <c r="G938" s="9"/>
      <c r="H938" s="9"/>
      <c r="I938" s="9"/>
      <c r="J938" s="9"/>
      <c r="K938" s="6"/>
      <c r="L938" s="9"/>
      <c r="M938" s="10"/>
      <c r="N938" s="10"/>
      <c r="O938" s="9"/>
      <c r="P938" s="15"/>
      <c r="Q938" s="9"/>
      <c r="R938" s="9"/>
      <c r="S938" s="9"/>
      <c r="T938" s="9"/>
      <c r="U938" s="6"/>
      <c r="V938" s="6"/>
      <c r="W938" s="6"/>
      <c r="X938" s="6"/>
      <c r="Y938" s="6"/>
      <c r="Z938" s="6"/>
      <c r="AA938" s="6"/>
      <c r="AB938" s="6"/>
      <c r="AC938" s="6"/>
      <c r="AD938" s="6"/>
      <c r="AE938" s="6"/>
      <c r="AF938" s="6"/>
      <c r="AG938" s="6"/>
      <c r="AH938" s="6"/>
    </row>
    <row r="939" ht="15.75" customHeight="1">
      <c r="A939" s="6"/>
      <c r="B939" s="6"/>
      <c r="C939" s="6"/>
      <c r="D939" s="6"/>
      <c r="E939" s="6"/>
      <c r="F939" s="6"/>
      <c r="G939" s="9"/>
      <c r="H939" s="9"/>
      <c r="I939" s="9"/>
      <c r="J939" s="9"/>
      <c r="K939" s="6"/>
      <c r="L939" s="9"/>
      <c r="M939" s="10"/>
      <c r="N939" s="10"/>
      <c r="O939" s="9"/>
      <c r="P939" s="15"/>
      <c r="Q939" s="9"/>
      <c r="R939" s="9"/>
      <c r="S939" s="9"/>
      <c r="T939" s="9"/>
      <c r="U939" s="6"/>
      <c r="V939" s="6"/>
      <c r="W939" s="6"/>
      <c r="X939" s="6"/>
      <c r="Y939" s="6"/>
      <c r="Z939" s="6"/>
      <c r="AA939" s="6"/>
      <c r="AB939" s="6"/>
      <c r="AC939" s="6"/>
      <c r="AD939" s="6"/>
      <c r="AE939" s="6"/>
      <c r="AF939" s="6"/>
      <c r="AG939" s="6"/>
      <c r="AH939" s="6"/>
    </row>
    <row r="940" ht="15.75" customHeight="1">
      <c r="A940" s="6"/>
      <c r="B940" s="6"/>
      <c r="C940" s="6"/>
      <c r="D940" s="6"/>
      <c r="E940" s="6"/>
      <c r="F940" s="6"/>
      <c r="G940" s="9"/>
      <c r="H940" s="9"/>
      <c r="I940" s="9"/>
      <c r="J940" s="9"/>
      <c r="K940" s="6"/>
      <c r="L940" s="9"/>
      <c r="M940" s="10"/>
      <c r="N940" s="10"/>
      <c r="O940" s="9"/>
      <c r="P940" s="15"/>
      <c r="Q940" s="9"/>
      <c r="R940" s="9"/>
      <c r="S940" s="9"/>
      <c r="T940" s="9"/>
      <c r="U940" s="6"/>
      <c r="V940" s="6"/>
      <c r="W940" s="6"/>
      <c r="X940" s="6"/>
      <c r="Y940" s="6"/>
      <c r="Z940" s="6"/>
      <c r="AA940" s="6"/>
      <c r="AB940" s="6"/>
      <c r="AC940" s="6"/>
      <c r="AD940" s="6"/>
      <c r="AE940" s="6"/>
      <c r="AF940" s="6"/>
      <c r="AG940" s="6"/>
      <c r="AH940" s="6"/>
    </row>
    <row r="941" ht="15.75" customHeight="1">
      <c r="A941" s="6"/>
      <c r="B941" s="6"/>
      <c r="C941" s="6"/>
      <c r="D941" s="6"/>
      <c r="E941" s="6"/>
      <c r="F941" s="6"/>
      <c r="G941" s="9"/>
      <c r="H941" s="9"/>
      <c r="I941" s="9"/>
      <c r="J941" s="9"/>
      <c r="K941" s="6"/>
      <c r="L941" s="9"/>
      <c r="M941" s="10"/>
      <c r="N941" s="10"/>
      <c r="O941" s="9"/>
      <c r="P941" s="15"/>
      <c r="Q941" s="9"/>
      <c r="R941" s="9"/>
      <c r="S941" s="9"/>
      <c r="T941" s="9"/>
      <c r="U941" s="6"/>
      <c r="V941" s="6"/>
      <c r="W941" s="6"/>
      <c r="X941" s="6"/>
      <c r="Y941" s="6"/>
      <c r="Z941" s="6"/>
      <c r="AA941" s="6"/>
      <c r="AB941" s="6"/>
      <c r="AC941" s="6"/>
      <c r="AD941" s="6"/>
      <c r="AE941" s="6"/>
      <c r="AF941" s="6"/>
      <c r="AG941" s="6"/>
      <c r="AH941" s="6"/>
    </row>
    <row r="942" ht="15.75" customHeight="1">
      <c r="A942" s="6"/>
      <c r="B942" s="6"/>
      <c r="C942" s="6"/>
      <c r="D942" s="6"/>
      <c r="E942" s="6"/>
      <c r="F942" s="6"/>
      <c r="G942" s="9"/>
      <c r="H942" s="9"/>
      <c r="I942" s="9"/>
      <c r="J942" s="9"/>
      <c r="K942" s="6"/>
      <c r="L942" s="9"/>
      <c r="M942" s="10"/>
      <c r="N942" s="10"/>
      <c r="O942" s="9"/>
      <c r="P942" s="15"/>
      <c r="Q942" s="9"/>
      <c r="R942" s="9"/>
      <c r="S942" s="9"/>
      <c r="T942" s="9"/>
      <c r="U942" s="6"/>
      <c r="V942" s="6"/>
      <c r="W942" s="6"/>
      <c r="X942" s="6"/>
      <c r="Y942" s="6"/>
      <c r="Z942" s="6"/>
      <c r="AA942" s="6"/>
      <c r="AB942" s="6"/>
      <c r="AC942" s="6"/>
      <c r="AD942" s="6"/>
      <c r="AE942" s="6"/>
      <c r="AF942" s="6"/>
      <c r="AG942" s="6"/>
      <c r="AH942" s="6"/>
    </row>
    <row r="943" ht="15.75" customHeight="1">
      <c r="A943" s="6"/>
      <c r="B943" s="6"/>
      <c r="C943" s="6"/>
      <c r="D943" s="6"/>
      <c r="E943" s="6"/>
      <c r="F943" s="6"/>
      <c r="G943" s="9"/>
      <c r="H943" s="9"/>
      <c r="I943" s="9"/>
      <c r="J943" s="9"/>
      <c r="K943" s="6"/>
      <c r="L943" s="9"/>
      <c r="M943" s="10"/>
      <c r="N943" s="10"/>
      <c r="O943" s="9"/>
      <c r="P943" s="15"/>
      <c r="Q943" s="9"/>
      <c r="R943" s="9"/>
      <c r="S943" s="9"/>
      <c r="T943" s="9"/>
      <c r="U943" s="6"/>
      <c r="V943" s="6"/>
      <c r="W943" s="6"/>
      <c r="X943" s="6"/>
      <c r="Y943" s="6"/>
      <c r="Z943" s="6"/>
      <c r="AA943" s="6"/>
      <c r="AB943" s="6"/>
      <c r="AC943" s="6"/>
      <c r="AD943" s="6"/>
      <c r="AE943" s="6"/>
      <c r="AF943" s="6"/>
      <c r="AG943" s="6"/>
      <c r="AH943" s="6"/>
    </row>
    <row r="944" ht="15.75" customHeight="1">
      <c r="A944" s="6"/>
      <c r="B944" s="6"/>
      <c r="C944" s="6"/>
      <c r="D944" s="6"/>
      <c r="E944" s="6"/>
      <c r="F944" s="6"/>
      <c r="G944" s="9"/>
      <c r="H944" s="9"/>
      <c r="I944" s="9"/>
      <c r="J944" s="9"/>
      <c r="K944" s="6"/>
      <c r="L944" s="9"/>
      <c r="M944" s="10"/>
      <c r="N944" s="10"/>
      <c r="O944" s="9"/>
      <c r="P944" s="15"/>
      <c r="Q944" s="9"/>
      <c r="R944" s="9"/>
      <c r="S944" s="9"/>
      <c r="T944" s="9"/>
      <c r="U944" s="6"/>
      <c r="V944" s="6"/>
      <c r="W944" s="6"/>
      <c r="X944" s="6"/>
      <c r="Y944" s="6"/>
      <c r="Z944" s="6"/>
      <c r="AA944" s="6"/>
      <c r="AB944" s="6"/>
      <c r="AC944" s="6"/>
      <c r="AD944" s="6"/>
      <c r="AE944" s="6"/>
      <c r="AF944" s="6"/>
      <c r="AG944" s="6"/>
      <c r="AH944" s="6"/>
    </row>
    <row r="945" ht="15.75" customHeight="1">
      <c r="A945" s="6"/>
      <c r="B945" s="6"/>
      <c r="C945" s="6"/>
      <c r="D945" s="6"/>
      <c r="E945" s="6"/>
      <c r="F945" s="6"/>
      <c r="G945" s="9"/>
      <c r="H945" s="9"/>
      <c r="I945" s="9"/>
      <c r="J945" s="9"/>
      <c r="K945" s="6"/>
      <c r="L945" s="9"/>
      <c r="M945" s="10"/>
      <c r="N945" s="10"/>
      <c r="O945" s="9"/>
      <c r="P945" s="15"/>
      <c r="Q945" s="9"/>
      <c r="R945" s="9"/>
      <c r="S945" s="9"/>
      <c r="T945" s="9"/>
      <c r="U945" s="6"/>
      <c r="V945" s="6"/>
      <c r="W945" s="6"/>
      <c r="X945" s="6"/>
      <c r="Y945" s="6"/>
      <c r="Z945" s="6"/>
      <c r="AA945" s="6"/>
      <c r="AB945" s="6"/>
      <c r="AC945" s="6"/>
      <c r="AD945" s="6"/>
      <c r="AE945" s="6"/>
      <c r="AF945" s="6"/>
      <c r="AG945" s="6"/>
      <c r="AH945" s="6"/>
    </row>
    <row r="946" ht="15.75" customHeight="1">
      <c r="A946" s="6"/>
      <c r="B946" s="6"/>
      <c r="C946" s="6"/>
      <c r="D946" s="6"/>
      <c r="E946" s="6"/>
      <c r="F946" s="6"/>
      <c r="G946" s="9"/>
      <c r="H946" s="9"/>
      <c r="I946" s="9"/>
      <c r="J946" s="9"/>
      <c r="K946" s="6"/>
      <c r="L946" s="9"/>
      <c r="M946" s="10"/>
      <c r="N946" s="10"/>
      <c r="O946" s="9"/>
      <c r="P946" s="15"/>
      <c r="Q946" s="9"/>
      <c r="R946" s="9"/>
      <c r="S946" s="9"/>
      <c r="T946" s="9"/>
      <c r="U946" s="6"/>
      <c r="V946" s="6"/>
      <c r="W946" s="6"/>
      <c r="X946" s="6"/>
      <c r="Y946" s="6"/>
      <c r="Z946" s="6"/>
      <c r="AA946" s="6"/>
      <c r="AB946" s="6"/>
      <c r="AC946" s="6"/>
      <c r="AD946" s="6"/>
      <c r="AE946" s="6"/>
      <c r="AF946" s="6"/>
      <c r="AG946" s="6"/>
      <c r="AH946" s="6"/>
    </row>
    <row r="947" ht="15.75" customHeight="1">
      <c r="A947" s="6"/>
      <c r="B947" s="6"/>
      <c r="C947" s="6"/>
      <c r="D947" s="6"/>
      <c r="E947" s="6"/>
      <c r="F947" s="6"/>
      <c r="G947" s="9"/>
      <c r="H947" s="9"/>
      <c r="I947" s="9"/>
      <c r="J947" s="9"/>
      <c r="K947" s="6"/>
      <c r="L947" s="9"/>
      <c r="M947" s="10"/>
      <c r="N947" s="10"/>
      <c r="O947" s="9"/>
      <c r="P947" s="15"/>
      <c r="Q947" s="9"/>
      <c r="R947" s="9"/>
      <c r="S947" s="9"/>
      <c r="T947" s="9"/>
      <c r="U947" s="6"/>
      <c r="V947" s="6"/>
      <c r="W947" s="6"/>
      <c r="X947" s="6"/>
      <c r="Y947" s="6"/>
      <c r="Z947" s="6"/>
      <c r="AA947" s="6"/>
      <c r="AB947" s="6"/>
      <c r="AC947" s="6"/>
      <c r="AD947" s="6"/>
      <c r="AE947" s="6"/>
      <c r="AF947" s="6"/>
      <c r="AG947" s="6"/>
      <c r="AH947" s="6"/>
    </row>
    <row r="948" ht="15.75" customHeight="1">
      <c r="A948" s="6"/>
      <c r="B948" s="6"/>
      <c r="C948" s="6"/>
      <c r="D948" s="6"/>
      <c r="E948" s="6"/>
      <c r="F948" s="6"/>
      <c r="G948" s="9"/>
      <c r="H948" s="9"/>
      <c r="I948" s="9"/>
      <c r="J948" s="9"/>
      <c r="K948" s="6"/>
      <c r="L948" s="9"/>
      <c r="M948" s="10"/>
      <c r="N948" s="10"/>
      <c r="O948" s="9"/>
      <c r="P948" s="15"/>
      <c r="Q948" s="9"/>
      <c r="R948" s="9"/>
      <c r="S948" s="9"/>
      <c r="T948" s="9"/>
      <c r="U948" s="6"/>
      <c r="V948" s="6"/>
      <c r="W948" s="6"/>
      <c r="X948" s="6"/>
      <c r="Y948" s="6"/>
      <c r="Z948" s="6"/>
      <c r="AA948" s="6"/>
      <c r="AB948" s="6"/>
      <c r="AC948" s="6"/>
      <c r="AD948" s="6"/>
      <c r="AE948" s="6"/>
      <c r="AF948" s="6"/>
      <c r="AG948" s="6"/>
      <c r="AH948" s="6"/>
    </row>
    <row r="949" ht="15.75" customHeight="1">
      <c r="A949" s="6"/>
      <c r="B949" s="6"/>
      <c r="C949" s="6"/>
      <c r="D949" s="6"/>
      <c r="E949" s="6"/>
      <c r="F949" s="6"/>
      <c r="G949" s="9"/>
      <c r="H949" s="9"/>
      <c r="I949" s="9"/>
      <c r="J949" s="9"/>
      <c r="K949" s="6"/>
      <c r="L949" s="9"/>
      <c r="M949" s="10"/>
      <c r="N949" s="10"/>
      <c r="O949" s="9"/>
      <c r="P949" s="15"/>
      <c r="Q949" s="9"/>
      <c r="R949" s="9"/>
      <c r="S949" s="9"/>
      <c r="T949" s="9"/>
      <c r="U949" s="6"/>
      <c r="V949" s="6"/>
      <c r="W949" s="6"/>
      <c r="X949" s="6"/>
      <c r="Y949" s="6"/>
      <c r="Z949" s="6"/>
      <c r="AA949" s="6"/>
      <c r="AB949" s="6"/>
      <c r="AC949" s="6"/>
      <c r="AD949" s="6"/>
      <c r="AE949" s="6"/>
      <c r="AF949" s="6"/>
      <c r="AG949" s="6"/>
      <c r="AH949" s="6"/>
    </row>
    <row r="950" ht="15.75" customHeight="1">
      <c r="A950" s="6"/>
      <c r="B950" s="6"/>
      <c r="C950" s="6"/>
      <c r="D950" s="6"/>
      <c r="E950" s="6"/>
      <c r="F950" s="6"/>
      <c r="G950" s="9"/>
      <c r="H950" s="9"/>
      <c r="I950" s="9"/>
      <c r="J950" s="9"/>
      <c r="K950" s="6"/>
      <c r="L950" s="9"/>
      <c r="M950" s="10"/>
      <c r="N950" s="10"/>
      <c r="O950" s="9"/>
      <c r="P950" s="15"/>
      <c r="Q950" s="9"/>
      <c r="R950" s="9"/>
      <c r="S950" s="9"/>
      <c r="T950" s="9"/>
      <c r="U950" s="6"/>
      <c r="V950" s="6"/>
      <c r="W950" s="6"/>
      <c r="X950" s="6"/>
      <c r="Y950" s="6"/>
      <c r="Z950" s="6"/>
      <c r="AA950" s="6"/>
      <c r="AB950" s="6"/>
      <c r="AC950" s="6"/>
      <c r="AD950" s="6"/>
      <c r="AE950" s="6"/>
      <c r="AF950" s="6"/>
      <c r="AG950" s="6"/>
      <c r="AH950" s="6"/>
    </row>
    <row r="951" ht="15.75" customHeight="1">
      <c r="A951" s="6"/>
      <c r="B951" s="6"/>
      <c r="C951" s="6"/>
      <c r="D951" s="6"/>
      <c r="E951" s="6"/>
      <c r="F951" s="6"/>
      <c r="G951" s="9"/>
      <c r="H951" s="9"/>
      <c r="I951" s="9"/>
      <c r="J951" s="9"/>
      <c r="K951" s="6"/>
      <c r="L951" s="9"/>
      <c r="M951" s="10"/>
      <c r="N951" s="10"/>
      <c r="O951" s="9"/>
      <c r="P951" s="15"/>
      <c r="Q951" s="9"/>
      <c r="R951" s="9"/>
      <c r="S951" s="9"/>
      <c r="T951" s="9"/>
      <c r="U951" s="6"/>
      <c r="V951" s="6"/>
      <c r="W951" s="6"/>
      <c r="X951" s="6"/>
      <c r="Y951" s="6"/>
      <c r="Z951" s="6"/>
      <c r="AA951" s="6"/>
      <c r="AB951" s="6"/>
      <c r="AC951" s="6"/>
      <c r="AD951" s="6"/>
      <c r="AE951" s="6"/>
      <c r="AF951" s="6"/>
      <c r="AG951" s="6"/>
      <c r="AH951" s="6"/>
    </row>
    <row r="952" ht="15.75" customHeight="1">
      <c r="A952" s="6"/>
      <c r="B952" s="6"/>
      <c r="C952" s="6"/>
      <c r="D952" s="6"/>
      <c r="E952" s="6"/>
      <c r="F952" s="6"/>
      <c r="G952" s="9"/>
      <c r="H952" s="9"/>
      <c r="I952" s="9"/>
      <c r="J952" s="9"/>
      <c r="K952" s="6"/>
      <c r="L952" s="9"/>
      <c r="M952" s="10"/>
      <c r="N952" s="10"/>
      <c r="O952" s="9"/>
      <c r="P952" s="15"/>
      <c r="Q952" s="9"/>
      <c r="R952" s="9"/>
      <c r="S952" s="9"/>
      <c r="T952" s="9"/>
      <c r="U952" s="6"/>
      <c r="V952" s="6"/>
      <c r="W952" s="6"/>
      <c r="X952" s="6"/>
      <c r="Y952" s="6"/>
      <c r="Z952" s="6"/>
      <c r="AA952" s="6"/>
      <c r="AB952" s="6"/>
      <c r="AC952" s="6"/>
      <c r="AD952" s="6"/>
      <c r="AE952" s="6"/>
      <c r="AF952" s="6"/>
      <c r="AG952" s="6"/>
      <c r="AH952" s="6"/>
    </row>
    <row r="953" ht="15.75" customHeight="1">
      <c r="A953" s="6"/>
      <c r="B953" s="6"/>
      <c r="C953" s="6"/>
      <c r="D953" s="6"/>
      <c r="E953" s="6"/>
      <c r="F953" s="6"/>
      <c r="G953" s="9"/>
      <c r="H953" s="9"/>
      <c r="I953" s="9"/>
      <c r="J953" s="9"/>
      <c r="K953" s="6"/>
      <c r="L953" s="9"/>
      <c r="M953" s="10"/>
      <c r="N953" s="10"/>
      <c r="O953" s="9"/>
      <c r="P953" s="15"/>
      <c r="Q953" s="9"/>
      <c r="R953" s="9"/>
      <c r="S953" s="9"/>
      <c r="T953" s="9"/>
      <c r="U953" s="6"/>
      <c r="V953" s="6"/>
      <c r="W953" s="6"/>
      <c r="X953" s="6"/>
      <c r="Y953" s="6"/>
      <c r="Z953" s="6"/>
      <c r="AA953" s="6"/>
      <c r="AB953" s="6"/>
      <c r="AC953" s="6"/>
      <c r="AD953" s="6"/>
      <c r="AE953" s="6"/>
      <c r="AF953" s="6"/>
      <c r="AG953" s="6"/>
      <c r="AH953" s="6"/>
    </row>
    <row r="954" ht="15.75" customHeight="1">
      <c r="A954" s="6"/>
      <c r="B954" s="6"/>
      <c r="C954" s="6"/>
      <c r="D954" s="6"/>
      <c r="E954" s="6"/>
      <c r="F954" s="6"/>
      <c r="G954" s="9"/>
      <c r="H954" s="9"/>
      <c r="I954" s="9"/>
      <c r="J954" s="9"/>
      <c r="K954" s="6"/>
      <c r="L954" s="9"/>
      <c r="M954" s="10"/>
      <c r="N954" s="10"/>
      <c r="O954" s="9"/>
      <c r="P954" s="15"/>
      <c r="Q954" s="9"/>
      <c r="R954" s="9"/>
      <c r="S954" s="9"/>
      <c r="T954" s="9"/>
      <c r="U954" s="6"/>
      <c r="V954" s="6"/>
      <c r="W954" s="6"/>
      <c r="X954" s="6"/>
      <c r="Y954" s="6"/>
      <c r="Z954" s="6"/>
      <c r="AA954" s="6"/>
      <c r="AB954" s="6"/>
      <c r="AC954" s="6"/>
      <c r="AD954" s="6"/>
      <c r="AE954" s="6"/>
      <c r="AF954" s="6"/>
      <c r="AG954" s="6"/>
      <c r="AH954" s="6"/>
    </row>
    <row r="955" ht="15.75" customHeight="1">
      <c r="A955" s="6"/>
      <c r="B955" s="6"/>
      <c r="C955" s="6"/>
      <c r="D955" s="6"/>
      <c r="E955" s="6"/>
      <c r="F955" s="6"/>
      <c r="G955" s="9"/>
      <c r="H955" s="9"/>
      <c r="I955" s="9"/>
      <c r="J955" s="9"/>
      <c r="K955" s="6"/>
      <c r="L955" s="9"/>
      <c r="M955" s="10"/>
      <c r="N955" s="10"/>
      <c r="O955" s="9"/>
      <c r="P955" s="15"/>
      <c r="Q955" s="9"/>
      <c r="R955" s="9"/>
      <c r="S955" s="9"/>
      <c r="T955" s="9"/>
      <c r="U955" s="6"/>
      <c r="V955" s="6"/>
      <c r="W955" s="6"/>
      <c r="X955" s="6"/>
      <c r="Y955" s="6"/>
      <c r="Z955" s="6"/>
      <c r="AA955" s="6"/>
      <c r="AB955" s="6"/>
      <c r="AC955" s="6"/>
      <c r="AD955" s="6"/>
      <c r="AE955" s="6"/>
      <c r="AF955" s="6"/>
      <c r="AG955" s="6"/>
      <c r="AH955" s="6"/>
    </row>
    <row r="956" ht="15.75" customHeight="1">
      <c r="A956" s="6"/>
      <c r="B956" s="6"/>
      <c r="C956" s="6"/>
      <c r="D956" s="6"/>
      <c r="E956" s="6"/>
      <c r="F956" s="6"/>
      <c r="G956" s="9"/>
      <c r="H956" s="9"/>
      <c r="I956" s="9"/>
      <c r="J956" s="9"/>
      <c r="K956" s="6"/>
      <c r="L956" s="9"/>
      <c r="M956" s="10"/>
      <c r="N956" s="10"/>
      <c r="O956" s="9"/>
      <c r="P956" s="15"/>
      <c r="Q956" s="9"/>
      <c r="R956" s="9"/>
      <c r="S956" s="9"/>
      <c r="T956" s="9"/>
      <c r="U956" s="6"/>
      <c r="V956" s="6"/>
      <c r="W956" s="6"/>
      <c r="X956" s="6"/>
      <c r="Y956" s="6"/>
      <c r="Z956" s="6"/>
      <c r="AA956" s="6"/>
      <c r="AB956" s="6"/>
      <c r="AC956" s="6"/>
      <c r="AD956" s="6"/>
      <c r="AE956" s="6"/>
      <c r="AF956" s="6"/>
      <c r="AG956" s="6"/>
      <c r="AH956" s="6"/>
    </row>
    <row r="957" ht="15.75" customHeight="1">
      <c r="A957" s="6"/>
      <c r="B957" s="6"/>
      <c r="C957" s="6"/>
      <c r="D957" s="6"/>
      <c r="E957" s="6"/>
      <c r="F957" s="6"/>
      <c r="G957" s="9"/>
      <c r="H957" s="9"/>
      <c r="I957" s="9"/>
      <c r="J957" s="9"/>
      <c r="K957" s="6"/>
      <c r="L957" s="9"/>
      <c r="M957" s="10"/>
      <c r="N957" s="10"/>
      <c r="O957" s="9"/>
      <c r="P957" s="15"/>
      <c r="Q957" s="9"/>
      <c r="R957" s="9"/>
      <c r="S957" s="9"/>
      <c r="T957" s="9"/>
      <c r="U957" s="6"/>
      <c r="V957" s="6"/>
      <c r="W957" s="6"/>
      <c r="X957" s="6"/>
      <c r="Y957" s="6"/>
      <c r="Z957" s="6"/>
      <c r="AA957" s="6"/>
      <c r="AB957" s="6"/>
      <c r="AC957" s="6"/>
      <c r="AD957" s="6"/>
      <c r="AE957" s="6"/>
      <c r="AF957" s="6"/>
      <c r="AG957" s="6"/>
      <c r="AH957" s="6"/>
    </row>
    <row r="958" ht="15.75" customHeight="1">
      <c r="A958" s="6"/>
      <c r="B958" s="6"/>
      <c r="C958" s="6"/>
      <c r="D958" s="6"/>
      <c r="E958" s="6"/>
      <c r="F958" s="6"/>
      <c r="G958" s="9"/>
      <c r="H958" s="9"/>
      <c r="I958" s="9"/>
      <c r="J958" s="9"/>
      <c r="K958" s="6"/>
      <c r="L958" s="9"/>
      <c r="M958" s="10"/>
      <c r="N958" s="10"/>
      <c r="O958" s="9"/>
      <c r="P958" s="15"/>
      <c r="Q958" s="9"/>
      <c r="R958" s="9"/>
      <c r="S958" s="9"/>
      <c r="T958" s="9"/>
      <c r="U958" s="6"/>
      <c r="V958" s="6"/>
      <c r="W958" s="6"/>
      <c r="X958" s="6"/>
      <c r="Y958" s="6"/>
      <c r="Z958" s="6"/>
      <c r="AA958" s="6"/>
      <c r="AB958" s="6"/>
      <c r="AC958" s="6"/>
      <c r="AD958" s="6"/>
      <c r="AE958" s="6"/>
      <c r="AF958" s="6"/>
      <c r="AG958" s="6"/>
      <c r="AH958" s="6"/>
    </row>
    <row r="959" ht="15.75" customHeight="1">
      <c r="A959" s="6"/>
      <c r="B959" s="6"/>
      <c r="C959" s="6"/>
      <c r="D959" s="6"/>
      <c r="E959" s="6"/>
      <c r="F959" s="6"/>
      <c r="G959" s="9"/>
      <c r="H959" s="9"/>
      <c r="I959" s="9"/>
      <c r="J959" s="9"/>
      <c r="K959" s="6"/>
      <c r="L959" s="9"/>
      <c r="M959" s="10"/>
      <c r="N959" s="10"/>
      <c r="O959" s="9"/>
      <c r="P959" s="15"/>
      <c r="Q959" s="9"/>
      <c r="R959" s="9"/>
      <c r="S959" s="9"/>
      <c r="T959" s="9"/>
      <c r="U959" s="6"/>
      <c r="V959" s="6"/>
      <c r="W959" s="6"/>
      <c r="X959" s="6"/>
      <c r="Y959" s="6"/>
      <c r="Z959" s="6"/>
      <c r="AA959" s="6"/>
      <c r="AB959" s="6"/>
      <c r="AC959" s="6"/>
      <c r="AD959" s="6"/>
      <c r="AE959" s="6"/>
      <c r="AF959" s="6"/>
      <c r="AG959" s="6"/>
      <c r="AH959" s="6"/>
    </row>
    <row r="960" ht="15.75" customHeight="1">
      <c r="A960" s="6"/>
      <c r="B960" s="6"/>
      <c r="C960" s="6"/>
      <c r="D960" s="6"/>
      <c r="E960" s="6"/>
      <c r="F960" s="6"/>
      <c r="G960" s="9"/>
      <c r="H960" s="9"/>
      <c r="I960" s="9"/>
      <c r="J960" s="9"/>
      <c r="K960" s="6"/>
      <c r="L960" s="9"/>
      <c r="M960" s="10"/>
      <c r="N960" s="10"/>
      <c r="O960" s="9"/>
      <c r="P960" s="15"/>
      <c r="Q960" s="9"/>
      <c r="R960" s="9"/>
      <c r="S960" s="9"/>
      <c r="T960" s="9"/>
      <c r="U960" s="6"/>
      <c r="V960" s="6"/>
      <c r="W960" s="6"/>
      <c r="X960" s="6"/>
      <c r="Y960" s="6"/>
      <c r="Z960" s="6"/>
      <c r="AA960" s="6"/>
      <c r="AB960" s="6"/>
      <c r="AC960" s="6"/>
      <c r="AD960" s="6"/>
      <c r="AE960" s="6"/>
      <c r="AF960" s="6"/>
      <c r="AG960" s="6"/>
      <c r="AH960" s="6"/>
    </row>
    <row r="961" ht="15.75" customHeight="1">
      <c r="A961" s="6"/>
      <c r="B961" s="6"/>
      <c r="C961" s="6"/>
      <c r="D961" s="6"/>
      <c r="E961" s="6"/>
      <c r="F961" s="6"/>
      <c r="G961" s="9"/>
      <c r="H961" s="9"/>
      <c r="I961" s="9"/>
      <c r="J961" s="9"/>
      <c r="K961" s="6"/>
      <c r="L961" s="9"/>
      <c r="M961" s="10"/>
      <c r="N961" s="10"/>
      <c r="O961" s="9"/>
      <c r="P961" s="15"/>
      <c r="Q961" s="9"/>
      <c r="R961" s="9"/>
      <c r="S961" s="9"/>
      <c r="T961" s="9"/>
      <c r="U961" s="6"/>
      <c r="V961" s="6"/>
      <c r="W961" s="6"/>
      <c r="X961" s="6"/>
      <c r="Y961" s="6"/>
      <c r="Z961" s="6"/>
      <c r="AA961" s="6"/>
      <c r="AB961" s="6"/>
      <c r="AC961" s="6"/>
      <c r="AD961" s="6"/>
      <c r="AE961" s="6"/>
      <c r="AF961" s="6"/>
      <c r="AG961" s="6"/>
      <c r="AH961" s="6"/>
    </row>
    <row r="962" ht="15.75" customHeight="1">
      <c r="A962" s="6"/>
      <c r="B962" s="6"/>
      <c r="C962" s="6"/>
      <c r="D962" s="6"/>
      <c r="E962" s="6"/>
      <c r="F962" s="6"/>
      <c r="G962" s="9"/>
      <c r="H962" s="9"/>
      <c r="I962" s="9"/>
      <c r="J962" s="9"/>
      <c r="K962" s="6"/>
      <c r="L962" s="9"/>
      <c r="M962" s="10"/>
      <c r="N962" s="10"/>
      <c r="O962" s="9"/>
      <c r="P962" s="15"/>
      <c r="Q962" s="9"/>
      <c r="R962" s="9"/>
      <c r="S962" s="9"/>
      <c r="T962" s="9"/>
      <c r="U962" s="6"/>
      <c r="V962" s="6"/>
      <c r="W962" s="6"/>
      <c r="X962" s="6"/>
      <c r="Y962" s="6"/>
      <c r="Z962" s="6"/>
      <c r="AA962" s="6"/>
      <c r="AB962" s="6"/>
      <c r="AC962" s="6"/>
      <c r="AD962" s="6"/>
      <c r="AE962" s="6"/>
      <c r="AF962" s="6"/>
      <c r="AG962" s="6"/>
      <c r="AH962" s="6"/>
    </row>
    <row r="963" ht="15.75" customHeight="1">
      <c r="A963" s="6"/>
      <c r="B963" s="6"/>
      <c r="C963" s="6"/>
      <c r="D963" s="6"/>
      <c r="E963" s="6"/>
      <c r="F963" s="6"/>
      <c r="G963" s="9"/>
      <c r="H963" s="9"/>
      <c r="I963" s="9"/>
      <c r="J963" s="9"/>
      <c r="K963" s="6"/>
      <c r="L963" s="9"/>
      <c r="M963" s="10"/>
      <c r="N963" s="10"/>
      <c r="O963" s="9"/>
      <c r="P963" s="15"/>
      <c r="Q963" s="9"/>
      <c r="R963" s="9"/>
      <c r="S963" s="9"/>
      <c r="T963" s="9"/>
      <c r="U963" s="6"/>
      <c r="V963" s="6"/>
      <c r="W963" s="6"/>
      <c r="X963" s="6"/>
      <c r="Y963" s="6"/>
      <c r="Z963" s="6"/>
      <c r="AA963" s="6"/>
      <c r="AB963" s="6"/>
      <c r="AC963" s="6"/>
      <c r="AD963" s="6"/>
      <c r="AE963" s="6"/>
      <c r="AF963" s="6"/>
      <c r="AG963" s="6"/>
      <c r="AH963" s="6"/>
    </row>
    <row r="964" ht="15.75" customHeight="1">
      <c r="A964" s="6"/>
      <c r="B964" s="6"/>
      <c r="C964" s="6"/>
      <c r="D964" s="6"/>
      <c r="E964" s="6"/>
      <c r="F964" s="6"/>
      <c r="G964" s="9"/>
      <c r="H964" s="9"/>
      <c r="I964" s="9"/>
      <c r="J964" s="9"/>
      <c r="K964" s="6"/>
      <c r="L964" s="9"/>
      <c r="M964" s="10"/>
      <c r="N964" s="10"/>
      <c r="O964" s="9"/>
      <c r="P964" s="15"/>
      <c r="Q964" s="9"/>
      <c r="R964" s="9"/>
      <c r="S964" s="9"/>
      <c r="T964" s="9"/>
      <c r="U964" s="6"/>
      <c r="V964" s="6"/>
      <c r="W964" s="6"/>
      <c r="X964" s="6"/>
      <c r="Y964" s="6"/>
      <c r="Z964" s="6"/>
      <c r="AA964" s="6"/>
      <c r="AB964" s="6"/>
      <c r="AC964" s="6"/>
      <c r="AD964" s="6"/>
      <c r="AE964" s="6"/>
      <c r="AF964" s="6"/>
      <c r="AG964" s="6"/>
      <c r="AH964" s="6"/>
    </row>
    <row r="965" ht="15.75" customHeight="1">
      <c r="A965" s="6"/>
      <c r="B965" s="6"/>
      <c r="C965" s="6"/>
      <c r="D965" s="6"/>
      <c r="E965" s="6"/>
      <c r="F965" s="6"/>
      <c r="G965" s="9"/>
      <c r="H965" s="9"/>
      <c r="I965" s="9"/>
      <c r="J965" s="9"/>
      <c r="K965" s="6"/>
      <c r="L965" s="9"/>
      <c r="M965" s="10"/>
      <c r="N965" s="10"/>
      <c r="O965" s="9"/>
      <c r="P965" s="15"/>
      <c r="Q965" s="9"/>
      <c r="R965" s="9"/>
      <c r="S965" s="9"/>
      <c r="T965" s="9"/>
      <c r="U965" s="6"/>
      <c r="V965" s="6"/>
      <c r="W965" s="6"/>
      <c r="X965" s="6"/>
      <c r="Y965" s="6"/>
      <c r="Z965" s="6"/>
      <c r="AA965" s="6"/>
      <c r="AB965" s="6"/>
      <c r="AC965" s="6"/>
      <c r="AD965" s="6"/>
      <c r="AE965" s="6"/>
      <c r="AF965" s="6"/>
      <c r="AG965" s="6"/>
      <c r="AH965" s="6"/>
    </row>
    <row r="966" ht="15.75" customHeight="1">
      <c r="A966" s="6"/>
      <c r="B966" s="6"/>
      <c r="C966" s="6"/>
      <c r="D966" s="6"/>
      <c r="E966" s="6"/>
      <c r="F966" s="6"/>
      <c r="G966" s="9"/>
      <c r="H966" s="9"/>
      <c r="I966" s="9"/>
      <c r="J966" s="9"/>
      <c r="K966" s="6"/>
      <c r="L966" s="9"/>
      <c r="M966" s="10"/>
      <c r="N966" s="10"/>
      <c r="O966" s="9"/>
      <c r="P966" s="15"/>
      <c r="Q966" s="9"/>
      <c r="R966" s="9"/>
      <c r="S966" s="9"/>
      <c r="T966" s="9"/>
      <c r="U966" s="6"/>
      <c r="V966" s="6"/>
      <c r="W966" s="6"/>
      <c r="X966" s="6"/>
      <c r="Y966" s="6"/>
      <c r="Z966" s="6"/>
      <c r="AA966" s="6"/>
      <c r="AB966" s="6"/>
      <c r="AC966" s="6"/>
      <c r="AD966" s="6"/>
      <c r="AE966" s="6"/>
      <c r="AF966" s="6"/>
      <c r="AG966" s="6"/>
      <c r="AH966" s="6"/>
    </row>
    <row r="967" ht="15.75" customHeight="1">
      <c r="A967" s="6"/>
      <c r="B967" s="6"/>
      <c r="C967" s="6"/>
      <c r="D967" s="6"/>
      <c r="E967" s="6"/>
      <c r="F967" s="6"/>
      <c r="G967" s="9"/>
      <c r="H967" s="9"/>
      <c r="I967" s="9"/>
      <c r="J967" s="9"/>
      <c r="K967" s="6"/>
      <c r="L967" s="9"/>
      <c r="M967" s="10"/>
      <c r="N967" s="10"/>
      <c r="O967" s="9"/>
      <c r="P967" s="15"/>
      <c r="Q967" s="9"/>
      <c r="R967" s="9"/>
      <c r="S967" s="9"/>
      <c r="T967" s="9"/>
      <c r="U967" s="6"/>
      <c r="V967" s="6"/>
      <c r="W967" s="6"/>
      <c r="X967" s="6"/>
      <c r="Y967" s="6"/>
      <c r="Z967" s="6"/>
      <c r="AA967" s="6"/>
      <c r="AB967" s="6"/>
      <c r="AC967" s="6"/>
      <c r="AD967" s="6"/>
      <c r="AE967" s="6"/>
      <c r="AF967" s="6"/>
      <c r="AG967" s="6"/>
      <c r="AH967" s="6"/>
    </row>
    <row r="968" ht="15.75" customHeight="1">
      <c r="A968" s="6"/>
      <c r="B968" s="6"/>
      <c r="C968" s="6"/>
      <c r="D968" s="6"/>
      <c r="E968" s="6"/>
      <c r="F968" s="6"/>
      <c r="G968" s="9"/>
      <c r="H968" s="9"/>
      <c r="I968" s="9"/>
      <c r="J968" s="9"/>
      <c r="K968" s="6"/>
      <c r="L968" s="9"/>
      <c r="M968" s="10"/>
      <c r="N968" s="10"/>
      <c r="O968" s="9"/>
      <c r="P968" s="15"/>
      <c r="Q968" s="9"/>
      <c r="R968" s="9"/>
      <c r="S968" s="9"/>
      <c r="T968" s="9"/>
      <c r="U968" s="6"/>
      <c r="V968" s="6"/>
      <c r="W968" s="6"/>
      <c r="X968" s="6"/>
      <c r="Y968" s="6"/>
      <c r="Z968" s="6"/>
      <c r="AA968" s="6"/>
      <c r="AB968" s="6"/>
      <c r="AC968" s="6"/>
      <c r="AD968" s="6"/>
      <c r="AE968" s="6"/>
      <c r="AF968" s="6"/>
      <c r="AG968" s="6"/>
      <c r="AH968" s="6"/>
    </row>
    <row r="969" ht="15.75" customHeight="1">
      <c r="A969" s="6"/>
      <c r="B969" s="6"/>
      <c r="C969" s="6"/>
      <c r="D969" s="6"/>
      <c r="E969" s="6"/>
      <c r="F969" s="6"/>
      <c r="G969" s="9"/>
      <c r="H969" s="9"/>
      <c r="I969" s="9"/>
      <c r="J969" s="9"/>
      <c r="K969" s="6"/>
      <c r="L969" s="9"/>
      <c r="M969" s="10"/>
      <c r="N969" s="10"/>
      <c r="O969" s="9"/>
      <c r="P969" s="15"/>
      <c r="Q969" s="9"/>
      <c r="R969" s="9"/>
      <c r="S969" s="9"/>
      <c r="T969" s="9"/>
      <c r="U969" s="6"/>
      <c r="V969" s="6"/>
      <c r="W969" s="6"/>
      <c r="X969" s="6"/>
      <c r="Y969" s="6"/>
      <c r="Z969" s="6"/>
      <c r="AA969" s="6"/>
      <c r="AB969" s="6"/>
      <c r="AC969" s="6"/>
      <c r="AD969" s="6"/>
      <c r="AE969" s="6"/>
      <c r="AF969" s="6"/>
      <c r="AG969" s="6"/>
      <c r="AH969" s="6"/>
    </row>
    <row r="970" ht="15.75" customHeight="1">
      <c r="A970" s="6"/>
      <c r="B970" s="6"/>
      <c r="C970" s="6"/>
      <c r="D970" s="6"/>
      <c r="E970" s="6"/>
      <c r="F970" s="6"/>
      <c r="G970" s="9"/>
      <c r="H970" s="9"/>
      <c r="I970" s="9"/>
      <c r="J970" s="9"/>
      <c r="K970" s="6"/>
      <c r="L970" s="9"/>
      <c r="M970" s="10"/>
      <c r="N970" s="10"/>
      <c r="O970" s="9"/>
      <c r="P970" s="15"/>
      <c r="Q970" s="9"/>
      <c r="R970" s="9"/>
      <c r="S970" s="9"/>
      <c r="T970" s="9"/>
      <c r="U970" s="6"/>
      <c r="V970" s="6"/>
      <c r="W970" s="6"/>
      <c r="X970" s="6"/>
      <c r="Y970" s="6"/>
      <c r="Z970" s="6"/>
      <c r="AA970" s="6"/>
      <c r="AB970" s="6"/>
      <c r="AC970" s="6"/>
      <c r="AD970" s="6"/>
      <c r="AE970" s="6"/>
      <c r="AF970" s="6"/>
      <c r="AG970" s="6"/>
      <c r="AH970" s="6"/>
    </row>
    <row r="971" ht="15.75" customHeight="1">
      <c r="A971" s="6"/>
      <c r="B971" s="6"/>
      <c r="C971" s="6"/>
      <c r="D971" s="6"/>
      <c r="E971" s="6"/>
      <c r="F971" s="6"/>
      <c r="G971" s="9"/>
      <c r="H971" s="9"/>
      <c r="I971" s="9"/>
      <c r="J971" s="9"/>
      <c r="K971" s="6"/>
      <c r="L971" s="9"/>
      <c r="M971" s="10"/>
      <c r="N971" s="10"/>
      <c r="O971" s="9"/>
      <c r="P971" s="15"/>
      <c r="Q971" s="9"/>
      <c r="R971" s="9"/>
      <c r="S971" s="9"/>
      <c r="T971" s="9"/>
      <c r="U971" s="6"/>
      <c r="V971" s="6"/>
      <c r="W971" s="6"/>
      <c r="X971" s="6"/>
      <c r="Y971" s="6"/>
      <c r="Z971" s="6"/>
      <c r="AA971" s="6"/>
      <c r="AB971" s="6"/>
      <c r="AC971" s="6"/>
      <c r="AD971" s="6"/>
      <c r="AE971" s="6"/>
      <c r="AF971" s="6"/>
      <c r="AG971" s="6"/>
      <c r="AH971" s="6"/>
    </row>
    <row r="972" ht="15.75" customHeight="1">
      <c r="A972" s="6"/>
      <c r="B972" s="6"/>
      <c r="C972" s="6"/>
      <c r="D972" s="6"/>
      <c r="E972" s="6"/>
      <c r="F972" s="6"/>
      <c r="G972" s="9"/>
      <c r="H972" s="9"/>
      <c r="I972" s="9"/>
      <c r="J972" s="9"/>
      <c r="K972" s="6"/>
      <c r="L972" s="9"/>
      <c r="M972" s="10"/>
      <c r="N972" s="10"/>
      <c r="O972" s="9"/>
      <c r="P972" s="15"/>
      <c r="Q972" s="9"/>
      <c r="R972" s="9"/>
      <c r="S972" s="9"/>
      <c r="T972" s="9"/>
      <c r="U972" s="6"/>
      <c r="V972" s="6"/>
      <c r="W972" s="6"/>
      <c r="X972" s="6"/>
      <c r="Y972" s="6"/>
      <c r="Z972" s="6"/>
      <c r="AA972" s="6"/>
      <c r="AB972" s="6"/>
      <c r="AC972" s="6"/>
      <c r="AD972" s="6"/>
      <c r="AE972" s="6"/>
      <c r="AF972" s="6"/>
      <c r="AG972" s="6"/>
      <c r="AH972" s="6"/>
    </row>
    <row r="973" ht="15.75" customHeight="1">
      <c r="A973" s="6"/>
      <c r="B973" s="6"/>
      <c r="C973" s="6"/>
      <c r="D973" s="6"/>
      <c r="E973" s="6"/>
      <c r="F973" s="6"/>
      <c r="G973" s="9"/>
      <c r="H973" s="9"/>
      <c r="I973" s="9"/>
      <c r="J973" s="9"/>
      <c r="K973" s="6"/>
      <c r="L973" s="9"/>
      <c r="M973" s="10"/>
      <c r="N973" s="10"/>
      <c r="O973" s="9"/>
      <c r="P973" s="15"/>
      <c r="Q973" s="9"/>
      <c r="R973" s="9"/>
      <c r="S973" s="9"/>
      <c r="T973" s="9"/>
      <c r="U973" s="6"/>
      <c r="V973" s="6"/>
      <c r="W973" s="6"/>
      <c r="X973" s="6"/>
      <c r="Y973" s="6"/>
      <c r="Z973" s="6"/>
      <c r="AA973" s="6"/>
      <c r="AB973" s="6"/>
      <c r="AC973" s="6"/>
      <c r="AD973" s="6"/>
      <c r="AE973" s="6"/>
      <c r="AF973" s="6"/>
      <c r="AG973" s="6"/>
      <c r="AH973" s="6"/>
    </row>
    <row r="974" ht="15.75" customHeight="1">
      <c r="A974" s="6"/>
      <c r="B974" s="6"/>
      <c r="C974" s="6"/>
      <c r="D974" s="6"/>
      <c r="E974" s="6"/>
      <c r="F974" s="6"/>
      <c r="G974" s="9"/>
      <c r="H974" s="9"/>
      <c r="I974" s="9"/>
      <c r="J974" s="9"/>
      <c r="K974" s="6"/>
      <c r="L974" s="9"/>
      <c r="M974" s="10"/>
      <c r="N974" s="10"/>
      <c r="O974" s="9"/>
      <c r="P974" s="15"/>
      <c r="Q974" s="9"/>
      <c r="R974" s="9"/>
      <c r="S974" s="9"/>
      <c r="T974" s="9"/>
      <c r="U974" s="6"/>
      <c r="V974" s="6"/>
      <c r="W974" s="6"/>
      <c r="X974" s="6"/>
      <c r="Y974" s="6"/>
      <c r="Z974" s="6"/>
      <c r="AA974" s="6"/>
      <c r="AB974" s="6"/>
      <c r="AC974" s="6"/>
      <c r="AD974" s="6"/>
      <c r="AE974" s="6"/>
      <c r="AF974" s="6"/>
      <c r="AG974" s="6"/>
      <c r="AH974" s="6"/>
    </row>
    <row r="975" ht="15.75" customHeight="1">
      <c r="A975" s="6"/>
      <c r="B975" s="6"/>
      <c r="C975" s="6"/>
      <c r="D975" s="6"/>
      <c r="E975" s="6"/>
      <c r="F975" s="6"/>
      <c r="G975" s="9"/>
      <c r="H975" s="9"/>
      <c r="I975" s="9"/>
      <c r="J975" s="9"/>
      <c r="K975" s="6"/>
      <c r="L975" s="9"/>
      <c r="M975" s="10"/>
      <c r="N975" s="10"/>
      <c r="O975" s="9"/>
      <c r="P975" s="15"/>
      <c r="Q975" s="9"/>
      <c r="R975" s="9"/>
      <c r="S975" s="9"/>
      <c r="T975" s="9"/>
      <c r="U975" s="6"/>
      <c r="V975" s="6"/>
      <c r="W975" s="6"/>
      <c r="X975" s="6"/>
      <c r="Y975" s="6"/>
      <c r="Z975" s="6"/>
      <c r="AA975" s="6"/>
      <c r="AB975" s="6"/>
      <c r="AC975" s="6"/>
      <c r="AD975" s="6"/>
      <c r="AE975" s="6"/>
      <c r="AF975" s="6"/>
      <c r="AG975" s="6"/>
      <c r="AH975" s="6"/>
    </row>
    <row r="976" ht="15.75" customHeight="1">
      <c r="A976" s="6"/>
      <c r="B976" s="6"/>
      <c r="C976" s="6"/>
      <c r="D976" s="6"/>
      <c r="E976" s="6"/>
      <c r="F976" s="6"/>
      <c r="G976" s="9"/>
      <c r="H976" s="9"/>
      <c r="I976" s="9"/>
      <c r="J976" s="9"/>
      <c r="K976" s="6"/>
      <c r="L976" s="9"/>
      <c r="M976" s="10"/>
      <c r="N976" s="10"/>
      <c r="O976" s="9"/>
      <c r="P976" s="15"/>
      <c r="Q976" s="9"/>
      <c r="R976" s="9"/>
      <c r="S976" s="9"/>
      <c r="T976" s="9"/>
      <c r="U976" s="6"/>
      <c r="V976" s="6"/>
      <c r="W976" s="6"/>
      <c r="X976" s="6"/>
      <c r="Y976" s="6"/>
      <c r="Z976" s="6"/>
      <c r="AA976" s="6"/>
      <c r="AB976" s="6"/>
      <c r="AC976" s="6"/>
      <c r="AD976" s="6"/>
      <c r="AE976" s="6"/>
      <c r="AF976" s="6"/>
      <c r="AG976" s="6"/>
      <c r="AH976" s="6"/>
    </row>
    <row r="977" ht="15.75" customHeight="1">
      <c r="A977" s="6"/>
      <c r="B977" s="6"/>
      <c r="C977" s="6"/>
      <c r="D977" s="6"/>
      <c r="E977" s="6"/>
      <c r="F977" s="6"/>
      <c r="G977" s="9"/>
      <c r="H977" s="9"/>
      <c r="I977" s="9"/>
      <c r="J977" s="9"/>
      <c r="K977" s="6"/>
      <c r="L977" s="9"/>
      <c r="M977" s="10"/>
      <c r="N977" s="10"/>
      <c r="O977" s="9"/>
      <c r="P977" s="15"/>
      <c r="Q977" s="9"/>
      <c r="R977" s="9"/>
      <c r="S977" s="9"/>
      <c r="T977" s="9"/>
      <c r="U977" s="6"/>
      <c r="V977" s="6"/>
      <c r="W977" s="6"/>
      <c r="X977" s="6"/>
      <c r="Y977" s="6"/>
      <c r="Z977" s="6"/>
      <c r="AA977" s="6"/>
      <c r="AB977" s="6"/>
      <c r="AC977" s="6"/>
      <c r="AD977" s="6"/>
      <c r="AE977" s="6"/>
      <c r="AF977" s="6"/>
      <c r="AG977" s="6"/>
      <c r="AH977" s="6"/>
    </row>
    <row r="978" ht="15.75" customHeight="1">
      <c r="A978" s="6"/>
      <c r="B978" s="6"/>
      <c r="C978" s="6"/>
      <c r="D978" s="6"/>
      <c r="E978" s="6"/>
      <c r="F978" s="6"/>
      <c r="G978" s="9"/>
      <c r="H978" s="9"/>
      <c r="I978" s="9"/>
      <c r="J978" s="9"/>
      <c r="K978" s="6"/>
      <c r="L978" s="9"/>
      <c r="M978" s="10"/>
      <c r="N978" s="10"/>
      <c r="O978" s="9"/>
      <c r="P978" s="15"/>
      <c r="Q978" s="9"/>
      <c r="R978" s="9"/>
      <c r="S978" s="9"/>
      <c r="T978" s="9"/>
      <c r="U978" s="6"/>
      <c r="V978" s="6"/>
      <c r="W978" s="6"/>
      <c r="X978" s="6"/>
      <c r="Y978" s="6"/>
      <c r="Z978" s="6"/>
      <c r="AA978" s="6"/>
      <c r="AB978" s="6"/>
      <c r="AC978" s="6"/>
      <c r="AD978" s="6"/>
      <c r="AE978" s="6"/>
      <c r="AF978" s="6"/>
      <c r="AG978" s="6"/>
      <c r="AH978" s="6"/>
    </row>
    <row r="979" ht="15.75" customHeight="1">
      <c r="A979" s="6"/>
      <c r="B979" s="6"/>
      <c r="C979" s="6"/>
      <c r="D979" s="6"/>
      <c r="E979" s="6"/>
      <c r="F979" s="6"/>
      <c r="G979" s="9"/>
      <c r="H979" s="9"/>
      <c r="I979" s="9"/>
      <c r="J979" s="9"/>
      <c r="K979" s="6"/>
      <c r="L979" s="9"/>
      <c r="M979" s="10"/>
      <c r="N979" s="10"/>
      <c r="O979" s="9"/>
      <c r="P979" s="15"/>
      <c r="Q979" s="9"/>
      <c r="R979" s="9"/>
      <c r="S979" s="9"/>
      <c r="T979" s="9"/>
      <c r="U979" s="6"/>
      <c r="V979" s="6"/>
      <c r="W979" s="6"/>
      <c r="X979" s="6"/>
      <c r="Y979" s="6"/>
      <c r="Z979" s="6"/>
      <c r="AA979" s="6"/>
      <c r="AB979" s="6"/>
      <c r="AC979" s="6"/>
      <c r="AD979" s="6"/>
      <c r="AE979" s="6"/>
      <c r="AF979" s="6"/>
      <c r="AG979" s="6"/>
      <c r="AH979" s="6"/>
    </row>
    <row r="980" ht="15.75" customHeight="1">
      <c r="A980" s="6"/>
      <c r="B980" s="6"/>
      <c r="C980" s="6"/>
      <c r="D980" s="6"/>
      <c r="E980" s="6"/>
      <c r="F980" s="6"/>
      <c r="G980" s="9"/>
      <c r="H980" s="9"/>
      <c r="I980" s="9"/>
      <c r="J980" s="9"/>
      <c r="K980" s="6"/>
      <c r="L980" s="9"/>
      <c r="M980" s="10"/>
      <c r="N980" s="10"/>
      <c r="O980" s="9"/>
      <c r="P980" s="15"/>
      <c r="Q980" s="9"/>
      <c r="R980" s="9"/>
      <c r="S980" s="9"/>
      <c r="T980" s="9"/>
      <c r="U980" s="6"/>
      <c r="V980" s="6"/>
      <c r="W980" s="6"/>
      <c r="X980" s="6"/>
      <c r="Y980" s="6"/>
      <c r="Z980" s="6"/>
      <c r="AA980" s="6"/>
      <c r="AB980" s="6"/>
      <c r="AC980" s="6"/>
      <c r="AD980" s="6"/>
      <c r="AE980" s="6"/>
      <c r="AF980" s="6"/>
      <c r="AG980" s="6"/>
      <c r="AH980" s="6"/>
    </row>
    <row r="981" ht="15.75" customHeight="1">
      <c r="A981" s="6"/>
      <c r="B981" s="6"/>
      <c r="C981" s="6"/>
      <c r="D981" s="6"/>
      <c r="E981" s="6"/>
      <c r="F981" s="6"/>
      <c r="G981" s="9"/>
      <c r="H981" s="9"/>
      <c r="I981" s="9"/>
      <c r="J981" s="9"/>
      <c r="K981" s="6"/>
      <c r="L981" s="9"/>
      <c r="M981" s="10"/>
      <c r="N981" s="10"/>
      <c r="O981" s="9"/>
      <c r="P981" s="15"/>
      <c r="Q981" s="9"/>
      <c r="R981" s="9"/>
      <c r="S981" s="9"/>
      <c r="T981" s="9"/>
      <c r="U981" s="6"/>
      <c r="V981" s="6"/>
      <c r="W981" s="6"/>
      <c r="X981" s="6"/>
      <c r="Y981" s="6"/>
      <c r="Z981" s="6"/>
      <c r="AA981" s="6"/>
      <c r="AB981" s="6"/>
      <c r="AC981" s="6"/>
      <c r="AD981" s="6"/>
      <c r="AE981" s="6"/>
      <c r="AF981" s="6"/>
      <c r="AG981" s="6"/>
      <c r="AH981" s="6"/>
    </row>
    <row r="982" ht="15.75" customHeight="1">
      <c r="A982" s="6"/>
      <c r="B982" s="6"/>
      <c r="C982" s="6"/>
      <c r="D982" s="6"/>
      <c r="E982" s="6"/>
      <c r="F982" s="6"/>
      <c r="G982" s="9"/>
      <c r="H982" s="9"/>
      <c r="I982" s="9"/>
      <c r="J982" s="9"/>
      <c r="K982" s="6"/>
      <c r="L982" s="9"/>
      <c r="M982" s="10"/>
      <c r="N982" s="10"/>
      <c r="O982" s="9"/>
      <c r="P982" s="15"/>
      <c r="Q982" s="9"/>
      <c r="R982" s="9"/>
      <c r="S982" s="9"/>
      <c r="T982" s="9"/>
      <c r="U982" s="6"/>
      <c r="V982" s="6"/>
      <c r="W982" s="6"/>
      <c r="X982" s="6"/>
      <c r="Y982" s="6"/>
      <c r="Z982" s="6"/>
      <c r="AA982" s="6"/>
      <c r="AB982" s="6"/>
      <c r="AC982" s="6"/>
      <c r="AD982" s="6"/>
      <c r="AE982" s="6"/>
      <c r="AF982" s="6"/>
      <c r="AG982" s="6"/>
      <c r="AH982" s="6"/>
    </row>
    <row r="983" ht="15.75" customHeight="1">
      <c r="A983" s="6"/>
      <c r="B983" s="6"/>
      <c r="C983" s="6"/>
      <c r="D983" s="6"/>
      <c r="E983" s="6"/>
      <c r="F983" s="6"/>
      <c r="G983" s="9"/>
      <c r="H983" s="9"/>
      <c r="I983" s="9"/>
      <c r="J983" s="9"/>
      <c r="K983" s="6"/>
      <c r="L983" s="9"/>
      <c r="M983" s="10"/>
      <c r="N983" s="10"/>
      <c r="O983" s="9"/>
      <c r="P983" s="15"/>
      <c r="Q983" s="9"/>
      <c r="R983" s="9"/>
      <c r="S983" s="9"/>
      <c r="T983" s="9"/>
      <c r="U983" s="6"/>
      <c r="V983" s="6"/>
      <c r="W983" s="6"/>
      <c r="X983" s="6"/>
      <c r="Y983" s="6"/>
      <c r="Z983" s="6"/>
      <c r="AA983" s="6"/>
      <c r="AB983" s="6"/>
      <c r="AC983" s="6"/>
      <c r="AD983" s="6"/>
      <c r="AE983" s="6"/>
      <c r="AF983" s="6"/>
      <c r="AG983" s="6"/>
      <c r="AH983" s="6"/>
    </row>
    <row r="984" ht="15.75" customHeight="1">
      <c r="A984" s="6"/>
      <c r="B984" s="6"/>
      <c r="C984" s="6"/>
      <c r="D984" s="6"/>
      <c r="E984" s="6"/>
      <c r="F984" s="6"/>
      <c r="G984" s="9"/>
      <c r="H984" s="9"/>
      <c r="I984" s="9"/>
      <c r="J984" s="9"/>
      <c r="K984" s="6"/>
      <c r="L984" s="9"/>
      <c r="M984" s="10"/>
      <c r="N984" s="10"/>
      <c r="O984" s="9"/>
      <c r="P984" s="15"/>
      <c r="Q984" s="9"/>
      <c r="R984" s="9"/>
      <c r="S984" s="9"/>
      <c r="T984" s="9"/>
      <c r="U984" s="6"/>
      <c r="V984" s="6"/>
      <c r="W984" s="6"/>
      <c r="X984" s="6"/>
      <c r="Y984" s="6"/>
      <c r="Z984" s="6"/>
      <c r="AA984" s="6"/>
      <c r="AB984" s="6"/>
      <c r="AC984" s="6"/>
      <c r="AD984" s="6"/>
      <c r="AE984" s="6"/>
      <c r="AF984" s="6"/>
      <c r="AG984" s="6"/>
      <c r="AH984" s="6"/>
    </row>
    <row r="985" ht="15.75" customHeight="1">
      <c r="A985" s="6"/>
      <c r="B985" s="6"/>
      <c r="C985" s="6"/>
      <c r="D985" s="6"/>
      <c r="E985" s="6"/>
      <c r="F985" s="6"/>
      <c r="G985" s="9"/>
      <c r="H985" s="9"/>
      <c r="I985" s="9"/>
      <c r="J985" s="9"/>
      <c r="K985" s="6"/>
      <c r="L985" s="9"/>
      <c r="M985" s="10"/>
      <c r="N985" s="10"/>
      <c r="O985" s="9"/>
      <c r="P985" s="15"/>
      <c r="Q985" s="9"/>
      <c r="R985" s="9"/>
      <c r="S985" s="9"/>
      <c r="T985" s="9"/>
      <c r="U985" s="6"/>
      <c r="V985" s="6"/>
      <c r="W985" s="6"/>
      <c r="X985" s="6"/>
      <c r="Y985" s="6"/>
      <c r="Z985" s="6"/>
      <c r="AA985" s="6"/>
      <c r="AB985" s="6"/>
      <c r="AC985" s="6"/>
      <c r="AD985" s="6"/>
      <c r="AE985" s="6"/>
      <c r="AF985" s="6"/>
      <c r="AG985" s="6"/>
      <c r="AH985" s="6"/>
    </row>
    <row r="986" ht="15.75" customHeight="1">
      <c r="A986" s="6"/>
      <c r="B986" s="6"/>
      <c r="C986" s="6"/>
      <c r="D986" s="6"/>
      <c r="E986" s="6"/>
      <c r="F986" s="6"/>
      <c r="G986" s="9"/>
      <c r="H986" s="9"/>
      <c r="I986" s="9"/>
      <c r="J986" s="9"/>
      <c r="K986" s="6"/>
      <c r="L986" s="9"/>
      <c r="M986" s="10"/>
      <c r="N986" s="10"/>
      <c r="O986" s="9"/>
      <c r="P986" s="15"/>
      <c r="Q986" s="9"/>
      <c r="R986" s="9"/>
      <c r="S986" s="9"/>
      <c r="T986" s="9"/>
      <c r="U986" s="6"/>
      <c r="V986" s="6"/>
      <c r="W986" s="6"/>
      <c r="X986" s="6"/>
      <c r="Y986" s="6"/>
      <c r="Z986" s="6"/>
      <c r="AA986" s="6"/>
      <c r="AB986" s="6"/>
      <c r="AC986" s="6"/>
      <c r="AD986" s="6"/>
      <c r="AE986" s="6"/>
      <c r="AF986" s="6"/>
      <c r="AG986" s="6"/>
      <c r="AH986" s="6"/>
    </row>
    <row r="987" ht="15.75" customHeight="1">
      <c r="A987" s="6"/>
      <c r="B987" s="6"/>
      <c r="C987" s="6"/>
      <c r="D987" s="6"/>
      <c r="E987" s="6"/>
      <c r="F987" s="6"/>
      <c r="G987" s="9"/>
      <c r="H987" s="9"/>
      <c r="I987" s="9"/>
      <c r="J987" s="9"/>
      <c r="K987" s="6"/>
      <c r="L987" s="9"/>
      <c r="M987" s="10"/>
      <c r="N987" s="10"/>
      <c r="O987" s="9"/>
      <c r="P987" s="15"/>
      <c r="Q987" s="9"/>
      <c r="R987" s="9"/>
      <c r="S987" s="9"/>
      <c r="T987" s="9"/>
      <c r="U987" s="6"/>
      <c r="V987" s="6"/>
      <c r="W987" s="6"/>
      <c r="X987" s="6"/>
      <c r="Y987" s="6"/>
      <c r="Z987" s="6"/>
      <c r="AA987" s="6"/>
      <c r="AB987" s="6"/>
      <c r="AC987" s="6"/>
      <c r="AD987" s="6"/>
      <c r="AE987" s="6"/>
      <c r="AF987" s="6"/>
      <c r="AG987" s="6"/>
      <c r="AH987" s="6"/>
    </row>
    <row r="988" ht="15.75" customHeight="1">
      <c r="A988" s="6"/>
      <c r="B988" s="6"/>
      <c r="C988" s="6"/>
      <c r="D988" s="6"/>
      <c r="E988" s="6"/>
      <c r="F988" s="6"/>
      <c r="G988" s="9"/>
      <c r="H988" s="9"/>
      <c r="I988" s="9"/>
      <c r="J988" s="9"/>
      <c r="K988" s="6"/>
      <c r="L988" s="9"/>
      <c r="M988" s="10"/>
      <c r="N988" s="10"/>
      <c r="O988" s="9"/>
      <c r="P988" s="15"/>
      <c r="Q988" s="9"/>
      <c r="R988" s="9"/>
      <c r="S988" s="9"/>
      <c r="T988" s="9"/>
      <c r="U988" s="6"/>
      <c r="V988" s="6"/>
      <c r="W988" s="6"/>
      <c r="X988" s="6"/>
      <c r="Y988" s="6"/>
      <c r="Z988" s="6"/>
      <c r="AA988" s="6"/>
      <c r="AB988" s="6"/>
      <c r="AC988" s="6"/>
      <c r="AD988" s="6"/>
      <c r="AE988" s="6"/>
      <c r="AF988" s="6"/>
      <c r="AG988" s="6"/>
      <c r="AH988" s="6"/>
    </row>
    <row r="989" ht="15.75" customHeight="1">
      <c r="A989" s="6"/>
      <c r="B989" s="6"/>
      <c r="C989" s="6"/>
      <c r="D989" s="6"/>
      <c r="E989" s="6"/>
      <c r="F989" s="6"/>
      <c r="G989" s="9"/>
      <c r="H989" s="9"/>
      <c r="I989" s="9"/>
      <c r="J989" s="9"/>
      <c r="K989" s="6"/>
      <c r="L989" s="9"/>
      <c r="M989" s="10"/>
      <c r="N989" s="10"/>
      <c r="O989" s="9"/>
      <c r="P989" s="15"/>
      <c r="Q989" s="9"/>
      <c r="R989" s="9"/>
      <c r="S989" s="9"/>
      <c r="T989" s="9"/>
      <c r="U989" s="6"/>
      <c r="V989" s="6"/>
      <c r="W989" s="6"/>
      <c r="X989" s="6"/>
      <c r="Y989" s="6"/>
      <c r="Z989" s="6"/>
      <c r="AA989" s="6"/>
      <c r="AB989" s="6"/>
      <c r="AC989" s="6"/>
      <c r="AD989" s="6"/>
      <c r="AE989" s="6"/>
      <c r="AF989" s="6"/>
      <c r="AG989" s="6"/>
      <c r="AH989" s="6"/>
    </row>
    <row r="990" ht="15.75" customHeight="1">
      <c r="A990" s="6"/>
      <c r="B990" s="6"/>
      <c r="C990" s="6"/>
      <c r="D990" s="6"/>
      <c r="E990" s="6"/>
      <c r="F990" s="6"/>
      <c r="G990" s="9"/>
      <c r="H990" s="9"/>
      <c r="I990" s="9"/>
      <c r="J990" s="9"/>
      <c r="K990" s="6"/>
      <c r="L990" s="9"/>
      <c r="M990" s="10"/>
      <c r="N990" s="10"/>
      <c r="O990" s="9"/>
      <c r="P990" s="15"/>
      <c r="Q990" s="9"/>
      <c r="R990" s="9"/>
      <c r="S990" s="9"/>
      <c r="T990" s="9"/>
      <c r="U990" s="6"/>
      <c r="V990" s="6"/>
      <c r="W990" s="6"/>
      <c r="X990" s="6"/>
      <c r="Y990" s="6"/>
      <c r="Z990" s="6"/>
      <c r="AA990" s="6"/>
      <c r="AB990" s="6"/>
      <c r="AC990" s="6"/>
      <c r="AD990" s="6"/>
      <c r="AE990" s="6"/>
      <c r="AF990" s="6"/>
      <c r="AG990" s="6"/>
      <c r="AH990" s="6"/>
    </row>
    <row r="991" ht="15.75" customHeight="1">
      <c r="A991" s="6"/>
      <c r="B991" s="6"/>
      <c r="C991" s="6"/>
      <c r="D991" s="6"/>
      <c r="E991" s="6"/>
      <c r="F991" s="6"/>
      <c r="G991" s="9"/>
      <c r="H991" s="9"/>
      <c r="I991" s="9"/>
      <c r="J991" s="9"/>
      <c r="K991" s="6"/>
      <c r="L991" s="9"/>
      <c r="M991" s="10"/>
      <c r="N991" s="10"/>
      <c r="O991" s="9"/>
      <c r="P991" s="15"/>
      <c r="Q991" s="9"/>
      <c r="R991" s="9"/>
      <c r="S991" s="9"/>
      <c r="T991" s="9"/>
      <c r="U991" s="6"/>
      <c r="V991" s="6"/>
      <c r="W991" s="6"/>
      <c r="X991" s="6"/>
      <c r="Y991" s="6"/>
      <c r="Z991" s="6"/>
      <c r="AA991" s="6"/>
      <c r="AB991" s="6"/>
      <c r="AC991" s="6"/>
      <c r="AD991" s="6"/>
      <c r="AE991" s="6"/>
      <c r="AF991" s="6"/>
      <c r="AG991" s="6"/>
      <c r="AH991" s="6"/>
    </row>
    <row r="992" ht="15.75" customHeight="1">
      <c r="A992" s="6"/>
      <c r="B992" s="6"/>
      <c r="C992" s="6"/>
      <c r="D992" s="6"/>
      <c r="E992" s="6"/>
      <c r="F992" s="6"/>
      <c r="G992" s="9"/>
      <c r="H992" s="9"/>
      <c r="I992" s="9"/>
      <c r="J992" s="9"/>
      <c r="K992" s="6"/>
      <c r="L992" s="9"/>
      <c r="M992" s="10"/>
      <c r="N992" s="10"/>
      <c r="O992" s="9"/>
      <c r="P992" s="15"/>
      <c r="Q992" s="9"/>
      <c r="R992" s="9"/>
      <c r="S992" s="9"/>
      <c r="T992" s="9"/>
      <c r="U992" s="6"/>
      <c r="V992" s="6"/>
      <c r="W992" s="6"/>
      <c r="X992" s="6"/>
      <c r="Y992" s="6"/>
      <c r="Z992" s="6"/>
      <c r="AA992" s="6"/>
      <c r="AB992" s="6"/>
      <c r="AC992" s="6"/>
      <c r="AD992" s="6"/>
      <c r="AE992" s="6"/>
      <c r="AF992" s="6"/>
      <c r="AG992" s="6"/>
      <c r="AH992" s="6"/>
    </row>
    <row r="993" ht="15.75" customHeight="1">
      <c r="A993" s="6"/>
      <c r="B993" s="6"/>
      <c r="C993" s="6"/>
      <c r="D993" s="6"/>
      <c r="E993" s="6"/>
      <c r="F993" s="6"/>
      <c r="G993" s="9"/>
      <c r="H993" s="9"/>
      <c r="I993" s="9"/>
      <c r="J993" s="9"/>
      <c r="K993" s="6"/>
      <c r="L993" s="9"/>
      <c r="M993" s="10"/>
      <c r="N993" s="10"/>
      <c r="O993" s="9"/>
      <c r="P993" s="15"/>
      <c r="Q993" s="9"/>
      <c r="R993" s="9"/>
      <c r="S993" s="9"/>
      <c r="T993" s="9"/>
      <c r="U993" s="6"/>
      <c r="V993" s="6"/>
      <c r="W993" s="6"/>
      <c r="X993" s="6"/>
      <c r="Y993" s="6"/>
      <c r="Z993" s="6"/>
      <c r="AA993" s="6"/>
      <c r="AB993" s="6"/>
      <c r="AC993" s="6"/>
      <c r="AD993" s="6"/>
      <c r="AE993" s="6"/>
      <c r="AF993" s="6"/>
      <c r="AG993" s="6"/>
      <c r="AH993" s="6"/>
    </row>
    <row r="994" ht="15.75" customHeight="1">
      <c r="A994" s="6"/>
      <c r="B994" s="6"/>
      <c r="C994" s="6"/>
      <c r="D994" s="6"/>
      <c r="E994" s="6"/>
      <c r="F994" s="6"/>
      <c r="G994" s="9"/>
      <c r="H994" s="9"/>
      <c r="I994" s="9"/>
      <c r="J994" s="9"/>
      <c r="K994" s="6"/>
      <c r="L994" s="9"/>
      <c r="M994" s="10"/>
      <c r="N994" s="10"/>
      <c r="O994" s="9"/>
      <c r="P994" s="15"/>
      <c r="Q994" s="9"/>
      <c r="R994" s="9"/>
      <c r="S994" s="9"/>
      <c r="T994" s="9"/>
      <c r="U994" s="6"/>
      <c r="V994" s="6"/>
      <c r="W994" s="6"/>
      <c r="X994" s="6"/>
      <c r="Y994" s="6"/>
      <c r="Z994" s="6"/>
      <c r="AA994" s="6"/>
      <c r="AB994" s="6"/>
      <c r="AC994" s="6"/>
      <c r="AD994" s="6"/>
      <c r="AE994" s="6"/>
      <c r="AF994" s="6"/>
      <c r="AG994" s="6"/>
      <c r="AH994" s="6"/>
    </row>
    <row r="995" ht="15.75" customHeight="1">
      <c r="A995" s="6"/>
      <c r="B995" s="6"/>
      <c r="C995" s="6"/>
      <c r="D995" s="6"/>
      <c r="E995" s="6"/>
      <c r="F995" s="6"/>
      <c r="G995" s="9"/>
      <c r="H995" s="9"/>
      <c r="I995" s="9"/>
      <c r="J995" s="9"/>
      <c r="K995" s="6"/>
      <c r="L995" s="9"/>
      <c r="M995" s="10"/>
      <c r="N995" s="10"/>
      <c r="O995" s="9"/>
      <c r="P995" s="15"/>
      <c r="Q995" s="9"/>
      <c r="R995" s="9"/>
      <c r="S995" s="9"/>
      <c r="T995" s="9"/>
      <c r="U995" s="6"/>
      <c r="V995" s="6"/>
      <c r="W995" s="6"/>
      <c r="X995" s="6"/>
      <c r="Y995" s="6"/>
      <c r="Z995" s="6"/>
      <c r="AA995" s="6"/>
      <c r="AB995" s="6"/>
      <c r="AC995" s="6"/>
      <c r="AD995" s="6"/>
      <c r="AE995" s="6"/>
      <c r="AF995" s="6"/>
      <c r="AG995" s="6"/>
      <c r="AH995" s="6"/>
    </row>
    <row r="996" ht="15.75" customHeight="1">
      <c r="A996" s="6"/>
      <c r="B996" s="6"/>
      <c r="C996" s="6"/>
      <c r="D996" s="6"/>
      <c r="E996" s="6"/>
      <c r="F996" s="6"/>
      <c r="G996" s="9"/>
      <c r="H996" s="9"/>
      <c r="I996" s="9"/>
      <c r="J996" s="9"/>
      <c r="K996" s="6"/>
      <c r="L996" s="9"/>
      <c r="M996" s="10"/>
      <c r="N996" s="10"/>
      <c r="O996" s="9"/>
      <c r="P996" s="15"/>
      <c r="Q996" s="9"/>
      <c r="R996" s="9"/>
      <c r="S996" s="9"/>
      <c r="T996" s="9"/>
      <c r="U996" s="6"/>
      <c r="V996" s="6"/>
      <c r="W996" s="6"/>
      <c r="X996" s="6"/>
      <c r="Y996" s="6"/>
      <c r="Z996" s="6"/>
      <c r="AA996" s="6"/>
      <c r="AB996" s="6"/>
      <c r="AC996" s="6"/>
      <c r="AD996" s="6"/>
      <c r="AE996" s="6"/>
      <c r="AF996" s="6"/>
      <c r="AG996" s="6"/>
      <c r="AH996" s="6"/>
    </row>
    <row r="997" ht="15.75" customHeight="1">
      <c r="A997" s="6"/>
      <c r="B997" s="6"/>
      <c r="C997" s="6"/>
      <c r="D997" s="6"/>
      <c r="E997" s="6"/>
      <c r="F997" s="6"/>
      <c r="G997" s="9"/>
      <c r="H997" s="9"/>
      <c r="I997" s="9"/>
      <c r="J997" s="9"/>
      <c r="K997" s="6"/>
      <c r="L997" s="9"/>
      <c r="M997" s="10"/>
      <c r="N997" s="10"/>
      <c r="O997" s="9"/>
      <c r="P997" s="15"/>
      <c r="Q997" s="9"/>
      <c r="R997" s="9"/>
      <c r="S997" s="9"/>
      <c r="T997" s="9"/>
      <c r="U997" s="6"/>
      <c r="V997" s="6"/>
      <c r="W997" s="6"/>
      <c r="X997" s="6"/>
      <c r="Y997" s="6"/>
      <c r="Z997" s="6"/>
      <c r="AA997" s="6"/>
      <c r="AB997" s="6"/>
      <c r="AC997" s="6"/>
      <c r="AD997" s="6"/>
      <c r="AE997" s="6"/>
      <c r="AF997" s="6"/>
      <c r="AG997" s="6"/>
      <c r="AH997" s="6"/>
    </row>
    <row r="998" ht="15.75" customHeight="1">
      <c r="A998" s="6"/>
      <c r="B998" s="6"/>
      <c r="C998" s="6"/>
      <c r="D998" s="6"/>
      <c r="E998" s="6"/>
      <c r="F998" s="6"/>
      <c r="G998" s="9"/>
      <c r="H998" s="9"/>
      <c r="I998" s="9"/>
      <c r="J998" s="9"/>
      <c r="K998" s="6"/>
      <c r="L998" s="9"/>
      <c r="M998" s="10"/>
      <c r="N998" s="10"/>
      <c r="O998" s="9"/>
      <c r="P998" s="15"/>
      <c r="Q998" s="9"/>
      <c r="R998" s="9"/>
      <c r="S998" s="9"/>
      <c r="T998" s="9"/>
      <c r="U998" s="6"/>
      <c r="V998" s="6"/>
      <c r="W998" s="6"/>
      <c r="X998" s="6"/>
      <c r="Y998" s="6"/>
      <c r="Z998" s="6"/>
      <c r="AA998" s="6"/>
      <c r="AB998" s="6"/>
      <c r="AC998" s="6"/>
      <c r="AD998" s="6"/>
      <c r="AE998" s="6"/>
      <c r="AF998" s="6"/>
      <c r="AG998" s="6"/>
      <c r="AH998" s="6"/>
    </row>
    <row r="999" ht="15.75" customHeight="1">
      <c r="A999" s="6"/>
      <c r="B999" s="6"/>
      <c r="C999" s="6"/>
      <c r="D999" s="6"/>
      <c r="E999" s="6"/>
      <c r="F999" s="6"/>
      <c r="G999" s="9"/>
      <c r="H999" s="9"/>
      <c r="I999" s="9"/>
      <c r="J999" s="9"/>
      <c r="K999" s="6"/>
      <c r="L999" s="9"/>
      <c r="M999" s="10"/>
      <c r="N999" s="10"/>
      <c r="O999" s="9"/>
      <c r="P999" s="15"/>
      <c r="Q999" s="9"/>
      <c r="R999" s="9"/>
      <c r="S999" s="9"/>
      <c r="T999" s="9"/>
      <c r="U999" s="6"/>
      <c r="V999" s="6"/>
      <c r="W999" s="6"/>
      <c r="X999" s="6"/>
      <c r="Y999" s="6"/>
      <c r="Z999" s="6"/>
      <c r="AA999" s="6"/>
      <c r="AB999" s="6"/>
      <c r="AC999" s="6"/>
      <c r="AD999" s="6"/>
      <c r="AE999" s="6"/>
      <c r="AF999" s="6"/>
      <c r="AG999" s="6"/>
      <c r="AH999" s="6"/>
    </row>
    <row r="1000" ht="15.75" customHeight="1">
      <c r="A1000" s="6"/>
      <c r="B1000" s="6"/>
      <c r="C1000" s="6"/>
      <c r="D1000" s="6"/>
      <c r="E1000" s="6"/>
      <c r="F1000" s="6"/>
      <c r="G1000" s="9"/>
      <c r="H1000" s="9"/>
      <c r="I1000" s="9"/>
      <c r="J1000" s="9"/>
      <c r="K1000" s="6"/>
      <c r="L1000" s="9"/>
      <c r="M1000" s="10"/>
      <c r="N1000" s="10"/>
      <c r="O1000" s="9"/>
      <c r="P1000" s="15"/>
      <c r="Q1000" s="9"/>
      <c r="R1000" s="9"/>
      <c r="S1000" s="9"/>
      <c r="T1000" s="9"/>
      <c r="U1000" s="6"/>
      <c r="V1000" s="6"/>
      <c r="W1000" s="6"/>
      <c r="X1000" s="6"/>
      <c r="Y1000" s="6"/>
      <c r="Z1000" s="6"/>
      <c r="AA1000" s="6"/>
      <c r="AB1000" s="6"/>
      <c r="AC1000" s="6"/>
      <c r="AD1000" s="6"/>
      <c r="AE1000" s="6"/>
      <c r="AF1000" s="6"/>
      <c r="AG1000" s="6"/>
      <c r="AH1000" s="6"/>
    </row>
    <row r="1001" ht="15.75" customHeight="1">
      <c r="A1001" s="6"/>
      <c r="B1001" s="6"/>
      <c r="C1001" s="6"/>
      <c r="D1001" s="6"/>
      <c r="E1001" s="6"/>
      <c r="F1001" s="6"/>
      <c r="G1001" s="9"/>
      <c r="H1001" s="9"/>
      <c r="I1001" s="9"/>
      <c r="J1001" s="9"/>
      <c r="K1001" s="6"/>
      <c r="L1001" s="9"/>
      <c r="M1001" s="10"/>
      <c r="N1001" s="10"/>
      <c r="O1001" s="9"/>
      <c r="P1001" s="15"/>
      <c r="Q1001" s="9"/>
      <c r="R1001" s="9"/>
      <c r="S1001" s="9"/>
      <c r="T1001" s="9"/>
      <c r="U1001" s="6"/>
      <c r="V1001" s="6"/>
      <c r="W1001" s="6"/>
      <c r="X1001" s="6"/>
      <c r="Y1001" s="6"/>
      <c r="Z1001" s="6"/>
      <c r="AA1001" s="6"/>
      <c r="AB1001" s="6"/>
      <c r="AC1001" s="6"/>
      <c r="AD1001" s="6"/>
      <c r="AE1001" s="6"/>
      <c r="AF1001" s="6"/>
      <c r="AG1001" s="6"/>
      <c r="AH1001" s="6"/>
    </row>
    <row r="1002" ht="15.75" customHeight="1">
      <c r="A1002" s="6"/>
      <c r="B1002" s="6"/>
      <c r="C1002" s="6"/>
      <c r="D1002" s="6"/>
      <c r="E1002" s="6"/>
      <c r="F1002" s="6"/>
      <c r="G1002" s="9"/>
      <c r="H1002" s="9"/>
      <c r="I1002" s="9"/>
      <c r="J1002" s="9"/>
      <c r="K1002" s="6"/>
      <c r="L1002" s="9"/>
      <c r="M1002" s="10"/>
      <c r="N1002" s="10"/>
      <c r="O1002" s="9"/>
      <c r="P1002" s="15"/>
      <c r="Q1002" s="9"/>
      <c r="R1002" s="9"/>
      <c r="S1002" s="9"/>
      <c r="T1002" s="9"/>
      <c r="U1002" s="6"/>
      <c r="V1002" s="6"/>
      <c r="W1002" s="6"/>
      <c r="X1002" s="6"/>
      <c r="Y1002" s="6"/>
      <c r="Z1002" s="6"/>
      <c r="AA1002" s="6"/>
      <c r="AB1002" s="6"/>
      <c r="AC1002" s="6"/>
      <c r="AD1002" s="6"/>
      <c r="AE1002" s="6"/>
      <c r="AF1002" s="6"/>
      <c r="AG1002" s="6"/>
      <c r="AH1002" s="6"/>
    </row>
    <row r="1003" ht="15.75" customHeight="1">
      <c r="A1003" s="6"/>
      <c r="B1003" s="6"/>
      <c r="C1003" s="6"/>
      <c r="D1003" s="6"/>
      <c r="E1003" s="6"/>
      <c r="F1003" s="6"/>
      <c r="G1003" s="9"/>
      <c r="H1003" s="9"/>
      <c r="I1003" s="9"/>
      <c r="J1003" s="9"/>
      <c r="K1003" s="6"/>
      <c r="L1003" s="9"/>
      <c r="M1003" s="10"/>
      <c r="N1003" s="10"/>
      <c r="O1003" s="9"/>
      <c r="P1003" s="15"/>
      <c r="Q1003" s="9"/>
      <c r="R1003" s="9"/>
      <c r="S1003" s="9"/>
      <c r="T1003" s="9"/>
      <c r="U1003" s="6"/>
      <c r="V1003" s="6"/>
      <c r="W1003" s="6"/>
      <c r="X1003" s="6"/>
      <c r="Y1003" s="6"/>
      <c r="Z1003" s="6"/>
      <c r="AA1003" s="6"/>
      <c r="AB1003" s="6"/>
      <c r="AC1003" s="6"/>
      <c r="AD1003" s="6"/>
      <c r="AE1003" s="6"/>
      <c r="AF1003" s="6"/>
      <c r="AG1003" s="6"/>
      <c r="AH1003" s="6"/>
    </row>
    <row r="1004" ht="15.75" customHeight="1">
      <c r="A1004" s="6"/>
      <c r="B1004" s="6"/>
      <c r="C1004" s="6"/>
      <c r="D1004" s="6"/>
      <c r="E1004" s="6"/>
      <c r="F1004" s="6"/>
      <c r="G1004" s="9"/>
      <c r="H1004" s="9"/>
      <c r="I1004" s="9"/>
      <c r="J1004" s="9"/>
      <c r="K1004" s="6"/>
      <c r="L1004" s="9"/>
      <c r="M1004" s="10"/>
      <c r="N1004" s="10"/>
      <c r="O1004" s="9"/>
      <c r="P1004" s="15"/>
      <c r="Q1004" s="9"/>
      <c r="R1004" s="9"/>
      <c r="S1004" s="9"/>
      <c r="T1004" s="9"/>
      <c r="U1004" s="6"/>
      <c r="V1004" s="6"/>
      <c r="W1004" s="6"/>
      <c r="X1004" s="6"/>
      <c r="Y1004" s="6"/>
      <c r="Z1004" s="6"/>
      <c r="AA1004" s="6"/>
      <c r="AB1004" s="6"/>
      <c r="AC1004" s="6"/>
      <c r="AD1004" s="6"/>
      <c r="AE1004" s="6"/>
      <c r="AF1004" s="6"/>
      <c r="AG1004" s="6"/>
      <c r="AH1004" s="6"/>
    </row>
    <row r="1005" ht="15.75" customHeight="1">
      <c r="A1005" s="6"/>
      <c r="B1005" s="6"/>
      <c r="C1005" s="6"/>
      <c r="D1005" s="6"/>
      <c r="E1005" s="6"/>
      <c r="F1005" s="6"/>
      <c r="G1005" s="9"/>
      <c r="H1005" s="9"/>
      <c r="I1005" s="9"/>
      <c r="J1005" s="9"/>
      <c r="K1005" s="6"/>
      <c r="L1005" s="9"/>
      <c r="M1005" s="10"/>
      <c r="N1005" s="10"/>
      <c r="O1005" s="9"/>
      <c r="P1005" s="15"/>
      <c r="Q1005" s="9"/>
      <c r="R1005" s="9"/>
      <c r="S1005" s="9"/>
      <c r="T1005" s="9"/>
      <c r="U1005" s="6"/>
      <c r="V1005" s="6"/>
      <c r="W1005" s="6"/>
      <c r="X1005" s="6"/>
      <c r="Y1005" s="6"/>
      <c r="Z1005" s="6"/>
      <c r="AA1005" s="6"/>
      <c r="AB1005" s="6"/>
      <c r="AC1005" s="6"/>
      <c r="AD1005" s="6"/>
      <c r="AE1005" s="6"/>
      <c r="AF1005" s="6"/>
      <c r="AG1005" s="6"/>
      <c r="AH1005" s="6"/>
    </row>
    <row r="1006" ht="15.75" customHeight="1">
      <c r="A1006" s="6"/>
      <c r="B1006" s="6"/>
      <c r="C1006" s="6"/>
      <c r="D1006" s="6"/>
      <c r="E1006" s="6"/>
      <c r="F1006" s="6"/>
      <c r="G1006" s="9"/>
      <c r="H1006" s="9"/>
      <c r="I1006" s="9"/>
      <c r="J1006" s="9"/>
      <c r="K1006" s="6"/>
      <c r="L1006" s="9"/>
      <c r="M1006" s="10"/>
      <c r="N1006" s="10"/>
      <c r="O1006" s="9"/>
      <c r="P1006" s="15"/>
      <c r="Q1006" s="9"/>
      <c r="R1006" s="9"/>
      <c r="S1006" s="9"/>
      <c r="T1006" s="9"/>
      <c r="U1006" s="6"/>
      <c r="V1006" s="6"/>
      <c r="W1006" s="6"/>
      <c r="X1006" s="6"/>
      <c r="Y1006" s="6"/>
      <c r="Z1006" s="6"/>
      <c r="AA1006" s="6"/>
      <c r="AB1006" s="6"/>
      <c r="AC1006" s="6"/>
      <c r="AD1006" s="6"/>
      <c r="AE1006" s="6"/>
      <c r="AF1006" s="6"/>
      <c r="AG1006" s="6"/>
      <c r="AH1006" s="6"/>
    </row>
    <row r="1007" ht="15.75" customHeight="1">
      <c r="A1007" s="6"/>
      <c r="B1007" s="6"/>
      <c r="C1007" s="6"/>
      <c r="D1007" s="6"/>
      <c r="E1007" s="6"/>
      <c r="F1007" s="6"/>
      <c r="G1007" s="9"/>
      <c r="H1007" s="9"/>
      <c r="I1007" s="9"/>
      <c r="J1007" s="9"/>
      <c r="K1007" s="6"/>
      <c r="L1007" s="9"/>
      <c r="M1007" s="10"/>
      <c r="N1007" s="10"/>
      <c r="O1007" s="9"/>
      <c r="P1007" s="15"/>
      <c r="Q1007" s="9"/>
      <c r="R1007" s="9"/>
      <c r="S1007" s="9"/>
      <c r="T1007" s="9"/>
      <c r="U1007" s="6"/>
      <c r="V1007" s="6"/>
      <c r="W1007" s="6"/>
      <c r="X1007" s="6"/>
      <c r="Y1007" s="6"/>
      <c r="Z1007" s="6"/>
      <c r="AA1007" s="6"/>
      <c r="AB1007" s="6"/>
      <c r="AC1007" s="6"/>
      <c r="AD1007" s="6"/>
      <c r="AE1007" s="6"/>
      <c r="AF1007" s="6"/>
      <c r="AG1007" s="6"/>
      <c r="AH1007" s="6"/>
    </row>
    <row r="1008" ht="15.75" customHeight="1">
      <c r="A1008" s="6"/>
      <c r="B1008" s="6"/>
      <c r="C1008" s="6"/>
      <c r="D1008" s="6"/>
      <c r="E1008" s="6"/>
      <c r="F1008" s="6"/>
      <c r="G1008" s="9"/>
      <c r="H1008" s="9"/>
      <c r="I1008" s="9"/>
      <c r="J1008" s="9"/>
      <c r="K1008" s="6"/>
      <c r="L1008" s="9"/>
      <c r="M1008" s="10"/>
      <c r="N1008" s="10"/>
      <c r="O1008" s="9"/>
      <c r="P1008" s="15"/>
      <c r="Q1008" s="9"/>
      <c r="R1008" s="9"/>
      <c r="S1008" s="9"/>
      <c r="T1008" s="9"/>
      <c r="U1008" s="6"/>
      <c r="V1008" s="6"/>
      <c r="W1008" s="6"/>
      <c r="X1008" s="6"/>
      <c r="Y1008" s="6"/>
      <c r="Z1008" s="6"/>
      <c r="AA1008" s="6"/>
      <c r="AB1008" s="6"/>
      <c r="AC1008" s="6"/>
      <c r="AD1008" s="6"/>
      <c r="AE1008" s="6"/>
      <c r="AF1008" s="6"/>
      <c r="AG1008" s="6"/>
      <c r="AH1008" s="6"/>
    </row>
    <row r="1009" ht="15.75" customHeight="1">
      <c r="A1009" s="6"/>
      <c r="B1009" s="6"/>
      <c r="C1009" s="6"/>
      <c r="D1009" s="6"/>
      <c r="E1009" s="6"/>
      <c r="F1009" s="6"/>
      <c r="G1009" s="9"/>
      <c r="H1009" s="9"/>
      <c r="I1009" s="9"/>
      <c r="J1009" s="9"/>
      <c r="K1009" s="6"/>
      <c r="L1009" s="9"/>
      <c r="M1009" s="10"/>
      <c r="N1009" s="10"/>
      <c r="O1009" s="9"/>
      <c r="P1009" s="15"/>
      <c r="Q1009" s="9"/>
      <c r="R1009" s="9"/>
      <c r="S1009" s="9"/>
      <c r="T1009" s="9"/>
      <c r="U1009" s="6"/>
      <c r="V1009" s="6"/>
      <c r="W1009" s="6"/>
      <c r="X1009" s="6"/>
      <c r="Y1009" s="6"/>
      <c r="Z1009" s="6"/>
      <c r="AA1009" s="6"/>
      <c r="AB1009" s="6"/>
      <c r="AC1009" s="6"/>
      <c r="AD1009" s="6"/>
      <c r="AE1009" s="6"/>
      <c r="AF1009" s="6"/>
      <c r="AG1009" s="6"/>
      <c r="AH1009" s="6"/>
    </row>
    <row r="1010" ht="15.75" customHeight="1">
      <c r="A1010" s="6"/>
      <c r="B1010" s="6"/>
      <c r="C1010" s="6"/>
      <c r="D1010" s="6"/>
      <c r="E1010" s="6"/>
      <c r="F1010" s="6"/>
      <c r="G1010" s="9"/>
      <c r="H1010" s="9"/>
      <c r="I1010" s="9"/>
      <c r="J1010" s="9"/>
      <c r="K1010" s="6"/>
      <c r="L1010" s="9"/>
      <c r="M1010" s="10"/>
      <c r="N1010" s="10"/>
      <c r="O1010" s="9"/>
      <c r="P1010" s="15"/>
      <c r="Q1010" s="9"/>
      <c r="R1010" s="9"/>
      <c r="S1010" s="9"/>
      <c r="T1010" s="9"/>
      <c r="U1010" s="6"/>
      <c r="V1010" s="6"/>
      <c r="W1010" s="6"/>
      <c r="X1010" s="6"/>
      <c r="Y1010" s="6"/>
      <c r="Z1010" s="6"/>
      <c r="AA1010" s="6"/>
      <c r="AB1010" s="6"/>
      <c r="AC1010" s="6"/>
      <c r="AD1010" s="6"/>
      <c r="AE1010" s="6"/>
      <c r="AF1010" s="6"/>
      <c r="AG1010" s="6"/>
      <c r="AH1010" s="6"/>
    </row>
    <row r="1011" ht="15.75" customHeight="1">
      <c r="A1011" s="6"/>
      <c r="B1011" s="6"/>
      <c r="C1011" s="6"/>
      <c r="D1011" s="6"/>
      <c r="E1011" s="6"/>
      <c r="F1011" s="6"/>
      <c r="G1011" s="9"/>
      <c r="H1011" s="9"/>
      <c r="I1011" s="9"/>
      <c r="J1011" s="9"/>
      <c r="K1011" s="6"/>
      <c r="L1011" s="9"/>
      <c r="M1011" s="10"/>
      <c r="N1011" s="10"/>
      <c r="O1011" s="9"/>
      <c r="P1011" s="15"/>
      <c r="Q1011" s="9"/>
      <c r="R1011" s="9"/>
      <c r="S1011" s="9"/>
      <c r="T1011" s="9"/>
      <c r="U1011" s="6"/>
      <c r="V1011" s="6"/>
      <c r="W1011" s="6"/>
      <c r="X1011" s="6"/>
      <c r="Y1011" s="6"/>
      <c r="Z1011" s="6"/>
      <c r="AA1011" s="6"/>
      <c r="AB1011" s="6"/>
      <c r="AC1011" s="6"/>
      <c r="AD1011" s="6"/>
      <c r="AE1011" s="6"/>
      <c r="AF1011" s="6"/>
      <c r="AG1011" s="6"/>
      <c r="AH1011" s="6"/>
    </row>
    <row r="1012" ht="15.75" customHeight="1">
      <c r="A1012" s="6"/>
      <c r="B1012" s="6"/>
      <c r="C1012" s="6"/>
      <c r="D1012" s="6"/>
      <c r="E1012" s="6"/>
      <c r="F1012" s="6"/>
      <c r="G1012" s="9"/>
      <c r="H1012" s="9"/>
      <c r="I1012" s="9"/>
      <c r="J1012" s="9"/>
      <c r="K1012" s="6"/>
      <c r="L1012" s="9"/>
      <c r="M1012" s="10"/>
      <c r="N1012" s="10"/>
      <c r="O1012" s="9"/>
      <c r="P1012" s="15"/>
      <c r="Q1012" s="9"/>
      <c r="R1012" s="9"/>
      <c r="S1012" s="9"/>
      <c r="T1012" s="9"/>
      <c r="U1012" s="6"/>
      <c r="V1012" s="6"/>
      <c r="W1012" s="6"/>
      <c r="X1012" s="6"/>
      <c r="Y1012" s="6"/>
      <c r="Z1012" s="6"/>
      <c r="AA1012" s="6"/>
      <c r="AB1012" s="6"/>
      <c r="AC1012" s="6"/>
      <c r="AD1012" s="6"/>
      <c r="AE1012" s="6"/>
      <c r="AF1012" s="6"/>
      <c r="AG1012" s="6"/>
      <c r="AH1012" s="6"/>
    </row>
    <row r="1013" ht="15.75" customHeight="1">
      <c r="A1013" s="6"/>
      <c r="B1013" s="6"/>
      <c r="C1013" s="6"/>
      <c r="D1013" s="6"/>
      <c r="E1013" s="6"/>
      <c r="F1013" s="6"/>
      <c r="G1013" s="9"/>
      <c r="H1013" s="9"/>
      <c r="I1013" s="9"/>
      <c r="J1013" s="9"/>
      <c r="K1013" s="6"/>
      <c r="L1013" s="9"/>
      <c r="M1013" s="10"/>
      <c r="N1013" s="10"/>
      <c r="O1013" s="9"/>
      <c r="P1013" s="15"/>
      <c r="Q1013" s="9"/>
      <c r="R1013" s="9"/>
      <c r="S1013" s="9"/>
      <c r="T1013" s="9"/>
      <c r="U1013" s="6"/>
      <c r="V1013" s="6"/>
      <c r="W1013" s="6"/>
      <c r="X1013" s="6"/>
      <c r="Y1013" s="6"/>
      <c r="Z1013" s="6"/>
      <c r="AA1013" s="6"/>
      <c r="AB1013" s="6"/>
      <c r="AC1013" s="6"/>
      <c r="AD1013" s="6"/>
      <c r="AE1013" s="6"/>
      <c r="AF1013" s="6"/>
      <c r="AG1013" s="6"/>
      <c r="AH1013" s="6"/>
    </row>
    <row r="1014" ht="15.75" customHeight="1">
      <c r="A1014" s="6"/>
      <c r="B1014" s="6"/>
      <c r="C1014" s="6"/>
      <c r="D1014" s="6"/>
      <c r="E1014" s="6"/>
      <c r="F1014" s="6"/>
      <c r="G1014" s="9"/>
      <c r="H1014" s="9"/>
      <c r="I1014" s="9"/>
      <c r="J1014" s="9"/>
      <c r="K1014" s="6"/>
      <c r="L1014" s="9"/>
      <c r="M1014" s="10"/>
      <c r="N1014" s="10"/>
      <c r="O1014" s="9"/>
      <c r="P1014" s="15"/>
      <c r="Q1014" s="9"/>
      <c r="R1014" s="9"/>
      <c r="S1014" s="9"/>
      <c r="T1014" s="9"/>
      <c r="U1014" s="6"/>
      <c r="V1014" s="6"/>
      <c r="W1014" s="6"/>
      <c r="X1014" s="6"/>
      <c r="Y1014" s="6"/>
      <c r="Z1014" s="6"/>
      <c r="AA1014" s="6"/>
      <c r="AB1014" s="6"/>
      <c r="AC1014" s="6"/>
      <c r="AD1014" s="6"/>
      <c r="AE1014" s="6"/>
      <c r="AF1014" s="6"/>
      <c r="AG1014" s="6"/>
      <c r="AH1014" s="6"/>
    </row>
    <row r="1015" ht="15.75" customHeight="1">
      <c r="A1015" s="6"/>
      <c r="B1015" s="6"/>
      <c r="C1015" s="6"/>
      <c r="D1015" s="6"/>
      <c r="E1015" s="6"/>
      <c r="F1015" s="6"/>
      <c r="G1015" s="9"/>
      <c r="H1015" s="9"/>
      <c r="I1015" s="9"/>
      <c r="J1015" s="9"/>
      <c r="K1015" s="6"/>
      <c r="L1015" s="9"/>
      <c r="M1015" s="10"/>
      <c r="N1015" s="10"/>
      <c r="O1015" s="9"/>
      <c r="P1015" s="15"/>
      <c r="Q1015" s="9"/>
      <c r="R1015" s="9"/>
      <c r="S1015" s="9"/>
      <c r="T1015" s="9"/>
      <c r="U1015" s="6"/>
      <c r="V1015" s="6"/>
      <c r="W1015" s="6"/>
      <c r="X1015" s="6"/>
      <c r="Y1015" s="6"/>
      <c r="Z1015" s="6"/>
      <c r="AA1015" s="6"/>
      <c r="AB1015" s="6"/>
      <c r="AC1015" s="6"/>
      <c r="AD1015" s="6"/>
      <c r="AE1015" s="6"/>
      <c r="AF1015" s="6"/>
      <c r="AG1015" s="6"/>
      <c r="AH1015" s="6"/>
    </row>
  </sheetData>
  <autoFilter ref="$A$1:$K$327"/>
  <mergeCells count="1">
    <mergeCell ref="U528:V528"/>
  </mergeCells>
  <hyperlinks>
    <hyperlink r:id="rId1" ref="U2"/>
    <hyperlink r:id="rId2" ref="U3"/>
    <hyperlink r:id="rId3" ref="U4"/>
    <hyperlink r:id="rId4" ref="U5"/>
    <hyperlink r:id="rId5" ref="U7"/>
    <hyperlink r:id="rId6" ref="U8"/>
    <hyperlink r:id="rId7" ref="U9"/>
    <hyperlink r:id="rId8" ref="U10"/>
    <hyperlink r:id="rId9" ref="U11"/>
    <hyperlink r:id="rId10" ref="U12"/>
    <hyperlink r:id="rId11" ref="U13"/>
    <hyperlink r:id="rId12" ref="U14"/>
    <hyperlink r:id="rId13" ref="U16"/>
    <hyperlink r:id="rId14" ref="U17"/>
    <hyperlink r:id="rId15" ref="U19"/>
    <hyperlink r:id="rId16" ref="U20"/>
    <hyperlink r:id="rId17" ref="U22"/>
    <hyperlink r:id="rId18" ref="U23"/>
    <hyperlink r:id="rId19" ref="U24"/>
    <hyperlink r:id="rId20" ref="U25"/>
    <hyperlink r:id="rId21" ref="U26"/>
    <hyperlink r:id="rId22" ref="U27"/>
    <hyperlink r:id="rId23" ref="U28"/>
    <hyperlink r:id="rId24" ref="U29"/>
    <hyperlink r:id="rId25" ref="U30"/>
    <hyperlink r:id="rId26" ref="U31"/>
    <hyperlink r:id="rId27" ref="U33"/>
    <hyperlink r:id="rId28" ref="U35"/>
    <hyperlink r:id="rId29" ref="U36"/>
    <hyperlink r:id="rId30" ref="U37"/>
    <hyperlink r:id="rId31" ref="U38"/>
    <hyperlink r:id="rId32" ref="U39"/>
    <hyperlink r:id="rId33" ref="U40"/>
    <hyperlink r:id="rId34" ref="U41"/>
    <hyperlink r:id="rId35" ref="U42"/>
    <hyperlink r:id="rId36" ref="U43"/>
    <hyperlink r:id="rId37" ref="U44"/>
    <hyperlink r:id="rId38" ref="U46"/>
    <hyperlink r:id="rId39" ref="U47"/>
    <hyperlink r:id="rId40" ref="U48"/>
    <hyperlink r:id="rId41" ref="U49"/>
    <hyperlink r:id="rId42" ref="U50"/>
    <hyperlink r:id="rId43" ref="U51"/>
    <hyperlink r:id="rId44" ref="U52"/>
    <hyperlink r:id="rId45" ref="U53"/>
    <hyperlink r:id="rId46" ref="U55"/>
    <hyperlink r:id="rId47" ref="U58"/>
    <hyperlink r:id="rId48" ref="U61"/>
    <hyperlink r:id="rId49" ref="U62"/>
    <hyperlink r:id="rId50" ref="U63"/>
    <hyperlink r:id="rId51" ref="U64"/>
    <hyperlink r:id="rId52" ref="U65"/>
    <hyperlink r:id="rId53" ref="U66"/>
    <hyperlink r:id="rId54" ref="U67"/>
    <hyperlink r:id="rId55" ref="U68"/>
    <hyperlink r:id="rId56" ref="U69"/>
    <hyperlink r:id="rId57" ref="U70"/>
    <hyperlink r:id="rId58" ref="U71"/>
    <hyperlink r:id="rId59" ref="U72"/>
    <hyperlink r:id="rId60" ref="U73"/>
    <hyperlink r:id="rId61" ref="U74"/>
    <hyperlink r:id="rId62" ref="U75"/>
    <hyperlink r:id="rId63" ref="U76"/>
    <hyperlink r:id="rId64" ref="U77"/>
    <hyperlink r:id="rId65" ref="U78"/>
    <hyperlink r:id="rId66" ref="U79"/>
    <hyperlink r:id="rId67" ref="U80"/>
    <hyperlink r:id="rId68" ref="U81"/>
    <hyperlink r:id="rId69" ref="U82"/>
    <hyperlink r:id="rId70" ref="U83"/>
    <hyperlink r:id="rId71" ref="U84"/>
    <hyperlink r:id="rId72" ref="U85"/>
    <hyperlink r:id="rId73" ref="U86"/>
    <hyperlink r:id="rId74" ref="U87"/>
    <hyperlink r:id="rId75" ref="U88"/>
    <hyperlink r:id="rId76" ref="U89"/>
    <hyperlink r:id="rId77" ref="U90"/>
    <hyperlink r:id="rId78" ref="U91"/>
    <hyperlink r:id="rId79" ref="U92"/>
    <hyperlink r:id="rId80" ref="U94"/>
    <hyperlink r:id="rId81" ref="U95"/>
    <hyperlink r:id="rId82" ref="U98"/>
    <hyperlink r:id="rId83" ref="U99"/>
    <hyperlink r:id="rId84" ref="U101"/>
    <hyperlink r:id="rId85" ref="U102"/>
    <hyperlink r:id="rId86" ref="U104"/>
    <hyperlink r:id="rId87" ref="U106"/>
    <hyperlink r:id="rId88" ref="U107"/>
    <hyperlink r:id="rId89" ref="U110"/>
    <hyperlink r:id="rId90" ref="U111"/>
    <hyperlink r:id="rId91" ref="U112"/>
    <hyperlink r:id="rId92" ref="U113"/>
    <hyperlink r:id="rId93" ref="U114"/>
    <hyperlink r:id="rId94" ref="U115"/>
    <hyperlink r:id="rId95" ref="U116"/>
    <hyperlink r:id="rId96" ref="U117"/>
    <hyperlink r:id="rId97" ref="U118"/>
    <hyperlink r:id="rId98" ref="U119"/>
    <hyperlink r:id="rId99" ref="U120"/>
    <hyperlink r:id="rId100" ref="U121"/>
    <hyperlink r:id="rId101" ref="U122"/>
    <hyperlink r:id="rId102" ref="U123"/>
    <hyperlink r:id="rId103" ref="U124"/>
    <hyperlink r:id="rId104" ref="U125"/>
    <hyperlink r:id="rId105" ref="U126"/>
    <hyperlink r:id="rId106" ref="U127"/>
    <hyperlink r:id="rId107" ref="U128"/>
    <hyperlink r:id="rId108" ref="U130"/>
    <hyperlink r:id="rId109" ref="U131"/>
    <hyperlink r:id="rId110" ref="U132"/>
    <hyperlink r:id="rId111" ref="U133"/>
    <hyperlink r:id="rId112" ref="U134"/>
    <hyperlink r:id="rId113" ref="U135"/>
    <hyperlink r:id="rId114" ref="U136"/>
    <hyperlink r:id="rId115" ref="U137"/>
    <hyperlink r:id="rId116" ref="U138"/>
    <hyperlink r:id="rId117" ref="U139"/>
    <hyperlink r:id="rId118" ref="U140"/>
    <hyperlink r:id="rId119" ref="U141"/>
    <hyperlink r:id="rId120" ref="U142"/>
    <hyperlink r:id="rId121" ref="U143"/>
    <hyperlink r:id="rId122" ref="U144"/>
    <hyperlink r:id="rId123" ref="U145"/>
    <hyperlink r:id="rId124" ref="U146"/>
    <hyperlink r:id="rId125" ref="U147"/>
    <hyperlink r:id="rId126" ref="U148"/>
    <hyperlink r:id="rId127" ref="U149"/>
    <hyperlink r:id="rId128" ref="U150"/>
    <hyperlink r:id="rId129" ref="U151"/>
    <hyperlink r:id="rId130" ref="U152"/>
    <hyperlink r:id="rId131" ref="U153"/>
    <hyperlink r:id="rId132" ref="U155"/>
    <hyperlink r:id="rId133" ref="U156"/>
    <hyperlink r:id="rId134" ref="U157"/>
    <hyperlink r:id="rId135" ref="U158"/>
    <hyperlink r:id="rId136" ref="U159"/>
    <hyperlink r:id="rId137" ref="U160"/>
    <hyperlink r:id="rId138" ref="U161"/>
    <hyperlink r:id="rId139" ref="U162"/>
    <hyperlink r:id="rId140" ref="U163"/>
    <hyperlink r:id="rId141" ref="U164"/>
    <hyperlink r:id="rId142" ref="U165"/>
    <hyperlink r:id="rId143" ref="U166"/>
    <hyperlink r:id="rId144" ref="U167"/>
    <hyperlink r:id="rId145" ref="U168"/>
    <hyperlink r:id="rId146" ref="U169"/>
    <hyperlink r:id="rId147" ref="U170"/>
    <hyperlink r:id="rId148" ref="U171"/>
    <hyperlink r:id="rId149" ref="U172"/>
    <hyperlink r:id="rId150" ref="U173"/>
    <hyperlink r:id="rId151" ref="U176"/>
    <hyperlink r:id="rId152" ref="U177"/>
    <hyperlink r:id="rId153" ref="U178"/>
    <hyperlink r:id="rId154" ref="U179"/>
    <hyperlink r:id="rId155" ref="U180"/>
    <hyperlink r:id="rId156" ref="U181"/>
    <hyperlink r:id="rId157" ref="U182"/>
    <hyperlink r:id="rId158" ref="U183"/>
    <hyperlink r:id="rId159" ref="U184"/>
    <hyperlink r:id="rId160" ref="U185"/>
    <hyperlink r:id="rId161" ref="U186"/>
    <hyperlink r:id="rId162" ref="U187"/>
    <hyperlink r:id="rId163" ref="U188"/>
    <hyperlink r:id="rId164" ref="U189"/>
    <hyperlink r:id="rId165" ref="U190"/>
    <hyperlink r:id="rId166" ref="U191"/>
    <hyperlink r:id="rId167" ref="U192"/>
    <hyperlink r:id="rId168" ref="U193"/>
    <hyperlink r:id="rId169" ref="U194"/>
    <hyperlink r:id="rId170" ref="U195"/>
    <hyperlink r:id="rId171" ref="U196"/>
    <hyperlink r:id="rId172" ref="U197"/>
    <hyperlink r:id="rId173" ref="U198"/>
    <hyperlink r:id="rId174" ref="U199"/>
    <hyperlink r:id="rId175" ref="U200"/>
    <hyperlink r:id="rId176" ref="U201"/>
    <hyperlink r:id="rId177" ref="U202"/>
    <hyperlink r:id="rId178" ref="U204"/>
    <hyperlink r:id="rId179" ref="U205"/>
    <hyperlink r:id="rId180" ref="U206"/>
    <hyperlink r:id="rId181" ref="U207"/>
    <hyperlink r:id="rId182" ref="U208"/>
    <hyperlink r:id="rId183" ref="U209"/>
    <hyperlink r:id="rId184" ref="U210"/>
    <hyperlink r:id="rId185" ref="U211"/>
    <hyperlink r:id="rId186" ref="U212"/>
    <hyperlink r:id="rId187" ref="U213"/>
    <hyperlink r:id="rId188" ref="U214"/>
    <hyperlink r:id="rId189" ref="U215"/>
    <hyperlink r:id="rId190" ref="U216"/>
    <hyperlink r:id="rId191" ref="U217"/>
    <hyperlink r:id="rId192" ref="U218"/>
    <hyperlink r:id="rId193" ref="U220"/>
    <hyperlink r:id="rId194" ref="U221"/>
    <hyperlink r:id="rId195" ref="U222"/>
    <hyperlink r:id="rId196" ref="U223"/>
    <hyperlink r:id="rId197" ref="U224"/>
    <hyperlink r:id="rId198" ref="U225"/>
    <hyperlink r:id="rId199" ref="U226"/>
    <hyperlink r:id="rId200" ref="U227"/>
    <hyperlink r:id="rId201" ref="U228"/>
    <hyperlink r:id="rId202" ref="U229"/>
    <hyperlink r:id="rId203" ref="U230"/>
    <hyperlink r:id="rId204" ref="U231"/>
    <hyperlink r:id="rId205" ref="U232"/>
    <hyperlink r:id="rId206" ref="U233"/>
    <hyperlink r:id="rId207" ref="U234"/>
    <hyperlink r:id="rId208" ref="U235"/>
    <hyperlink r:id="rId209" ref="U236"/>
    <hyperlink r:id="rId210" ref="U237"/>
    <hyperlink r:id="rId211" ref="U240"/>
    <hyperlink r:id="rId212" ref="U241"/>
    <hyperlink r:id="rId213" ref="U243"/>
    <hyperlink r:id="rId214" ref="U244"/>
    <hyperlink r:id="rId215" ref="U245"/>
    <hyperlink r:id="rId216" ref="U246"/>
    <hyperlink r:id="rId217" ref="U248"/>
    <hyperlink r:id="rId218" ref="U249"/>
    <hyperlink r:id="rId219" ref="U250"/>
    <hyperlink r:id="rId220" ref="U251"/>
    <hyperlink r:id="rId221" ref="U252"/>
    <hyperlink r:id="rId222" ref="U253"/>
    <hyperlink r:id="rId223" ref="U255"/>
    <hyperlink r:id="rId224" ref="U256"/>
    <hyperlink r:id="rId225" ref="U257"/>
    <hyperlink r:id="rId226" ref="U258"/>
    <hyperlink r:id="rId227" ref="U259"/>
    <hyperlink r:id="rId228" ref="U260"/>
    <hyperlink r:id="rId229" ref="U261"/>
    <hyperlink r:id="rId230" ref="U262"/>
    <hyperlink r:id="rId231" ref="U263"/>
    <hyperlink r:id="rId232" ref="U264"/>
    <hyperlink r:id="rId233" ref="U265"/>
    <hyperlink r:id="rId234" ref="U268"/>
    <hyperlink r:id="rId235" ref="U271"/>
    <hyperlink r:id="rId236" ref="U272"/>
    <hyperlink r:id="rId237" ref="U274"/>
    <hyperlink r:id="rId238" ref="U275"/>
    <hyperlink r:id="rId239" ref="U276"/>
    <hyperlink r:id="rId240" ref="U278"/>
    <hyperlink r:id="rId241" ref="U281"/>
    <hyperlink r:id="rId242" ref="U282"/>
    <hyperlink r:id="rId243" ref="U285"/>
    <hyperlink r:id="rId244" ref="U290"/>
    <hyperlink r:id="rId245" ref="U291"/>
    <hyperlink r:id="rId246" ref="U292"/>
    <hyperlink r:id="rId247" ref="U294"/>
    <hyperlink r:id="rId248" ref="U295"/>
    <hyperlink r:id="rId249" ref="U296"/>
    <hyperlink r:id="rId250" ref="U297"/>
    <hyperlink r:id="rId251" ref="U298"/>
    <hyperlink r:id="rId252" ref="U299"/>
    <hyperlink r:id="rId253" ref="U300"/>
    <hyperlink r:id="rId254" ref="U301"/>
    <hyperlink r:id="rId255" ref="U303"/>
    <hyperlink r:id="rId256" ref="U305"/>
    <hyperlink r:id="rId257" ref="U306"/>
    <hyperlink r:id="rId258" ref="U307"/>
    <hyperlink r:id="rId259" ref="U308"/>
    <hyperlink r:id="rId260" ref="U309"/>
    <hyperlink r:id="rId261" ref="U311"/>
    <hyperlink r:id="rId262" ref="U312"/>
    <hyperlink r:id="rId263" ref="U315"/>
    <hyperlink r:id="rId264" ref="U317"/>
    <hyperlink r:id="rId265" ref="U318"/>
    <hyperlink r:id="rId266" ref="U320"/>
    <hyperlink r:id="rId267" ref="U322"/>
    <hyperlink r:id="rId268" ref="U323"/>
    <hyperlink r:id="rId269" ref="U325"/>
    <hyperlink r:id="rId270" ref="U330"/>
    <hyperlink r:id="rId271" ref="U331"/>
    <hyperlink r:id="rId272" ref="U332"/>
    <hyperlink r:id="rId273" ref="U333"/>
    <hyperlink r:id="rId274" ref="U335"/>
    <hyperlink r:id="rId275" ref="U336"/>
    <hyperlink r:id="rId276" ref="U338"/>
    <hyperlink r:id="rId277" ref="U340"/>
    <hyperlink r:id="rId278" ref="U341"/>
    <hyperlink r:id="rId279" ref="U342"/>
    <hyperlink r:id="rId280" ref="U343"/>
    <hyperlink r:id="rId281" ref="U344"/>
    <hyperlink r:id="rId282" ref="U345"/>
    <hyperlink r:id="rId283" ref="U346"/>
    <hyperlink r:id="rId284" ref="U350"/>
    <hyperlink r:id="rId285" ref="U352"/>
    <hyperlink r:id="rId286" ref="U353"/>
    <hyperlink r:id="rId287" ref="U354"/>
    <hyperlink r:id="rId288" ref="U356"/>
    <hyperlink r:id="rId289" ref="U357"/>
    <hyperlink r:id="rId290" ref="U358"/>
    <hyperlink r:id="rId291" ref="U359"/>
    <hyperlink r:id="rId292" ref="U360"/>
    <hyperlink r:id="rId293" ref="U363"/>
    <hyperlink r:id="rId294" ref="U364"/>
    <hyperlink r:id="rId295" ref="U365"/>
    <hyperlink r:id="rId296" ref="U366"/>
    <hyperlink r:id="rId297" ref="U367"/>
    <hyperlink r:id="rId298" ref="U368"/>
    <hyperlink r:id="rId299" ref="U369"/>
    <hyperlink r:id="rId300" ref="U371"/>
    <hyperlink r:id="rId301" ref="U372"/>
    <hyperlink r:id="rId302" ref="U374"/>
    <hyperlink r:id="rId303" ref="U375"/>
    <hyperlink r:id="rId304" ref="U377"/>
    <hyperlink r:id="rId305" ref="U378"/>
    <hyperlink r:id="rId306" ref="U379"/>
    <hyperlink r:id="rId307" ref="U380"/>
    <hyperlink r:id="rId308" ref="U381"/>
    <hyperlink r:id="rId309" ref="U382"/>
    <hyperlink r:id="rId310" ref="U383"/>
    <hyperlink r:id="rId311" ref="U384"/>
    <hyperlink r:id="rId312" ref="U385"/>
    <hyperlink r:id="rId313" ref="U386"/>
    <hyperlink r:id="rId314" ref="U387"/>
    <hyperlink r:id="rId315" ref="U388"/>
    <hyperlink r:id="rId316" ref="U389"/>
    <hyperlink r:id="rId317" ref="U390"/>
    <hyperlink r:id="rId318" ref="U391"/>
    <hyperlink r:id="rId319" ref="U392"/>
    <hyperlink r:id="rId320" ref="U393"/>
    <hyperlink r:id="rId321" ref="U394"/>
    <hyperlink r:id="rId322" ref="U397"/>
    <hyperlink r:id="rId323" ref="U398"/>
    <hyperlink r:id="rId324" ref="U399"/>
    <hyperlink r:id="rId325" ref="U400"/>
    <hyperlink r:id="rId326" ref="U401"/>
    <hyperlink r:id="rId327" ref="U402"/>
    <hyperlink r:id="rId328" ref="U403"/>
    <hyperlink r:id="rId329" ref="U404"/>
    <hyperlink r:id="rId330" ref="U408"/>
    <hyperlink r:id="rId331" ref="U409"/>
    <hyperlink r:id="rId332" ref="U410"/>
    <hyperlink r:id="rId333" ref="U411"/>
    <hyperlink r:id="rId334" ref="U414"/>
    <hyperlink r:id="rId335" ref="U415"/>
    <hyperlink r:id="rId336" ref="U416"/>
    <hyperlink r:id="rId337" ref="U417"/>
    <hyperlink r:id="rId338" ref="U418"/>
    <hyperlink r:id="rId339" ref="U420"/>
    <hyperlink r:id="rId340" ref="U421"/>
    <hyperlink r:id="rId341" ref="U423"/>
    <hyperlink r:id="rId342" ref="U424"/>
    <hyperlink r:id="rId343" ref="U426"/>
    <hyperlink r:id="rId344" ref="U427"/>
    <hyperlink r:id="rId345" ref="U428"/>
    <hyperlink r:id="rId346" ref="U429"/>
    <hyperlink r:id="rId347" ref="U430"/>
    <hyperlink r:id="rId348" ref="U432"/>
    <hyperlink r:id="rId349" ref="U433"/>
    <hyperlink r:id="rId350" ref="U434"/>
    <hyperlink r:id="rId351" ref="U436"/>
    <hyperlink r:id="rId352" ref="U438"/>
    <hyperlink r:id="rId353" ref="U439"/>
    <hyperlink r:id="rId354" ref="U440"/>
    <hyperlink r:id="rId355" ref="U441"/>
    <hyperlink r:id="rId356" ref="U443"/>
    <hyperlink r:id="rId357" ref="U444"/>
    <hyperlink r:id="rId358" ref="U445"/>
    <hyperlink r:id="rId359" ref="U446"/>
    <hyperlink r:id="rId360" ref="U449"/>
    <hyperlink r:id="rId361" ref="U450"/>
    <hyperlink r:id="rId362" ref="U451"/>
    <hyperlink r:id="rId363" ref="U452"/>
    <hyperlink r:id="rId364" ref="U453"/>
    <hyperlink r:id="rId365" ref="U455"/>
    <hyperlink r:id="rId366" ref="U457"/>
    <hyperlink r:id="rId367" ref="U458"/>
    <hyperlink r:id="rId368" ref="U459"/>
    <hyperlink r:id="rId369" ref="U462"/>
    <hyperlink r:id="rId370" ref="U463"/>
    <hyperlink r:id="rId371" ref="U464"/>
    <hyperlink r:id="rId372" ref="U465"/>
    <hyperlink r:id="rId373" ref="U466"/>
    <hyperlink r:id="rId374" ref="U467"/>
    <hyperlink r:id="rId375" ref="U469"/>
    <hyperlink r:id="rId376" ref="U470"/>
    <hyperlink r:id="rId377" ref="U473"/>
    <hyperlink r:id="rId378" ref="U474"/>
    <hyperlink r:id="rId379" ref="U475"/>
    <hyperlink r:id="rId380" ref="U476"/>
    <hyperlink r:id="rId381" ref="U477"/>
    <hyperlink r:id="rId382" ref="U478"/>
    <hyperlink r:id="rId383" ref="U479"/>
    <hyperlink r:id="rId384" ref="U480"/>
    <hyperlink r:id="rId385" ref="U481"/>
    <hyperlink r:id="rId386" ref="U482"/>
    <hyperlink r:id="rId387" ref="U488"/>
    <hyperlink r:id="rId388" ref="U489"/>
    <hyperlink r:id="rId389" ref="U491"/>
    <hyperlink r:id="rId390" ref="U493"/>
    <hyperlink r:id="rId391" ref="U494"/>
    <hyperlink r:id="rId392" ref="U495"/>
    <hyperlink r:id="rId393" ref="U496"/>
    <hyperlink r:id="rId394" ref="U497"/>
    <hyperlink r:id="rId395" ref="U498"/>
    <hyperlink r:id="rId396" ref="U499"/>
    <hyperlink r:id="rId397" ref="U501"/>
    <hyperlink r:id="rId398" ref="U502"/>
    <hyperlink r:id="rId399" ref="U503"/>
    <hyperlink r:id="rId400" ref="U504"/>
    <hyperlink r:id="rId401" ref="U505"/>
    <hyperlink r:id="rId402" ref="U506"/>
    <hyperlink r:id="rId403" ref="U507"/>
    <hyperlink r:id="rId404" ref="U508"/>
    <hyperlink r:id="rId405" ref="U509"/>
    <hyperlink r:id="rId406" ref="U511"/>
    <hyperlink r:id="rId407" ref="U512"/>
    <hyperlink r:id="rId408" ref="U513"/>
    <hyperlink r:id="rId409" ref="U514"/>
    <hyperlink r:id="rId410" ref="U515"/>
    <hyperlink r:id="rId411" ref="U516"/>
    <hyperlink r:id="rId412" ref="U517"/>
    <hyperlink r:id="rId413" ref="U522"/>
    <hyperlink r:id="rId414" ref="U523"/>
    <hyperlink r:id="rId415" ref="U524"/>
    <hyperlink r:id="rId416" ref="U525"/>
    <hyperlink r:id="rId417" ref="U526"/>
    <hyperlink r:id="rId418" ref="U528"/>
    <hyperlink r:id="rId419" ref="U529"/>
    <hyperlink r:id="rId420" ref="U531"/>
    <hyperlink r:id="rId421" ref="U533"/>
    <hyperlink r:id="rId422" ref="U534"/>
    <hyperlink r:id="rId423" ref="U535"/>
    <hyperlink r:id="rId424" ref="U536"/>
    <hyperlink r:id="rId425" ref="U537"/>
    <hyperlink r:id="rId426" ref="U538"/>
    <hyperlink r:id="rId427" ref="U539"/>
    <hyperlink r:id="rId428" ref="U540"/>
    <hyperlink r:id="rId429" ref="U542"/>
    <hyperlink r:id="rId430" ref="U543"/>
    <hyperlink r:id="rId431" ref="U546"/>
    <hyperlink r:id="rId432" ref="U547"/>
    <hyperlink r:id="rId433" ref="U548"/>
    <hyperlink r:id="rId434" ref="U549"/>
    <hyperlink r:id="rId435" ref="U550"/>
    <hyperlink r:id="rId436" ref="U551"/>
    <hyperlink r:id="rId437" ref="U553"/>
    <hyperlink r:id="rId438" ref="U554"/>
    <hyperlink r:id="rId439" ref="U555"/>
    <hyperlink r:id="rId440" ref="U556"/>
    <hyperlink r:id="rId441" ref="U557"/>
    <hyperlink r:id="rId442" ref="U558"/>
    <hyperlink r:id="rId443" ref="U560"/>
    <hyperlink r:id="rId444" ref="U561"/>
    <hyperlink r:id="rId445" ref="U562"/>
    <hyperlink r:id="rId446" ref="U563"/>
    <hyperlink r:id="rId447" ref="U564"/>
    <hyperlink r:id="rId448" ref="U565"/>
    <hyperlink r:id="rId449" ref="U566"/>
    <hyperlink r:id="rId450" ref="U567"/>
    <hyperlink r:id="rId451" ref="U569"/>
    <hyperlink r:id="rId452" ref="U570"/>
    <hyperlink r:id="rId453" ref="U572"/>
    <hyperlink r:id="rId454" ref="U574"/>
    <hyperlink r:id="rId455" ref="U575"/>
    <hyperlink r:id="rId456" ref="U577"/>
    <hyperlink r:id="rId457" ref="U583"/>
    <hyperlink r:id="rId458" ref="U584"/>
    <hyperlink r:id="rId459" ref="U585"/>
    <hyperlink r:id="rId460" ref="U586"/>
    <hyperlink r:id="rId461" ref="U587"/>
    <hyperlink r:id="rId462" ref="U588"/>
    <hyperlink r:id="rId463" ref="U591"/>
    <hyperlink r:id="rId464" ref="U592"/>
    <hyperlink r:id="rId465" ref="U593"/>
    <hyperlink r:id="rId466" ref="U594"/>
    <hyperlink r:id="rId467" ref="U595"/>
    <hyperlink r:id="rId468" ref="U596"/>
    <hyperlink r:id="rId469" ref="U597"/>
    <hyperlink r:id="rId470" ref="U598"/>
    <hyperlink r:id="rId471" ref="U599"/>
    <hyperlink r:id="rId472" ref="U601"/>
    <hyperlink r:id="rId473" ref="U602"/>
    <hyperlink r:id="rId474" ref="U603"/>
    <hyperlink r:id="rId475" ref="U604"/>
    <hyperlink r:id="rId476" ref="U605"/>
    <hyperlink r:id="rId477" ref="U608"/>
    <hyperlink r:id="rId478" ref="U609"/>
    <hyperlink r:id="rId479" ref="U610"/>
    <hyperlink r:id="rId480" ref="U611"/>
    <hyperlink r:id="rId481" ref="U612"/>
    <hyperlink r:id="rId482" ref="U613"/>
    <hyperlink r:id="rId483" ref="U614"/>
    <hyperlink r:id="rId484" ref="U616"/>
    <hyperlink r:id="rId485" ref="U618"/>
    <hyperlink r:id="rId486" ref="U619"/>
    <hyperlink r:id="rId487" ref="U620"/>
    <hyperlink r:id="rId488" ref="U623"/>
    <hyperlink r:id="rId489" ref="U624"/>
    <hyperlink r:id="rId490" ref="U625"/>
    <hyperlink r:id="rId491" ref="U626"/>
    <hyperlink r:id="rId492" ref="U627"/>
    <hyperlink r:id="rId493" ref="U628"/>
    <hyperlink r:id="rId494" ref="U631"/>
    <hyperlink r:id="rId495" ref="U632"/>
    <hyperlink r:id="rId496" ref="U633"/>
    <hyperlink r:id="rId497" ref="U634"/>
    <hyperlink r:id="rId498" ref="U635"/>
    <hyperlink r:id="rId499" ref="U636"/>
    <hyperlink r:id="rId500" ref="U637"/>
    <hyperlink r:id="rId501" ref="U638"/>
    <hyperlink r:id="rId502" ref="U639"/>
    <hyperlink r:id="rId503" ref="U641"/>
    <hyperlink r:id="rId504" ref="U642"/>
    <hyperlink r:id="rId505" ref="U644"/>
    <hyperlink r:id="rId506" ref="U645"/>
    <hyperlink r:id="rId507" ref="U646"/>
    <hyperlink r:id="rId508" ref="U647"/>
    <hyperlink r:id="rId509" ref="U648"/>
    <hyperlink r:id="rId510" ref="U649"/>
    <hyperlink r:id="rId511" ref="U650"/>
    <hyperlink r:id="rId512" ref="U651"/>
    <hyperlink r:id="rId513" ref="U653"/>
    <hyperlink r:id="rId514" ref="U654"/>
    <hyperlink r:id="rId515" ref="U656"/>
    <hyperlink r:id="rId516" ref="U657"/>
  </hyperlinks>
  <printOptions/>
  <pageMargins bottom="0.75" footer="0.0" header="0.0" left="0.7" right="0.7" top="0.75"/>
  <pageSetup orientation="landscape"/>
  <drawing r:id="rId5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41.22"/>
    <col customWidth="1" min="2" max="2" width="16.44"/>
    <col customWidth="1" min="3" max="3" width="21.67"/>
    <col customWidth="1" min="4" max="4" width="18.22"/>
  </cols>
  <sheetData>
    <row r="1">
      <c r="A1" s="17" t="s">
        <v>2950</v>
      </c>
      <c r="B1" s="17" t="s">
        <v>2951</v>
      </c>
      <c r="C1" s="17" t="s">
        <v>2952</v>
      </c>
      <c r="D1" s="17" t="s">
        <v>2953</v>
      </c>
    </row>
    <row r="2">
      <c r="A2" s="25" t="s">
        <v>2954</v>
      </c>
      <c r="C2" s="108">
        <v>8253213.0</v>
      </c>
    </row>
    <row r="3">
      <c r="A3" s="25"/>
      <c r="B3" s="6" t="s">
        <v>2955</v>
      </c>
      <c r="C3" s="108"/>
      <c r="D3" s="108">
        <v>152692.0</v>
      </c>
    </row>
    <row r="4">
      <c r="A4" s="25"/>
      <c r="B4" s="6" t="s">
        <v>2956</v>
      </c>
      <c r="D4" s="108">
        <v>2225821.0</v>
      </c>
    </row>
    <row r="5">
      <c r="A5" s="25"/>
      <c r="B5" s="6" t="s">
        <v>2957</v>
      </c>
      <c r="D5" s="108">
        <v>1611989.0</v>
      </c>
    </row>
    <row r="6">
      <c r="A6" s="25"/>
      <c r="B6" s="6" t="s">
        <v>2958</v>
      </c>
      <c r="D6" s="108">
        <v>1401142.0</v>
      </c>
    </row>
    <row r="7">
      <c r="A7" s="25"/>
      <c r="B7" s="6" t="s">
        <v>2959</v>
      </c>
      <c r="D7" s="108">
        <v>475327.0</v>
      </c>
    </row>
    <row r="8">
      <c r="A8" s="25" t="s">
        <v>2960</v>
      </c>
      <c r="C8" s="108">
        <v>3970219.0</v>
      </c>
    </row>
    <row r="9">
      <c r="A9" s="126"/>
      <c r="B9" s="6" t="s">
        <v>42</v>
      </c>
      <c r="D9" s="108">
        <v>9943046.0</v>
      </c>
    </row>
    <row r="10">
      <c r="A10" s="126" t="s">
        <v>2961</v>
      </c>
      <c r="C10" s="108">
        <v>2677643.0</v>
      </c>
    </row>
    <row r="11">
      <c r="A11" s="126"/>
    </row>
    <row r="12">
      <c r="A12" s="126"/>
      <c r="B12" s="6" t="s">
        <v>2962</v>
      </c>
      <c r="D12" s="108">
        <v>5108284.0</v>
      </c>
    </row>
    <row r="13">
      <c r="A13" s="126"/>
      <c r="B13" s="6" t="s">
        <v>2963</v>
      </c>
      <c r="D13" s="108">
        <v>917481.0</v>
      </c>
    </row>
    <row r="14">
      <c r="A14" s="126" t="s">
        <v>2938</v>
      </c>
      <c r="C14" s="108">
        <v>2316120.0</v>
      </c>
    </row>
    <row r="15">
      <c r="A15" s="126"/>
      <c r="B15" s="6" t="s">
        <v>2964</v>
      </c>
      <c r="D15" s="108">
        <v>4738253.0</v>
      </c>
    </row>
    <row r="16">
      <c r="A16" s="126"/>
      <c r="B16" s="6" t="s">
        <v>114</v>
      </c>
      <c r="C16" s="6">
        <f>C14*1.8/100</f>
        <v>41690.16</v>
      </c>
      <c r="D16" s="108">
        <v>839706.0</v>
      </c>
    </row>
    <row r="17">
      <c r="A17" s="126"/>
      <c r="B17" s="6" t="s">
        <v>116</v>
      </c>
      <c r="D17" s="108">
        <v>626351.0</v>
      </c>
    </row>
    <row r="18">
      <c r="A18" s="25" t="s">
        <v>2965</v>
      </c>
      <c r="C18" s="108">
        <v>1708127.0</v>
      </c>
    </row>
    <row r="19">
      <c r="A19" s="25"/>
      <c r="B19" s="6" t="s">
        <v>167</v>
      </c>
      <c r="D19" s="108">
        <v>4579081.0</v>
      </c>
    </row>
    <row r="20">
      <c r="A20" s="25" t="s">
        <v>2966</v>
      </c>
      <c r="C20" s="108">
        <v>1578487.0</v>
      </c>
    </row>
    <row r="21" ht="15.75" customHeight="1">
      <c r="A21" s="25"/>
      <c r="B21" s="6" t="s">
        <v>2967</v>
      </c>
      <c r="D21" s="108">
        <v>1578487.0</v>
      </c>
    </row>
    <row r="22" ht="15.75" customHeight="1">
      <c r="A22" s="126" t="s">
        <v>2943</v>
      </c>
      <c r="C22" s="108">
        <v>1567118.0</v>
      </c>
    </row>
    <row r="23" ht="15.75" customHeight="1">
      <c r="A23" s="25"/>
      <c r="B23" s="6" t="s">
        <v>272</v>
      </c>
      <c r="D23" s="108">
        <v>2026823.0</v>
      </c>
    </row>
    <row r="24" ht="15.75" customHeight="1">
      <c r="A24" s="25"/>
      <c r="B24" s="6" t="s">
        <v>2968</v>
      </c>
      <c r="D24" s="108">
        <v>164812.0</v>
      </c>
    </row>
    <row r="25" ht="15.75" customHeight="1">
      <c r="A25" s="25"/>
      <c r="B25" s="6" t="s">
        <v>274</v>
      </c>
      <c r="D25" s="108">
        <v>52358.0</v>
      </c>
    </row>
    <row r="26" ht="15.75" customHeight="1">
      <c r="A26" s="25" t="s">
        <v>2969</v>
      </c>
      <c r="C26" s="108">
        <v>1422420.0</v>
      </c>
    </row>
    <row r="27" ht="15.75" customHeight="1">
      <c r="B27" s="127" t="s">
        <v>317</v>
      </c>
      <c r="C27" s="108"/>
      <c r="D27" s="108">
        <v>3332427.0</v>
      </c>
    </row>
    <row r="28" ht="15.75" customHeight="1">
      <c r="A28" s="126" t="s">
        <v>2928</v>
      </c>
      <c r="C28" s="108">
        <v>1343266.0</v>
      </c>
    </row>
    <row r="29" ht="15.75" customHeight="1">
      <c r="A29" s="25"/>
      <c r="B29" s="6" t="s">
        <v>374</v>
      </c>
      <c r="D29" s="108">
        <v>2635888.0</v>
      </c>
    </row>
    <row r="30" ht="15.75" customHeight="1">
      <c r="A30" s="25"/>
      <c r="B30" s="6" t="s">
        <v>2970</v>
      </c>
      <c r="D30" s="108">
        <v>1072069.0</v>
      </c>
    </row>
    <row r="31" ht="15.75" customHeight="1">
      <c r="A31" s="25"/>
      <c r="B31" s="6" t="s">
        <v>378</v>
      </c>
      <c r="D31" s="108">
        <v>919324.0</v>
      </c>
    </row>
    <row r="32" ht="15.75" customHeight="1">
      <c r="A32" s="25"/>
      <c r="B32" s="6" t="s">
        <v>2971</v>
      </c>
      <c r="D32" s="108">
        <v>143198.0</v>
      </c>
    </row>
    <row r="33" ht="15.75" customHeight="1">
      <c r="A33" s="25"/>
      <c r="B33" s="6" t="s">
        <v>2972</v>
      </c>
      <c r="D33" s="6">
        <v>109888.0</v>
      </c>
    </row>
    <row r="34" ht="15.75" customHeight="1">
      <c r="A34" s="25" t="s">
        <v>414</v>
      </c>
      <c r="C34" s="108">
        <v>1013616.0</v>
      </c>
    </row>
    <row r="35" ht="15.75" customHeight="1">
      <c r="A35" s="25"/>
      <c r="B35" s="127" t="s">
        <v>416</v>
      </c>
      <c r="D35" s="108">
        <v>1907105.0</v>
      </c>
    </row>
    <row r="36" ht="15.75" customHeight="1">
      <c r="A36" s="126" t="s">
        <v>475</v>
      </c>
      <c r="C36" s="108">
        <v>995484.0</v>
      </c>
    </row>
    <row r="37" ht="15.75" customHeight="1">
      <c r="B37" s="127" t="s">
        <v>477</v>
      </c>
      <c r="D37" s="108">
        <v>1300503.0</v>
      </c>
    </row>
    <row r="38" ht="15.75" customHeight="1">
      <c r="B38" s="127" t="s">
        <v>480</v>
      </c>
      <c r="D38" s="108">
        <v>617855.0</v>
      </c>
    </row>
    <row r="39" ht="15.75" customHeight="1">
      <c r="B39" s="127" t="s">
        <v>482</v>
      </c>
      <c r="D39" s="108">
        <v>241365.0</v>
      </c>
    </row>
    <row r="40" ht="15.75" customHeight="1">
      <c r="A40" s="126" t="s">
        <v>510</v>
      </c>
      <c r="C40" s="108">
        <v>927720.0</v>
      </c>
    </row>
    <row r="41" ht="15.75" customHeight="1">
      <c r="B41" s="127" t="s">
        <v>512</v>
      </c>
      <c r="D41" s="108">
        <v>2123347.0</v>
      </c>
    </row>
    <row r="42" ht="15.75" customHeight="1">
      <c r="B42" s="127" t="s">
        <v>378</v>
      </c>
      <c r="D42" s="108">
        <v>919324.0</v>
      </c>
    </row>
    <row r="43" ht="15.75" customHeight="1">
      <c r="B43" s="127" t="s">
        <v>514</v>
      </c>
      <c r="D43" s="108">
        <v>148198.0</v>
      </c>
    </row>
    <row r="44" ht="15.75" customHeight="1">
      <c r="B44" s="127" t="s">
        <v>516</v>
      </c>
      <c r="D44" s="108">
        <v>71084.0</v>
      </c>
    </row>
    <row r="45" ht="15.75" customHeight="1">
      <c r="A45" s="25" t="s">
        <v>557</v>
      </c>
      <c r="C45" s="108">
        <v>920570.0</v>
      </c>
    </row>
    <row r="46" ht="15.75" customHeight="1">
      <c r="B46" s="127" t="s">
        <v>2973</v>
      </c>
      <c r="D46" s="108">
        <v>966728.0</v>
      </c>
    </row>
    <row r="47" ht="15.75" customHeight="1">
      <c r="A47" s="126" t="s">
        <v>569</v>
      </c>
      <c r="C47" s="108">
        <v>903852.0</v>
      </c>
    </row>
    <row r="48" ht="15.75" customHeight="1">
      <c r="A48" s="25"/>
      <c r="B48" s="127" t="s">
        <v>571</v>
      </c>
      <c r="D48" s="108">
        <v>1324624.0</v>
      </c>
    </row>
    <row r="49" ht="15.75" customHeight="1">
      <c r="A49" s="25"/>
      <c r="B49" s="127" t="s">
        <v>573</v>
      </c>
      <c r="D49" s="108">
        <v>159709.0</v>
      </c>
    </row>
    <row r="50" ht="15.75" customHeight="1">
      <c r="A50" s="25"/>
      <c r="B50" s="127" t="s">
        <v>576</v>
      </c>
      <c r="D50" s="108">
        <v>213554.0</v>
      </c>
    </row>
    <row r="51" ht="15.75" customHeight="1">
      <c r="A51" s="25" t="s">
        <v>631</v>
      </c>
      <c r="C51" s="108">
        <v>900350.0</v>
      </c>
    </row>
    <row r="52" ht="15.75" customHeight="1">
      <c r="B52" s="127" t="s">
        <v>634</v>
      </c>
      <c r="D52" s="108">
        <v>1128945.0</v>
      </c>
    </row>
    <row r="53" ht="15.75" customHeight="1">
      <c r="A53" s="25" t="s">
        <v>643</v>
      </c>
      <c r="C53" s="108">
        <v>877903.0</v>
      </c>
    </row>
    <row r="54" ht="15.75" customHeight="1">
      <c r="A54" s="25"/>
      <c r="B54" s="127" t="s">
        <v>645</v>
      </c>
      <c r="D54" s="108">
        <v>966183.0</v>
      </c>
    </row>
    <row r="55" ht="15.75" customHeight="1">
      <c r="A55" s="25" t="s">
        <v>667</v>
      </c>
      <c r="C55" s="108">
        <v>866606.0</v>
      </c>
    </row>
    <row r="56" ht="15.75" customHeight="1">
      <c r="B56" s="127" t="s">
        <v>2974</v>
      </c>
      <c r="D56" s="108">
        <v>866606.0</v>
      </c>
    </row>
    <row r="57" ht="15.75" customHeight="1">
      <c r="A57" s="25" t="s">
        <v>687</v>
      </c>
      <c r="C57" s="108">
        <v>769714.0</v>
      </c>
    </row>
    <row r="58" ht="15.75" customHeight="1">
      <c r="A58" s="25"/>
      <c r="B58" s="127" t="s">
        <v>690</v>
      </c>
      <c r="D58" s="108">
        <v>2274315.0</v>
      </c>
    </row>
    <row r="59" ht="15.75" customHeight="1">
      <c r="A59" s="25" t="s">
        <v>714</v>
      </c>
      <c r="C59" s="108">
        <v>735538.0</v>
      </c>
    </row>
    <row r="60" ht="15.75" customHeight="1">
      <c r="B60" s="127" t="s">
        <v>716</v>
      </c>
      <c r="C60" s="108"/>
      <c r="D60" s="108">
        <v>735538.0</v>
      </c>
    </row>
    <row r="61" ht="15.75" customHeight="1">
      <c r="A61" s="25" t="s">
        <v>733</v>
      </c>
      <c r="C61" s="108">
        <v>712816.0</v>
      </c>
    </row>
    <row r="62" ht="15.75" customHeight="1">
      <c r="B62" s="127" t="s">
        <v>734</v>
      </c>
      <c r="C62" s="108"/>
      <c r="D62" s="108">
        <v>712816.0</v>
      </c>
    </row>
    <row r="63" ht="15.75" customHeight="1">
      <c r="A63" s="25" t="s">
        <v>752</v>
      </c>
      <c r="C63" s="108">
        <v>691531.0</v>
      </c>
    </row>
    <row r="64" ht="15.75" customHeight="1">
      <c r="A64" s="25"/>
      <c r="B64" s="127" t="s">
        <v>754</v>
      </c>
      <c r="C64" s="108"/>
      <c r="D64" s="108">
        <v>801582.0</v>
      </c>
    </row>
    <row r="65" ht="15.75" customHeight="1">
      <c r="A65" s="25" t="s">
        <v>759</v>
      </c>
      <c r="C65" s="108">
        <v>681534.0</v>
      </c>
    </row>
    <row r="66" ht="15.75" customHeight="1">
      <c r="A66" s="25"/>
      <c r="B66" s="127" t="s">
        <v>761</v>
      </c>
      <c r="C66" s="108"/>
      <c r="D66" s="108">
        <v>841286.0</v>
      </c>
    </row>
    <row r="67" ht="15.75" customHeight="1">
      <c r="A67" s="25" t="s">
        <v>781</v>
      </c>
      <c r="C67" s="108">
        <v>671295.0</v>
      </c>
    </row>
    <row r="68" ht="15.75" customHeight="1">
      <c r="A68" s="25"/>
      <c r="B68" s="127" t="s">
        <v>782</v>
      </c>
      <c r="C68" s="108"/>
      <c r="D68" s="108">
        <v>694176.0</v>
      </c>
    </row>
    <row r="69" ht="15.75" customHeight="1">
      <c r="A69" s="25" t="s">
        <v>795</v>
      </c>
      <c r="C69" s="108">
        <v>665369.0</v>
      </c>
    </row>
    <row r="70" ht="15.75" customHeight="1">
      <c r="A70" s="25"/>
      <c r="B70" s="127" t="s">
        <v>798</v>
      </c>
      <c r="C70" s="108"/>
      <c r="D70" s="108">
        <v>1740623.0</v>
      </c>
    </row>
    <row r="71" ht="15.75" customHeight="1">
      <c r="A71" s="25" t="s">
        <v>812</v>
      </c>
      <c r="C71" s="108">
        <v>662368.0</v>
      </c>
    </row>
    <row r="72" ht="15.75" customHeight="1">
      <c r="A72" s="25"/>
      <c r="B72" s="127" t="s">
        <v>815</v>
      </c>
      <c r="C72" s="108"/>
      <c r="D72" s="108">
        <v>2315963.0</v>
      </c>
    </row>
    <row r="73" ht="15.75" customHeight="1">
      <c r="A73" s="126" t="s">
        <v>833</v>
      </c>
      <c r="C73" s="108">
        <v>662314.0</v>
      </c>
    </row>
    <row r="74" ht="15.75" customHeight="1">
      <c r="B74" s="127" t="s">
        <v>835</v>
      </c>
      <c r="C74" s="108"/>
      <c r="D74" s="108">
        <v>804041.0</v>
      </c>
    </row>
    <row r="75" ht="15.75" customHeight="1">
      <c r="B75" s="127" t="s">
        <v>836</v>
      </c>
      <c r="C75" s="108"/>
      <c r="D75" s="108">
        <v>287066.0</v>
      </c>
    </row>
    <row r="76" ht="15.75" customHeight="1">
      <c r="B76" s="127" t="s">
        <v>839</v>
      </c>
      <c r="C76" s="108"/>
      <c r="D76" s="108">
        <v>153192.0</v>
      </c>
    </row>
    <row r="77" ht="15.75" customHeight="1">
      <c r="B77" s="127" t="s">
        <v>842</v>
      </c>
      <c r="C77" s="108"/>
      <c r="D77" s="108">
        <v>72998.0</v>
      </c>
    </row>
    <row r="78" ht="15.75" customHeight="1">
      <c r="A78" s="126" t="s">
        <v>893</v>
      </c>
      <c r="C78" s="108">
        <v>656751.0</v>
      </c>
    </row>
    <row r="79" ht="15.75" customHeight="1">
      <c r="A79" s="25"/>
      <c r="B79" s="127" t="s">
        <v>2975</v>
      </c>
      <c r="C79" s="108"/>
      <c r="D79" s="108">
        <v>255857.0</v>
      </c>
    </row>
    <row r="80" ht="15.75" customHeight="1">
      <c r="A80" s="25" t="s">
        <v>926</v>
      </c>
      <c r="C80" s="108">
        <v>649705.0</v>
      </c>
    </row>
    <row r="81" ht="15.75" customHeight="1">
      <c r="B81" s="127" t="s">
        <v>928</v>
      </c>
      <c r="C81" s="108"/>
      <c r="D81" s="108">
        <v>936017.0</v>
      </c>
    </row>
    <row r="82" ht="15.75" customHeight="1">
      <c r="A82" s="25" t="s">
        <v>2976</v>
      </c>
      <c r="C82" s="108">
        <v>618338.0</v>
      </c>
    </row>
    <row r="83" ht="15.75" customHeight="1">
      <c r="A83" s="25"/>
      <c r="B83" s="127" t="s">
        <v>944</v>
      </c>
      <c r="C83" s="108"/>
      <c r="D83" s="108">
        <v>767452.0</v>
      </c>
    </row>
    <row r="84" ht="15.75" customHeight="1">
      <c r="A84" s="126" t="s">
        <v>955</v>
      </c>
      <c r="C84" s="108">
        <v>589067.0</v>
      </c>
    </row>
    <row r="85" ht="15.75" customHeight="1">
      <c r="A85" s="25"/>
      <c r="B85" s="127" t="s">
        <v>958</v>
      </c>
      <c r="C85" s="108"/>
      <c r="D85" s="108">
        <v>945016.0</v>
      </c>
    </row>
    <row r="86" ht="15.75" customHeight="1">
      <c r="A86" s="25"/>
      <c r="B86" s="127" t="s">
        <v>898</v>
      </c>
      <c r="C86" s="108"/>
      <c r="D86" s="108">
        <v>136445.0</v>
      </c>
    </row>
    <row r="87" ht="15.75" customHeight="1">
      <c r="A87" s="25"/>
      <c r="B87" s="127" t="s">
        <v>2977</v>
      </c>
      <c r="C87" s="108"/>
      <c r="D87" s="108">
        <v>406172.0</v>
      </c>
    </row>
    <row r="88" ht="15.75" customHeight="1">
      <c r="A88" s="25" t="s">
        <v>970</v>
      </c>
      <c r="C88" s="108">
        <v>586131.0</v>
      </c>
    </row>
    <row r="89" ht="15.75" customHeight="1">
      <c r="A89" s="25"/>
      <c r="B89" s="127" t="s">
        <v>973</v>
      </c>
      <c r="C89" s="108"/>
      <c r="D89" s="108">
        <v>586131.0</v>
      </c>
    </row>
    <row r="90" ht="15.75" customHeight="1">
      <c r="A90" s="25" t="s">
        <v>985</v>
      </c>
      <c r="C90" s="108">
        <v>562540.0</v>
      </c>
    </row>
    <row r="91" ht="15.75" customHeight="1">
      <c r="A91" s="25"/>
      <c r="B91" s="127" t="s">
        <v>987</v>
      </c>
      <c r="C91" s="108"/>
      <c r="D91" s="108">
        <v>681666.0</v>
      </c>
    </row>
    <row r="92" ht="15.75" customHeight="1">
      <c r="A92" s="25" t="s">
        <v>992</v>
      </c>
      <c r="C92" s="108">
        <v>553571.0</v>
      </c>
    </row>
    <row r="93" ht="15.75" customHeight="1">
      <c r="A93" s="25"/>
      <c r="B93" s="127" t="s">
        <v>995</v>
      </c>
      <c r="C93" s="108"/>
      <c r="D93" s="108">
        <v>1061175.0</v>
      </c>
    </row>
    <row r="94" ht="15.75" customHeight="1">
      <c r="A94" s="25" t="s">
        <v>1001</v>
      </c>
      <c r="C94" s="108">
        <v>530267.0</v>
      </c>
    </row>
    <row r="95" ht="15.75" customHeight="1">
      <c r="A95" s="25"/>
      <c r="B95" s="127" t="s">
        <v>1003</v>
      </c>
      <c r="C95" s="108"/>
      <c r="D95" s="108">
        <v>1000918.0</v>
      </c>
    </row>
    <row r="96" ht="15.75" customHeight="1">
      <c r="A96" s="25" t="s">
        <v>1025</v>
      </c>
      <c r="C96" s="108">
        <v>528159.0</v>
      </c>
    </row>
    <row r="97" ht="15.75" customHeight="1">
      <c r="A97" s="25"/>
      <c r="B97" s="127" t="s">
        <v>167</v>
      </c>
      <c r="C97" s="108"/>
      <c r="D97" s="108">
        <v>4579081.0</v>
      </c>
    </row>
    <row r="98" ht="15.75" customHeight="1">
      <c r="A98" s="25" t="s">
        <v>1038</v>
      </c>
      <c r="C98" s="108">
        <v>512838.0</v>
      </c>
    </row>
    <row r="99" ht="15.75" customHeight="1">
      <c r="A99" s="25"/>
      <c r="B99" s="127" t="s">
        <v>1041</v>
      </c>
      <c r="C99" s="108"/>
      <c r="D99" s="108">
        <v>1559146.0</v>
      </c>
    </row>
    <row r="100" ht="15.75" customHeight="1">
      <c r="A100" s="126" t="s">
        <v>1080</v>
      </c>
      <c r="C100" s="108">
        <v>512550.0</v>
      </c>
    </row>
    <row r="101" ht="15.75" customHeight="1">
      <c r="B101" s="127" t="s">
        <v>1083</v>
      </c>
      <c r="C101" s="108"/>
      <c r="D101" s="108">
        <v>1077402.0</v>
      </c>
    </row>
    <row r="102" ht="15.75" customHeight="1">
      <c r="B102" s="127" t="s">
        <v>1086</v>
      </c>
      <c r="C102" s="108"/>
      <c r="D102" s="108">
        <v>762009.0</v>
      </c>
    </row>
    <row r="103" ht="15.75" customHeight="1">
      <c r="A103" s="126" t="s">
        <v>1438</v>
      </c>
      <c r="C103" s="108">
        <v>497159.0</v>
      </c>
    </row>
    <row r="104" ht="15.75" customHeight="1">
      <c r="A104" s="25"/>
      <c r="B104" s="127" t="s">
        <v>1103</v>
      </c>
      <c r="C104" s="108"/>
      <c r="D104" s="108">
        <v>705925.0</v>
      </c>
    </row>
    <row r="105" ht="15.75" customHeight="1">
      <c r="A105" s="25"/>
      <c r="B105" s="127" t="s">
        <v>1105</v>
      </c>
      <c r="C105" s="108"/>
      <c r="D105" s="108">
        <v>253463.0</v>
      </c>
    </row>
    <row r="106" ht="15.75" customHeight="1">
      <c r="B106" s="127" t="s">
        <v>1107</v>
      </c>
      <c r="C106" s="108"/>
      <c r="D106" s="108">
        <v>106532.0</v>
      </c>
    </row>
    <row r="107" ht="15.75" customHeight="1">
      <c r="B107" s="127" t="s">
        <v>1109</v>
      </c>
      <c r="C107" s="108"/>
      <c r="D107" s="108">
        <v>106806.0</v>
      </c>
    </row>
    <row r="108" ht="15.75" customHeight="1">
      <c r="A108" s="25" t="s">
        <v>1142</v>
      </c>
      <c r="C108" s="108">
        <v>482131.0</v>
      </c>
    </row>
    <row r="109" ht="15.75" customHeight="1">
      <c r="A109" s="25"/>
      <c r="B109" s="127" t="s">
        <v>761</v>
      </c>
      <c r="C109" s="108"/>
      <c r="D109" s="108">
        <v>728310.0</v>
      </c>
    </row>
    <row r="110" ht="15.75" customHeight="1">
      <c r="A110" s="25" t="s">
        <v>1165</v>
      </c>
      <c r="C110" s="108">
        <v>478393.0</v>
      </c>
    </row>
    <row r="111" ht="15.75" customHeight="1">
      <c r="A111" s="25"/>
      <c r="B111" s="127" t="s">
        <v>1167</v>
      </c>
      <c r="C111" s="108"/>
      <c r="D111" s="108">
        <v>574332.0</v>
      </c>
    </row>
    <row r="112" ht="15.75" customHeight="1">
      <c r="A112" s="25" t="s">
        <v>1191</v>
      </c>
      <c r="C112" s="108">
        <v>474414.0</v>
      </c>
    </row>
    <row r="113" ht="15.75" customHeight="1">
      <c r="A113" s="25"/>
      <c r="B113" s="127" t="s">
        <v>1193</v>
      </c>
      <c r="C113" s="108"/>
      <c r="D113" s="108">
        <v>1132271.0</v>
      </c>
    </row>
    <row r="114" ht="15.75" customHeight="1">
      <c r="B114" s="127" t="s">
        <v>1196</v>
      </c>
      <c r="C114" s="108"/>
      <c r="D114" s="108">
        <v>327306.0</v>
      </c>
    </row>
    <row r="115" ht="15.75" customHeight="1">
      <c r="A115" s="25" t="s">
        <v>1203</v>
      </c>
      <c r="C115" s="108">
        <v>471525.0</v>
      </c>
    </row>
    <row r="116" ht="15.75" customHeight="1">
      <c r="A116" s="25"/>
      <c r="B116" s="127" t="s">
        <v>1206</v>
      </c>
      <c r="C116" s="108"/>
      <c r="D116" s="108">
        <v>2707303.0</v>
      </c>
    </row>
    <row r="117" ht="15.75" customHeight="1">
      <c r="A117" s="25" t="s">
        <v>1217</v>
      </c>
      <c r="C117" s="108">
        <v>454681.0</v>
      </c>
    </row>
    <row r="118" ht="15.75" customHeight="1">
      <c r="A118" s="25"/>
      <c r="B118" s="127" t="s">
        <v>42</v>
      </c>
      <c r="C118" s="108"/>
      <c r="D118" s="108">
        <v>9943046.0</v>
      </c>
    </row>
    <row r="119" ht="15.75" customHeight="1">
      <c r="A119" s="25" t="s">
        <v>1233</v>
      </c>
      <c r="C119" s="108">
        <v>451231.0</v>
      </c>
    </row>
    <row r="120" ht="15.75" customHeight="1">
      <c r="A120" s="25"/>
      <c r="B120" s="127" t="s">
        <v>1236</v>
      </c>
      <c r="C120" s="108"/>
      <c r="D120" s="108">
        <v>451231.0</v>
      </c>
    </row>
    <row r="121" ht="15.75" customHeight="1">
      <c r="A121" s="25" t="s">
        <v>1247</v>
      </c>
      <c r="C121" s="108">
        <v>433111.0</v>
      </c>
    </row>
    <row r="122" ht="15.75" customHeight="1">
      <c r="A122" s="25"/>
      <c r="B122" s="127" t="s">
        <v>1250</v>
      </c>
      <c r="C122" s="108"/>
      <c r="D122" s="108">
        <v>1268408.0</v>
      </c>
    </row>
    <row r="123" ht="15.75" customHeight="1">
      <c r="A123" s="25" t="s">
        <v>1263</v>
      </c>
      <c r="C123" s="6">
        <v>424891.0</v>
      </c>
    </row>
    <row r="124" ht="15.75" customHeight="1">
      <c r="A124" s="25"/>
      <c r="B124" s="127" t="s">
        <v>1265</v>
      </c>
      <c r="C124" s="108"/>
      <c r="D124" s="108">
        <v>1662323.0</v>
      </c>
    </row>
    <row r="125" ht="15.75" customHeight="1">
      <c r="A125" s="25" t="s">
        <v>1290</v>
      </c>
      <c r="C125" s="108">
        <v>407599.0</v>
      </c>
    </row>
    <row r="126" ht="15.75" customHeight="1">
      <c r="A126" s="25"/>
      <c r="B126" s="127" t="s">
        <v>1292</v>
      </c>
      <c r="C126" s="108"/>
      <c r="D126" s="108">
        <v>1497957.0</v>
      </c>
    </row>
    <row r="127" ht="15.75" customHeight="1">
      <c r="A127" s="126" t="s">
        <v>1308</v>
      </c>
      <c r="C127" s="108">
        <v>403166.0</v>
      </c>
    </row>
    <row r="128" ht="15.75" customHeight="1">
      <c r="A128" s="25"/>
      <c r="B128" s="127" t="s">
        <v>1311</v>
      </c>
      <c r="D128" s="108">
        <v>657589.0</v>
      </c>
    </row>
    <row r="129" ht="15.75" customHeight="1">
      <c r="A129" s="25"/>
      <c r="B129" s="127" t="s">
        <v>1313</v>
      </c>
      <c r="D129" s="108">
        <v>46642.0</v>
      </c>
    </row>
    <row r="130" ht="15.75" customHeight="1">
      <c r="A130" s="25"/>
      <c r="B130" s="127" t="s">
        <v>1314</v>
      </c>
      <c r="D130" s="108">
        <v>93155.0</v>
      </c>
    </row>
    <row r="131" ht="15.75" customHeight="1">
      <c r="A131" s="25"/>
      <c r="B131" s="127" t="s">
        <v>1315</v>
      </c>
      <c r="D131" s="108">
        <v>82925.0</v>
      </c>
    </row>
    <row r="132" ht="15.75" customHeight="1">
      <c r="A132" s="25" t="s">
        <v>1333</v>
      </c>
      <c r="C132" s="108">
        <v>398864.0</v>
      </c>
    </row>
    <row r="133" ht="15.75" customHeight="1">
      <c r="A133" s="25"/>
      <c r="B133" s="127" t="s">
        <v>512</v>
      </c>
      <c r="D133" s="108">
        <v>2123347.0</v>
      </c>
    </row>
    <row r="134" ht="15.75" customHeight="1">
      <c r="A134" s="25" t="s">
        <v>1351</v>
      </c>
      <c r="C134" s="108">
        <v>391731.0</v>
      </c>
    </row>
    <row r="135" ht="15.75" customHeight="1">
      <c r="B135" s="127" t="s">
        <v>1353</v>
      </c>
      <c r="D135" s="108">
        <v>519907.0</v>
      </c>
    </row>
    <row r="136" ht="15.75" customHeight="1"/>
    <row r="137" ht="15.75" customHeight="1">
      <c r="A137" s="128" t="s">
        <v>2526</v>
      </c>
      <c r="B137" s="129"/>
      <c r="C137" s="115">
        <v>389476.0</v>
      </c>
    </row>
    <row r="138" ht="15.75" customHeight="1">
      <c r="A138" s="129"/>
      <c r="B138" s="128" t="s">
        <v>1373</v>
      </c>
      <c r="D138" s="115">
        <v>389476.0</v>
      </c>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X$997"/>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9.11"/>
    <col customWidth="1" min="2" max="2" width="12.44"/>
    <col customWidth="1" min="3" max="3" width="14.89"/>
    <col customWidth="1" min="4" max="4" width="5.89"/>
    <col customWidth="1" min="5" max="5" width="12.33"/>
    <col customWidth="1" min="6" max="6" width="13.89"/>
    <col customWidth="1" min="7" max="7" width="14.22"/>
    <col customWidth="1" min="8" max="8" width="9.11"/>
    <col customWidth="1" min="9" max="9" width="4.67"/>
    <col customWidth="1" min="10" max="10" width="5.44"/>
    <col customWidth="1" min="11" max="11" width="6.11"/>
  </cols>
  <sheetData>
    <row r="1">
      <c r="A1" s="130" t="s">
        <v>2978</v>
      </c>
      <c r="B1" s="130" t="s">
        <v>3</v>
      </c>
      <c r="C1" s="130" t="s">
        <v>43</v>
      </c>
      <c r="D1" s="130" t="s">
        <v>1</v>
      </c>
      <c r="E1" s="131" t="s">
        <v>2979</v>
      </c>
      <c r="F1" s="132" t="s">
        <v>2980</v>
      </c>
      <c r="G1" s="130" t="s">
        <v>2981</v>
      </c>
      <c r="H1" s="133" t="s">
        <v>2982</v>
      </c>
      <c r="I1" s="134" t="s">
        <v>2983</v>
      </c>
      <c r="J1" s="134" t="s">
        <v>2984</v>
      </c>
      <c r="K1" s="134" t="s">
        <v>2985</v>
      </c>
      <c r="L1" s="135" t="s">
        <v>2986</v>
      </c>
      <c r="O1" s="136"/>
      <c r="P1" s="136"/>
      <c r="Q1" s="136"/>
      <c r="R1" s="136"/>
      <c r="S1" s="136"/>
      <c r="T1" s="136"/>
      <c r="U1" s="136"/>
      <c r="V1" s="136"/>
      <c r="W1" s="136"/>
      <c r="X1" s="136"/>
      <c r="Y1" s="136"/>
      <c r="Z1" s="136"/>
      <c r="AA1" s="136"/>
      <c r="AB1" s="136"/>
      <c r="AC1" s="136"/>
      <c r="AD1" s="136"/>
    </row>
    <row r="2">
      <c r="A2" s="137">
        <v>1.0</v>
      </c>
      <c r="B2" s="25" t="s">
        <v>23</v>
      </c>
      <c r="C2" s="25" t="s">
        <v>2958</v>
      </c>
      <c r="D2" s="25" t="s">
        <v>20</v>
      </c>
      <c r="E2" s="37">
        <v>1472654.0</v>
      </c>
      <c r="F2" s="138">
        <v>1401142.0</v>
      </c>
      <c r="G2" s="139">
        <v>8253213.0</v>
      </c>
      <c r="H2" s="140">
        <f t="shared" ref="H2:H6" si="1">E2/G2</f>
        <v>0.1784340232</v>
      </c>
      <c r="I2" s="141" t="s">
        <v>2987</v>
      </c>
      <c r="J2" s="141">
        <v>51000.0</v>
      </c>
      <c r="K2" s="141" t="s">
        <v>2988</v>
      </c>
      <c r="L2" s="142"/>
      <c r="M2" s="143"/>
      <c r="N2" s="143"/>
      <c r="O2" s="143"/>
      <c r="P2" s="143"/>
      <c r="Q2" s="143"/>
      <c r="R2" s="143"/>
      <c r="S2" s="143"/>
      <c r="T2" s="143"/>
      <c r="U2" s="143"/>
      <c r="V2" s="143"/>
      <c r="W2" s="143"/>
      <c r="X2" s="143"/>
      <c r="Y2" s="143"/>
      <c r="Z2" s="143"/>
      <c r="AA2" s="143"/>
      <c r="AB2" s="143"/>
      <c r="AC2" s="143"/>
      <c r="AD2" s="143"/>
    </row>
    <row r="3">
      <c r="A3" s="137">
        <v>1.0</v>
      </c>
      <c r="B3" s="25" t="s">
        <v>23</v>
      </c>
      <c r="C3" s="25" t="s">
        <v>2957</v>
      </c>
      <c r="D3" s="25" t="s">
        <v>20</v>
      </c>
      <c r="E3" s="37">
        <v>1694251.0</v>
      </c>
      <c r="F3" s="138">
        <v>1611989.0</v>
      </c>
      <c r="G3" s="139">
        <v>8253213.0</v>
      </c>
      <c r="H3" s="140">
        <f t="shared" si="1"/>
        <v>0.2052838089</v>
      </c>
      <c r="I3" s="141" t="s">
        <v>2987</v>
      </c>
      <c r="J3" s="141">
        <v>51000.0</v>
      </c>
      <c r="K3" s="141" t="s">
        <v>2989</v>
      </c>
      <c r="L3" s="25"/>
      <c r="M3" s="25"/>
      <c r="N3" s="25"/>
      <c r="O3" s="143"/>
      <c r="P3" s="143"/>
      <c r="Q3" s="143"/>
      <c r="R3" s="143"/>
      <c r="S3" s="143"/>
      <c r="T3" s="143"/>
      <c r="U3" s="143"/>
      <c r="V3" s="143"/>
      <c r="W3" s="143"/>
      <c r="X3" s="143"/>
      <c r="Y3" s="143"/>
      <c r="Z3" s="143"/>
      <c r="AA3" s="143"/>
      <c r="AB3" s="143"/>
      <c r="AC3" s="143"/>
      <c r="AD3" s="143"/>
    </row>
    <row r="4">
      <c r="A4" s="137">
        <v>1.0</v>
      </c>
      <c r="B4" s="25" t="s">
        <v>23</v>
      </c>
      <c r="C4" s="25" t="s">
        <v>2956</v>
      </c>
      <c r="D4" s="25" t="s">
        <v>20</v>
      </c>
      <c r="E4" s="37">
        <v>2405464.0</v>
      </c>
      <c r="F4" s="138">
        <v>2225821.0</v>
      </c>
      <c r="G4" s="139">
        <v>8253213.0</v>
      </c>
      <c r="H4" s="140">
        <f t="shared" si="1"/>
        <v>0.2914578843</v>
      </c>
      <c r="I4" s="141" t="s">
        <v>2987</v>
      </c>
      <c r="J4" s="141">
        <v>51000.0</v>
      </c>
      <c r="K4" s="141" t="s">
        <v>2990</v>
      </c>
      <c r="L4" s="25"/>
      <c r="M4" s="25"/>
      <c r="N4" s="25"/>
      <c r="O4" s="143"/>
      <c r="P4" s="143"/>
      <c r="Q4" s="143"/>
      <c r="R4" s="143"/>
      <c r="S4" s="143"/>
      <c r="T4" s="143"/>
      <c r="U4" s="143"/>
      <c r="V4" s="143"/>
      <c r="W4" s="143"/>
      <c r="X4" s="143"/>
      <c r="Y4" s="143"/>
      <c r="Z4" s="143"/>
      <c r="AA4" s="143"/>
      <c r="AB4" s="143"/>
      <c r="AC4" s="143"/>
      <c r="AD4" s="143"/>
    </row>
    <row r="5">
      <c r="A5" s="137">
        <v>1.0</v>
      </c>
      <c r="B5" s="25" t="s">
        <v>23</v>
      </c>
      <c r="C5" s="25" t="s">
        <v>2991</v>
      </c>
      <c r="D5" s="25" t="s">
        <v>20</v>
      </c>
      <c r="E5" s="37">
        <v>495747.0</v>
      </c>
      <c r="F5" s="138">
        <v>475327.0</v>
      </c>
      <c r="G5" s="139">
        <v>8253213.0</v>
      </c>
      <c r="H5" s="140">
        <f t="shared" si="1"/>
        <v>0.06006715203</v>
      </c>
      <c r="I5" s="141" t="s">
        <v>2987</v>
      </c>
      <c r="J5" s="141">
        <v>51000.0</v>
      </c>
      <c r="K5" s="141" t="s">
        <v>2992</v>
      </c>
      <c r="L5" s="25"/>
      <c r="M5" s="25"/>
      <c r="N5" s="25"/>
      <c r="O5" s="143"/>
      <c r="P5" s="143"/>
      <c r="Q5" s="143"/>
      <c r="R5" s="143"/>
      <c r="S5" s="143"/>
      <c r="T5" s="143"/>
      <c r="U5" s="143"/>
      <c r="V5" s="143"/>
      <c r="W5" s="143"/>
      <c r="X5" s="143"/>
      <c r="Y5" s="143"/>
      <c r="Z5" s="143"/>
      <c r="AA5" s="143"/>
      <c r="AB5" s="143"/>
      <c r="AC5" s="143"/>
      <c r="AD5" s="143"/>
    </row>
    <row r="6">
      <c r="A6" s="137">
        <v>1.0</v>
      </c>
      <c r="B6" s="25" t="s">
        <v>23</v>
      </c>
      <c r="C6" s="25" t="s">
        <v>2955</v>
      </c>
      <c r="D6" s="25" t="s">
        <v>20</v>
      </c>
      <c r="E6" s="37">
        <v>2736074.0</v>
      </c>
      <c r="F6" s="138">
        <v>2538934.0</v>
      </c>
      <c r="G6" s="139">
        <v>8253213.0</v>
      </c>
      <c r="H6" s="140">
        <f t="shared" si="1"/>
        <v>0.3315162228</v>
      </c>
      <c r="I6" s="141" t="s">
        <v>2987</v>
      </c>
      <c r="J6" s="141">
        <v>51000.0</v>
      </c>
      <c r="K6" s="141" t="s">
        <v>2993</v>
      </c>
      <c r="L6" s="25"/>
      <c r="M6" s="25"/>
      <c r="N6" s="25"/>
      <c r="O6" s="143"/>
      <c r="P6" s="143"/>
      <c r="Q6" s="143"/>
      <c r="R6" s="143"/>
      <c r="S6" s="143"/>
      <c r="T6" s="143"/>
      <c r="U6" s="143"/>
      <c r="V6" s="143"/>
      <c r="W6" s="143"/>
      <c r="X6" s="143"/>
      <c r="Y6" s="143"/>
      <c r="Z6" s="143"/>
      <c r="AA6" s="143"/>
      <c r="AB6" s="143"/>
      <c r="AC6" s="143"/>
      <c r="AD6" s="143"/>
    </row>
    <row r="7">
      <c r="A7" s="25"/>
      <c r="B7" s="25"/>
      <c r="C7" s="25"/>
      <c r="D7" s="25"/>
      <c r="E7" s="50"/>
      <c r="F7" s="144"/>
      <c r="G7" s="145"/>
      <c r="H7" s="38"/>
      <c r="I7" s="141"/>
      <c r="J7" s="141"/>
      <c r="K7" s="141"/>
      <c r="L7" s="25"/>
      <c r="M7" s="25"/>
      <c r="N7" s="25"/>
      <c r="O7" s="143"/>
      <c r="P7" s="143"/>
      <c r="Q7" s="143"/>
      <c r="R7" s="143"/>
      <c r="S7" s="143"/>
      <c r="T7" s="143"/>
      <c r="U7" s="143"/>
      <c r="V7" s="143"/>
      <c r="W7" s="143"/>
      <c r="X7" s="143"/>
      <c r="Y7" s="143"/>
      <c r="Z7" s="143"/>
      <c r="AA7" s="143"/>
      <c r="AB7" s="143"/>
      <c r="AC7" s="143"/>
      <c r="AD7" s="143"/>
    </row>
    <row r="8">
      <c r="A8" s="137">
        <v>2.0</v>
      </c>
      <c r="B8" s="25" t="s">
        <v>39</v>
      </c>
      <c r="C8" s="25" t="s">
        <v>42</v>
      </c>
      <c r="D8" s="25" t="s">
        <v>36</v>
      </c>
      <c r="E8" s="37">
        <v>3898747.0</v>
      </c>
      <c r="F8" s="37">
        <v>9943046.0</v>
      </c>
      <c r="G8" s="139">
        <v>3970219.0</v>
      </c>
      <c r="H8" s="38">
        <f>E8/F8</f>
        <v>0.3921079114</v>
      </c>
      <c r="I8" s="141" t="s">
        <v>2994</v>
      </c>
      <c r="J8" s="141">
        <v>44000.0</v>
      </c>
      <c r="K8" s="141" t="s">
        <v>2995</v>
      </c>
      <c r="L8" s="25"/>
      <c r="M8" s="25"/>
      <c r="N8" s="25"/>
      <c r="O8" s="143"/>
      <c r="P8" s="143"/>
      <c r="Q8" s="143"/>
      <c r="R8" s="143"/>
      <c r="S8" s="143"/>
      <c r="T8" s="143"/>
      <c r="U8" s="143"/>
      <c r="V8" s="143"/>
      <c r="W8" s="143"/>
      <c r="X8" s="143"/>
      <c r="Y8" s="143"/>
      <c r="Z8" s="143"/>
      <c r="AA8" s="143"/>
      <c r="AB8" s="143"/>
      <c r="AC8" s="143"/>
      <c r="AD8" s="143"/>
    </row>
    <row r="9">
      <c r="A9" s="25"/>
      <c r="B9" s="25"/>
      <c r="C9" s="25"/>
      <c r="D9" s="25"/>
      <c r="E9" s="50"/>
      <c r="F9" s="144"/>
      <c r="G9" s="145"/>
      <c r="H9" s="38"/>
      <c r="I9" s="141"/>
      <c r="J9" s="141"/>
      <c r="K9" s="141"/>
      <c r="L9" s="25"/>
      <c r="M9" s="25"/>
      <c r="N9" s="25"/>
      <c r="O9" s="143"/>
      <c r="P9" s="143"/>
      <c r="Q9" s="143"/>
      <c r="R9" s="143"/>
      <c r="S9" s="143"/>
      <c r="T9" s="143"/>
      <c r="U9" s="143"/>
      <c r="V9" s="143"/>
      <c r="W9" s="143"/>
      <c r="X9" s="143"/>
      <c r="Y9" s="143"/>
      <c r="Z9" s="143"/>
      <c r="AA9" s="143"/>
      <c r="AB9" s="143"/>
      <c r="AC9" s="143"/>
      <c r="AD9" s="143"/>
    </row>
    <row r="10">
      <c r="A10" s="137">
        <v>3.0</v>
      </c>
      <c r="B10" s="25" t="s">
        <v>77</v>
      </c>
      <c r="C10" s="25" t="s">
        <v>80</v>
      </c>
      <c r="D10" s="25" t="s">
        <v>74</v>
      </c>
      <c r="E10" s="37">
        <v>2746388.0</v>
      </c>
      <c r="F10" s="37">
        <v>5108284.0</v>
      </c>
      <c r="G10" s="139">
        <v>2677643.0</v>
      </c>
      <c r="H10" s="38">
        <f t="shared" ref="H10:H11" si="2">E10/F10</f>
        <v>0.5376341644</v>
      </c>
      <c r="I10" s="141" t="s">
        <v>2996</v>
      </c>
      <c r="J10" s="141">
        <v>14000.0</v>
      </c>
      <c r="K10" s="141" t="s">
        <v>2997</v>
      </c>
      <c r="L10" s="25"/>
      <c r="M10" s="25"/>
      <c r="N10" s="25"/>
      <c r="O10" s="143"/>
      <c r="P10" s="143"/>
      <c r="Q10" s="143"/>
      <c r="R10" s="143"/>
      <c r="S10" s="143"/>
      <c r="T10" s="143"/>
      <c r="U10" s="143"/>
      <c r="V10" s="143"/>
      <c r="W10" s="143"/>
      <c r="X10" s="143"/>
      <c r="Y10" s="143"/>
      <c r="Z10" s="143"/>
      <c r="AA10" s="143"/>
      <c r="AB10" s="143"/>
      <c r="AC10" s="143"/>
      <c r="AD10" s="143"/>
    </row>
    <row r="11">
      <c r="A11" s="137">
        <v>3.0</v>
      </c>
      <c r="B11" s="25" t="s">
        <v>77</v>
      </c>
      <c r="C11" s="25" t="s">
        <v>2998</v>
      </c>
      <c r="D11" s="25" t="s">
        <v>74</v>
      </c>
      <c r="E11" s="37">
        <v>0.0</v>
      </c>
      <c r="F11" s="37">
        <v>917481.0</v>
      </c>
      <c r="G11" s="139">
        <v>2677643.0</v>
      </c>
      <c r="H11" s="38">
        <f t="shared" si="2"/>
        <v>0</v>
      </c>
      <c r="I11" s="141" t="s">
        <v>2996</v>
      </c>
      <c r="J11" s="141">
        <v>14000.0</v>
      </c>
      <c r="K11" s="141" t="s">
        <v>2999</v>
      </c>
      <c r="L11" s="25"/>
      <c r="M11" s="25"/>
      <c r="N11" s="25"/>
      <c r="O11" s="143"/>
      <c r="P11" s="143"/>
      <c r="Q11" s="143"/>
      <c r="R11" s="143"/>
      <c r="S11" s="143"/>
      <c r="T11" s="143"/>
      <c r="U11" s="143"/>
      <c r="V11" s="143"/>
      <c r="W11" s="143"/>
      <c r="X11" s="143"/>
      <c r="Y11" s="143"/>
      <c r="Z11" s="143"/>
      <c r="AA11" s="143"/>
      <c r="AB11" s="143"/>
      <c r="AC11" s="143"/>
      <c r="AD11" s="143"/>
    </row>
    <row r="12">
      <c r="A12" s="25"/>
      <c r="B12" s="25"/>
      <c r="C12" s="25"/>
      <c r="D12" s="25"/>
      <c r="E12" s="50"/>
      <c r="F12" s="144"/>
      <c r="G12" s="145"/>
      <c r="H12" s="38"/>
      <c r="I12" s="141"/>
      <c r="J12" s="141"/>
      <c r="K12" s="141"/>
      <c r="L12" s="25"/>
      <c r="M12" s="25"/>
      <c r="N12" s="25"/>
      <c r="O12" s="143"/>
      <c r="P12" s="143"/>
      <c r="Q12" s="143"/>
      <c r="R12" s="143"/>
      <c r="S12" s="143"/>
      <c r="T12" s="143"/>
      <c r="U12" s="143"/>
      <c r="V12" s="143"/>
      <c r="W12" s="143"/>
      <c r="X12" s="143"/>
      <c r="Y12" s="143"/>
      <c r="Z12" s="143"/>
      <c r="AA12" s="143"/>
      <c r="AB12" s="143"/>
      <c r="AC12" s="143"/>
      <c r="AD12" s="143"/>
    </row>
    <row r="13">
      <c r="A13" s="137">
        <v>4.0</v>
      </c>
      <c r="B13" s="25" t="s">
        <v>110</v>
      </c>
      <c r="C13" s="25" t="s">
        <v>112</v>
      </c>
      <c r="D13" s="25" t="s">
        <v>106</v>
      </c>
      <c r="E13" s="37">
        <v>2255442.0</v>
      </c>
      <c r="F13" s="37">
        <v>4738253.0</v>
      </c>
      <c r="G13" s="139">
        <v>2316120.0</v>
      </c>
      <c r="H13" s="38">
        <f t="shared" ref="H13:H16" si="3">E13/F13</f>
        <v>0.4760070853</v>
      </c>
      <c r="I13" s="141" t="s">
        <v>3000</v>
      </c>
      <c r="J13" s="141">
        <v>35000.0</v>
      </c>
      <c r="K13" s="141" t="s">
        <v>3001</v>
      </c>
      <c r="L13" s="25"/>
      <c r="M13" s="25"/>
      <c r="N13" s="25"/>
      <c r="O13" s="143"/>
      <c r="P13" s="143"/>
      <c r="Q13" s="143"/>
      <c r="R13" s="143"/>
      <c r="S13" s="143"/>
      <c r="T13" s="143"/>
      <c r="U13" s="143"/>
      <c r="V13" s="143"/>
      <c r="W13" s="143"/>
      <c r="X13" s="143"/>
      <c r="Y13" s="143"/>
      <c r="Z13" s="143"/>
      <c r="AA13" s="143"/>
      <c r="AB13" s="143"/>
      <c r="AC13" s="143"/>
      <c r="AD13" s="143"/>
    </row>
    <row r="14">
      <c r="A14" s="137">
        <v>4.0</v>
      </c>
      <c r="B14" s="25" t="s">
        <v>110</v>
      </c>
      <c r="C14" s="25" t="s">
        <v>116</v>
      </c>
      <c r="D14" s="25" t="s">
        <v>106</v>
      </c>
      <c r="E14" s="37">
        <v>6769.0</v>
      </c>
      <c r="F14" s="37">
        <v>626351.0</v>
      </c>
      <c r="G14" s="139">
        <v>2316120.0</v>
      </c>
      <c r="H14" s="38">
        <f t="shared" si="3"/>
        <v>0.0108070395</v>
      </c>
      <c r="I14" s="141" t="s">
        <v>3000</v>
      </c>
      <c r="J14" s="141">
        <v>35000.0</v>
      </c>
      <c r="K14" s="141" t="s">
        <v>3002</v>
      </c>
      <c r="L14" s="25"/>
      <c r="M14" s="25"/>
      <c r="N14" s="25"/>
      <c r="O14" s="143"/>
      <c r="P14" s="143"/>
      <c r="Q14" s="143"/>
      <c r="R14" s="143"/>
      <c r="S14" s="143"/>
      <c r="T14" s="143"/>
      <c r="U14" s="143"/>
      <c r="V14" s="143"/>
      <c r="W14" s="143"/>
      <c r="X14" s="143"/>
      <c r="Y14" s="143"/>
      <c r="Z14" s="143"/>
      <c r="AA14" s="143"/>
      <c r="AB14" s="143"/>
      <c r="AC14" s="143"/>
      <c r="AD14" s="143"/>
    </row>
    <row r="15">
      <c r="A15" s="137">
        <v>4.0</v>
      </c>
      <c r="B15" s="25" t="s">
        <v>110</v>
      </c>
      <c r="C15" s="25" t="s">
        <v>3003</v>
      </c>
      <c r="D15" s="25" t="s">
        <v>106</v>
      </c>
      <c r="E15" s="37">
        <v>0.0</v>
      </c>
      <c r="F15" s="37">
        <v>57452.0</v>
      </c>
      <c r="G15" s="139">
        <v>2316120.0</v>
      </c>
      <c r="H15" s="38">
        <f t="shared" si="3"/>
        <v>0</v>
      </c>
      <c r="I15" s="141" t="s">
        <v>3000</v>
      </c>
      <c r="J15" s="141">
        <v>35000.0</v>
      </c>
      <c r="K15" s="141" t="s">
        <v>3004</v>
      </c>
      <c r="L15" s="25"/>
      <c r="M15" s="25"/>
      <c r="N15" s="25"/>
      <c r="O15" s="143"/>
      <c r="P15" s="143"/>
      <c r="Q15" s="143"/>
      <c r="R15" s="143"/>
      <c r="S15" s="143"/>
      <c r="T15" s="143"/>
      <c r="U15" s="143"/>
      <c r="V15" s="143"/>
      <c r="W15" s="143"/>
      <c r="X15" s="143"/>
      <c r="Y15" s="143"/>
      <c r="Z15" s="143"/>
      <c r="AA15" s="143"/>
      <c r="AB15" s="143"/>
      <c r="AC15" s="143"/>
      <c r="AD15" s="143"/>
    </row>
    <row r="16">
      <c r="A16" s="137">
        <v>4.0</v>
      </c>
      <c r="B16" s="25" t="s">
        <v>110</v>
      </c>
      <c r="C16" s="25" t="s">
        <v>114</v>
      </c>
      <c r="D16" s="25" t="s">
        <v>106</v>
      </c>
      <c r="E16" s="37">
        <v>42369.0</v>
      </c>
      <c r="F16" s="37">
        <v>839706.0</v>
      </c>
      <c r="G16" s="139">
        <v>2316120.0</v>
      </c>
      <c r="H16" s="38">
        <f t="shared" si="3"/>
        <v>0.05045694565</v>
      </c>
      <c r="I16" s="141" t="s">
        <v>3000</v>
      </c>
      <c r="J16" s="141">
        <v>35000.0</v>
      </c>
      <c r="K16" s="141" t="s">
        <v>3005</v>
      </c>
      <c r="L16" s="25"/>
      <c r="M16" s="25"/>
      <c r="N16" s="25"/>
      <c r="O16" s="143"/>
      <c r="P16" s="143"/>
      <c r="Q16" s="143"/>
      <c r="R16" s="143"/>
      <c r="S16" s="143"/>
      <c r="T16" s="143"/>
      <c r="U16" s="143"/>
      <c r="V16" s="143"/>
      <c r="W16" s="143"/>
      <c r="X16" s="143"/>
      <c r="Y16" s="143"/>
      <c r="Z16" s="143"/>
      <c r="AA16" s="143"/>
      <c r="AB16" s="143"/>
      <c r="AC16" s="143"/>
      <c r="AD16" s="143"/>
    </row>
    <row r="17">
      <c r="A17" s="25"/>
      <c r="B17" s="25"/>
      <c r="C17" s="146"/>
      <c r="D17" s="25"/>
      <c r="E17" s="50"/>
      <c r="F17" s="144"/>
      <c r="G17" s="145"/>
      <c r="H17" s="38"/>
      <c r="I17" s="141"/>
      <c r="J17" s="141"/>
      <c r="K17" s="141"/>
      <c r="L17" s="25"/>
      <c r="M17" s="25"/>
      <c r="N17" s="25"/>
      <c r="O17" s="143"/>
      <c r="P17" s="143"/>
      <c r="Q17" s="143"/>
      <c r="R17" s="143"/>
      <c r="S17" s="143"/>
      <c r="T17" s="143"/>
      <c r="U17" s="143"/>
      <c r="V17" s="143"/>
      <c r="W17" s="143"/>
      <c r="X17" s="143"/>
      <c r="Y17" s="143"/>
      <c r="Z17" s="143"/>
      <c r="AA17" s="143"/>
      <c r="AB17" s="143"/>
      <c r="AC17" s="143"/>
      <c r="AD17" s="143"/>
    </row>
    <row r="18">
      <c r="A18" s="137">
        <v>5.0</v>
      </c>
      <c r="B18" s="25" t="s">
        <v>165</v>
      </c>
      <c r="C18" s="25" t="s">
        <v>167</v>
      </c>
      <c r="D18" s="25" t="s">
        <v>161</v>
      </c>
      <c r="E18" s="37">
        <v>1608139.0</v>
      </c>
      <c r="F18" s="37">
        <v>4579081.0</v>
      </c>
      <c r="G18" s="139">
        <v>1708127.0</v>
      </c>
      <c r="H18" s="38">
        <f>E18/F18</f>
        <v>0.3511925209</v>
      </c>
      <c r="I18" s="141" t="s">
        <v>3006</v>
      </c>
      <c r="J18" s="141">
        <v>55000.0</v>
      </c>
      <c r="K18" s="141" t="s">
        <v>3007</v>
      </c>
      <c r="L18" s="25"/>
      <c r="M18" s="25"/>
      <c r="N18" s="25"/>
      <c r="O18" s="143"/>
      <c r="P18" s="143"/>
      <c r="Q18" s="143"/>
      <c r="R18" s="143"/>
      <c r="S18" s="143"/>
      <c r="T18" s="143"/>
      <c r="U18" s="143"/>
      <c r="V18" s="143"/>
      <c r="W18" s="143"/>
      <c r="X18" s="143"/>
      <c r="Y18" s="143"/>
      <c r="Z18" s="143"/>
      <c r="AA18" s="143"/>
      <c r="AB18" s="143"/>
      <c r="AC18" s="143"/>
      <c r="AD18" s="143"/>
    </row>
    <row r="19">
      <c r="A19" s="25"/>
      <c r="B19" s="25"/>
      <c r="C19" s="25"/>
      <c r="D19" s="25"/>
      <c r="E19" s="50"/>
      <c r="F19" s="144"/>
      <c r="G19" s="145"/>
      <c r="H19" s="38"/>
      <c r="I19" s="141"/>
      <c r="J19" s="141"/>
      <c r="K19" s="141"/>
      <c r="L19" s="25"/>
      <c r="M19" s="25"/>
      <c r="N19" s="25"/>
      <c r="O19" s="143"/>
      <c r="P19" s="143"/>
      <c r="Q19" s="143"/>
      <c r="R19" s="143"/>
      <c r="S19" s="143"/>
      <c r="T19" s="143"/>
      <c r="U19" s="143"/>
      <c r="V19" s="143"/>
      <c r="W19" s="143"/>
      <c r="X19" s="143"/>
      <c r="Y19" s="143"/>
      <c r="Z19" s="143"/>
      <c r="AA19" s="143"/>
      <c r="AB19" s="143"/>
      <c r="AC19" s="143"/>
      <c r="AD19" s="143"/>
    </row>
    <row r="20">
      <c r="A20" s="137">
        <v>6.0</v>
      </c>
      <c r="B20" s="25" t="s">
        <v>246</v>
      </c>
      <c r="C20" s="25" t="s">
        <v>249</v>
      </c>
      <c r="D20" s="25" t="s">
        <v>243</v>
      </c>
      <c r="E20" s="147">
        <v>1603797.0</v>
      </c>
      <c r="F20" s="147">
        <v>1578487.0</v>
      </c>
      <c r="G20" s="148">
        <v>1578487.0</v>
      </c>
      <c r="H20" s="149">
        <f>E20/F20</f>
        <v>1.016034342</v>
      </c>
      <c r="I20" s="141" t="s">
        <v>3008</v>
      </c>
      <c r="J20" s="141">
        <v>60000.0</v>
      </c>
      <c r="K20" s="141" t="s">
        <v>3009</v>
      </c>
      <c r="L20" s="25"/>
      <c r="M20" s="25"/>
      <c r="N20" s="25"/>
      <c r="O20" s="143"/>
      <c r="P20" s="143"/>
      <c r="Q20" s="143"/>
      <c r="R20" s="143"/>
      <c r="S20" s="143"/>
      <c r="T20" s="143"/>
      <c r="U20" s="143"/>
      <c r="V20" s="143"/>
      <c r="W20" s="143"/>
      <c r="X20" s="143"/>
      <c r="Y20" s="143"/>
      <c r="Z20" s="143"/>
      <c r="AA20" s="143"/>
      <c r="AB20" s="143"/>
      <c r="AC20" s="143"/>
      <c r="AD20" s="143"/>
    </row>
    <row r="21">
      <c r="A21" s="25"/>
      <c r="B21" s="25"/>
      <c r="C21" s="25"/>
      <c r="D21" s="25"/>
      <c r="E21" s="50"/>
      <c r="F21" s="144"/>
      <c r="G21" s="145"/>
      <c r="H21" s="38"/>
      <c r="I21" s="141"/>
      <c r="J21" s="141"/>
      <c r="K21" s="141"/>
      <c r="L21" s="25"/>
      <c r="M21" s="25"/>
      <c r="N21" s="25"/>
      <c r="O21" s="143"/>
      <c r="P21" s="143"/>
      <c r="Q21" s="143"/>
      <c r="R21" s="143"/>
      <c r="S21" s="143"/>
      <c r="T21" s="143"/>
      <c r="U21" s="143"/>
      <c r="V21" s="143"/>
      <c r="W21" s="143"/>
      <c r="X21" s="143"/>
      <c r="Y21" s="143"/>
      <c r="Z21" s="143"/>
      <c r="AA21" s="143"/>
      <c r="AB21" s="143"/>
      <c r="AC21" s="143"/>
      <c r="AD21" s="143"/>
    </row>
    <row r="22">
      <c r="A22" s="137">
        <v>7.0</v>
      </c>
      <c r="B22" s="25" t="s">
        <v>269</v>
      </c>
      <c r="C22" s="25" t="s">
        <v>272</v>
      </c>
      <c r="D22" s="25" t="s">
        <v>106</v>
      </c>
      <c r="E22" s="37">
        <v>1434620.0</v>
      </c>
      <c r="F22" s="37">
        <v>2026823.0</v>
      </c>
      <c r="G22" s="139">
        <v>1567118.0</v>
      </c>
      <c r="H22" s="38">
        <f t="shared" ref="H22:H24" si="4">E22/F22</f>
        <v>0.7078171108</v>
      </c>
      <c r="I22" s="141" t="s">
        <v>3000</v>
      </c>
      <c r="J22" s="141">
        <v>65000.0</v>
      </c>
      <c r="K22" s="141" t="s">
        <v>3010</v>
      </c>
      <c r="L22" s="25"/>
      <c r="M22" s="25"/>
      <c r="N22" s="25"/>
      <c r="O22" s="143"/>
      <c r="P22" s="143"/>
      <c r="Q22" s="143"/>
      <c r="R22" s="143"/>
      <c r="S22" s="143"/>
      <c r="T22" s="143"/>
      <c r="U22" s="143"/>
      <c r="V22" s="143"/>
      <c r="W22" s="143"/>
      <c r="X22" s="143"/>
      <c r="Y22" s="143"/>
      <c r="Z22" s="143"/>
      <c r="AA22" s="143"/>
      <c r="AB22" s="143"/>
      <c r="AC22" s="143"/>
      <c r="AD22" s="143"/>
    </row>
    <row r="23">
      <c r="A23" s="137">
        <v>7.0</v>
      </c>
      <c r="B23" s="25" t="s">
        <v>269</v>
      </c>
      <c r="C23" s="25" t="s">
        <v>2968</v>
      </c>
      <c r="D23" s="25" t="s">
        <v>106</v>
      </c>
      <c r="E23" s="37">
        <v>0.0</v>
      </c>
      <c r="F23" s="37">
        <v>164812.0</v>
      </c>
      <c r="G23" s="139">
        <v>1567118.0</v>
      </c>
      <c r="H23" s="38">
        <f t="shared" si="4"/>
        <v>0</v>
      </c>
      <c r="I23" s="141" t="s">
        <v>3000</v>
      </c>
      <c r="J23" s="141">
        <v>65000.0</v>
      </c>
      <c r="K23" s="141" t="s">
        <v>3011</v>
      </c>
      <c r="L23" s="25"/>
      <c r="M23" s="25"/>
      <c r="N23" s="25"/>
      <c r="O23" s="143"/>
      <c r="P23" s="143"/>
      <c r="Q23" s="143"/>
      <c r="R23" s="143"/>
      <c r="S23" s="143"/>
      <c r="T23" s="143"/>
      <c r="U23" s="143"/>
      <c r="V23" s="143"/>
      <c r="W23" s="143"/>
      <c r="X23" s="143"/>
      <c r="Y23" s="143"/>
      <c r="Z23" s="143"/>
      <c r="AA23" s="143"/>
      <c r="AB23" s="143"/>
      <c r="AC23" s="143"/>
      <c r="AD23" s="143"/>
    </row>
    <row r="24">
      <c r="A24" s="137">
        <v>7.0</v>
      </c>
      <c r="B24" s="25" t="s">
        <v>269</v>
      </c>
      <c r="C24" s="25" t="s">
        <v>274</v>
      </c>
      <c r="D24" s="25" t="s">
        <v>106</v>
      </c>
      <c r="E24" s="37">
        <v>5.0</v>
      </c>
      <c r="F24" s="37">
        <v>52358.0</v>
      </c>
      <c r="G24" s="139">
        <v>1567118.0</v>
      </c>
      <c r="H24" s="38">
        <f t="shared" si="4"/>
        <v>0.00009549639024</v>
      </c>
      <c r="I24" s="141" t="s">
        <v>3000</v>
      </c>
      <c r="J24" s="141">
        <v>65000.0</v>
      </c>
      <c r="K24" s="141" t="s">
        <v>3012</v>
      </c>
      <c r="L24" s="25"/>
      <c r="M24" s="25"/>
      <c r="N24" s="25"/>
      <c r="O24" s="143"/>
      <c r="P24" s="143"/>
      <c r="Q24" s="143"/>
      <c r="R24" s="143"/>
      <c r="S24" s="143"/>
      <c r="T24" s="143"/>
      <c r="U24" s="143"/>
      <c r="V24" s="143"/>
      <c r="W24" s="143"/>
      <c r="X24" s="143"/>
      <c r="Y24" s="143"/>
      <c r="Z24" s="143"/>
      <c r="AA24" s="143"/>
      <c r="AB24" s="143"/>
      <c r="AC24" s="143"/>
      <c r="AD24" s="143"/>
    </row>
    <row r="25">
      <c r="A25" s="25"/>
      <c r="B25" s="25"/>
      <c r="C25" s="25"/>
      <c r="D25" s="25"/>
      <c r="E25" s="50"/>
      <c r="F25" s="144"/>
      <c r="G25" s="145"/>
      <c r="H25" s="38"/>
      <c r="I25" s="141"/>
      <c r="J25" s="141"/>
      <c r="K25" s="141"/>
      <c r="L25" s="25"/>
      <c r="M25" s="25"/>
      <c r="N25" s="25"/>
      <c r="O25" s="143"/>
      <c r="P25" s="143"/>
      <c r="Q25" s="143"/>
      <c r="R25" s="143"/>
      <c r="S25" s="143"/>
      <c r="T25" s="143"/>
      <c r="U25" s="143"/>
      <c r="V25" s="143"/>
      <c r="W25" s="143"/>
      <c r="X25" s="143"/>
      <c r="Y25" s="143"/>
      <c r="Z25" s="143"/>
      <c r="AA25" s="143"/>
      <c r="AB25" s="143"/>
      <c r="AC25" s="143"/>
      <c r="AD25" s="143"/>
    </row>
    <row r="26">
      <c r="A26" s="137">
        <v>8.0</v>
      </c>
      <c r="B26" s="25" t="s">
        <v>314</v>
      </c>
      <c r="C26" s="25" t="s">
        <v>317</v>
      </c>
      <c r="D26" s="25" t="s">
        <v>36</v>
      </c>
      <c r="E26" s="37">
        <v>1386932.0</v>
      </c>
      <c r="F26" s="37">
        <v>3332427.0</v>
      </c>
      <c r="G26" s="139">
        <v>1422420.0</v>
      </c>
      <c r="H26" s="38">
        <f>E26/F26</f>
        <v>0.4161927628</v>
      </c>
      <c r="I26" s="141" t="s">
        <v>2994</v>
      </c>
      <c r="J26" s="141">
        <v>66000.0</v>
      </c>
      <c r="K26" s="141" t="s">
        <v>3013</v>
      </c>
      <c r="L26" s="25"/>
      <c r="M26" s="25"/>
      <c r="N26" s="25"/>
      <c r="O26" s="143"/>
      <c r="P26" s="143"/>
      <c r="Q26" s="143"/>
      <c r="R26" s="143"/>
      <c r="S26" s="143"/>
      <c r="T26" s="143"/>
      <c r="U26" s="143"/>
      <c r="V26" s="143"/>
      <c r="W26" s="143"/>
      <c r="X26" s="143"/>
      <c r="Y26" s="143"/>
      <c r="Z26" s="143"/>
      <c r="AA26" s="143"/>
      <c r="AB26" s="143"/>
      <c r="AC26" s="143"/>
      <c r="AD26" s="143"/>
    </row>
    <row r="27">
      <c r="A27" s="25"/>
      <c r="B27" s="25"/>
      <c r="C27" s="25"/>
      <c r="D27" s="25"/>
      <c r="E27" s="50"/>
      <c r="F27" s="144"/>
      <c r="G27" s="145"/>
      <c r="H27" s="38"/>
      <c r="I27" s="141"/>
      <c r="J27" s="141"/>
      <c r="K27" s="141"/>
      <c r="L27" s="25"/>
      <c r="M27" s="25"/>
      <c r="N27" s="25"/>
      <c r="O27" s="143"/>
      <c r="P27" s="143"/>
      <c r="Q27" s="143"/>
      <c r="R27" s="143"/>
      <c r="S27" s="143"/>
      <c r="T27" s="143"/>
      <c r="U27" s="143"/>
      <c r="V27" s="143"/>
      <c r="W27" s="143"/>
      <c r="X27" s="143"/>
      <c r="Y27" s="143"/>
      <c r="Z27" s="143"/>
      <c r="AA27" s="143"/>
      <c r="AB27" s="143"/>
      <c r="AC27" s="143"/>
      <c r="AD27" s="143"/>
    </row>
    <row r="28">
      <c r="A28" s="137">
        <v>9.0</v>
      </c>
      <c r="B28" s="25" t="s">
        <v>371</v>
      </c>
      <c r="C28" s="25" t="s">
        <v>378</v>
      </c>
      <c r="D28" s="25" t="s">
        <v>106</v>
      </c>
      <c r="E28" s="37">
        <v>28540.0</v>
      </c>
      <c r="F28" s="37">
        <v>919324.0</v>
      </c>
      <c r="G28" s="139">
        <v>1343266.0</v>
      </c>
      <c r="H28" s="38">
        <f t="shared" ref="H28:H32" si="5">E28/F28</f>
        <v>0.03104455013</v>
      </c>
      <c r="I28" s="141" t="s">
        <v>3000</v>
      </c>
      <c r="J28" s="141">
        <v>19000.0</v>
      </c>
      <c r="K28" s="141" t="s">
        <v>3014</v>
      </c>
      <c r="L28" s="25"/>
      <c r="M28" s="25"/>
      <c r="N28" s="25"/>
      <c r="O28" s="143"/>
      <c r="P28" s="143"/>
      <c r="Q28" s="143"/>
      <c r="R28" s="143"/>
      <c r="S28" s="143"/>
      <c r="T28" s="143"/>
      <c r="U28" s="143"/>
      <c r="V28" s="143"/>
      <c r="W28" s="143"/>
      <c r="X28" s="143"/>
      <c r="Y28" s="143"/>
      <c r="Z28" s="143"/>
      <c r="AA28" s="143"/>
      <c r="AB28" s="143"/>
      <c r="AC28" s="143"/>
      <c r="AD28" s="143"/>
    </row>
    <row r="29">
      <c r="A29" s="137">
        <v>9.0</v>
      </c>
      <c r="B29" s="25" t="s">
        <v>371</v>
      </c>
      <c r="C29" s="25" t="s">
        <v>2971</v>
      </c>
      <c r="D29" s="25" t="s">
        <v>106</v>
      </c>
      <c r="E29" s="37">
        <v>4.0</v>
      </c>
      <c r="F29" s="37">
        <v>143198.0</v>
      </c>
      <c r="G29" s="139">
        <v>1343266.0</v>
      </c>
      <c r="H29" s="38">
        <f t="shared" si="5"/>
        <v>0.00002793335102</v>
      </c>
      <c r="I29" s="141" t="s">
        <v>3000</v>
      </c>
      <c r="J29" s="141">
        <v>19000.0</v>
      </c>
      <c r="K29" s="141" t="s">
        <v>3015</v>
      </c>
      <c r="L29" s="25"/>
      <c r="M29" s="25"/>
      <c r="N29" s="25"/>
      <c r="O29" s="143"/>
      <c r="P29" s="143"/>
      <c r="Q29" s="143"/>
      <c r="R29" s="143"/>
      <c r="S29" s="143"/>
      <c r="T29" s="143"/>
      <c r="U29" s="143"/>
      <c r="V29" s="143"/>
      <c r="W29" s="143"/>
      <c r="X29" s="143"/>
      <c r="Y29" s="143"/>
      <c r="Z29" s="143"/>
      <c r="AA29" s="143"/>
      <c r="AB29" s="143"/>
      <c r="AC29" s="143"/>
      <c r="AD29" s="143"/>
    </row>
    <row r="30">
      <c r="A30" s="137">
        <v>9.0</v>
      </c>
      <c r="B30" s="25" t="s">
        <v>371</v>
      </c>
      <c r="C30" s="25" t="s">
        <v>374</v>
      </c>
      <c r="D30" s="25" t="s">
        <v>106</v>
      </c>
      <c r="E30" s="37">
        <v>1224081.0</v>
      </c>
      <c r="F30" s="37">
        <v>2635888.0</v>
      </c>
      <c r="G30" s="139">
        <v>1343266.0</v>
      </c>
      <c r="H30" s="38">
        <f t="shared" si="5"/>
        <v>0.4643903686</v>
      </c>
      <c r="I30" s="141" t="s">
        <v>3000</v>
      </c>
      <c r="J30" s="141">
        <v>19000.0</v>
      </c>
      <c r="K30" s="141" t="s">
        <v>3016</v>
      </c>
      <c r="L30" s="25"/>
      <c r="M30" s="25"/>
      <c r="N30" s="25"/>
      <c r="O30" s="143"/>
      <c r="P30" s="143"/>
      <c r="Q30" s="143"/>
      <c r="R30" s="143"/>
      <c r="S30" s="143"/>
      <c r="T30" s="143"/>
      <c r="U30" s="143"/>
      <c r="V30" s="143"/>
      <c r="W30" s="143"/>
      <c r="X30" s="143"/>
      <c r="Y30" s="143"/>
      <c r="Z30" s="143"/>
      <c r="AA30" s="143"/>
      <c r="AB30" s="143"/>
      <c r="AC30" s="143"/>
      <c r="AD30" s="143"/>
    </row>
    <row r="31">
      <c r="A31" s="137">
        <v>9.0</v>
      </c>
      <c r="B31" s="25" t="s">
        <v>371</v>
      </c>
      <c r="C31" s="25" t="s">
        <v>2972</v>
      </c>
      <c r="D31" s="25" t="s">
        <v>106</v>
      </c>
      <c r="E31" s="37">
        <v>4.0</v>
      </c>
      <c r="F31" s="37">
        <v>109888.0</v>
      </c>
      <c r="G31" s="139">
        <v>1343266.0</v>
      </c>
      <c r="H31" s="38">
        <f t="shared" si="5"/>
        <v>0.00003640069889</v>
      </c>
      <c r="I31" s="141" t="s">
        <v>3000</v>
      </c>
      <c r="J31" s="141">
        <v>19000.0</v>
      </c>
      <c r="K31" s="141" t="s">
        <v>3017</v>
      </c>
      <c r="L31" s="25"/>
      <c r="M31" s="25"/>
      <c r="N31" s="25"/>
      <c r="O31" s="143"/>
      <c r="P31" s="143"/>
      <c r="Q31" s="143"/>
      <c r="R31" s="143"/>
      <c r="S31" s="143"/>
      <c r="T31" s="143"/>
      <c r="U31" s="143"/>
      <c r="V31" s="143"/>
      <c r="W31" s="143"/>
      <c r="X31" s="143"/>
      <c r="Y31" s="143"/>
      <c r="Z31" s="143"/>
      <c r="AA31" s="143"/>
      <c r="AB31" s="143"/>
      <c r="AC31" s="143"/>
      <c r="AD31" s="143"/>
    </row>
    <row r="32">
      <c r="A32" s="137">
        <v>9.0</v>
      </c>
      <c r="B32" s="25" t="s">
        <v>371</v>
      </c>
      <c r="C32" s="25" t="s">
        <v>376</v>
      </c>
      <c r="D32" s="25" t="s">
        <v>106</v>
      </c>
      <c r="E32" s="37">
        <v>51750.0</v>
      </c>
      <c r="F32" s="37">
        <v>1072069.0</v>
      </c>
      <c r="G32" s="139">
        <v>1343266.0</v>
      </c>
      <c r="H32" s="38">
        <f t="shared" si="5"/>
        <v>0.04827114673</v>
      </c>
      <c r="I32" s="141" t="s">
        <v>3000</v>
      </c>
      <c r="J32" s="141">
        <v>19000.0</v>
      </c>
      <c r="K32" s="141" t="s">
        <v>2992</v>
      </c>
      <c r="L32" s="25"/>
      <c r="M32" s="25"/>
      <c r="N32" s="25"/>
      <c r="O32" s="143"/>
      <c r="P32" s="143"/>
      <c r="Q32" s="143"/>
      <c r="R32" s="143"/>
      <c r="S32" s="143"/>
      <c r="T32" s="143"/>
      <c r="U32" s="143"/>
      <c r="V32" s="143"/>
      <c r="W32" s="143"/>
      <c r="X32" s="143"/>
      <c r="Y32" s="143"/>
      <c r="Z32" s="143"/>
      <c r="AA32" s="143"/>
      <c r="AB32" s="143"/>
      <c r="AC32" s="143"/>
      <c r="AD32" s="143"/>
    </row>
    <row r="33">
      <c r="A33" s="25"/>
      <c r="B33" s="25"/>
      <c r="C33" s="25"/>
      <c r="D33" s="25"/>
      <c r="E33" s="50"/>
      <c r="F33" s="144"/>
      <c r="G33" s="145"/>
      <c r="H33" s="38"/>
      <c r="I33" s="141"/>
      <c r="J33" s="141"/>
      <c r="K33" s="141"/>
      <c r="L33" s="25"/>
      <c r="M33" s="25"/>
      <c r="N33" s="25"/>
      <c r="O33" s="143"/>
      <c r="P33" s="143"/>
      <c r="Q33" s="143"/>
      <c r="R33" s="143"/>
      <c r="S33" s="143"/>
      <c r="T33" s="143"/>
      <c r="U33" s="143"/>
      <c r="V33" s="143"/>
      <c r="W33" s="143"/>
      <c r="X33" s="143"/>
      <c r="Y33" s="143"/>
      <c r="Z33" s="143"/>
      <c r="AA33" s="143"/>
      <c r="AB33" s="143"/>
      <c r="AC33" s="143"/>
      <c r="AD33" s="143"/>
    </row>
    <row r="34">
      <c r="A34" s="137">
        <v>10.0</v>
      </c>
      <c r="B34" s="25" t="s">
        <v>414</v>
      </c>
      <c r="C34" s="25" t="s">
        <v>416</v>
      </c>
      <c r="D34" s="25" t="s">
        <v>36</v>
      </c>
      <c r="E34" s="37">
        <v>1013240.0</v>
      </c>
      <c r="F34" s="37">
        <v>1907105.0</v>
      </c>
      <c r="G34" s="139">
        <v>1013616.0</v>
      </c>
      <c r="H34" s="38">
        <f>E34/F34</f>
        <v>0.5312974377</v>
      </c>
      <c r="I34" s="141" t="s">
        <v>2994</v>
      </c>
      <c r="J34" s="141">
        <v>68000.0</v>
      </c>
      <c r="K34" s="141" t="s">
        <v>2992</v>
      </c>
      <c r="L34" s="25"/>
      <c r="M34" s="25"/>
      <c r="N34" s="25"/>
      <c r="O34" s="143"/>
      <c r="P34" s="143"/>
      <c r="Q34" s="143"/>
      <c r="R34" s="143"/>
      <c r="S34" s="143"/>
      <c r="T34" s="143"/>
      <c r="U34" s="143"/>
      <c r="V34" s="143"/>
      <c r="W34" s="143"/>
      <c r="X34" s="143"/>
      <c r="Y34" s="143"/>
      <c r="Z34" s="143"/>
      <c r="AA34" s="143"/>
      <c r="AB34" s="143"/>
      <c r="AC34" s="143"/>
      <c r="AD34" s="143"/>
    </row>
    <row r="35">
      <c r="A35" s="25"/>
      <c r="B35" s="25"/>
      <c r="C35" s="25"/>
      <c r="D35" s="25"/>
      <c r="E35" s="50"/>
      <c r="F35" s="144"/>
      <c r="G35" s="145"/>
      <c r="H35" s="38"/>
      <c r="I35" s="141"/>
      <c r="J35" s="141"/>
      <c r="K35" s="141"/>
      <c r="L35" s="25"/>
      <c r="M35" s="25"/>
      <c r="N35" s="25"/>
      <c r="O35" s="143"/>
      <c r="P35" s="143"/>
      <c r="Q35" s="143"/>
      <c r="R35" s="143"/>
      <c r="S35" s="143"/>
      <c r="T35" s="143"/>
      <c r="U35" s="143"/>
      <c r="V35" s="143"/>
      <c r="W35" s="143"/>
      <c r="X35" s="143"/>
      <c r="Y35" s="143"/>
      <c r="Z35" s="143"/>
      <c r="AA35" s="143"/>
      <c r="AB35" s="143"/>
      <c r="AC35" s="143"/>
      <c r="AD35" s="143"/>
    </row>
    <row r="36">
      <c r="A36" s="137">
        <v>11.0</v>
      </c>
      <c r="B36" s="25" t="s">
        <v>475</v>
      </c>
      <c r="C36" s="25" t="s">
        <v>3018</v>
      </c>
      <c r="D36" s="25" t="s">
        <v>106</v>
      </c>
      <c r="E36" s="37">
        <v>0.0</v>
      </c>
      <c r="F36" s="37">
        <v>91601.0</v>
      </c>
      <c r="G36" s="139">
        <v>995484.0</v>
      </c>
      <c r="H36" s="38">
        <f t="shared" ref="H36:H39" si="6">E36/F36</f>
        <v>0</v>
      </c>
      <c r="I36" s="141" t="s">
        <v>3000</v>
      </c>
      <c r="J36" s="141">
        <v>5000.0</v>
      </c>
      <c r="K36" s="141" t="s">
        <v>3019</v>
      </c>
      <c r="L36" s="25"/>
      <c r="M36" s="25"/>
      <c r="N36" s="25"/>
      <c r="O36" s="143"/>
      <c r="P36" s="143"/>
      <c r="Q36" s="143"/>
      <c r="R36" s="143"/>
      <c r="S36" s="143"/>
      <c r="T36" s="143"/>
      <c r="U36" s="143"/>
      <c r="V36" s="143"/>
      <c r="W36" s="143"/>
      <c r="X36" s="143"/>
      <c r="Y36" s="143"/>
      <c r="Z36" s="143"/>
      <c r="AA36" s="143"/>
      <c r="AB36" s="143"/>
      <c r="AC36" s="143"/>
      <c r="AD36" s="143"/>
    </row>
    <row r="37">
      <c r="A37" s="137">
        <v>11.0</v>
      </c>
      <c r="B37" s="25" t="s">
        <v>475</v>
      </c>
      <c r="C37" s="25" t="s">
        <v>482</v>
      </c>
      <c r="D37" s="25" t="s">
        <v>106</v>
      </c>
      <c r="E37" s="37">
        <v>933.0</v>
      </c>
      <c r="F37" s="37">
        <v>241365.0</v>
      </c>
      <c r="G37" s="139">
        <v>995484.0</v>
      </c>
      <c r="H37" s="38">
        <f t="shared" si="6"/>
        <v>0.003865514884</v>
      </c>
      <c r="I37" s="141" t="s">
        <v>3000</v>
      </c>
      <c r="J37" s="141">
        <v>5000.0</v>
      </c>
      <c r="K37" s="141" t="s">
        <v>3020</v>
      </c>
      <c r="L37" s="25"/>
      <c r="M37" s="25"/>
      <c r="N37" s="25"/>
      <c r="O37" s="143"/>
      <c r="P37" s="143"/>
      <c r="Q37" s="143"/>
      <c r="R37" s="143"/>
      <c r="S37" s="143"/>
      <c r="T37" s="143"/>
      <c r="U37" s="143"/>
      <c r="V37" s="143"/>
      <c r="W37" s="143"/>
      <c r="X37" s="143"/>
      <c r="Y37" s="143"/>
      <c r="Z37" s="143"/>
      <c r="AA37" s="143"/>
      <c r="AB37" s="143"/>
      <c r="AC37" s="143"/>
      <c r="AD37" s="143"/>
    </row>
    <row r="38">
      <c r="A38" s="137">
        <v>11.0</v>
      </c>
      <c r="B38" s="25" t="s">
        <v>475</v>
      </c>
      <c r="C38" s="25" t="s">
        <v>477</v>
      </c>
      <c r="D38" s="25" t="s">
        <v>106</v>
      </c>
      <c r="E38" s="37">
        <v>900642.0</v>
      </c>
      <c r="F38" s="37">
        <v>1300503.0</v>
      </c>
      <c r="G38" s="139">
        <v>995484.0</v>
      </c>
      <c r="H38" s="38">
        <f t="shared" si="6"/>
        <v>0.6925335812</v>
      </c>
      <c r="I38" s="141" t="s">
        <v>3000</v>
      </c>
      <c r="J38" s="141">
        <v>5000.0</v>
      </c>
      <c r="K38" s="141" t="s">
        <v>3021</v>
      </c>
      <c r="L38" s="25"/>
      <c r="M38" s="25"/>
      <c r="N38" s="25"/>
      <c r="O38" s="143"/>
      <c r="P38" s="143"/>
      <c r="Q38" s="143"/>
      <c r="R38" s="143"/>
      <c r="S38" s="143"/>
      <c r="T38" s="143"/>
      <c r="U38" s="143"/>
      <c r="V38" s="143"/>
      <c r="W38" s="143"/>
      <c r="X38" s="143"/>
      <c r="Y38" s="143"/>
      <c r="Z38" s="143"/>
      <c r="AA38" s="143"/>
      <c r="AB38" s="143"/>
      <c r="AC38" s="143"/>
      <c r="AD38" s="143"/>
    </row>
    <row r="39">
      <c r="A39" s="137">
        <v>11.0</v>
      </c>
      <c r="B39" s="25" t="s">
        <v>475</v>
      </c>
      <c r="C39" s="25" t="s">
        <v>480</v>
      </c>
      <c r="D39" s="25" t="s">
        <v>106</v>
      </c>
      <c r="E39" s="37">
        <v>60280.0</v>
      </c>
      <c r="F39" s="37">
        <v>617855.0</v>
      </c>
      <c r="G39" s="139">
        <v>995484.0</v>
      </c>
      <c r="H39" s="38">
        <f t="shared" si="6"/>
        <v>0.09756334415</v>
      </c>
      <c r="I39" s="141" t="s">
        <v>3000</v>
      </c>
      <c r="J39" s="141">
        <v>5000.0</v>
      </c>
      <c r="K39" s="141" t="s">
        <v>3022</v>
      </c>
      <c r="L39" s="25"/>
      <c r="M39" s="25"/>
      <c r="N39" s="25"/>
      <c r="O39" s="143"/>
      <c r="P39" s="143"/>
      <c r="Q39" s="143"/>
      <c r="R39" s="143"/>
      <c r="S39" s="143"/>
      <c r="T39" s="143"/>
      <c r="U39" s="143"/>
      <c r="V39" s="143"/>
      <c r="W39" s="143"/>
      <c r="X39" s="143"/>
      <c r="Y39" s="143"/>
      <c r="Z39" s="143"/>
      <c r="AA39" s="143"/>
      <c r="AB39" s="143"/>
      <c r="AC39" s="143"/>
      <c r="AD39" s="143"/>
    </row>
    <row r="40">
      <c r="A40" s="25"/>
      <c r="B40" s="25"/>
      <c r="C40" s="25"/>
      <c r="D40" s="25"/>
      <c r="E40" s="50"/>
      <c r="F40" s="144"/>
      <c r="G40" s="145"/>
      <c r="H40" s="38"/>
      <c r="I40" s="141"/>
      <c r="J40" s="141"/>
      <c r="K40" s="141"/>
      <c r="L40" s="25"/>
      <c r="M40" s="25"/>
      <c r="N40" s="25"/>
      <c r="O40" s="143"/>
      <c r="P40" s="143"/>
      <c r="Q40" s="143"/>
      <c r="R40" s="143"/>
      <c r="S40" s="143"/>
      <c r="T40" s="143"/>
      <c r="U40" s="143"/>
      <c r="V40" s="143"/>
      <c r="W40" s="143"/>
      <c r="X40" s="143"/>
      <c r="Y40" s="143"/>
      <c r="Z40" s="143"/>
      <c r="AA40" s="143"/>
      <c r="AB40" s="143"/>
      <c r="AC40" s="143"/>
      <c r="AD40" s="143"/>
    </row>
    <row r="41">
      <c r="A41" s="137">
        <v>12.0</v>
      </c>
      <c r="B41" s="25" t="s">
        <v>510</v>
      </c>
      <c r="C41" s="25" t="s">
        <v>378</v>
      </c>
      <c r="D41" s="25" t="s">
        <v>106</v>
      </c>
      <c r="E41" s="37">
        <v>16998.0</v>
      </c>
      <c r="F41" s="37">
        <v>919324.0</v>
      </c>
      <c r="G41" s="139">
        <v>927720.0</v>
      </c>
      <c r="H41" s="38">
        <f t="shared" ref="H41:H45" si="7">E41/F41</f>
        <v>0.01848967285</v>
      </c>
      <c r="I41" s="141" t="s">
        <v>3000</v>
      </c>
      <c r="J41" s="141">
        <v>27000.0</v>
      </c>
      <c r="K41" s="141" t="s">
        <v>3014</v>
      </c>
      <c r="L41" s="25"/>
      <c r="M41" s="25"/>
      <c r="N41" s="25"/>
      <c r="O41" s="143"/>
      <c r="P41" s="143"/>
      <c r="Q41" s="143"/>
      <c r="R41" s="143"/>
      <c r="S41" s="143"/>
      <c r="T41" s="143"/>
      <c r="U41" s="143"/>
      <c r="V41" s="143"/>
      <c r="W41" s="143"/>
      <c r="X41" s="143"/>
      <c r="Y41" s="143"/>
      <c r="Z41" s="143"/>
      <c r="AA41" s="143"/>
      <c r="AB41" s="143"/>
      <c r="AC41" s="143"/>
      <c r="AD41" s="143"/>
    </row>
    <row r="42">
      <c r="A42" s="137">
        <v>12.0</v>
      </c>
      <c r="B42" s="25" t="s">
        <v>510</v>
      </c>
      <c r="C42" s="25" t="s">
        <v>3023</v>
      </c>
      <c r="D42" s="25" t="s">
        <v>106</v>
      </c>
      <c r="E42" s="37">
        <v>0.0</v>
      </c>
      <c r="F42" s="37">
        <v>179575.0</v>
      </c>
      <c r="G42" s="139">
        <v>927720.0</v>
      </c>
      <c r="H42" s="38">
        <f t="shared" si="7"/>
        <v>0</v>
      </c>
      <c r="I42" s="141" t="s">
        <v>3000</v>
      </c>
      <c r="J42" s="141">
        <v>27000.0</v>
      </c>
      <c r="K42" s="141" t="s">
        <v>3024</v>
      </c>
      <c r="L42" s="25"/>
      <c r="M42" s="25"/>
      <c r="N42" s="25"/>
      <c r="O42" s="143"/>
      <c r="P42" s="143"/>
      <c r="Q42" s="143"/>
      <c r="R42" s="143"/>
      <c r="S42" s="143"/>
      <c r="T42" s="143"/>
      <c r="U42" s="143"/>
      <c r="V42" s="143"/>
      <c r="W42" s="143"/>
      <c r="X42" s="143"/>
      <c r="Y42" s="143"/>
      <c r="Z42" s="143"/>
      <c r="AA42" s="143"/>
      <c r="AB42" s="143"/>
      <c r="AC42" s="143"/>
      <c r="AD42" s="143"/>
    </row>
    <row r="43">
      <c r="A43" s="137">
        <v>12.0</v>
      </c>
      <c r="B43" s="25" t="s">
        <v>510</v>
      </c>
      <c r="C43" s="25" t="s">
        <v>512</v>
      </c>
      <c r="D43" s="25" t="s">
        <v>106</v>
      </c>
      <c r="E43" s="37">
        <v>900671.0</v>
      </c>
      <c r="F43" s="37">
        <v>2123347.0</v>
      </c>
      <c r="G43" s="139">
        <v>927720.0</v>
      </c>
      <c r="H43" s="38">
        <f t="shared" si="7"/>
        <v>0.4241751348</v>
      </c>
      <c r="I43" s="141" t="s">
        <v>3000</v>
      </c>
      <c r="J43" s="141">
        <v>27000.0</v>
      </c>
      <c r="K43" s="141" t="s">
        <v>3025</v>
      </c>
      <c r="L43" s="25"/>
      <c r="M43" s="25"/>
      <c r="N43" s="25"/>
      <c r="O43" s="143"/>
      <c r="P43" s="143"/>
      <c r="Q43" s="143"/>
      <c r="R43" s="143"/>
      <c r="S43" s="143"/>
      <c r="T43" s="143"/>
      <c r="U43" s="143"/>
      <c r="V43" s="143"/>
      <c r="W43" s="143"/>
      <c r="X43" s="143"/>
      <c r="Y43" s="143"/>
      <c r="Z43" s="143"/>
      <c r="AA43" s="143"/>
      <c r="AB43" s="143"/>
      <c r="AC43" s="143"/>
      <c r="AD43" s="143"/>
    </row>
    <row r="44">
      <c r="A44" s="137">
        <v>12.0</v>
      </c>
      <c r="B44" s="25" t="s">
        <v>510</v>
      </c>
      <c r="C44" s="25" t="s">
        <v>516</v>
      </c>
      <c r="D44" s="25" t="s">
        <v>106</v>
      </c>
      <c r="E44" s="37">
        <v>48.0</v>
      </c>
      <c r="F44" s="37">
        <v>71084.0</v>
      </c>
      <c r="G44" s="139">
        <v>927720.0</v>
      </c>
      <c r="H44" s="38">
        <f t="shared" si="7"/>
        <v>0.0006752574419</v>
      </c>
      <c r="I44" s="141" t="s">
        <v>3000</v>
      </c>
      <c r="J44" s="141">
        <v>27000.0</v>
      </c>
      <c r="K44" s="141" t="s">
        <v>3026</v>
      </c>
      <c r="L44" s="25"/>
      <c r="M44" s="25"/>
      <c r="N44" s="25"/>
      <c r="O44" s="143"/>
      <c r="P44" s="143"/>
      <c r="Q44" s="143"/>
      <c r="R44" s="143"/>
      <c r="S44" s="143"/>
      <c r="T44" s="143"/>
      <c r="U44" s="143"/>
      <c r="V44" s="143"/>
      <c r="W44" s="143"/>
      <c r="X44" s="143"/>
      <c r="Y44" s="143"/>
      <c r="Z44" s="143"/>
      <c r="AA44" s="143"/>
      <c r="AB44" s="143"/>
      <c r="AC44" s="143"/>
      <c r="AD44" s="143"/>
    </row>
    <row r="45">
      <c r="A45" s="137">
        <v>12.0</v>
      </c>
      <c r="B45" s="25" t="s">
        <v>510</v>
      </c>
      <c r="C45" s="25" t="s">
        <v>514</v>
      </c>
      <c r="D45" s="25" t="s">
        <v>106</v>
      </c>
      <c r="E45" s="37">
        <v>1246.0</v>
      </c>
      <c r="F45" s="37">
        <v>148198.0</v>
      </c>
      <c r="G45" s="139">
        <v>927720.0</v>
      </c>
      <c r="H45" s="38">
        <f t="shared" si="7"/>
        <v>0.008407670819</v>
      </c>
      <c r="I45" s="141" t="s">
        <v>3000</v>
      </c>
      <c r="J45" s="141">
        <v>27000.0</v>
      </c>
      <c r="K45" s="141" t="s">
        <v>3027</v>
      </c>
      <c r="L45" s="25"/>
      <c r="M45" s="25"/>
      <c r="N45" s="25"/>
      <c r="O45" s="143"/>
      <c r="P45" s="143"/>
      <c r="Q45" s="143"/>
      <c r="R45" s="143"/>
      <c r="S45" s="143"/>
      <c r="T45" s="143"/>
      <c r="U45" s="143"/>
      <c r="V45" s="143"/>
      <c r="W45" s="143"/>
      <c r="X45" s="143"/>
      <c r="Y45" s="143"/>
      <c r="Z45" s="143"/>
      <c r="AA45" s="143"/>
      <c r="AB45" s="143"/>
      <c r="AC45" s="143"/>
      <c r="AD45" s="143"/>
    </row>
    <row r="46">
      <c r="A46" s="25"/>
      <c r="B46" s="25"/>
      <c r="C46" s="25"/>
      <c r="D46" s="25"/>
      <c r="E46" s="50"/>
      <c r="F46" s="144"/>
      <c r="G46" s="145"/>
      <c r="H46" s="38"/>
      <c r="I46" s="141"/>
      <c r="J46" s="141"/>
      <c r="K46" s="141"/>
      <c r="L46" s="25"/>
      <c r="M46" s="25"/>
      <c r="N46" s="25"/>
      <c r="O46" s="143"/>
      <c r="P46" s="143"/>
      <c r="Q46" s="143"/>
      <c r="R46" s="143"/>
      <c r="S46" s="143"/>
      <c r="T46" s="143"/>
      <c r="U46" s="143"/>
      <c r="V46" s="143"/>
      <c r="W46" s="143"/>
      <c r="X46" s="143"/>
      <c r="Y46" s="143"/>
      <c r="Z46" s="143"/>
      <c r="AA46" s="143"/>
      <c r="AB46" s="143"/>
      <c r="AC46" s="143"/>
      <c r="AD46" s="143"/>
    </row>
    <row r="47">
      <c r="A47" s="137">
        <v>13.0</v>
      </c>
      <c r="B47" s="25" t="s">
        <v>557</v>
      </c>
      <c r="C47" s="25" t="s">
        <v>2973</v>
      </c>
      <c r="D47" s="25" t="s">
        <v>554</v>
      </c>
      <c r="E47" s="37">
        <v>949611.0</v>
      </c>
      <c r="F47" s="37">
        <v>966728.0</v>
      </c>
      <c r="G47" s="139">
        <v>920570.0</v>
      </c>
      <c r="H47" s="38">
        <f>E47/F47</f>
        <v>0.982293882</v>
      </c>
      <c r="I47" s="141" t="s">
        <v>3028</v>
      </c>
      <c r="J47" s="141">
        <v>35000.0</v>
      </c>
      <c r="K47" s="141" t="s">
        <v>2997</v>
      </c>
      <c r="L47" s="25"/>
      <c r="M47" s="25"/>
      <c r="N47" s="25"/>
      <c r="O47" s="143"/>
      <c r="P47" s="143"/>
      <c r="Q47" s="143"/>
      <c r="R47" s="143"/>
      <c r="S47" s="143"/>
      <c r="T47" s="143"/>
      <c r="U47" s="143"/>
      <c r="V47" s="143"/>
      <c r="W47" s="143"/>
      <c r="X47" s="143"/>
      <c r="Y47" s="143"/>
      <c r="Z47" s="143"/>
      <c r="AA47" s="143"/>
      <c r="AB47" s="143"/>
      <c r="AC47" s="143"/>
      <c r="AD47" s="143"/>
    </row>
    <row r="48">
      <c r="A48" s="25"/>
      <c r="B48" s="25"/>
      <c r="C48" s="25"/>
      <c r="D48" s="25"/>
      <c r="E48" s="50"/>
      <c r="F48" s="144"/>
      <c r="G48" s="145"/>
      <c r="H48" s="38"/>
      <c r="I48" s="141"/>
      <c r="J48" s="141"/>
      <c r="K48" s="141"/>
      <c r="L48" s="25"/>
      <c r="M48" s="25"/>
      <c r="N48" s="25"/>
      <c r="O48" s="143"/>
      <c r="P48" s="143"/>
      <c r="Q48" s="143"/>
      <c r="R48" s="143"/>
      <c r="S48" s="143"/>
      <c r="T48" s="143"/>
      <c r="U48" s="143"/>
      <c r="V48" s="143"/>
      <c r="W48" s="143"/>
      <c r="X48" s="143"/>
      <c r="Y48" s="143"/>
      <c r="Z48" s="143"/>
      <c r="AA48" s="143"/>
      <c r="AB48" s="143"/>
      <c r="AC48" s="143"/>
      <c r="AD48" s="143"/>
    </row>
    <row r="49">
      <c r="A49" s="137">
        <v>14.0</v>
      </c>
      <c r="B49" s="25" t="s">
        <v>569</v>
      </c>
      <c r="C49" s="25" t="s">
        <v>576</v>
      </c>
      <c r="D49" s="25" t="s">
        <v>566</v>
      </c>
      <c r="E49" s="37">
        <v>14570.0</v>
      </c>
      <c r="F49" s="37">
        <v>213554.0</v>
      </c>
      <c r="G49" s="139">
        <v>903852.0</v>
      </c>
      <c r="H49" s="38">
        <f t="shared" ref="H49:H51" si="8">E49/F49</f>
        <v>0.06822630342</v>
      </c>
      <c r="I49" s="141" t="s">
        <v>3029</v>
      </c>
      <c r="J49" s="141">
        <v>18000.0</v>
      </c>
      <c r="K49" s="141" t="s">
        <v>3030</v>
      </c>
      <c r="L49" s="25"/>
      <c r="M49" s="25"/>
      <c r="N49" s="25"/>
      <c r="O49" s="143"/>
      <c r="P49" s="143"/>
      <c r="Q49" s="143"/>
      <c r="R49" s="143"/>
      <c r="S49" s="143"/>
      <c r="T49" s="143"/>
      <c r="U49" s="143"/>
      <c r="V49" s="143"/>
      <c r="W49" s="143"/>
      <c r="X49" s="143"/>
      <c r="Y49" s="143"/>
      <c r="Z49" s="143"/>
      <c r="AA49" s="143"/>
      <c r="AB49" s="143"/>
      <c r="AC49" s="143"/>
      <c r="AD49" s="143"/>
    </row>
    <row r="50">
      <c r="A50" s="137">
        <v>14.0</v>
      </c>
      <c r="B50" s="25" t="s">
        <v>569</v>
      </c>
      <c r="C50" s="25" t="s">
        <v>573</v>
      </c>
      <c r="D50" s="25" t="s">
        <v>566</v>
      </c>
      <c r="E50" s="37">
        <v>10849.0</v>
      </c>
      <c r="F50" s="37">
        <v>159709.0</v>
      </c>
      <c r="G50" s="139">
        <v>903852.0</v>
      </c>
      <c r="H50" s="38">
        <f t="shared" si="8"/>
        <v>0.06792979732</v>
      </c>
      <c r="I50" s="141" t="s">
        <v>3029</v>
      </c>
      <c r="J50" s="141">
        <v>18000.0</v>
      </c>
      <c r="K50" s="141" t="s">
        <v>3031</v>
      </c>
      <c r="L50" s="25"/>
      <c r="M50" s="25"/>
      <c r="N50" s="25"/>
      <c r="O50" s="143"/>
      <c r="P50" s="143"/>
      <c r="Q50" s="143"/>
      <c r="R50" s="143"/>
      <c r="S50" s="143"/>
      <c r="T50" s="143"/>
      <c r="U50" s="143"/>
      <c r="V50" s="143"/>
      <c r="W50" s="143"/>
      <c r="X50" s="143"/>
      <c r="Y50" s="143"/>
      <c r="Z50" s="143"/>
      <c r="AA50" s="143"/>
      <c r="AB50" s="143"/>
      <c r="AC50" s="143"/>
      <c r="AD50" s="143"/>
    </row>
    <row r="51">
      <c r="A51" s="137">
        <v>14.0</v>
      </c>
      <c r="B51" s="25" t="s">
        <v>569</v>
      </c>
      <c r="C51" s="25" t="s">
        <v>571</v>
      </c>
      <c r="D51" s="25" t="s">
        <v>566</v>
      </c>
      <c r="E51" s="37">
        <v>880329.0</v>
      </c>
      <c r="F51" s="37">
        <v>1324624.0</v>
      </c>
      <c r="G51" s="139">
        <v>903852.0</v>
      </c>
      <c r="H51" s="38">
        <f t="shared" si="8"/>
        <v>0.6645878378</v>
      </c>
      <c r="I51" s="141" t="s">
        <v>3029</v>
      </c>
      <c r="J51" s="141">
        <v>18000.0</v>
      </c>
      <c r="K51" s="141" t="s">
        <v>3032</v>
      </c>
      <c r="L51" s="25"/>
      <c r="M51" s="25"/>
      <c r="N51" s="25"/>
      <c r="O51" s="143"/>
      <c r="P51" s="143"/>
      <c r="Q51" s="143"/>
      <c r="R51" s="143"/>
      <c r="S51" s="143"/>
      <c r="T51" s="143"/>
      <c r="U51" s="143"/>
      <c r="V51" s="143"/>
      <c r="W51" s="143"/>
      <c r="X51" s="143"/>
      <c r="Y51" s="143"/>
      <c r="Z51" s="143"/>
      <c r="AA51" s="143"/>
      <c r="AB51" s="143"/>
      <c r="AC51" s="143"/>
      <c r="AD51" s="143"/>
    </row>
    <row r="52">
      <c r="A52" s="25"/>
      <c r="B52" s="25"/>
      <c r="C52" s="25"/>
      <c r="D52" s="25"/>
      <c r="E52" s="50"/>
      <c r="F52" s="144"/>
      <c r="G52" s="145"/>
      <c r="H52" s="38"/>
      <c r="I52" s="141"/>
      <c r="J52" s="141"/>
      <c r="K52" s="141"/>
      <c r="L52" s="25"/>
      <c r="M52" s="25"/>
      <c r="N52" s="25"/>
      <c r="O52" s="143"/>
      <c r="P52" s="143"/>
      <c r="Q52" s="143"/>
      <c r="R52" s="143"/>
      <c r="S52" s="143"/>
      <c r="T52" s="143"/>
      <c r="U52" s="143"/>
      <c r="V52" s="143"/>
      <c r="W52" s="143"/>
      <c r="X52" s="143"/>
      <c r="Y52" s="143"/>
      <c r="Z52" s="143"/>
      <c r="AA52" s="143"/>
      <c r="AB52" s="143"/>
      <c r="AC52" s="143"/>
      <c r="AD52" s="143"/>
    </row>
    <row r="53">
      <c r="A53" s="137">
        <v>15.0</v>
      </c>
      <c r="B53" s="25" t="s">
        <v>631</v>
      </c>
      <c r="C53" s="25" t="s">
        <v>634</v>
      </c>
      <c r="D53" s="25" t="s">
        <v>627</v>
      </c>
      <c r="E53" s="37">
        <v>874579.0</v>
      </c>
      <c r="F53" s="37">
        <v>1128945.0</v>
      </c>
      <c r="G53" s="139">
        <v>900350.0</v>
      </c>
      <c r="H53" s="38">
        <f>E53/F53</f>
        <v>0.7746869865</v>
      </c>
      <c r="I53" s="141" t="s">
        <v>3033</v>
      </c>
      <c r="J53" s="141">
        <v>12000.0</v>
      </c>
      <c r="K53" s="141" t="s">
        <v>3034</v>
      </c>
      <c r="L53" s="25"/>
      <c r="M53" s="25"/>
      <c r="N53" s="25"/>
      <c r="O53" s="143"/>
      <c r="P53" s="143"/>
      <c r="Q53" s="143"/>
      <c r="R53" s="143"/>
      <c r="S53" s="143"/>
      <c r="T53" s="143"/>
      <c r="U53" s="143"/>
      <c r="V53" s="143"/>
      <c r="W53" s="143"/>
      <c r="X53" s="143"/>
      <c r="Y53" s="143"/>
      <c r="Z53" s="143"/>
      <c r="AA53" s="143"/>
      <c r="AB53" s="143"/>
      <c r="AC53" s="143"/>
      <c r="AD53" s="143"/>
    </row>
    <row r="54">
      <c r="A54" s="25"/>
      <c r="B54" s="25"/>
      <c r="C54" s="25"/>
      <c r="D54" s="25"/>
      <c r="E54" s="50"/>
      <c r="F54" s="144"/>
      <c r="G54" s="145"/>
      <c r="H54" s="38"/>
      <c r="I54" s="141"/>
      <c r="J54" s="141"/>
      <c r="K54" s="141"/>
      <c r="L54" s="25"/>
      <c r="M54" s="25"/>
      <c r="N54" s="25"/>
      <c r="O54" s="143"/>
      <c r="P54" s="143"/>
      <c r="Q54" s="143"/>
      <c r="R54" s="143"/>
      <c r="S54" s="143"/>
      <c r="T54" s="143"/>
      <c r="U54" s="143"/>
      <c r="V54" s="143"/>
      <c r="W54" s="143"/>
      <c r="X54" s="143"/>
      <c r="Y54" s="143"/>
      <c r="Z54" s="143"/>
      <c r="AA54" s="143"/>
      <c r="AB54" s="143"/>
      <c r="AC54" s="143"/>
      <c r="AD54" s="143"/>
    </row>
    <row r="55">
      <c r="A55" s="150">
        <v>16.0</v>
      </c>
      <c r="B55" s="151" t="s">
        <v>3035</v>
      </c>
      <c r="C55" s="152"/>
      <c r="D55" s="153" t="s">
        <v>641</v>
      </c>
      <c r="E55" s="154"/>
      <c r="F55" s="155"/>
      <c r="G55" s="156">
        <v>877903.0</v>
      </c>
      <c r="H55" s="38"/>
      <c r="I55" s="157" t="s">
        <v>3036</v>
      </c>
      <c r="J55" s="157">
        <v>36000.0</v>
      </c>
      <c r="K55" s="157"/>
      <c r="L55" s="25"/>
      <c r="M55" s="25"/>
      <c r="N55" s="25"/>
      <c r="O55" s="143"/>
      <c r="P55" s="143"/>
      <c r="Q55" s="143"/>
      <c r="R55" s="143"/>
      <c r="S55" s="143"/>
      <c r="T55" s="143"/>
      <c r="U55" s="143"/>
      <c r="V55" s="143"/>
      <c r="W55" s="143"/>
      <c r="X55" s="143"/>
      <c r="Y55" s="143"/>
      <c r="Z55" s="143"/>
      <c r="AA55" s="143"/>
      <c r="AB55" s="143"/>
      <c r="AC55" s="143"/>
      <c r="AD55" s="143"/>
    </row>
    <row r="56">
      <c r="A56" s="25"/>
      <c r="B56" s="25"/>
      <c r="C56" s="25"/>
      <c r="D56" s="25"/>
      <c r="E56" s="50"/>
      <c r="F56" s="144"/>
      <c r="G56" s="145"/>
      <c r="H56" s="38"/>
      <c r="I56" s="141"/>
      <c r="J56" s="141"/>
      <c r="K56" s="141"/>
      <c r="L56" s="25"/>
      <c r="M56" s="25"/>
      <c r="N56" s="25"/>
      <c r="O56" s="143"/>
      <c r="P56" s="143"/>
      <c r="Q56" s="143"/>
      <c r="R56" s="143"/>
      <c r="S56" s="143"/>
      <c r="T56" s="143"/>
      <c r="U56" s="143"/>
      <c r="V56" s="143"/>
      <c r="W56" s="143"/>
      <c r="X56" s="143"/>
      <c r="Y56" s="143"/>
      <c r="Z56" s="143"/>
      <c r="AA56" s="143"/>
      <c r="AB56" s="143"/>
      <c r="AC56" s="143"/>
      <c r="AD56" s="143"/>
    </row>
    <row r="57">
      <c r="A57" s="137">
        <v>17.0</v>
      </c>
      <c r="B57" s="25" t="s">
        <v>667</v>
      </c>
      <c r="C57" s="25" t="s">
        <v>2974</v>
      </c>
      <c r="D57" s="25" t="s">
        <v>36</v>
      </c>
      <c r="E57" s="158">
        <v>873965.0</v>
      </c>
      <c r="F57" s="158">
        <v>866606.0</v>
      </c>
      <c r="G57" s="159">
        <v>866606.0</v>
      </c>
      <c r="H57" s="149">
        <f>E57/F57</f>
        <v>1.008491748</v>
      </c>
      <c r="I57" s="141" t="s">
        <v>2994</v>
      </c>
      <c r="J57" s="141">
        <v>67000.0</v>
      </c>
      <c r="K57" s="141" t="s">
        <v>3037</v>
      </c>
      <c r="L57" s="25"/>
      <c r="M57" s="25"/>
      <c r="N57" s="25"/>
      <c r="O57" s="143"/>
      <c r="P57" s="143"/>
      <c r="Q57" s="143"/>
      <c r="R57" s="143"/>
      <c r="S57" s="143"/>
      <c r="T57" s="143"/>
      <c r="U57" s="143"/>
      <c r="V57" s="143"/>
      <c r="W57" s="143"/>
      <c r="X57" s="143"/>
      <c r="Y57" s="143"/>
      <c r="Z57" s="143"/>
      <c r="AA57" s="143"/>
      <c r="AB57" s="143"/>
      <c r="AC57" s="143"/>
      <c r="AD57" s="143"/>
    </row>
    <row r="58">
      <c r="A58" s="25"/>
      <c r="B58" s="25"/>
      <c r="C58" s="25"/>
      <c r="D58" s="25"/>
      <c r="E58" s="50"/>
      <c r="F58" s="144"/>
      <c r="G58" s="145"/>
      <c r="H58" s="38"/>
      <c r="I58" s="141"/>
      <c r="J58" s="141"/>
      <c r="K58" s="141"/>
      <c r="L58" s="25"/>
      <c r="M58" s="25"/>
      <c r="N58" s="25"/>
      <c r="O58" s="143"/>
      <c r="P58" s="143"/>
      <c r="Q58" s="143"/>
      <c r="R58" s="143"/>
      <c r="S58" s="143"/>
      <c r="T58" s="143"/>
      <c r="U58" s="143"/>
      <c r="V58" s="143"/>
      <c r="W58" s="143"/>
      <c r="X58" s="143"/>
      <c r="Y58" s="143"/>
      <c r="Z58" s="143"/>
      <c r="AA58" s="143"/>
      <c r="AB58" s="143"/>
      <c r="AC58" s="143"/>
      <c r="AD58" s="143"/>
    </row>
    <row r="59">
      <c r="A59" s="137">
        <v>18.0</v>
      </c>
      <c r="B59" s="25" t="s">
        <v>687</v>
      </c>
      <c r="C59" s="25" t="s">
        <v>690</v>
      </c>
      <c r="D59" s="25" t="s">
        <v>684</v>
      </c>
      <c r="E59" s="37">
        <v>737015.0</v>
      </c>
      <c r="F59" s="37">
        <v>2274315.0</v>
      </c>
      <c r="G59" s="139">
        <v>769714.0</v>
      </c>
      <c r="H59" s="38">
        <f>E59/F59</f>
        <v>0.3240602115</v>
      </c>
      <c r="I59" s="141" t="s">
        <v>3038</v>
      </c>
      <c r="J59" s="141">
        <v>63000.0</v>
      </c>
      <c r="K59" s="141" t="s">
        <v>3039</v>
      </c>
      <c r="L59" s="25"/>
      <c r="M59" s="25"/>
      <c r="N59" s="25"/>
      <c r="O59" s="143"/>
      <c r="P59" s="143"/>
      <c r="Q59" s="143"/>
      <c r="R59" s="143"/>
      <c r="S59" s="143"/>
      <c r="T59" s="143"/>
      <c r="U59" s="143"/>
      <c r="V59" s="143"/>
      <c r="W59" s="143"/>
      <c r="X59" s="143"/>
      <c r="Y59" s="143"/>
      <c r="Z59" s="143"/>
      <c r="AA59" s="143"/>
      <c r="AB59" s="143"/>
      <c r="AC59" s="143"/>
      <c r="AD59" s="143"/>
    </row>
    <row r="60">
      <c r="A60" s="25"/>
      <c r="B60" s="25"/>
      <c r="C60" s="25"/>
      <c r="D60" s="25"/>
      <c r="E60" s="50"/>
      <c r="F60" s="144"/>
      <c r="G60" s="145"/>
      <c r="H60" s="38"/>
      <c r="I60" s="141"/>
      <c r="J60" s="141"/>
      <c r="K60" s="141"/>
      <c r="L60" s="25"/>
      <c r="M60" s="25"/>
      <c r="N60" s="25"/>
      <c r="O60" s="143"/>
      <c r="P60" s="143"/>
      <c r="Q60" s="143"/>
      <c r="R60" s="143"/>
      <c r="S60" s="143"/>
      <c r="T60" s="143"/>
      <c r="U60" s="143"/>
      <c r="V60" s="143"/>
      <c r="W60" s="143"/>
      <c r="X60" s="143"/>
      <c r="Y60" s="143"/>
      <c r="Z60" s="143"/>
      <c r="AA60" s="143"/>
      <c r="AB60" s="143"/>
      <c r="AC60" s="143"/>
      <c r="AD60" s="143"/>
    </row>
    <row r="61">
      <c r="A61" s="137">
        <v>19.0</v>
      </c>
      <c r="B61" s="25" t="s">
        <v>714</v>
      </c>
      <c r="C61" s="25" t="s">
        <v>716</v>
      </c>
      <c r="D61" s="25" t="s">
        <v>710</v>
      </c>
      <c r="E61" s="37">
        <v>715522.0</v>
      </c>
      <c r="F61" s="37">
        <v>735538.0</v>
      </c>
      <c r="G61" s="139">
        <v>735538.0</v>
      </c>
      <c r="H61" s="38">
        <f>E61/F61</f>
        <v>0.9727872659</v>
      </c>
      <c r="I61" s="141" t="s">
        <v>3040</v>
      </c>
      <c r="J61" s="141">
        <v>20000.0</v>
      </c>
      <c r="K61" s="141" t="s">
        <v>2997</v>
      </c>
      <c r="L61" s="25"/>
      <c r="M61" s="25"/>
      <c r="N61" s="25"/>
      <c r="O61" s="143"/>
      <c r="P61" s="143"/>
      <c r="Q61" s="143"/>
      <c r="R61" s="143"/>
      <c r="S61" s="143"/>
      <c r="T61" s="143"/>
      <c r="U61" s="143"/>
      <c r="V61" s="143"/>
      <c r="W61" s="143"/>
      <c r="X61" s="143"/>
      <c r="Y61" s="143"/>
      <c r="Z61" s="143"/>
      <c r="AA61" s="143"/>
      <c r="AB61" s="143"/>
      <c r="AC61" s="143"/>
      <c r="AD61" s="143"/>
    </row>
    <row r="62">
      <c r="A62" s="25"/>
      <c r="B62" s="25"/>
      <c r="C62" s="25"/>
      <c r="D62" s="25"/>
      <c r="E62" s="50"/>
      <c r="F62" s="144"/>
      <c r="G62" s="145"/>
      <c r="H62" s="38"/>
      <c r="I62" s="141"/>
      <c r="J62" s="141"/>
      <c r="K62" s="141"/>
      <c r="L62" s="25"/>
      <c r="M62" s="25"/>
      <c r="N62" s="25"/>
      <c r="O62" s="143"/>
      <c r="P62" s="143"/>
      <c r="Q62" s="143"/>
      <c r="R62" s="143"/>
      <c r="S62" s="143"/>
      <c r="T62" s="143"/>
      <c r="U62" s="143"/>
      <c r="V62" s="143"/>
      <c r="W62" s="143"/>
      <c r="X62" s="143"/>
      <c r="Y62" s="143"/>
      <c r="Z62" s="143"/>
      <c r="AA62" s="143"/>
      <c r="AB62" s="143"/>
      <c r="AC62" s="143"/>
      <c r="AD62" s="143"/>
    </row>
    <row r="63">
      <c r="A63" s="150">
        <v>20.0</v>
      </c>
      <c r="B63" s="153" t="s">
        <v>1494</v>
      </c>
      <c r="C63" s="153"/>
      <c r="D63" s="153" t="s">
        <v>732</v>
      </c>
      <c r="E63" s="154"/>
      <c r="F63" s="155"/>
      <c r="G63" s="156">
        <v>712816.0</v>
      </c>
      <c r="H63" s="38"/>
      <c r="I63" s="157" t="s">
        <v>3041</v>
      </c>
      <c r="J63" s="157">
        <v>100.0</v>
      </c>
      <c r="K63" s="157"/>
      <c r="L63" s="25"/>
      <c r="M63" s="25"/>
      <c r="N63" s="25"/>
      <c r="O63" s="143"/>
      <c r="P63" s="143"/>
      <c r="Q63" s="143"/>
      <c r="R63" s="143"/>
      <c r="S63" s="143"/>
      <c r="T63" s="143"/>
      <c r="U63" s="143"/>
      <c r="V63" s="143"/>
      <c r="W63" s="143"/>
      <c r="X63" s="143"/>
      <c r="Y63" s="143"/>
      <c r="Z63" s="143"/>
      <c r="AA63" s="143"/>
      <c r="AB63" s="143"/>
      <c r="AC63" s="143"/>
      <c r="AD63" s="143"/>
    </row>
    <row r="64">
      <c r="A64" s="160"/>
      <c r="B64" s="160"/>
      <c r="C64" s="160"/>
      <c r="D64" s="160"/>
      <c r="E64" s="161"/>
      <c r="F64" s="162"/>
      <c r="G64" s="163"/>
      <c r="H64" s="38"/>
      <c r="I64" s="164"/>
      <c r="J64" s="164"/>
      <c r="K64" s="164"/>
      <c r="L64" s="160"/>
      <c r="M64" s="160"/>
      <c r="N64" s="160"/>
      <c r="O64" s="165"/>
      <c r="P64" s="165"/>
      <c r="Q64" s="165"/>
      <c r="R64" s="165"/>
      <c r="S64" s="165"/>
      <c r="T64" s="165"/>
      <c r="U64" s="165"/>
      <c r="V64" s="165"/>
      <c r="W64" s="165"/>
      <c r="X64" s="165"/>
      <c r="Y64" s="165"/>
      <c r="Z64" s="165"/>
      <c r="AA64" s="165"/>
      <c r="AB64" s="165"/>
      <c r="AC64" s="165"/>
      <c r="AD64" s="165"/>
    </row>
    <row r="65">
      <c r="A65" s="137">
        <v>21.0</v>
      </c>
      <c r="B65" s="25" t="s">
        <v>3042</v>
      </c>
      <c r="C65" s="25" t="s">
        <v>754</v>
      </c>
      <c r="D65" s="25" t="s">
        <v>748</v>
      </c>
      <c r="E65" s="37">
        <v>675647.0</v>
      </c>
      <c r="F65" s="37">
        <v>801582.0</v>
      </c>
      <c r="G65" s="139">
        <v>691531.0</v>
      </c>
      <c r="H65" s="38">
        <f>E65/F65</f>
        <v>0.8428919312</v>
      </c>
      <c r="I65" s="141" t="s">
        <v>3043</v>
      </c>
      <c r="J65" s="141">
        <v>7000.0</v>
      </c>
      <c r="K65" s="141" t="s">
        <v>3044</v>
      </c>
      <c r="L65" s="25"/>
      <c r="M65" s="25"/>
      <c r="N65" s="25"/>
      <c r="O65" s="143"/>
      <c r="P65" s="143"/>
      <c r="Q65" s="143"/>
      <c r="R65" s="143"/>
      <c r="S65" s="143"/>
      <c r="T65" s="143"/>
      <c r="U65" s="143"/>
      <c r="V65" s="143"/>
      <c r="W65" s="143"/>
      <c r="X65" s="143"/>
      <c r="Y65" s="143"/>
      <c r="Z65" s="143"/>
      <c r="AA65" s="143"/>
      <c r="AB65" s="143"/>
      <c r="AC65" s="143"/>
      <c r="AD65" s="143"/>
    </row>
    <row r="66">
      <c r="A66" s="25"/>
      <c r="B66" s="25"/>
      <c r="C66" s="25"/>
      <c r="D66" s="25"/>
      <c r="E66" s="50"/>
      <c r="F66" s="144"/>
      <c r="G66" s="145"/>
      <c r="H66" s="38"/>
      <c r="I66" s="141"/>
      <c r="J66" s="141"/>
      <c r="K66" s="141"/>
      <c r="L66" s="25"/>
      <c r="M66" s="25"/>
      <c r="N66" s="25"/>
      <c r="O66" s="143"/>
      <c r="P66" s="143"/>
      <c r="Q66" s="143"/>
      <c r="R66" s="143"/>
      <c r="S66" s="143"/>
      <c r="T66" s="143"/>
      <c r="U66" s="143"/>
      <c r="V66" s="143"/>
      <c r="W66" s="143"/>
      <c r="X66" s="143"/>
      <c r="Y66" s="143"/>
      <c r="Z66" s="143"/>
      <c r="AA66" s="143"/>
      <c r="AB66" s="143"/>
      <c r="AC66" s="143"/>
      <c r="AD66" s="143"/>
    </row>
    <row r="67">
      <c r="A67" s="137">
        <v>22.0</v>
      </c>
      <c r="B67" s="25" t="s">
        <v>759</v>
      </c>
      <c r="C67" s="25" t="s">
        <v>761</v>
      </c>
      <c r="D67" s="25" t="s">
        <v>106</v>
      </c>
      <c r="E67" s="37">
        <v>678815.0</v>
      </c>
      <c r="F67" s="37">
        <v>841286.0</v>
      </c>
      <c r="G67" s="139">
        <v>681534.0</v>
      </c>
      <c r="H67" s="38">
        <f>E67/F67</f>
        <v>0.8068778037</v>
      </c>
      <c r="I67" s="141" t="s">
        <v>3000</v>
      </c>
      <c r="J67" s="141">
        <v>24000.0</v>
      </c>
      <c r="K67" s="141" t="s">
        <v>3045</v>
      </c>
      <c r="L67" s="25"/>
      <c r="M67" s="25"/>
      <c r="N67" s="25"/>
      <c r="O67" s="143"/>
      <c r="P67" s="143"/>
      <c r="Q67" s="143"/>
      <c r="R67" s="143"/>
      <c r="S67" s="143"/>
      <c r="T67" s="143"/>
      <c r="U67" s="143"/>
      <c r="V67" s="143"/>
      <c r="W67" s="143"/>
      <c r="X67" s="143"/>
      <c r="Y67" s="143"/>
      <c r="Z67" s="143"/>
      <c r="AA67" s="143"/>
      <c r="AB67" s="143"/>
      <c r="AC67" s="143"/>
      <c r="AD67" s="143"/>
    </row>
    <row r="68">
      <c r="A68" s="25"/>
      <c r="B68" s="25"/>
      <c r="C68" s="25"/>
      <c r="D68" s="25"/>
      <c r="E68" s="50"/>
      <c r="F68" s="144"/>
      <c r="G68" s="145"/>
      <c r="H68" s="38"/>
      <c r="I68" s="141"/>
      <c r="J68" s="141"/>
      <c r="K68" s="141"/>
      <c r="L68" s="25"/>
      <c r="M68" s="25"/>
      <c r="N68" s="25"/>
      <c r="O68" s="143"/>
      <c r="P68" s="143"/>
      <c r="Q68" s="143"/>
      <c r="R68" s="143"/>
      <c r="S68" s="143"/>
      <c r="T68" s="143"/>
      <c r="U68" s="143"/>
      <c r="V68" s="143"/>
      <c r="W68" s="143"/>
      <c r="X68" s="143"/>
      <c r="Y68" s="143"/>
      <c r="Z68" s="143"/>
      <c r="AA68" s="143"/>
      <c r="AB68" s="143"/>
      <c r="AC68" s="143"/>
      <c r="AD68" s="143"/>
    </row>
    <row r="69">
      <c r="A69" s="150">
        <v>23.0</v>
      </c>
      <c r="B69" s="151" t="s">
        <v>781</v>
      </c>
      <c r="C69" s="152"/>
      <c r="D69" s="153" t="s">
        <v>778</v>
      </c>
      <c r="E69" s="154"/>
      <c r="F69" s="154"/>
      <c r="G69" s="166">
        <v>671295.0</v>
      </c>
      <c r="H69" s="38"/>
      <c r="I69" s="157" t="s">
        <v>3046</v>
      </c>
      <c r="J69" s="157">
        <v>52000.0</v>
      </c>
      <c r="K69" s="157"/>
      <c r="L69" s="25"/>
      <c r="M69" s="25"/>
      <c r="N69" s="25"/>
      <c r="O69" s="143"/>
      <c r="P69" s="143"/>
      <c r="Q69" s="143"/>
      <c r="R69" s="143"/>
      <c r="S69" s="143"/>
      <c r="T69" s="143"/>
      <c r="U69" s="143"/>
      <c r="V69" s="143"/>
      <c r="W69" s="143"/>
      <c r="X69" s="143"/>
      <c r="Y69" s="143"/>
      <c r="Z69" s="143"/>
      <c r="AA69" s="143"/>
      <c r="AB69" s="143"/>
      <c r="AC69" s="143"/>
      <c r="AD69" s="143"/>
    </row>
    <row r="70">
      <c r="A70" s="160"/>
      <c r="B70" s="160"/>
      <c r="C70" s="160"/>
      <c r="D70" s="160"/>
      <c r="E70" s="161"/>
      <c r="F70" s="162"/>
      <c r="G70" s="163"/>
      <c r="H70" s="38"/>
      <c r="I70" s="164"/>
      <c r="J70" s="164"/>
      <c r="K70" s="164"/>
      <c r="L70" s="160"/>
      <c r="M70" s="160"/>
      <c r="N70" s="160"/>
      <c r="O70" s="165"/>
      <c r="P70" s="165"/>
      <c r="Q70" s="165"/>
      <c r="R70" s="165"/>
      <c r="S70" s="165"/>
      <c r="T70" s="165"/>
      <c r="U70" s="165"/>
      <c r="V70" s="165"/>
      <c r="W70" s="165"/>
      <c r="X70" s="165"/>
      <c r="Y70" s="165"/>
      <c r="Z70" s="165"/>
      <c r="AA70" s="165"/>
      <c r="AB70" s="165"/>
      <c r="AC70" s="165"/>
      <c r="AD70" s="165"/>
    </row>
    <row r="71">
      <c r="A71" s="137">
        <v>24.0</v>
      </c>
      <c r="B71" s="25" t="s">
        <v>795</v>
      </c>
      <c r="C71" s="25" t="s">
        <v>798</v>
      </c>
      <c r="D71" s="25" t="s">
        <v>791</v>
      </c>
      <c r="E71" s="37">
        <v>639111.0</v>
      </c>
      <c r="F71" s="37">
        <v>1740623.0</v>
      </c>
      <c r="G71" s="139">
        <v>665369.0</v>
      </c>
      <c r="H71" s="38">
        <f>E71/F71</f>
        <v>0.3671737073</v>
      </c>
      <c r="I71" s="141" t="s">
        <v>3047</v>
      </c>
      <c r="J71" s="141">
        <v>22000.0</v>
      </c>
      <c r="K71" s="141" t="s">
        <v>3048</v>
      </c>
      <c r="L71" s="25"/>
      <c r="M71" s="25"/>
      <c r="N71" s="25"/>
      <c r="O71" s="143"/>
      <c r="P71" s="143"/>
      <c r="Q71" s="143"/>
      <c r="R71" s="143"/>
      <c r="S71" s="143"/>
      <c r="T71" s="143"/>
      <c r="U71" s="143"/>
      <c r="V71" s="143"/>
      <c r="W71" s="143"/>
      <c r="X71" s="143"/>
      <c r="Y71" s="143"/>
      <c r="Z71" s="143"/>
      <c r="AA71" s="143"/>
      <c r="AB71" s="143"/>
      <c r="AC71" s="143"/>
      <c r="AD71" s="143"/>
    </row>
    <row r="72">
      <c r="A72" s="25"/>
      <c r="B72" s="25"/>
      <c r="C72" s="25"/>
      <c r="D72" s="25"/>
      <c r="E72" s="50"/>
      <c r="F72" s="144"/>
      <c r="G72" s="145"/>
      <c r="H72" s="38"/>
      <c r="I72" s="141"/>
      <c r="J72" s="141"/>
      <c r="K72" s="141"/>
      <c r="L72" s="25"/>
      <c r="M72" s="25"/>
      <c r="N72" s="25"/>
      <c r="O72" s="143"/>
      <c r="P72" s="143"/>
      <c r="Q72" s="143"/>
      <c r="R72" s="143"/>
      <c r="S72" s="143"/>
      <c r="T72" s="143"/>
      <c r="U72" s="143"/>
      <c r="V72" s="143"/>
      <c r="W72" s="143"/>
      <c r="X72" s="143"/>
      <c r="Y72" s="143"/>
      <c r="Z72" s="143"/>
      <c r="AA72" s="143"/>
      <c r="AB72" s="143"/>
      <c r="AC72" s="143"/>
      <c r="AD72" s="143"/>
    </row>
    <row r="73">
      <c r="A73" s="137">
        <v>25.0</v>
      </c>
      <c r="B73" s="25" t="s">
        <v>812</v>
      </c>
      <c r="C73" s="25" t="s">
        <v>815</v>
      </c>
      <c r="D73" s="25" t="s">
        <v>809</v>
      </c>
      <c r="E73" s="37">
        <v>641903.0</v>
      </c>
      <c r="F73" s="37">
        <v>2315963.0</v>
      </c>
      <c r="G73" s="139">
        <v>662368.0</v>
      </c>
      <c r="H73" s="38">
        <f>E73/F73</f>
        <v>0.2771646179</v>
      </c>
      <c r="I73" s="141" t="s">
        <v>3049</v>
      </c>
      <c r="J73" s="141">
        <v>40000.0</v>
      </c>
      <c r="K73" s="141" t="s">
        <v>3050</v>
      </c>
      <c r="L73" s="25"/>
      <c r="M73" s="25"/>
      <c r="N73" s="25"/>
      <c r="O73" s="143"/>
      <c r="P73" s="143"/>
      <c r="Q73" s="143"/>
      <c r="R73" s="143"/>
      <c r="S73" s="143"/>
      <c r="T73" s="143"/>
      <c r="U73" s="143"/>
      <c r="V73" s="143"/>
      <c r="W73" s="143"/>
      <c r="X73" s="143"/>
      <c r="Y73" s="143"/>
      <c r="Z73" s="143"/>
      <c r="AA73" s="143"/>
      <c r="AB73" s="143"/>
      <c r="AC73" s="143"/>
      <c r="AD73" s="143"/>
    </row>
    <row r="74">
      <c r="A74" s="25"/>
      <c r="B74" s="25"/>
      <c r="C74" s="25"/>
      <c r="D74" s="25"/>
      <c r="E74" s="50"/>
      <c r="F74" s="144"/>
      <c r="G74" s="145"/>
      <c r="H74" s="38"/>
      <c r="I74" s="141"/>
      <c r="J74" s="141"/>
      <c r="K74" s="141"/>
      <c r="L74" s="25"/>
      <c r="M74" s="25"/>
      <c r="N74" s="25"/>
      <c r="O74" s="143"/>
      <c r="P74" s="143"/>
      <c r="Q74" s="143"/>
      <c r="R74" s="143"/>
      <c r="S74" s="143"/>
      <c r="T74" s="143"/>
      <c r="U74" s="143"/>
      <c r="V74" s="143"/>
      <c r="W74" s="143"/>
      <c r="X74" s="143"/>
      <c r="Y74" s="143"/>
      <c r="Z74" s="143"/>
      <c r="AA74" s="143"/>
      <c r="AB74" s="143"/>
      <c r="AC74" s="143"/>
      <c r="AD74" s="143"/>
    </row>
    <row r="75">
      <c r="A75" s="137">
        <v>26.0</v>
      </c>
      <c r="B75" s="25" t="s">
        <v>1460</v>
      </c>
      <c r="C75" s="25" t="s">
        <v>839</v>
      </c>
      <c r="D75" s="25" t="s">
        <v>830</v>
      </c>
      <c r="E75" s="37">
        <v>77226.0</v>
      </c>
      <c r="F75" s="37">
        <v>153192.0</v>
      </c>
      <c r="G75" s="139">
        <v>662314.0</v>
      </c>
      <c r="H75" s="38">
        <f t="shared" ref="H75:H78" si="9">E75/F75</f>
        <v>0.5041124863</v>
      </c>
      <c r="I75" s="141" t="s">
        <v>3051</v>
      </c>
      <c r="J75" s="141">
        <v>55000.0</v>
      </c>
      <c r="K75" s="141" t="s">
        <v>3052</v>
      </c>
      <c r="L75" s="25"/>
      <c r="M75" s="25"/>
      <c r="N75" s="25"/>
      <c r="O75" s="143"/>
      <c r="P75" s="143"/>
      <c r="Q75" s="143"/>
      <c r="R75" s="143"/>
      <c r="S75" s="143"/>
      <c r="T75" s="143"/>
      <c r="U75" s="143"/>
      <c r="V75" s="143"/>
      <c r="W75" s="143"/>
      <c r="X75" s="143"/>
      <c r="Y75" s="143"/>
      <c r="Z75" s="143"/>
      <c r="AA75" s="143"/>
      <c r="AB75" s="143"/>
      <c r="AC75" s="143"/>
      <c r="AD75" s="143"/>
    </row>
    <row r="76">
      <c r="A76" s="137">
        <v>26.0</v>
      </c>
      <c r="B76" s="25" t="s">
        <v>1460</v>
      </c>
      <c r="C76" s="25" t="s">
        <v>836</v>
      </c>
      <c r="D76" s="25" t="s">
        <v>830</v>
      </c>
      <c r="E76" s="37">
        <v>77784.0</v>
      </c>
      <c r="F76" s="37">
        <v>287066.0</v>
      </c>
      <c r="G76" s="139">
        <v>662314.0</v>
      </c>
      <c r="H76" s="38">
        <f t="shared" si="9"/>
        <v>0.2709620784</v>
      </c>
      <c r="I76" s="141" t="s">
        <v>3051</v>
      </c>
      <c r="J76" s="141">
        <v>55000.0</v>
      </c>
      <c r="K76" s="141" t="s">
        <v>3053</v>
      </c>
      <c r="L76" s="25"/>
      <c r="M76" s="25"/>
      <c r="N76" s="25"/>
      <c r="O76" s="143"/>
      <c r="P76" s="143"/>
      <c r="Q76" s="143"/>
      <c r="R76" s="143"/>
      <c r="S76" s="143"/>
      <c r="T76" s="143"/>
      <c r="U76" s="143"/>
      <c r="V76" s="143"/>
      <c r="W76" s="143"/>
      <c r="X76" s="143"/>
      <c r="Y76" s="143"/>
      <c r="Z76" s="143"/>
      <c r="AA76" s="143"/>
      <c r="AB76" s="143"/>
      <c r="AC76" s="143"/>
      <c r="AD76" s="143"/>
    </row>
    <row r="77">
      <c r="A77" s="137">
        <v>26.0</v>
      </c>
      <c r="B77" s="25" t="s">
        <v>1460</v>
      </c>
      <c r="C77" s="25" t="s">
        <v>835</v>
      </c>
      <c r="D77" s="25" t="s">
        <v>830</v>
      </c>
      <c r="E77" s="37">
        <v>525970.0</v>
      </c>
      <c r="F77" s="37">
        <v>804041.0</v>
      </c>
      <c r="G77" s="139">
        <v>662314.0</v>
      </c>
      <c r="H77" s="38">
        <f t="shared" si="9"/>
        <v>0.6541581835</v>
      </c>
      <c r="I77" s="141" t="s">
        <v>3051</v>
      </c>
      <c r="J77" s="141">
        <v>55000.0</v>
      </c>
      <c r="K77" s="141" t="s">
        <v>3054</v>
      </c>
      <c r="L77" s="25"/>
      <c r="M77" s="25"/>
      <c r="N77" s="25"/>
      <c r="O77" s="143"/>
      <c r="P77" s="143"/>
      <c r="Q77" s="143"/>
      <c r="R77" s="143"/>
      <c r="S77" s="143"/>
      <c r="T77" s="143"/>
      <c r="U77" s="143"/>
      <c r="V77" s="143"/>
      <c r="W77" s="143"/>
      <c r="X77" s="143"/>
      <c r="Y77" s="143"/>
      <c r="Z77" s="143"/>
      <c r="AA77" s="143"/>
      <c r="AB77" s="143"/>
      <c r="AC77" s="143"/>
      <c r="AD77" s="143"/>
    </row>
    <row r="78">
      <c r="A78" s="137">
        <v>26.0</v>
      </c>
      <c r="B78" s="25" t="s">
        <v>1460</v>
      </c>
      <c r="C78" s="25" t="s">
        <v>842</v>
      </c>
      <c r="D78" s="25" t="s">
        <v>830</v>
      </c>
      <c r="E78" s="37">
        <v>74.0</v>
      </c>
      <c r="F78" s="37">
        <v>72998.0</v>
      </c>
      <c r="G78" s="139">
        <v>662314.0</v>
      </c>
      <c r="H78" s="38">
        <f t="shared" si="9"/>
        <v>0.001013726403</v>
      </c>
      <c r="I78" s="141" t="s">
        <v>3051</v>
      </c>
      <c r="J78" s="141">
        <v>55000.0</v>
      </c>
      <c r="K78" s="141" t="s">
        <v>3055</v>
      </c>
      <c r="L78" s="25"/>
      <c r="M78" s="25"/>
      <c r="N78" s="25"/>
      <c r="O78" s="143"/>
      <c r="P78" s="143"/>
      <c r="Q78" s="143"/>
      <c r="R78" s="143"/>
      <c r="S78" s="143"/>
      <c r="T78" s="143"/>
      <c r="U78" s="143"/>
      <c r="V78" s="143"/>
      <c r="W78" s="143"/>
      <c r="X78" s="143"/>
      <c r="Y78" s="143"/>
      <c r="Z78" s="143"/>
      <c r="AA78" s="143"/>
      <c r="AB78" s="143"/>
      <c r="AC78" s="143"/>
      <c r="AD78" s="143"/>
    </row>
    <row r="79">
      <c r="A79" s="25"/>
      <c r="B79" s="25"/>
      <c r="C79" s="25"/>
      <c r="D79" s="25"/>
      <c r="E79" s="50"/>
      <c r="F79" s="144"/>
      <c r="G79" s="145"/>
      <c r="H79" s="38"/>
      <c r="I79" s="141"/>
      <c r="J79" s="141"/>
      <c r="K79" s="141"/>
      <c r="L79" s="25"/>
      <c r="M79" s="25"/>
      <c r="N79" s="25"/>
      <c r="O79" s="143"/>
      <c r="P79" s="143"/>
      <c r="Q79" s="143"/>
      <c r="R79" s="143"/>
      <c r="S79" s="143"/>
      <c r="T79" s="143"/>
      <c r="U79" s="143"/>
      <c r="V79" s="143"/>
      <c r="W79" s="143"/>
      <c r="X79" s="143"/>
      <c r="Y79" s="143"/>
      <c r="Z79" s="143"/>
      <c r="AA79" s="143"/>
      <c r="AB79" s="143"/>
      <c r="AC79" s="143"/>
      <c r="AD79" s="143"/>
    </row>
    <row r="80">
      <c r="A80" s="137">
        <v>27.0</v>
      </c>
      <c r="B80" s="25" t="s">
        <v>893</v>
      </c>
      <c r="C80" s="25" t="s">
        <v>898</v>
      </c>
      <c r="D80" s="25" t="s">
        <v>889</v>
      </c>
      <c r="E80" s="37">
        <v>1641.0</v>
      </c>
      <c r="F80" s="37">
        <v>603514.0</v>
      </c>
      <c r="G80" s="139">
        <v>656751.0</v>
      </c>
      <c r="H80" s="38">
        <f t="shared" ref="H80:H82" si="10">E80/F80</f>
        <v>0.002719075282</v>
      </c>
      <c r="I80" s="141" t="s">
        <v>3056</v>
      </c>
      <c r="J80" s="141">
        <v>59000.0</v>
      </c>
      <c r="K80" s="141" t="s">
        <v>3057</v>
      </c>
      <c r="L80" s="25"/>
      <c r="M80" s="25"/>
      <c r="N80" s="25"/>
      <c r="O80" s="143"/>
      <c r="P80" s="143"/>
      <c r="Q80" s="143"/>
      <c r="R80" s="143"/>
      <c r="S80" s="143"/>
      <c r="T80" s="143"/>
      <c r="U80" s="143"/>
      <c r="V80" s="143"/>
      <c r="W80" s="143"/>
      <c r="X80" s="143"/>
      <c r="Y80" s="143"/>
      <c r="Z80" s="143"/>
      <c r="AA80" s="143"/>
      <c r="AB80" s="143"/>
      <c r="AC80" s="143"/>
      <c r="AD80" s="143"/>
    </row>
    <row r="81">
      <c r="A81" s="137">
        <v>27.0</v>
      </c>
      <c r="B81" s="25" t="s">
        <v>893</v>
      </c>
      <c r="C81" s="25" t="s">
        <v>900</v>
      </c>
      <c r="D81" s="25" t="s">
        <v>889</v>
      </c>
      <c r="E81" s="37">
        <v>843.0</v>
      </c>
      <c r="F81" s="37">
        <v>421596.0</v>
      </c>
      <c r="G81" s="139">
        <v>656751.0</v>
      </c>
      <c r="H81" s="38">
        <f t="shared" si="10"/>
        <v>0.001999544588</v>
      </c>
      <c r="I81" s="141" t="s">
        <v>3056</v>
      </c>
      <c r="J81" s="141">
        <v>59000.0</v>
      </c>
      <c r="K81" s="141" t="s">
        <v>2988</v>
      </c>
      <c r="L81" s="25"/>
      <c r="M81" s="25"/>
      <c r="N81" s="25"/>
      <c r="O81" s="143"/>
      <c r="P81" s="143"/>
      <c r="Q81" s="143"/>
      <c r="R81" s="143"/>
      <c r="S81" s="143"/>
      <c r="T81" s="143"/>
      <c r="U81" s="143"/>
      <c r="V81" s="143"/>
      <c r="W81" s="143"/>
      <c r="X81" s="143"/>
      <c r="Y81" s="143"/>
      <c r="Z81" s="143"/>
      <c r="AA81" s="143"/>
      <c r="AB81" s="143"/>
      <c r="AC81" s="143"/>
      <c r="AD81" s="143"/>
    </row>
    <row r="82">
      <c r="A82" s="137">
        <v>27.0</v>
      </c>
      <c r="B82" s="25" t="s">
        <v>893</v>
      </c>
      <c r="C82" s="25" t="s">
        <v>895</v>
      </c>
      <c r="D82" s="25" t="s">
        <v>889</v>
      </c>
      <c r="E82" s="37">
        <v>650019.0</v>
      </c>
      <c r="F82" s="37">
        <v>815637.0</v>
      </c>
      <c r="G82" s="139">
        <v>656751.0</v>
      </c>
      <c r="H82" s="38">
        <f t="shared" si="10"/>
        <v>0.7969464357</v>
      </c>
      <c r="I82" s="141" t="s">
        <v>3056</v>
      </c>
      <c r="J82" s="141">
        <v>59000.0</v>
      </c>
      <c r="K82" s="141" t="s">
        <v>3058</v>
      </c>
      <c r="L82" s="25"/>
      <c r="M82" s="25"/>
      <c r="N82" s="25"/>
      <c r="O82" s="143"/>
      <c r="P82" s="143"/>
      <c r="Q82" s="143"/>
      <c r="R82" s="143"/>
      <c r="S82" s="143"/>
      <c r="T82" s="143"/>
      <c r="U82" s="143"/>
      <c r="V82" s="143"/>
      <c r="W82" s="143"/>
      <c r="X82" s="143"/>
      <c r="Y82" s="143"/>
      <c r="Z82" s="143"/>
      <c r="AA82" s="143"/>
      <c r="AB82" s="143"/>
      <c r="AC82" s="143"/>
      <c r="AD82" s="143"/>
    </row>
    <row r="83">
      <c r="A83" s="25"/>
      <c r="B83" s="25"/>
      <c r="C83" s="25"/>
      <c r="D83" s="25"/>
      <c r="E83" s="50"/>
      <c r="F83" s="144"/>
      <c r="G83" s="145"/>
      <c r="H83" s="38"/>
      <c r="I83" s="141"/>
      <c r="J83" s="141"/>
      <c r="K83" s="141"/>
      <c r="L83" s="25"/>
      <c r="M83" s="25"/>
      <c r="N83" s="25"/>
      <c r="O83" s="143"/>
      <c r="P83" s="143"/>
      <c r="Q83" s="143"/>
      <c r="R83" s="143"/>
      <c r="S83" s="143"/>
      <c r="T83" s="143"/>
      <c r="U83" s="143"/>
      <c r="V83" s="143"/>
      <c r="W83" s="143"/>
      <c r="X83" s="143"/>
      <c r="Y83" s="143"/>
      <c r="Z83" s="143"/>
      <c r="AA83" s="143"/>
      <c r="AB83" s="143"/>
      <c r="AC83" s="143"/>
      <c r="AD83" s="143"/>
    </row>
    <row r="84">
      <c r="A84" s="137">
        <v>28.0</v>
      </c>
      <c r="B84" s="25" t="s">
        <v>926</v>
      </c>
      <c r="C84" s="25" t="s">
        <v>928</v>
      </c>
      <c r="D84" s="25" t="s">
        <v>778</v>
      </c>
      <c r="E84" s="37">
        <v>633104.0</v>
      </c>
      <c r="F84" s="37">
        <v>936017.0</v>
      </c>
      <c r="G84" s="139">
        <v>649705.0</v>
      </c>
      <c r="H84" s="38">
        <f>E84/F84</f>
        <v>0.6763808777</v>
      </c>
      <c r="I84" s="141" t="s">
        <v>3046</v>
      </c>
      <c r="J84" s="141">
        <v>48000.0</v>
      </c>
      <c r="K84" s="141" t="s">
        <v>3005</v>
      </c>
      <c r="L84" s="25"/>
      <c r="M84" s="25"/>
      <c r="N84" s="25"/>
      <c r="O84" s="143"/>
      <c r="P84" s="143"/>
      <c r="Q84" s="143"/>
      <c r="R84" s="143"/>
      <c r="S84" s="143"/>
      <c r="T84" s="143"/>
      <c r="U84" s="143"/>
      <c r="V84" s="143"/>
      <c r="W84" s="143"/>
      <c r="X84" s="143"/>
      <c r="Y84" s="143"/>
      <c r="Z84" s="143"/>
      <c r="AA84" s="143"/>
      <c r="AB84" s="143"/>
      <c r="AC84" s="143"/>
      <c r="AD84" s="143"/>
    </row>
    <row r="85">
      <c r="A85" s="25"/>
      <c r="B85" s="25"/>
      <c r="C85" s="25"/>
      <c r="D85" s="25"/>
      <c r="E85" s="50"/>
      <c r="F85" s="144"/>
      <c r="G85" s="145"/>
      <c r="H85" s="38"/>
      <c r="I85" s="141"/>
      <c r="J85" s="141"/>
      <c r="K85" s="141"/>
      <c r="L85" s="25"/>
      <c r="M85" s="25"/>
      <c r="N85" s="25"/>
      <c r="O85" s="143"/>
      <c r="P85" s="143"/>
      <c r="Q85" s="143"/>
      <c r="R85" s="143"/>
      <c r="S85" s="143"/>
      <c r="T85" s="143"/>
      <c r="U85" s="143"/>
      <c r="V85" s="143"/>
      <c r="W85" s="143"/>
      <c r="X85" s="143"/>
      <c r="Y85" s="143"/>
      <c r="Z85" s="143"/>
      <c r="AA85" s="143"/>
      <c r="AB85" s="143"/>
      <c r="AC85" s="143"/>
      <c r="AD85" s="143"/>
    </row>
    <row r="86">
      <c r="A86" s="137">
        <v>29.0</v>
      </c>
      <c r="B86" s="25" t="s">
        <v>2976</v>
      </c>
      <c r="C86" s="25" t="s">
        <v>944</v>
      </c>
      <c r="D86" s="25" t="s">
        <v>937</v>
      </c>
      <c r="E86" s="37">
        <v>246161.0</v>
      </c>
      <c r="F86" s="37">
        <v>767452.0</v>
      </c>
      <c r="G86" s="139">
        <v>618338.0</v>
      </c>
      <c r="H86" s="38">
        <f>E86/F86</f>
        <v>0.3207510046</v>
      </c>
      <c r="I86" s="141" t="s">
        <v>3059</v>
      </c>
      <c r="J86" s="141">
        <v>48000.0</v>
      </c>
      <c r="K86" s="141" t="s">
        <v>3060</v>
      </c>
      <c r="L86" s="25"/>
      <c r="M86" s="25"/>
      <c r="N86" s="25"/>
      <c r="O86" s="143"/>
      <c r="P86" s="143"/>
      <c r="Q86" s="143"/>
      <c r="R86" s="143"/>
      <c r="S86" s="143"/>
      <c r="T86" s="143"/>
      <c r="U86" s="143"/>
      <c r="V86" s="143"/>
      <c r="W86" s="143"/>
      <c r="X86" s="143"/>
      <c r="Y86" s="143"/>
      <c r="Z86" s="143"/>
      <c r="AA86" s="143"/>
      <c r="AB86" s="143"/>
      <c r="AC86" s="143"/>
      <c r="AD86" s="143"/>
    </row>
    <row r="87">
      <c r="A87" s="25"/>
      <c r="B87" s="25"/>
      <c r="C87" s="25"/>
      <c r="D87" s="25"/>
      <c r="E87" s="50"/>
      <c r="F87" s="144"/>
      <c r="G87" s="145"/>
      <c r="H87" s="38"/>
      <c r="I87" s="141"/>
      <c r="J87" s="141"/>
      <c r="K87" s="141"/>
      <c r="L87" s="25"/>
      <c r="M87" s="25"/>
      <c r="N87" s="25"/>
      <c r="O87" s="143"/>
      <c r="P87" s="143"/>
      <c r="Q87" s="143"/>
      <c r="R87" s="143"/>
      <c r="S87" s="143"/>
      <c r="T87" s="143"/>
      <c r="U87" s="143"/>
      <c r="V87" s="143"/>
      <c r="W87" s="143"/>
      <c r="X87" s="143"/>
      <c r="Y87" s="143"/>
      <c r="Z87" s="143"/>
      <c r="AA87" s="143"/>
      <c r="AB87" s="143"/>
      <c r="AC87" s="143"/>
      <c r="AD87" s="143"/>
    </row>
    <row r="88">
      <c r="A88" s="137">
        <v>30.0</v>
      </c>
      <c r="B88" s="25" t="s">
        <v>955</v>
      </c>
      <c r="C88" s="25" t="s">
        <v>958</v>
      </c>
      <c r="D88" s="25" t="s">
        <v>951</v>
      </c>
      <c r="E88" s="37">
        <v>577222.0</v>
      </c>
      <c r="F88" s="37">
        <v>945016.0</v>
      </c>
      <c r="G88" s="139">
        <v>589067.0</v>
      </c>
      <c r="H88" s="38">
        <f t="shared" ref="H88:H90" si="11">E88/F88</f>
        <v>0.6108065895</v>
      </c>
      <c r="I88" s="141" t="s">
        <v>3061</v>
      </c>
      <c r="J88" s="141">
        <v>53000.0</v>
      </c>
      <c r="K88" s="141" t="s">
        <v>3062</v>
      </c>
      <c r="L88" s="25"/>
      <c r="M88" s="25"/>
      <c r="N88" s="25"/>
      <c r="O88" s="143"/>
      <c r="P88" s="143"/>
      <c r="Q88" s="143"/>
      <c r="R88" s="143"/>
      <c r="S88" s="143"/>
      <c r="T88" s="143"/>
      <c r="U88" s="143"/>
      <c r="V88" s="143"/>
      <c r="W88" s="143"/>
      <c r="X88" s="143"/>
      <c r="Y88" s="143"/>
      <c r="Z88" s="143"/>
      <c r="AA88" s="143"/>
      <c r="AB88" s="143"/>
      <c r="AC88" s="143"/>
      <c r="AD88" s="143"/>
    </row>
    <row r="89">
      <c r="A89" s="137">
        <v>30.0</v>
      </c>
      <c r="B89" s="25" t="s">
        <v>955</v>
      </c>
      <c r="C89" s="25" t="s">
        <v>898</v>
      </c>
      <c r="D89" s="25" t="s">
        <v>951</v>
      </c>
      <c r="E89" s="37">
        <v>0.0</v>
      </c>
      <c r="F89" s="37">
        <v>136445.0</v>
      </c>
      <c r="G89" s="139">
        <v>589067.0</v>
      </c>
      <c r="H89" s="38">
        <f t="shared" si="11"/>
        <v>0</v>
      </c>
      <c r="I89" s="141" t="s">
        <v>3061</v>
      </c>
      <c r="J89" s="141">
        <v>53000.0</v>
      </c>
      <c r="K89" s="141" t="s">
        <v>3063</v>
      </c>
      <c r="L89" s="25"/>
      <c r="M89" s="25"/>
      <c r="N89" s="25"/>
      <c r="O89" s="143"/>
      <c r="P89" s="143"/>
      <c r="Q89" s="143"/>
      <c r="R89" s="143"/>
      <c r="S89" s="143"/>
      <c r="T89" s="143"/>
      <c r="U89" s="143"/>
      <c r="V89" s="143"/>
      <c r="W89" s="143"/>
      <c r="X89" s="143"/>
      <c r="Y89" s="143"/>
      <c r="Z89" s="143"/>
      <c r="AA89" s="143"/>
      <c r="AB89" s="143"/>
      <c r="AC89" s="143"/>
      <c r="AD89" s="143"/>
    </row>
    <row r="90">
      <c r="A90" s="137">
        <v>30.0</v>
      </c>
      <c r="B90" s="25" t="s">
        <v>955</v>
      </c>
      <c r="C90" s="25" t="s">
        <v>2977</v>
      </c>
      <c r="D90" s="25" t="s">
        <v>951</v>
      </c>
      <c r="E90" s="37">
        <v>0.0</v>
      </c>
      <c r="F90" s="37">
        <v>406172.0</v>
      </c>
      <c r="G90" s="139">
        <v>589067.0</v>
      </c>
      <c r="H90" s="38">
        <f t="shared" si="11"/>
        <v>0</v>
      </c>
      <c r="I90" s="141" t="s">
        <v>3061</v>
      </c>
      <c r="J90" s="141">
        <v>53000.0</v>
      </c>
      <c r="K90" s="141" t="s">
        <v>3064</v>
      </c>
      <c r="L90" s="25"/>
      <c r="M90" s="25"/>
      <c r="N90" s="25"/>
      <c r="O90" s="143"/>
      <c r="P90" s="143"/>
      <c r="Q90" s="143"/>
      <c r="R90" s="143"/>
      <c r="S90" s="143"/>
      <c r="T90" s="143"/>
      <c r="U90" s="143"/>
      <c r="V90" s="143"/>
      <c r="W90" s="143"/>
      <c r="X90" s="143"/>
      <c r="Y90" s="143"/>
      <c r="Z90" s="143"/>
      <c r="AA90" s="143"/>
      <c r="AB90" s="143"/>
      <c r="AC90" s="143"/>
      <c r="AD90" s="143"/>
    </row>
    <row r="91">
      <c r="A91" s="25"/>
      <c r="B91" s="25"/>
      <c r="C91" s="25"/>
      <c r="D91" s="25"/>
      <c r="E91" s="50"/>
      <c r="F91" s="144"/>
      <c r="G91" s="145"/>
      <c r="H91" s="38"/>
      <c r="I91" s="141"/>
      <c r="J91" s="141"/>
      <c r="K91" s="141"/>
      <c r="L91" s="25"/>
      <c r="M91" s="25"/>
      <c r="N91" s="25"/>
      <c r="O91" s="143"/>
      <c r="P91" s="143"/>
      <c r="Q91" s="143"/>
      <c r="R91" s="143"/>
      <c r="S91" s="143"/>
      <c r="T91" s="143"/>
      <c r="U91" s="143"/>
      <c r="V91" s="143"/>
      <c r="W91" s="143"/>
      <c r="X91" s="143"/>
      <c r="Y91" s="143"/>
      <c r="Z91" s="143"/>
      <c r="AA91" s="143"/>
      <c r="AB91" s="143"/>
      <c r="AC91" s="143"/>
      <c r="AD91" s="143"/>
    </row>
    <row r="92">
      <c r="A92" s="137">
        <v>31.0</v>
      </c>
      <c r="B92" s="25" t="s">
        <v>970</v>
      </c>
      <c r="C92" s="25" t="s">
        <v>3065</v>
      </c>
      <c r="D92" s="25" t="s">
        <v>967</v>
      </c>
      <c r="E92" s="37">
        <v>585708.0</v>
      </c>
      <c r="F92" s="37">
        <v>826017.0</v>
      </c>
      <c r="G92" s="139">
        <v>586131.0</v>
      </c>
      <c r="H92" s="38">
        <f>E92/F92</f>
        <v>0.7090749948</v>
      </c>
      <c r="I92" s="141" t="s">
        <v>3066</v>
      </c>
      <c r="J92" s="141">
        <v>4000.0</v>
      </c>
      <c r="K92" s="141" t="s">
        <v>3067</v>
      </c>
      <c r="L92" s="25"/>
      <c r="M92" s="25"/>
      <c r="N92" s="25"/>
      <c r="O92" s="143"/>
      <c r="P92" s="143"/>
      <c r="Q92" s="143"/>
      <c r="R92" s="143"/>
      <c r="S92" s="143"/>
      <c r="T92" s="143"/>
      <c r="U92" s="143"/>
      <c r="V92" s="143"/>
      <c r="W92" s="143"/>
      <c r="X92" s="143"/>
      <c r="Y92" s="143"/>
      <c r="Z92" s="143"/>
      <c r="AA92" s="143"/>
      <c r="AB92" s="143"/>
      <c r="AC92" s="143"/>
      <c r="AD92" s="143"/>
    </row>
    <row r="93">
      <c r="A93" s="25"/>
      <c r="B93" s="25"/>
      <c r="C93" s="25"/>
      <c r="D93" s="25"/>
      <c r="E93" s="50"/>
      <c r="F93" s="144"/>
      <c r="G93" s="145"/>
      <c r="H93" s="38"/>
      <c r="I93" s="141"/>
      <c r="J93" s="141"/>
      <c r="K93" s="141"/>
      <c r="L93" s="25"/>
      <c r="M93" s="25"/>
      <c r="N93" s="25"/>
      <c r="O93" s="143"/>
      <c r="P93" s="143"/>
      <c r="Q93" s="143"/>
      <c r="R93" s="143"/>
      <c r="S93" s="143"/>
      <c r="T93" s="143"/>
      <c r="U93" s="143"/>
      <c r="V93" s="143"/>
      <c r="W93" s="143"/>
      <c r="X93" s="143"/>
      <c r="Y93" s="143"/>
      <c r="Z93" s="143"/>
      <c r="AA93" s="143"/>
      <c r="AB93" s="143"/>
      <c r="AC93" s="143"/>
      <c r="AD93" s="143"/>
    </row>
    <row r="94">
      <c r="A94" s="137">
        <v>32.0</v>
      </c>
      <c r="B94" s="25" t="s">
        <v>985</v>
      </c>
      <c r="C94" s="25" t="s">
        <v>987</v>
      </c>
      <c r="D94" s="25" t="s">
        <v>981</v>
      </c>
      <c r="E94" s="37">
        <v>564559.0</v>
      </c>
      <c r="F94" s="37">
        <v>681666.0</v>
      </c>
      <c r="G94" s="139">
        <v>562540.0</v>
      </c>
      <c r="H94" s="38">
        <f>E94/F94</f>
        <v>0.828204722</v>
      </c>
      <c r="I94" s="141" t="s">
        <v>3068</v>
      </c>
      <c r="J94" s="141">
        <v>2000.0</v>
      </c>
      <c r="K94" s="141" t="s">
        <v>3069</v>
      </c>
      <c r="L94" s="25"/>
      <c r="M94" s="25"/>
      <c r="N94" s="25"/>
      <c r="O94" s="143"/>
      <c r="P94" s="143"/>
      <c r="Q94" s="143"/>
      <c r="R94" s="143"/>
      <c r="S94" s="143"/>
      <c r="T94" s="143"/>
      <c r="U94" s="143"/>
      <c r="V94" s="143"/>
      <c r="W94" s="143"/>
      <c r="X94" s="143"/>
      <c r="Y94" s="143"/>
      <c r="Z94" s="143"/>
      <c r="AA94" s="143"/>
      <c r="AB94" s="143"/>
      <c r="AC94" s="143"/>
      <c r="AD94" s="143"/>
    </row>
    <row r="95">
      <c r="A95" s="25"/>
      <c r="B95" s="25"/>
      <c r="C95" s="25"/>
      <c r="D95" s="25"/>
      <c r="E95" s="50"/>
      <c r="F95" s="144"/>
      <c r="G95" s="145"/>
      <c r="H95" s="38"/>
      <c r="I95" s="141"/>
      <c r="J95" s="141"/>
      <c r="K95" s="141"/>
      <c r="L95" s="25"/>
      <c r="M95" s="25"/>
      <c r="N95" s="25"/>
      <c r="O95" s="143"/>
      <c r="P95" s="143"/>
      <c r="Q95" s="143"/>
      <c r="R95" s="143"/>
      <c r="S95" s="143"/>
      <c r="T95" s="143"/>
      <c r="U95" s="143"/>
      <c r="V95" s="143"/>
      <c r="W95" s="143"/>
      <c r="X95" s="143"/>
      <c r="Y95" s="143"/>
      <c r="Z95" s="143"/>
      <c r="AA95" s="143"/>
      <c r="AB95" s="143"/>
      <c r="AC95" s="143"/>
      <c r="AD95" s="143"/>
    </row>
    <row r="96">
      <c r="A96" s="137">
        <v>33.0</v>
      </c>
      <c r="B96" s="25" t="s">
        <v>992</v>
      </c>
      <c r="C96" s="25" t="s">
        <v>995</v>
      </c>
      <c r="D96" s="25" t="s">
        <v>161</v>
      </c>
      <c r="E96" s="37">
        <v>542629.0</v>
      </c>
      <c r="F96" s="37">
        <v>1061175.0</v>
      </c>
      <c r="G96" s="139">
        <v>553571.0</v>
      </c>
      <c r="H96" s="38">
        <f>E96/F96</f>
        <v>0.5113473273</v>
      </c>
      <c r="I96" s="141" t="s">
        <v>3006</v>
      </c>
      <c r="J96" s="141">
        <v>77000.0</v>
      </c>
      <c r="K96" s="141" t="s">
        <v>3070</v>
      </c>
      <c r="L96" s="25"/>
      <c r="M96" s="25"/>
      <c r="N96" s="25"/>
      <c r="O96" s="143"/>
      <c r="P96" s="143"/>
      <c r="Q96" s="143"/>
      <c r="R96" s="143"/>
      <c r="S96" s="143"/>
      <c r="T96" s="143"/>
      <c r="U96" s="143"/>
      <c r="V96" s="143"/>
      <c r="W96" s="143"/>
      <c r="X96" s="143"/>
      <c r="Y96" s="143"/>
      <c r="Z96" s="143"/>
      <c r="AA96" s="143"/>
      <c r="AB96" s="143"/>
      <c r="AC96" s="143"/>
      <c r="AD96" s="143"/>
    </row>
    <row r="97">
      <c r="A97" s="25"/>
      <c r="B97" s="25"/>
      <c r="C97" s="25"/>
      <c r="D97" s="25"/>
      <c r="E97" s="50"/>
      <c r="F97" s="144"/>
      <c r="G97" s="145"/>
      <c r="H97" s="38"/>
      <c r="I97" s="141"/>
      <c r="J97" s="141"/>
      <c r="K97" s="141"/>
      <c r="L97" s="25"/>
      <c r="M97" s="25"/>
      <c r="N97" s="25"/>
      <c r="O97" s="143"/>
      <c r="P97" s="143"/>
      <c r="Q97" s="143"/>
      <c r="R97" s="143"/>
      <c r="S97" s="143"/>
      <c r="T97" s="143"/>
      <c r="U97" s="143"/>
      <c r="V97" s="143"/>
      <c r="W97" s="143"/>
      <c r="X97" s="143"/>
      <c r="Y97" s="143"/>
      <c r="Z97" s="143"/>
      <c r="AA97" s="143"/>
      <c r="AB97" s="143"/>
      <c r="AC97" s="143"/>
      <c r="AD97" s="143"/>
    </row>
    <row r="98">
      <c r="A98" s="137">
        <v>34.0</v>
      </c>
      <c r="B98" s="25" t="s">
        <v>1001</v>
      </c>
      <c r="C98" s="25" t="s">
        <v>1003</v>
      </c>
      <c r="D98" s="25" t="s">
        <v>36</v>
      </c>
      <c r="E98" s="37">
        <v>542107.0</v>
      </c>
      <c r="F98" s="37">
        <v>1000918.0</v>
      </c>
      <c r="G98" s="139">
        <v>530267.0</v>
      </c>
      <c r="H98" s="38">
        <f>E98/F98</f>
        <v>0.5416098022</v>
      </c>
      <c r="I98" s="141" t="s">
        <v>2994</v>
      </c>
      <c r="J98" s="141">
        <v>27000.0</v>
      </c>
      <c r="K98" s="141" t="s">
        <v>3070</v>
      </c>
      <c r="L98" s="25"/>
      <c r="M98" s="25"/>
      <c r="N98" s="25"/>
      <c r="O98" s="143"/>
      <c r="P98" s="143"/>
      <c r="Q98" s="143"/>
      <c r="R98" s="143"/>
      <c r="S98" s="143"/>
      <c r="T98" s="143"/>
      <c r="U98" s="143"/>
      <c r="V98" s="143"/>
      <c r="W98" s="143"/>
      <c r="X98" s="143"/>
      <c r="Y98" s="143"/>
      <c r="Z98" s="143"/>
      <c r="AA98" s="143"/>
      <c r="AB98" s="143"/>
      <c r="AC98" s="143"/>
      <c r="AD98" s="143"/>
    </row>
    <row r="99">
      <c r="A99" s="25"/>
      <c r="B99" s="25"/>
      <c r="C99" s="25"/>
      <c r="D99" s="25"/>
      <c r="E99" s="50"/>
      <c r="F99" s="144"/>
      <c r="G99" s="145"/>
      <c r="H99" s="38"/>
      <c r="I99" s="141"/>
      <c r="J99" s="141"/>
      <c r="K99" s="141"/>
      <c r="L99" s="25"/>
      <c r="M99" s="25"/>
      <c r="N99" s="25"/>
      <c r="O99" s="143"/>
      <c r="P99" s="143"/>
      <c r="Q99" s="143"/>
      <c r="R99" s="143"/>
      <c r="S99" s="143"/>
      <c r="T99" s="143"/>
      <c r="U99" s="143"/>
      <c r="V99" s="143"/>
      <c r="W99" s="143"/>
      <c r="X99" s="143"/>
      <c r="Y99" s="143"/>
      <c r="Z99" s="143"/>
      <c r="AA99" s="143"/>
      <c r="AB99" s="143"/>
      <c r="AC99" s="143"/>
      <c r="AD99" s="143"/>
    </row>
    <row r="100">
      <c r="A100" s="137">
        <v>35.0</v>
      </c>
      <c r="B100" s="25" t="s">
        <v>1025</v>
      </c>
      <c r="C100" s="25" t="s">
        <v>167</v>
      </c>
      <c r="D100" s="25" t="s">
        <v>161</v>
      </c>
      <c r="E100" s="37">
        <v>504258.0</v>
      </c>
      <c r="F100" s="37">
        <v>4579081.0</v>
      </c>
      <c r="G100" s="139">
        <v>528159.0</v>
      </c>
      <c r="H100" s="38">
        <f>E100/F100</f>
        <v>0.1101220966</v>
      </c>
      <c r="I100" s="141" t="s">
        <v>3006</v>
      </c>
      <c r="J100" s="141">
        <v>46000.0</v>
      </c>
      <c r="K100" s="141" t="s">
        <v>3007</v>
      </c>
      <c r="L100" s="25"/>
      <c r="M100" s="25"/>
      <c r="N100" s="25"/>
      <c r="O100" s="143"/>
      <c r="P100" s="143"/>
      <c r="Q100" s="143"/>
      <c r="R100" s="143"/>
      <c r="S100" s="143"/>
      <c r="T100" s="143"/>
      <c r="U100" s="143"/>
      <c r="V100" s="143"/>
      <c r="W100" s="143"/>
      <c r="X100" s="143"/>
      <c r="Y100" s="143"/>
      <c r="Z100" s="143"/>
      <c r="AA100" s="143"/>
      <c r="AB100" s="143"/>
      <c r="AC100" s="143"/>
      <c r="AD100" s="143"/>
    </row>
    <row r="101">
      <c r="A101" s="25"/>
      <c r="B101" s="25"/>
      <c r="C101" s="25"/>
      <c r="D101" s="25"/>
      <c r="E101" s="50"/>
      <c r="F101" s="144"/>
      <c r="G101" s="145"/>
      <c r="H101" s="38"/>
      <c r="I101" s="141"/>
      <c r="J101" s="141"/>
      <c r="K101" s="141"/>
      <c r="L101" s="25"/>
      <c r="M101" s="25"/>
      <c r="N101" s="25"/>
      <c r="O101" s="143"/>
      <c r="P101" s="143"/>
      <c r="Q101" s="143"/>
      <c r="R101" s="143"/>
      <c r="S101" s="143"/>
      <c r="T101" s="143"/>
      <c r="U101" s="143"/>
      <c r="V101" s="143"/>
      <c r="W101" s="143"/>
      <c r="X101" s="143"/>
      <c r="Y101" s="143"/>
      <c r="Z101" s="143"/>
      <c r="AA101" s="143"/>
      <c r="AB101" s="143"/>
      <c r="AC101" s="143"/>
      <c r="AD101" s="143"/>
    </row>
    <row r="102">
      <c r="A102" s="137">
        <v>36.0</v>
      </c>
      <c r="B102" s="25" t="s">
        <v>1038</v>
      </c>
      <c r="C102" s="25" t="s">
        <v>1041</v>
      </c>
      <c r="D102" s="25" t="s">
        <v>36</v>
      </c>
      <c r="E102" s="37">
        <v>524943.0</v>
      </c>
      <c r="F102" s="37">
        <v>1559146.0</v>
      </c>
      <c r="G102" s="139">
        <v>512838.0</v>
      </c>
      <c r="H102" s="38">
        <f>E102/F102</f>
        <v>0.3366862372</v>
      </c>
      <c r="I102" s="141" t="s">
        <v>2994</v>
      </c>
      <c r="J102" s="141">
        <v>64000.0</v>
      </c>
      <c r="K102" s="141" t="s">
        <v>3057</v>
      </c>
      <c r="L102" s="25"/>
      <c r="M102" s="25"/>
      <c r="N102" s="25"/>
      <c r="O102" s="143"/>
      <c r="P102" s="143"/>
      <c r="Q102" s="143"/>
      <c r="R102" s="143"/>
      <c r="S102" s="143"/>
      <c r="T102" s="143"/>
      <c r="U102" s="143"/>
      <c r="V102" s="143"/>
      <c r="W102" s="143"/>
      <c r="X102" s="143"/>
      <c r="Y102" s="143"/>
      <c r="Z102" s="143"/>
      <c r="AA102" s="143"/>
      <c r="AB102" s="143"/>
      <c r="AC102" s="143"/>
      <c r="AD102" s="143"/>
    </row>
    <row r="103">
      <c r="A103" s="25"/>
      <c r="B103" s="25"/>
      <c r="C103" s="25"/>
      <c r="D103" s="25"/>
      <c r="E103" s="50"/>
      <c r="F103" s="144"/>
      <c r="G103" s="145"/>
      <c r="H103" s="38"/>
      <c r="I103" s="141"/>
      <c r="J103" s="141"/>
      <c r="K103" s="141"/>
      <c r="L103" s="25"/>
      <c r="M103" s="25"/>
      <c r="N103" s="25"/>
      <c r="O103" s="143"/>
      <c r="P103" s="143"/>
      <c r="Q103" s="143"/>
      <c r="R103" s="143"/>
      <c r="S103" s="143"/>
      <c r="T103" s="143"/>
      <c r="U103" s="143"/>
      <c r="V103" s="143"/>
      <c r="W103" s="143"/>
      <c r="X103" s="143"/>
      <c r="Y103" s="143"/>
      <c r="Z103" s="143"/>
      <c r="AA103" s="143"/>
      <c r="AB103" s="143"/>
      <c r="AC103" s="143"/>
      <c r="AD103" s="143"/>
    </row>
    <row r="104">
      <c r="A104" s="137">
        <v>37.0</v>
      </c>
      <c r="B104" s="25" t="s">
        <v>1080</v>
      </c>
      <c r="C104" s="25" t="s">
        <v>1086</v>
      </c>
      <c r="D104" s="25" t="s">
        <v>406</v>
      </c>
      <c r="E104" s="37">
        <v>40020.0</v>
      </c>
      <c r="F104" s="37">
        <v>762009.0</v>
      </c>
      <c r="G104" s="139">
        <v>512550.0</v>
      </c>
      <c r="H104" s="38">
        <f t="shared" ref="H104:H105" si="12">E104/F104</f>
        <v>0.05251906474</v>
      </c>
      <c r="I104" s="141" t="s">
        <v>3071</v>
      </c>
      <c r="J104" s="141">
        <v>4000.0</v>
      </c>
      <c r="K104" s="141" t="s">
        <v>3072</v>
      </c>
      <c r="L104" s="25"/>
      <c r="M104" s="25"/>
      <c r="N104" s="25"/>
      <c r="O104" s="143"/>
      <c r="P104" s="143"/>
      <c r="Q104" s="143"/>
      <c r="R104" s="143"/>
      <c r="S104" s="143"/>
      <c r="T104" s="143"/>
      <c r="U104" s="143"/>
      <c r="V104" s="143"/>
      <c r="W104" s="143"/>
      <c r="X104" s="143"/>
      <c r="Y104" s="143"/>
      <c r="Z104" s="143"/>
      <c r="AA104" s="143"/>
      <c r="AB104" s="143"/>
      <c r="AC104" s="143"/>
      <c r="AD104" s="143"/>
    </row>
    <row r="105">
      <c r="A105" s="137">
        <v>37.0</v>
      </c>
      <c r="B105" s="25" t="s">
        <v>1080</v>
      </c>
      <c r="C105" s="25" t="s">
        <v>1083</v>
      </c>
      <c r="D105" s="25" t="s">
        <v>406</v>
      </c>
      <c r="E105" s="37">
        <v>458695.0</v>
      </c>
      <c r="F105" s="37">
        <v>1077402.0</v>
      </c>
      <c r="G105" s="139">
        <v>512550.0</v>
      </c>
      <c r="H105" s="38">
        <f t="shared" si="12"/>
        <v>0.425741738</v>
      </c>
      <c r="I105" s="141" t="s">
        <v>3071</v>
      </c>
      <c r="J105" s="141">
        <v>4000.0</v>
      </c>
      <c r="K105" s="141" t="s">
        <v>3014</v>
      </c>
      <c r="L105" s="25"/>
      <c r="M105" s="25"/>
      <c r="N105" s="25"/>
      <c r="O105" s="143"/>
      <c r="P105" s="143"/>
      <c r="Q105" s="143"/>
      <c r="R105" s="143"/>
      <c r="S105" s="143"/>
      <c r="T105" s="143"/>
      <c r="U105" s="143"/>
      <c r="V105" s="143"/>
      <c r="W105" s="143"/>
      <c r="X105" s="143"/>
      <c r="Y105" s="143"/>
      <c r="Z105" s="143"/>
      <c r="AA105" s="143"/>
      <c r="AB105" s="143"/>
      <c r="AC105" s="143"/>
      <c r="AD105" s="143"/>
    </row>
    <row r="106">
      <c r="A106" s="25"/>
      <c r="B106" s="25"/>
      <c r="C106" s="25"/>
      <c r="D106" s="25"/>
      <c r="E106" s="50"/>
      <c r="F106" s="144"/>
      <c r="G106" s="145"/>
      <c r="H106" s="38"/>
      <c r="I106" s="141"/>
      <c r="J106" s="141"/>
      <c r="K106" s="141"/>
      <c r="L106" s="25"/>
      <c r="M106" s="25"/>
      <c r="N106" s="25"/>
      <c r="O106" s="143"/>
      <c r="P106" s="143"/>
      <c r="Q106" s="143"/>
      <c r="R106" s="143"/>
      <c r="S106" s="143"/>
      <c r="T106" s="143"/>
      <c r="U106" s="143"/>
      <c r="V106" s="143"/>
      <c r="W106" s="143"/>
      <c r="X106" s="143"/>
      <c r="Y106" s="143"/>
      <c r="Z106" s="143"/>
      <c r="AA106" s="143"/>
      <c r="AB106" s="143"/>
      <c r="AC106" s="143"/>
      <c r="AD106" s="143"/>
    </row>
    <row r="107">
      <c r="A107" s="137">
        <v>38.0</v>
      </c>
      <c r="B107" s="25" t="s">
        <v>2525</v>
      </c>
      <c r="C107" s="25" t="s">
        <v>1109</v>
      </c>
      <c r="D107" s="25" t="s">
        <v>1098</v>
      </c>
      <c r="E107" s="37">
        <v>104.0</v>
      </c>
      <c r="F107" s="37">
        <v>106806.0</v>
      </c>
      <c r="G107" s="139">
        <v>497159.0</v>
      </c>
      <c r="H107" s="38">
        <f t="shared" ref="H107:H110" si="13">E107/F107</f>
        <v>0.0009737280677</v>
      </c>
      <c r="I107" s="141" t="s">
        <v>3073</v>
      </c>
      <c r="J107" s="141">
        <v>38000.0</v>
      </c>
      <c r="K107" s="141" t="s">
        <v>2995</v>
      </c>
      <c r="L107" s="25"/>
      <c r="M107" s="25"/>
      <c r="N107" s="25"/>
      <c r="O107" s="143"/>
      <c r="P107" s="143"/>
      <c r="Q107" s="143"/>
      <c r="R107" s="143"/>
      <c r="S107" s="143"/>
      <c r="T107" s="143"/>
      <c r="U107" s="143"/>
      <c r="V107" s="143"/>
      <c r="W107" s="143"/>
      <c r="X107" s="143"/>
      <c r="Y107" s="143"/>
      <c r="Z107" s="143"/>
      <c r="AA107" s="143"/>
      <c r="AB107" s="143"/>
      <c r="AC107" s="143"/>
      <c r="AD107" s="143"/>
    </row>
    <row r="108">
      <c r="A108" s="137">
        <v>38.0</v>
      </c>
      <c r="B108" s="25" t="s">
        <v>2525</v>
      </c>
      <c r="C108" s="25" t="s">
        <v>1105</v>
      </c>
      <c r="D108" s="25" t="s">
        <v>1098</v>
      </c>
      <c r="E108" s="37">
        <v>138178.0</v>
      </c>
      <c r="F108" s="37">
        <v>253463.0</v>
      </c>
      <c r="G108" s="139">
        <v>497159.0</v>
      </c>
      <c r="H108" s="38">
        <f t="shared" si="13"/>
        <v>0.5451604376</v>
      </c>
      <c r="I108" s="141" t="s">
        <v>3073</v>
      </c>
      <c r="J108" s="141">
        <v>38000.0</v>
      </c>
      <c r="K108" s="141" t="s">
        <v>2993</v>
      </c>
      <c r="L108" s="25"/>
      <c r="M108" s="25"/>
      <c r="N108" s="25"/>
      <c r="O108" s="143"/>
      <c r="P108" s="143"/>
      <c r="Q108" s="143"/>
      <c r="R108" s="143"/>
      <c r="S108" s="143"/>
      <c r="T108" s="143"/>
      <c r="U108" s="143"/>
      <c r="V108" s="143"/>
      <c r="W108" s="143"/>
      <c r="X108" s="143"/>
      <c r="Y108" s="143"/>
      <c r="Z108" s="143"/>
      <c r="AA108" s="143"/>
      <c r="AB108" s="143"/>
      <c r="AC108" s="143"/>
      <c r="AD108" s="143"/>
    </row>
    <row r="109">
      <c r="A109" s="137">
        <v>38.0</v>
      </c>
      <c r="B109" s="25" t="s">
        <v>2525</v>
      </c>
      <c r="C109" s="25" t="s">
        <v>1103</v>
      </c>
      <c r="D109" s="25" t="s">
        <v>1098</v>
      </c>
      <c r="E109" s="37">
        <v>316456.0</v>
      </c>
      <c r="F109" s="37">
        <v>705925.0</v>
      </c>
      <c r="G109" s="139">
        <v>497159.0</v>
      </c>
      <c r="H109" s="38">
        <f t="shared" si="13"/>
        <v>0.4482855827</v>
      </c>
      <c r="I109" s="141" t="s">
        <v>3073</v>
      </c>
      <c r="J109" s="141">
        <v>38000.0</v>
      </c>
      <c r="K109" s="141" t="s">
        <v>3074</v>
      </c>
      <c r="L109" s="25"/>
      <c r="M109" s="25"/>
      <c r="N109" s="25"/>
      <c r="O109" s="143"/>
      <c r="P109" s="143"/>
      <c r="Q109" s="143"/>
      <c r="R109" s="143"/>
      <c r="S109" s="143"/>
      <c r="T109" s="143"/>
      <c r="U109" s="143"/>
      <c r="V109" s="143"/>
      <c r="W109" s="143"/>
      <c r="X109" s="143"/>
      <c r="Y109" s="143"/>
      <c r="Z109" s="143"/>
      <c r="AA109" s="143"/>
      <c r="AB109" s="143"/>
      <c r="AC109" s="143"/>
      <c r="AD109" s="143"/>
    </row>
    <row r="110">
      <c r="A110" s="137">
        <v>38.0</v>
      </c>
      <c r="B110" s="25" t="s">
        <v>2525</v>
      </c>
      <c r="C110" s="25" t="s">
        <v>1107</v>
      </c>
      <c r="D110" s="25" t="s">
        <v>1098</v>
      </c>
      <c r="E110" s="37">
        <v>53352.0</v>
      </c>
      <c r="F110" s="37">
        <v>106532.0</v>
      </c>
      <c r="G110" s="139">
        <v>497159.0</v>
      </c>
      <c r="H110" s="38">
        <f t="shared" si="13"/>
        <v>0.5008072692</v>
      </c>
      <c r="I110" s="141" t="s">
        <v>3073</v>
      </c>
      <c r="J110" s="141">
        <v>38000.0</v>
      </c>
      <c r="K110" s="141" t="s">
        <v>3075</v>
      </c>
      <c r="L110" s="25"/>
      <c r="M110" s="25"/>
      <c r="N110" s="25"/>
      <c r="O110" s="143"/>
      <c r="P110" s="143"/>
      <c r="Q110" s="143"/>
      <c r="R110" s="143"/>
      <c r="S110" s="143"/>
      <c r="T110" s="143"/>
      <c r="U110" s="143"/>
      <c r="V110" s="143"/>
      <c r="W110" s="143"/>
      <c r="X110" s="143"/>
      <c r="Y110" s="143"/>
      <c r="Z110" s="143"/>
      <c r="AA110" s="143"/>
      <c r="AB110" s="143"/>
      <c r="AC110" s="143"/>
      <c r="AD110" s="143"/>
    </row>
    <row r="111">
      <c r="A111" s="25"/>
      <c r="B111" s="25"/>
      <c r="C111" s="25"/>
      <c r="D111" s="25"/>
      <c r="E111" s="50"/>
      <c r="F111" s="144"/>
      <c r="G111" s="145"/>
      <c r="H111" s="38"/>
      <c r="I111" s="141"/>
      <c r="J111" s="141"/>
      <c r="K111" s="141"/>
      <c r="L111" s="25"/>
      <c r="M111" s="25"/>
      <c r="N111" s="25"/>
      <c r="O111" s="143"/>
      <c r="P111" s="143"/>
      <c r="Q111" s="143"/>
      <c r="R111" s="143"/>
      <c r="S111" s="143"/>
      <c r="T111" s="143"/>
      <c r="U111" s="143"/>
      <c r="V111" s="143"/>
      <c r="W111" s="143"/>
      <c r="X111" s="143"/>
      <c r="Y111" s="143"/>
      <c r="Z111" s="143"/>
      <c r="AA111" s="143"/>
      <c r="AB111" s="143"/>
      <c r="AC111" s="143"/>
      <c r="AD111" s="143"/>
    </row>
    <row r="112">
      <c r="A112" s="137">
        <v>39.0</v>
      </c>
      <c r="B112" s="25" t="s">
        <v>1142</v>
      </c>
      <c r="C112" s="25" t="s">
        <v>761</v>
      </c>
      <c r="D112" s="25" t="s">
        <v>710</v>
      </c>
      <c r="E112" s="37">
        <v>478961.0</v>
      </c>
      <c r="F112" s="37">
        <v>728310.0</v>
      </c>
      <c r="G112" s="139">
        <v>482131.0</v>
      </c>
      <c r="H112" s="38">
        <f>E112/F112</f>
        <v>0.6576334253</v>
      </c>
      <c r="I112" s="141" t="s">
        <v>3040</v>
      </c>
      <c r="J112" s="141">
        <v>16000.0</v>
      </c>
      <c r="K112" s="141" t="s">
        <v>3030</v>
      </c>
      <c r="L112" s="25"/>
      <c r="M112" s="25"/>
      <c r="N112" s="25"/>
      <c r="O112" s="143"/>
      <c r="P112" s="143"/>
      <c r="Q112" s="143"/>
      <c r="R112" s="143"/>
      <c r="S112" s="143"/>
      <c r="T112" s="143"/>
      <c r="U112" s="143"/>
      <c r="V112" s="143"/>
      <c r="W112" s="143"/>
      <c r="X112" s="143"/>
      <c r="Y112" s="143"/>
      <c r="Z112" s="143"/>
      <c r="AA112" s="143"/>
      <c r="AB112" s="143"/>
      <c r="AC112" s="143"/>
      <c r="AD112" s="143"/>
    </row>
    <row r="113">
      <c r="A113" s="25"/>
      <c r="B113" s="25"/>
      <c r="C113" s="25"/>
      <c r="D113" s="25"/>
      <c r="E113" s="50"/>
      <c r="F113" s="144"/>
      <c r="G113" s="145"/>
      <c r="H113" s="38"/>
      <c r="I113" s="141"/>
      <c r="J113" s="141"/>
      <c r="K113" s="141"/>
      <c r="L113" s="25"/>
      <c r="M113" s="25"/>
      <c r="N113" s="25"/>
      <c r="O113" s="143"/>
      <c r="P113" s="143"/>
      <c r="Q113" s="143"/>
      <c r="R113" s="143"/>
      <c r="S113" s="143"/>
      <c r="T113" s="143"/>
      <c r="U113" s="143"/>
      <c r="V113" s="143"/>
      <c r="W113" s="143"/>
      <c r="X113" s="143"/>
      <c r="Y113" s="143"/>
      <c r="Z113" s="143"/>
      <c r="AA113" s="143"/>
      <c r="AB113" s="143"/>
      <c r="AC113" s="143"/>
      <c r="AD113" s="143"/>
    </row>
    <row r="114">
      <c r="A114" s="137">
        <v>40.0</v>
      </c>
      <c r="B114" s="25" t="s">
        <v>1165</v>
      </c>
      <c r="C114" s="25" t="s">
        <v>1167</v>
      </c>
      <c r="D114" s="25" t="s">
        <v>1161</v>
      </c>
      <c r="E114" s="37">
        <v>486051.0</v>
      </c>
      <c r="F114" s="37">
        <v>574332.0</v>
      </c>
      <c r="G114" s="139">
        <v>478393.0</v>
      </c>
      <c r="H114" s="38">
        <f>E114/F114</f>
        <v>0.8462892543</v>
      </c>
      <c r="I114" s="141" t="s">
        <v>3076</v>
      </c>
      <c r="J114" s="141">
        <v>37000.0</v>
      </c>
      <c r="K114" s="141" t="s">
        <v>3077</v>
      </c>
      <c r="L114" s="25"/>
      <c r="M114" s="25"/>
      <c r="N114" s="25"/>
      <c r="O114" s="143"/>
      <c r="P114" s="143"/>
      <c r="Q114" s="143"/>
      <c r="R114" s="143"/>
      <c r="S114" s="143"/>
      <c r="T114" s="143"/>
      <c r="U114" s="143"/>
      <c r="V114" s="143"/>
      <c r="W114" s="143"/>
      <c r="X114" s="143"/>
      <c r="Y114" s="143"/>
      <c r="Z114" s="143"/>
      <c r="AA114" s="143"/>
      <c r="AB114" s="143"/>
      <c r="AC114" s="143"/>
      <c r="AD114" s="143"/>
    </row>
    <row r="115">
      <c r="A115" s="25"/>
      <c r="B115" s="25"/>
      <c r="C115" s="25"/>
      <c r="D115" s="25"/>
      <c r="E115" s="50"/>
      <c r="F115" s="144"/>
      <c r="G115" s="145"/>
      <c r="H115" s="38"/>
      <c r="I115" s="141"/>
      <c r="J115" s="141"/>
      <c r="K115" s="141"/>
      <c r="L115" s="25"/>
      <c r="M115" s="25"/>
      <c r="N115" s="25"/>
      <c r="O115" s="143"/>
      <c r="P115" s="143"/>
      <c r="Q115" s="143"/>
      <c r="R115" s="143"/>
      <c r="S115" s="143"/>
      <c r="T115" s="143"/>
      <c r="U115" s="143"/>
      <c r="V115" s="143"/>
      <c r="W115" s="143"/>
      <c r="X115" s="143"/>
      <c r="Y115" s="143"/>
      <c r="Z115" s="143"/>
      <c r="AA115" s="143"/>
      <c r="AB115" s="143"/>
      <c r="AC115" s="143"/>
      <c r="AD115" s="143"/>
    </row>
    <row r="116">
      <c r="A116" s="137">
        <v>41.0</v>
      </c>
      <c r="B116" s="25" t="s">
        <v>1191</v>
      </c>
      <c r="C116" s="25" t="s">
        <v>1196</v>
      </c>
      <c r="D116" s="25" t="s">
        <v>627</v>
      </c>
      <c r="E116" s="37">
        <v>1559.0</v>
      </c>
      <c r="F116" s="37">
        <v>327306.0</v>
      </c>
      <c r="G116" s="139">
        <v>474414.0</v>
      </c>
      <c r="H116" s="38">
        <f t="shared" ref="H116:H117" si="14">E116/F116</f>
        <v>0.00476312686</v>
      </c>
      <c r="I116" s="141" t="s">
        <v>3033</v>
      </c>
      <c r="J116" s="141">
        <v>55000.0</v>
      </c>
      <c r="K116" s="141" t="s">
        <v>3078</v>
      </c>
      <c r="L116" s="25"/>
      <c r="M116" s="25"/>
      <c r="N116" s="25"/>
      <c r="O116" s="143"/>
      <c r="P116" s="143"/>
      <c r="Q116" s="143"/>
      <c r="R116" s="143"/>
      <c r="S116" s="143"/>
      <c r="T116" s="143"/>
      <c r="U116" s="143"/>
      <c r="V116" s="143"/>
      <c r="W116" s="143"/>
      <c r="X116" s="143"/>
      <c r="Y116" s="143"/>
      <c r="Z116" s="143"/>
      <c r="AA116" s="143"/>
      <c r="AB116" s="143"/>
      <c r="AC116" s="143"/>
      <c r="AD116" s="143"/>
    </row>
    <row r="117">
      <c r="A117" s="137">
        <v>41.0</v>
      </c>
      <c r="B117" s="25" t="s">
        <v>1191</v>
      </c>
      <c r="C117" s="25" t="s">
        <v>1193</v>
      </c>
      <c r="D117" s="25" t="s">
        <v>627</v>
      </c>
      <c r="E117" s="37">
        <v>466106.0</v>
      </c>
      <c r="F117" s="37">
        <v>1132271.0</v>
      </c>
      <c r="G117" s="139">
        <v>474414.0</v>
      </c>
      <c r="H117" s="38">
        <f t="shared" si="14"/>
        <v>0.4116558668</v>
      </c>
      <c r="I117" s="141" t="s">
        <v>3033</v>
      </c>
      <c r="J117" s="141">
        <v>55000.0</v>
      </c>
      <c r="K117" s="141" t="s">
        <v>3079</v>
      </c>
      <c r="L117" s="25"/>
      <c r="M117" s="25"/>
      <c r="N117" s="25"/>
      <c r="O117" s="143"/>
      <c r="P117" s="143"/>
      <c r="Q117" s="143"/>
      <c r="R117" s="143"/>
      <c r="S117" s="143"/>
      <c r="T117" s="143"/>
      <c r="U117" s="143"/>
      <c r="V117" s="143"/>
      <c r="W117" s="143"/>
      <c r="X117" s="143"/>
      <c r="Y117" s="143"/>
      <c r="Z117" s="143"/>
      <c r="AA117" s="143"/>
      <c r="AB117" s="143"/>
      <c r="AC117" s="143"/>
      <c r="AD117" s="143"/>
    </row>
    <row r="118">
      <c r="A118" s="25"/>
      <c r="B118" s="25"/>
      <c r="C118" s="25"/>
      <c r="D118" s="25"/>
      <c r="E118" s="50"/>
      <c r="F118" s="144"/>
      <c r="G118" s="145"/>
      <c r="H118" s="38"/>
      <c r="I118" s="141"/>
      <c r="J118" s="141"/>
      <c r="K118" s="141"/>
      <c r="L118" s="25"/>
      <c r="M118" s="25"/>
      <c r="N118" s="25"/>
      <c r="O118" s="143"/>
      <c r="P118" s="143"/>
      <c r="Q118" s="143"/>
      <c r="R118" s="143"/>
      <c r="S118" s="143"/>
      <c r="T118" s="143"/>
      <c r="U118" s="143"/>
      <c r="V118" s="143"/>
      <c r="W118" s="143"/>
      <c r="X118" s="143"/>
      <c r="Y118" s="143"/>
      <c r="Z118" s="143"/>
      <c r="AA118" s="143"/>
      <c r="AB118" s="143"/>
      <c r="AC118" s="143"/>
      <c r="AD118" s="143"/>
    </row>
    <row r="119">
      <c r="A119" s="137">
        <v>42.0</v>
      </c>
      <c r="B119" s="25" t="s">
        <v>1203</v>
      </c>
      <c r="C119" s="25" t="s">
        <v>1206</v>
      </c>
      <c r="D119" s="25" t="s">
        <v>554</v>
      </c>
      <c r="E119" s="37">
        <v>442241.0</v>
      </c>
      <c r="F119" s="37">
        <v>2707303.0</v>
      </c>
      <c r="G119" s="139">
        <v>471525.0</v>
      </c>
      <c r="H119" s="38">
        <f>E119/F119</f>
        <v>0.1633511284</v>
      </c>
      <c r="I119" s="141" t="s">
        <v>3028</v>
      </c>
      <c r="J119" s="141">
        <v>45000.0</v>
      </c>
      <c r="K119" s="141" t="s">
        <v>3080</v>
      </c>
      <c r="L119" s="25"/>
      <c r="M119" s="25"/>
      <c r="N119" s="25"/>
      <c r="O119" s="143"/>
      <c r="P119" s="143"/>
      <c r="Q119" s="143"/>
      <c r="R119" s="143"/>
      <c r="S119" s="143"/>
      <c r="T119" s="143"/>
      <c r="U119" s="143"/>
      <c r="V119" s="143"/>
      <c r="W119" s="143"/>
      <c r="X119" s="143"/>
      <c r="Y119" s="143"/>
      <c r="Z119" s="143"/>
      <c r="AA119" s="143"/>
      <c r="AB119" s="143"/>
      <c r="AC119" s="143"/>
      <c r="AD119" s="143"/>
    </row>
    <row r="120">
      <c r="A120" s="25"/>
      <c r="B120" s="25"/>
      <c r="C120" s="25"/>
      <c r="D120" s="25"/>
      <c r="E120" s="50"/>
      <c r="F120" s="144"/>
      <c r="G120" s="145"/>
      <c r="H120" s="38"/>
      <c r="I120" s="141"/>
      <c r="J120" s="141"/>
      <c r="K120" s="141"/>
      <c r="L120" s="25"/>
      <c r="M120" s="25"/>
      <c r="N120" s="25"/>
      <c r="O120" s="143"/>
      <c r="P120" s="143"/>
      <c r="Q120" s="143"/>
      <c r="R120" s="143"/>
      <c r="S120" s="143"/>
      <c r="T120" s="143"/>
      <c r="U120" s="143"/>
      <c r="V120" s="143"/>
      <c r="W120" s="143"/>
      <c r="X120" s="143"/>
      <c r="Y120" s="143"/>
      <c r="Z120" s="143"/>
      <c r="AA120" s="143"/>
      <c r="AB120" s="143"/>
      <c r="AC120" s="143"/>
      <c r="AD120" s="143"/>
    </row>
    <row r="121">
      <c r="A121" s="137">
        <v>43.0</v>
      </c>
      <c r="B121" s="25" t="s">
        <v>1217</v>
      </c>
      <c r="C121" s="25" t="s">
        <v>42</v>
      </c>
      <c r="D121" s="25" t="s">
        <v>36</v>
      </c>
      <c r="E121" s="37">
        <v>466742.0</v>
      </c>
      <c r="F121" s="37">
        <v>9943046.0</v>
      </c>
      <c r="G121" s="139">
        <v>454681.0</v>
      </c>
      <c r="H121" s="38">
        <f>E121/F121</f>
        <v>0.04694155091</v>
      </c>
      <c r="I121" s="141" t="s">
        <v>2994</v>
      </c>
      <c r="J121" s="141">
        <v>43000.0</v>
      </c>
      <c r="K121" s="141" t="s">
        <v>2995</v>
      </c>
      <c r="L121" s="25"/>
      <c r="M121" s="25"/>
      <c r="N121" s="25"/>
      <c r="O121" s="143"/>
      <c r="P121" s="143"/>
      <c r="Q121" s="143"/>
      <c r="R121" s="143"/>
      <c r="S121" s="143"/>
      <c r="T121" s="143"/>
      <c r="U121" s="143"/>
      <c r="V121" s="143"/>
      <c r="W121" s="143"/>
      <c r="X121" s="143"/>
      <c r="Y121" s="143"/>
      <c r="Z121" s="143"/>
      <c r="AA121" s="143"/>
      <c r="AB121" s="143"/>
      <c r="AC121" s="143"/>
      <c r="AD121" s="143"/>
    </row>
    <row r="122">
      <c r="A122" s="25"/>
      <c r="B122" s="25"/>
      <c r="C122" s="25"/>
      <c r="D122" s="25"/>
      <c r="E122" s="50"/>
      <c r="F122" s="144"/>
      <c r="G122" s="145"/>
      <c r="H122" s="38"/>
      <c r="I122" s="141"/>
      <c r="J122" s="141"/>
      <c r="K122" s="141"/>
      <c r="L122" s="25"/>
      <c r="M122" s="25"/>
      <c r="N122" s="25"/>
      <c r="O122" s="143"/>
      <c r="P122" s="143"/>
      <c r="Q122" s="143"/>
      <c r="R122" s="143"/>
      <c r="S122" s="143"/>
      <c r="T122" s="143"/>
      <c r="U122" s="143"/>
      <c r="V122" s="143"/>
      <c r="W122" s="143"/>
      <c r="X122" s="143"/>
      <c r="Y122" s="143"/>
      <c r="Z122" s="143"/>
      <c r="AA122" s="143"/>
      <c r="AB122" s="143"/>
      <c r="AC122" s="143"/>
      <c r="AD122" s="143"/>
    </row>
    <row r="123">
      <c r="A123" s="137">
        <v>44.0</v>
      </c>
      <c r="B123" s="25" t="s">
        <v>1233</v>
      </c>
      <c r="C123" s="25" t="s">
        <v>3081</v>
      </c>
      <c r="D123" s="25" t="s">
        <v>740</v>
      </c>
      <c r="E123" s="158">
        <v>459470.0</v>
      </c>
      <c r="F123" s="158">
        <v>451231.0</v>
      </c>
      <c r="G123" s="159">
        <v>451231.0</v>
      </c>
      <c r="H123" s="149">
        <f>E123/F123</f>
        <v>1.018258941</v>
      </c>
      <c r="I123" s="141" t="s">
        <v>3082</v>
      </c>
      <c r="J123" s="141">
        <v>82000.0</v>
      </c>
      <c r="K123" s="141" t="s">
        <v>3083</v>
      </c>
      <c r="L123" s="25"/>
      <c r="M123" s="25"/>
      <c r="N123" s="25"/>
      <c r="O123" s="143"/>
      <c r="P123" s="143"/>
      <c r="Q123" s="143"/>
      <c r="R123" s="143"/>
      <c r="S123" s="143"/>
      <c r="T123" s="143"/>
      <c r="U123" s="143"/>
      <c r="V123" s="143"/>
      <c r="W123" s="143"/>
      <c r="X123" s="143"/>
      <c r="Y123" s="143"/>
      <c r="Z123" s="143"/>
      <c r="AA123" s="143"/>
      <c r="AB123" s="143"/>
      <c r="AC123" s="143"/>
      <c r="AD123" s="143"/>
    </row>
    <row r="124">
      <c r="A124" s="25"/>
      <c r="B124" s="25"/>
      <c r="C124" s="25"/>
      <c r="D124" s="25"/>
      <c r="E124" s="50"/>
      <c r="F124" s="144"/>
      <c r="G124" s="145"/>
      <c r="H124" s="38"/>
      <c r="I124" s="141"/>
      <c r="J124" s="141"/>
      <c r="K124" s="141"/>
      <c r="L124" s="25"/>
      <c r="M124" s="25"/>
      <c r="N124" s="25"/>
      <c r="O124" s="143"/>
      <c r="P124" s="143"/>
      <c r="Q124" s="143"/>
      <c r="R124" s="143"/>
      <c r="S124" s="143"/>
      <c r="T124" s="143"/>
      <c r="U124" s="143"/>
      <c r="V124" s="143"/>
      <c r="W124" s="143"/>
      <c r="X124" s="143"/>
      <c r="Y124" s="143"/>
      <c r="Z124" s="143"/>
      <c r="AA124" s="143"/>
      <c r="AB124" s="143"/>
      <c r="AC124" s="143"/>
      <c r="AD124" s="143"/>
    </row>
    <row r="125">
      <c r="A125" s="137">
        <v>45.0</v>
      </c>
      <c r="B125" s="25" t="s">
        <v>1247</v>
      </c>
      <c r="C125" s="25" t="s">
        <v>1250</v>
      </c>
      <c r="D125" s="25" t="s">
        <v>1244</v>
      </c>
      <c r="E125" s="37">
        <v>429954.0</v>
      </c>
      <c r="F125" s="37">
        <v>1268408.0</v>
      </c>
      <c r="G125" s="139">
        <v>433111.0</v>
      </c>
      <c r="H125" s="38">
        <f>E125/F125</f>
        <v>0.338971372</v>
      </c>
      <c r="I125" s="141" t="s">
        <v>3084</v>
      </c>
      <c r="J125" s="141">
        <v>43000.0</v>
      </c>
      <c r="K125" s="141" t="s">
        <v>3085</v>
      </c>
      <c r="L125" s="25"/>
      <c r="M125" s="25"/>
      <c r="N125" s="25"/>
      <c r="O125" s="143"/>
      <c r="P125" s="143"/>
      <c r="Q125" s="143"/>
      <c r="R125" s="143"/>
      <c r="S125" s="143"/>
      <c r="T125" s="143"/>
      <c r="U125" s="143"/>
      <c r="V125" s="143"/>
      <c r="W125" s="143"/>
      <c r="X125" s="143"/>
      <c r="Y125" s="143"/>
      <c r="Z125" s="143"/>
      <c r="AA125" s="143"/>
      <c r="AB125" s="143"/>
      <c r="AC125" s="143"/>
      <c r="AD125" s="143"/>
    </row>
    <row r="126">
      <c r="A126" s="25"/>
      <c r="B126" s="25"/>
      <c r="C126" s="25"/>
      <c r="D126" s="25"/>
      <c r="E126" s="50"/>
      <c r="F126" s="144"/>
      <c r="G126" s="145"/>
      <c r="H126" s="38"/>
      <c r="I126" s="141"/>
      <c r="J126" s="141"/>
      <c r="K126" s="141"/>
      <c r="L126" s="25"/>
      <c r="M126" s="25"/>
      <c r="N126" s="25"/>
      <c r="O126" s="143"/>
      <c r="P126" s="143"/>
      <c r="Q126" s="143"/>
      <c r="R126" s="143"/>
      <c r="S126" s="143"/>
      <c r="T126" s="143"/>
      <c r="U126" s="143"/>
      <c r="V126" s="143"/>
      <c r="W126" s="143"/>
      <c r="X126" s="143"/>
      <c r="Y126" s="143"/>
      <c r="Z126" s="143"/>
      <c r="AA126" s="143"/>
      <c r="AB126" s="143"/>
      <c r="AC126" s="143"/>
      <c r="AD126" s="143"/>
    </row>
    <row r="127">
      <c r="A127" s="137">
        <v>46.0</v>
      </c>
      <c r="B127" s="25" t="s">
        <v>1263</v>
      </c>
      <c r="C127" s="25" t="s">
        <v>1265</v>
      </c>
      <c r="D127" s="25" t="s">
        <v>36</v>
      </c>
      <c r="E127" s="37">
        <v>440646.0</v>
      </c>
      <c r="F127" s="25">
        <v>1662323.0</v>
      </c>
      <c r="G127" s="139">
        <v>424891.0</v>
      </c>
      <c r="H127" s="38">
        <f>E127/F127</f>
        <v>0.2650784474</v>
      </c>
      <c r="I127" s="141" t="s">
        <v>2994</v>
      </c>
      <c r="J127" s="141">
        <v>53000.0</v>
      </c>
      <c r="K127" s="141" t="s">
        <v>3069</v>
      </c>
      <c r="L127" s="25"/>
      <c r="M127" s="25"/>
      <c r="N127" s="25"/>
      <c r="O127" s="143"/>
      <c r="P127" s="143"/>
      <c r="Q127" s="143"/>
      <c r="R127" s="143"/>
      <c r="S127" s="143"/>
      <c r="T127" s="143"/>
      <c r="U127" s="143"/>
      <c r="V127" s="143"/>
      <c r="W127" s="143"/>
      <c r="X127" s="143"/>
      <c r="Y127" s="143"/>
      <c r="Z127" s="143"/>
      <c r="AA127" s="143"/>
      <c r="AB127" s="143"/>
      <c r="AC127" s="143"/>
      <c r="AD127" s="143"/>
    </row>
    <row r="128">
      <c r="A128" s="25"/>
      <c r="B128" s="25"/>
      <c r="C128" s="25"/>
      <c r="D128" s="25"/>
      <c r="E128" s="50"/>
      <c r="F128" s="144"/>
      <c r="G128" s="145"/>
      <c r="H128" s="38"/>
      <c r="I128" s="141"/>
      <c r="J128" s="141"/>
      <c r="K128" s="141"/>
      <c r="L128" s="25"/>
      <c r="M128" s="25"/>
      <c r="N128" s="25"/>
      <c r="O128" s="143"/>
      <c r="P128" s="143"/>
      <c r="Q128" s="143"/>
      <c r="R128" s="143"/>
      <c r="S128" s="143"/>
      <c r="T128" s="143"/>
      <c r="U128" s="143"/>
      <c r="V128" s="143"/>
      <c r="W128" s="143"/>
      <c r="X128" s="143"/>
      <c r="Y128" s="143"/>
      <c r="Z128" s="143"/>
      <c r="AA128" s="143"/>
      <c r="AB128" s="143"/>
      <c r="AC128" s="143"/>
      <c r="AD128" s="143"/>
    </row>
    <row r="129">
      <c r="A129" s="137">
        <v>47.0</v>
      </c>
      <c r="B129" s="25" t="s">
        <v>1290</v>
      </c>
      <c r="C129" s="25" t="s">
        <v>1292</v>
      </c>
      <c r="D129" s="25" t="s">
        <v>554</v>
      </c>
      <c r="E129" s="37">
        <v>384959.0</v>
      </c>
      <c r="F129" s="37">
        <v>1497957.0</v>
      </c>
      <c r="G129" s="139">
        <v>407599.0</v>
      </c>
      <c r="H129" s="38">
        <f>E129/F129</f>
        <v>0.2569893528</v>
      </c>
      <c r="I129" s="141" t="s">
        <v>3028</v>
      </c>
      <c r="J129" s="141">
        <v>71000.0</v>
      </c>
      <c r="K129" s="141" t="s">
        <v>3086</v>
      </c>
      <c r="L129" s="25"/>
      <c r="M129" s="25"/>
      <c r="N129" s="25"/>
      <c r="O129" s="143"/>
      <c r="P129" s="143"/>
      <c r="Q129" s="143"/>
      <c r="R129" s="143"/>
      <c r="S129" s="143"/>
      <c r="T129" s="143"/>
      <c r="U129" s="143"/>
      <c r="V129" s="143"/>
      <c r="W129" s="143"/>
      <c r="X129" s="143"/>
      <c r="Y129" s="143"/>
      <c r="Z129" s="143"/>
      <c r="AA129" s="143"/>
      <c r="AB129" s="143"/>
      <c r="AC129" s="143"/>
      <c r="AD129" s="143"/>
    </row>
    <row r="130">
      <c r="A130" s="25"/>
      <c r="B130" s="25"/>
      <c r="C130" s="25"/>
      <c r="D130" s="25"/>
      <c r="E130" s="50"/>
      <c r="F130" s="144"/>
      <c r="G130" s="145"/>
      <c r="H130" s="38"/>
      <c r="I130" s="141"/>
      <c r="J130" s="141"/>
      <c r="K130" s="141"/>
      <c r="L130" s="25"/>
      <c r="M130" s="25"/>
      <c r="N130" s="25"/>
      <c r="O130" s="143"/>
      <c r="P130" s="143"/>
      <c r="Q130" s="143"/>
      <c r="R130" s="143"/>
      <c r="S130" s="143"/>
      <c r="T130" s="143"/>
      <c r="U130" s="143"/>
      <c r="V130" s="143"/>
      <c r="W130" s="143"/>
      <c r="X130" s="143"/>
      <c r="Y130" s="143"/>
      <c r="Z130" s="143"/>
      <c r="AA130" s="143"/>
      <c r="AB130" s="143"/>
      <c r="AC130" s="143"/>
      <c r="AD130" s="143"/>
    </row>
    <row r="131">
      <c r="A131" s="137">
        <v>48.0</v>
      </c>
      <c r="B131" s="25" t="s">
        <v>1308</v>
      </c>
      <c r="C131" s="25" t="s">
        <v>1313</v>
      </c>
      <c r="D131" s="25" t="s">
        <v>830</v>
      </c>
      <c r="E131" s="37">
        <v>5815.0</v>
      </c>
      <c r="F131" s="37">
        <v>46642.0</v>
      </c>
      <c r="G131" s="139">
        <v>403166.0</v>
      </c>
      <c r="H131" s="38">
        <f t="shared" ref="H131:H134" si="15">E131/F131</f>
        <v>0.1246730415</v>
      </c>
      <c r="I131" s="141" t="s">
        <v>3051</v>
      </c>
      <c r="J131" s="141">
        <v>75000.0</v>
      </c>
      <c r="K131" s="141" t="s">
        <v>3016</v>
      </c>
      <c r="L131" s="25"/>
      <c r="M131" s="25"/>
      <c r="N131" s="25"/>
      <c r="O131" s="143"/>
      <c r="P131" s="143"/>
      <c r="Q131" s="143"/>
      <c r="R131" s="143"/>
      <c r="S131" s="143"/>
      <c r="T131" s="143"/>
      <c r="U131" s="143"/>
      <c r="V131" s="143"/>
      <c r="W131" s="143"/>
      <c r="X131" s="143"/>
      <c r="Y131" s="143"/>
      <c r="Z131" s="143"/>
      <c r="AA131" s="143"/>
      <c r="AB131" s="143"/>
      <c r="AC131" s="143"/>
      <c r="AD131" s="143"/>
    </row>
    <row r="132">
      <c r="A132" s="137">
        <v>48.0</v>
      </c>
      <c r="B132" s="25" t="s">
        <v>1308</v>
      </c>
      <c r="C132" s="25" t="s">
        <v>1314</v>
      </c>
      <c r="D132" s="25" t="s">
        <v>830</v>
      </c>
      <c r="E132" s="37">
        <v>44.0</v>
      </c>
      <c r="F132" s="37">
        <v>93155.0</v>
      </c>
      <c r="G132" s="139">
        <v>403166.0</v>
      </c>
      <c r="H132" s="38">
        <f t="shared" si="15"/>
        <v>0.0004723310611</v>
      </c>
      <c r="I132" s="141" t="s">
        <v>3051</v>
      </c>
      <c r="J132" s="141">
        <v>75000.0</v>
      </c>
      <c r="K132" s="141" t="s">
        <v>3063</v>
      </c>
      <c r="L132" s="25"/>
      <c r="M132" s="25"/>
      <c r="N132" s="25"/>
      <c r="O132" s="143"/>
      <c r="P132" s="143"/>
      <c r="Q132" s="143"/>
      <c r="R132" s="143"/>
      <c r="S132" s="143"/>
      <c r="T132" s="143"/>
      <c r="U132" s="143"/>
      <c r="V132" s="143"/>
      <c r="W132" s="143"/>
      <c r="X132" s="143"/>
      <c r="Y132" s="143"/>
      <c r="Z132" s="143"/>
      <c r="AA132" s="143"/>
      <c r="AB132" s="143"/>
      <c r="AC132" s="143"/>
      <c r="AD132" s="143"/>
    </row>
    <row r="133">
      <c r="A133" s="137">
        <v>48.0</v>
      </c>
      <c r="B133" s="25" t="s">
        <v>1308</v>
      </c>
      <c r="C133" s="25" t="s">
        <v>1311</v>
      </c>
      <c r="D133" s="25" t="s">
        <v>830</v>
      </c>
      <c r="E133" s="37">
        <v>407170.0</v>
      </c>
      <c r="F133" s="37">
        <v>657589.0</v>
      </c>
      <c r="G133" s="139">
        <v>403166.0</v>
      </c>
      <c r="H133" s="38">
        <f t="shared" si="15"/>
        <v>0.6191861482</v>
      </c>
      <c r="I133" s="141" t="s">
        <v>3051</v>
      </c>
      <c r="J133" s="141">
        <v>75000.0</v>
      </c>
      <c r="K133" s="141" t="s">
        <v>3087</v>
      </c>
      <c r="L133" s="25"/>
      <c r="M133" s="25"/>
      <c r="N133" s="25"/>
      <c r="O133" s="143"/>
      <c r="P133" s="143"/>
      <c r="Q133" s="143"/>
      <c r="R133" s="143"/>
      <c r="S133" s="143"/>
      <c r="T133" s="143"/>
      <c r="U133" s="143"/>
      <c r="V133" s="143"/>
      <c r="W133" s="143"/>
      <c r="X133" s="143"/>
      <c r="Y133" s="143"/>
      <c r="Z133" s="143"/>
      <c r="AA133" s="143"/>
      <c r="AB133" s="143"/>
      <c r="AC133" s="143"/>
      <c r="AD133" s="143"/>
    </row>
    <row r="134">
      <c r="A134" s="137">
        <v>48.0</v>
      </c>
      <c r="B134" s="25" t="s">
        <v>1308</v>
      </c>
      <c r="C134" s="25" t="s">
        <v>1315</v>
      </c>
      <c r="D134" s="25" t="s">
        <v>830</v>
      </c>
      <c r="E134" s="37">
        <v>37.0</v>
      </c>
      <c r="F134" s="37">
        <v>82925.0</v>
      </c>
      <c r="G134" s="139">
        <v>403166.0</v>
      </c>
      <c r="H134" s="38">
        <f t="shared" si="15"/>
        <v>0.0004461863129</v>
      </c>
      <c r="I134" s="141" t="s">
        <v>3051</v>
      </c>
      <c r="J134" s="141">
        <v>75000.0</v>
      </c>
      <c r="K134" s="141" t="s">
        <v>3088</v>
      </c>
      <c r="L134" s="25"/>
      <c r="M134" s="25"/>
      <c r="N134" s="25"/>
      <c r="O134" s="143"/>
      <c r="P134" s="143"/>
      <c r="Q134" s="143"/>
      <c r="R134" s="143"/>
      <c r="S134" s="143"/>
      <c r="T134" s="143"/>
      <c r="U134" s="143"/>
      <c r="V134" s="143"/>
      <c r="W134" s="143"/>
      <c r="X134" s="143"/>
      <c r="Y134" s="143"/>
      <c r="Z134" s="143"/>
      <c r="AA134" s="143"/>
      <c r="AB134" s="143"/>
      <c r="AC134" s="143"/>
      <c r="AD134" s="143"/>
    </row>
    <row r="135">
      <c r="A135" s="25"/>
      <c r="B135" s="25"/>
      <c r="C135" s="25"/>
      <c r="D135" s="25"/>
      <c r="E135" s="50"/>
      <c r="F135" s="144"/>
      <c r="G135" s="145"/>
      <c r="H135" s="38"/>
      <c r="I135" s="141"/>
      <c r="J135" s="141"/>
      <c r="K135" s="141"/>
      <c r="L135" s="25"/>
      <c r="M135" s="25"/>
      <c r="N135" s="25"/>
      <c r="O135" s="143"/>
      <c r="P135" s="143"/>
      <c r="Q135" s="143"/>
      <c r="R135" s="143"/>
      <c r="S135" s="143"/>
      <c r="T135" s="143"/>
      <c r="U135" s="143"/>
      <c r="V135" s="143"/>
      <c r="W135" s="143"/>
      <c r="X135" s="143"/>
      <c r="Y135" s="143"/>
      <c r="Z135" s="143"/>
      <c r="AA135" s="143"/>
      <c r="AB135" s="143"/>
      <c r="AC135" s="143"/>
      <c r="AD135" s="143"/>
    </row>
    <row r="136">
      <c r="A136" s="137">
        <v>49.0</v>
      </c>
      <c r="B136" s="25" t="s">
        <v>1333</v>
      </c>
      <c r="C136" s="25" t="s">
        <v>512</v>
      </c>
      <c r="D136" s="25" t="s">
        <v>106</v>
      </c>
      <c r="E136" s="37">
        <v>394266.0</v>
      </c>
      <c r="F136" s="37">
        <v>2123347.0</v>
      </c>
      <c r="G136" s="139">
        <v>398864.0</v>
      </c>
      <c r="H136" s="38">
        <f>E136/F136</f>
        <v>0.1856813794</v>
      </c>
      <c r="I136" s="141" t="s">
        <v>3000</v>
      </c>
      <c r="J136" s="141">
        <v>4000.0</v>
      </c>
      <c r="K136" s="141" t="s">
        <v>3025</v>
      </c>
      <c r="L136" s="25"/>
      <c r="M136" s="25"/>
      <c r="N136" s="25"/>
      <c r="O136" s="143"/>
      <c r="P136" s="143"/>
      <c r="Q136" s="143"/>
      <c r="R136" s="143"/>
      <c r="S136" s="143"/>
      <c r="T136" s="143"/>
      <c r="U136" s="143"/>
      <c r="V136" s="143"/>
      <c r="W136" s="143"/>
      <c r="X136" s="143"/>
      <c r="Y136" s="143"/>
      <c r="Z136" s="143"/>
      <c r="AA136" s="143"/>
      <c r="AB136" s="143"/>
      <c r="AC136" s="143"/>
      <c r="AD136" s="143"/>
    </row>
    <row r="137">
      <c r="A137" s="25"/>
      <c r="B137" s="25"/>
      <c r="C137" s="25"/>
      <c r="D137" s="25"/>
      <c r="E137" s="50"/>
      <c r="F137" s="144"/>
      <c r="G137" s="145"/>
      <c r="H137" s="38"/>
      <c r="I137" s="141"/>
      <c r="J137" s="141"/>
      <c r="K137" s="141"/>
      <c r="L137" s="25"/>
      <c r="M137" s="25"/>
      <c r="N137" s="25"/>
      <c r="O137" s="143"/>
      <c r="P137" s="143"/>
      <c r="Q137" s="143"/>
      <c r="R137" s="143"/>
      <c r="S137" s="143"/>
      <c r="T137" s="143"/>
      <c r="U137" s="143"/>
      <c r="V137" s="143"/>
      <c r="W137" s="143"/>
      <c r="X137" s="143"/>
      <c r="Y137" s="143"/>
      <c r="Z137" s="143"/>
      <c r="AA137" s="143"/>
      <c r="AB137" s="143"/>
      <c r="AC137" s="143"/>
      <c r="AD137" s="143"/>
    </row>
    <row r="138">
      <c r="A138" s="137">
        <v>50.0</v>
      </c>
      <c r="B138" s="25" t="s">
        <v>3089</v>
      </c>
      <c r="C138" s="25" t="s">
        <v>1353</v>
      </c>
      <c r="D138" s="25" t="s">
        <v>1348</v>
      </c>
      <c r="E138" s="37">
        <v>397532.0</v>
      </c>
      <c r="F138" s="37">
        <v>519907.0</v>
      </c>
      <c r="G138" s="139">
        <v>391731.0</v>
      </c>
      <c r="H138" s="38">
        <f>E138/F138</f>
        <v>0.764621365</v>
      </c>
      <c r="I138" s="141" t="s">
        <v>3090</v>
      </c>
      <c r="J138" s="141">
        <v>79000.0</v>
      </c>
      <c r="K138" s="141" t="s">
        <v>3091</v>
      </c>
      <c r="L138" s="25"/>
      <c r="M138" s="25"/>
      <c r="N138" s="25"/>
      <c r="O138" s="143"/>
      <c r="P138" s="143"/>
      <c r="Q138" s="143"/>
      <c r="R138" s="143"/>
      <c r="S138" s="143"/>
      <c r="T138" s="143"/>
      <c r="U138" s="143"/>
      <c r="V138" s="143"/>
      <c r="W138" s="143"/>
      <c r="X138" s="143"/>
      <c r="Y138" s="143"/>
      <c r="Z138" s="143"/>
      <c r="AA138" s="143"/>
      <c r="AB138" s="143"/>
      <c r="AC138" s="143"/>
      <c r="AD138" s="143"/>
    </row>
    <row r="139">
      <c r="A139" s="25"/>
      <c r="B139" s="25"/>
      <c r="C139" s="25"/>
      <c r="D139" s="25"/>
      <c r="E139" s="50"/>
      <c r="F139" s="167"/>
      <c r="G139" s="168"/>
      <c r="H139" s="169"/>
      <c r="I139" s="141"/>
      <c r="J139" s="141"/>
      <c r="K139" s="141"/>
      <c r="L139" s="25"/>
      <c r="M139" s="25"/>
      <c r="N139" s="25"/>
      <c r="O139" s="143"/>
      <c r="P139" s="143"/>
      <c r="Q139" s="143"/>
      <c r="R139" s="143"/>
      <c r="S139" s="143"/>
      <c r="T139" s="143"/>
      <c r="U139" s="143"/>
      <c r="V139" s="143"/>
      <c r="W139" s="143"/>
      <c r="X139" s="143"/>
      <c r="Y139" s="143"/>
      <c r="Z139" s="143"/>
      <c r="AA139" s="143"/>
      <c r="AB139" s="143"/>
      <c r="AC139" s="143"/>
      <c r="AD139" s="143"/>
    </row>
    <row r="140">
      <c r="A140" s="42">
        <v>51.0</v>
      </c>
      <c r="B140" s="170" t="s">
        <v>2526</v>
      </c>
      <c r="C140" s="42" t="s">
        <v>1373</v>
      </c>
      <c r="D140" s="42" t="s">
        <v>1368</v>
      </c>
      <c r="E140" s="171">
        <v>383997.0</v>
      </c>
      <c r="F140" s="170">
        <v>389476.0</v>
      </c>
      <c r="G140" s="170">
        <v>389476.0</v>
      </c>
      <c r="H140" s="169">
        <f>E140/F140</f>
        <v>0.9859323809</v>
      </c>
      <c r="I140" s="172" t="s">
        <v>3092</v>
      </c>
      <c r="J140" s="172" t="s">
        <v>3093</v>
      </c>
      <c r="K140" s="172" t="s">
        <v>3094</v>
      </c>
      <c r="L140" s="25"/>
      <c r="M140" s="25"/>
      <c r="N140" s="25"/>
      <c r="O140" s="143"/>
      <c r="P140" s="143"/>
      <c r="Q140" s="143"/>
      <c r="R140" s="143"/>
      <c r="S140" s="143"/>
      <c r="T140" s="143"/>
      <c r="U140" s="143"/>
      <c r="V140" s="143"/>
      <c r="W140" s="143"/>
      <c r="X140" s="143"/>
      <c r="Y140" s="143"/>
      <c r="Z140" s="143"/>
      <c r="AA140" s="143"/>
      <c r="AB140" s="143"/>
      <c r="AC140" s="143"/>
      <c r="AD140" s="143"/>
    </row>
    <row r="141">
      <c r="A141" s="25"/>
      <c r="B141" s="25"/>
      <c r="C141" s="25"/>
      <c r="D141" s="25"/>
      <c r="E141" s="50"/>
      <c r="F141" s="167"/>
      <c r="G141" s="168"/>
      <c r="H141" s="169"/>
      <c r="I141" s="141"/>
      <c r="J141" s="141"/>
      <c r="K141" s="141"/>
      <c r="L141" s="25"/>
      <c r="M141" s="25"/>
      <c r="N141" s="25"/>
      <c r="O141" s="143"/>
      <c r="P141" s="143"/>
      <c r="Q141" s="143"/>
      <c r="R141" s="143"/>
      <c r="S141" s="143"/>
      <c r="T141" s="143"/>
      <c r="U141" s="143"/>
      <c r="V141" s="143"/>
      <c r="W141" s="143"/>
      <c r="X141" s="143"/>
      <c r="Y141" s="143"/>
      <c r="Z141" s="143"/>
      <c r="AA141" s="143"/>
      <c r="AB141" s="143"/>
      <c r="AC141" s="143"/>
      <c r="AD141" s="143"/>
    </row>
    <row r="142">
      <c r="A142" s="25"/>
      <c r="B142" s="25"/>
      <c r="C142" s="25"/>
      <c r="D142" s="25"/>
      <c r="E142" s="50"/>
      <c r="F142" s="167"/>
      <c r="G142" s="168"/>
      <c r="H142" s="169"/>
      <c r="I142" s="141"/>
      <c r="J142" s="141"/>
      <c r="K142" s="141"/>
      <c r="L142" s="25"/>
      <c r="M142" s="25"/>
      <c r="N142" s="25"/>
      <c r="O142" s="143"/>
      <c r="P142" s="143"/>
      <c r="Q142" s="143"/>
      <c r="R142" s="143"/>
      <c r="S142" s="143"/>
      <c r="T142" s="143"/>
      <c r="U142" s="143"/>
      <c r="V142" s="143"/>
      <c r="W142" s="143"/>
      <c r="X142" s="143"/>
      <c r="Y142" s="143"/>
      <c r="Z142" s="143"/>
      <c r="AA142" s="143"/>
      <c r="AB142" s="143"/>
      <c r="AC142" s="143"/>
      <c r="AD142" s="143"/>
    </row>
    <row r="143">
      <c r="A143" s="25"/>
      <c r="B143" s="25"/>
      <c r="C143" s="25"/>
      <c r="D143" s="25"/>
      <c r="E143" s="50"/>
      <c r="F143" s="167"/>
      <c r="G143" s="168"/>
      <c r="H143" s="169"/>
      <c r="I143" s="141"/>
      <c r="J143" s="141"/>
      <c r="K143" s="141"/>
      <c r="L143" s="25"/>
      <c r="M143" s="25"/>
      <c r="N143" s="25"/>
      <c r="O143" s="143"/>
      <c r="P143" s="143"/>
      <c r="Q143" s="143"/>
      <c r="R143" s="143"/>
      <c r="S143" s="143"/>
      <c r="T143" s="143"/>
      <c r="U143" s="143"/>
      <c r="V143" s="143"/>
      <c r="W143" s="143"/>
      <c r="X143" s="143"/>
      <c r="Y143" s="143"/>
      <c r="Z143" s="143"/>
      <c r="AA143" s="143"/>
      <c r="AB143" s="143"/>
      <c r="AC143" s="143"/>
      <c r="AD143" s="143"/>
    </row>
    <row r="144">
      <c r="A144" s="25"/>
      <c r="B144" s="25"/>
      <c r="C144" s="25"/>
      <c r="D144" s="25"/>
      <c r="E144" s="50"/>
      <c r="F144" s="167"/>
      <c r="G144" s="168"/>
      <c r="H144" s="169"/>
      <c r="I144" s="141"/>
      <c r="J144" s="141"/>
      <c r="K144" s="141"/>
      <c r="L144" s="25"/>
      <c r="M144" s="25"/>
      <c r="N144" s="25"/>
      <c r="O144" s="143"/>
      <c r="P144" s="143"/>
      <c r="Q144" s="143"/>
      <c r="R144" s="143"/>
      <c r="S144" s="143"/>
      <c r="T144" s="143"/>
      <c r="U144" s="143"/>
      <c r="V144" s="143"/>
      <c r="W144" s="143"/>
      <c r="X144" s="143"/>
      <c r="Y144" s="143"/>
      <c r="Z144" s="143"/>
      <c r="AA144" s="143"/>
      <c r="AB144" s="143"/>
      <c r="AC144" s="143"/>
      <c r="AD144" s="143"/>
    </row>
    <row r="145">
      <c r="A145" s="25"/>
      <c r="B145" s="25"/>
      <c r="C145" s="25"/>
      <c r="D145" s="25"/>
      <c r="E145" s="50"/>
      <c r="F145" s="167"/>
      <c r="G145" s="168"/>
      <c r="H145" s="169"/>
      <c r="I145" s="141"/>
      <c r="J145" s="141"/>
      <c r="K145" s="141"/>
      <c r="L145" s="25"/>
      <c r="M145" s="25"/>
      <c r="N145" s="25"/>
      <c r="O145" s="143"/>
      <c r="P145" s="143"/>
      <c r="Q145" s="143"/>
      <c r="R145" s="143"/>
      <c r="S145" s="143"/>
      <c r="T145" s="143"/>
      <c r="U145" s="143"/>
      <c r="V145" s="143"/>
      <c r="W145" s="143"/>
      <c r="X145" s="143"/>
      <c r="Y145" s="143"/>
      <c r="Z145" s="143"/>
      <c r="AA145" s="143"/>
      <c r="AB145" s="143"/>
      <c r="AC145" s="143"/>
      <c r="AD145" s="143"/>
    </row>
    <row r="146">
      <c r="A146" s="25"/>
      <c r="B146" s="25"/>
      <c r="C146" s="25"/>
      <c r="D146" s="25"/>
      <c r="E146" s="50"/>
      <c r="F146" s="167"/>
      <c r="G146" s="168"/>
      <c r="H146" s="169"/>
      <c r="I146" s="141"/>
      <c r="J146" s="141"/>
      <c r="K146" s="141"/>
      <c r="L146" s="25"/>
      <c r="M146" s="25"/>
      <c r="N146" s="25"/>
      <c r="O146" s="143"/>
      <c r="P146" s="143"/>
      <c r="Q146" s="143"/>
      <c r="R146" s="143"/>
      <c r="S146" s="143"/>
      <c r="T146" s="143"/>
      <c r="U146" s="143"/>
      <c r="V146" s="143"/>
      <c r="W146" s="143"/>
      <c r="X146" s="143"/>
      <c r="Y146" s="143"/>
      <c r="Z146" s="143"/>
      <c r="AA146" s="143"/>
      <c r="AB146" s="143"/>
      <c r="AC146" s="143"/>
      <c r="AD146" s="143"/>
    </row>
    <row r="147">
      <c r="A147" s="25"/>
      <c r="B147" s="25"/>
      <c r="C147" s="25"/>
      <c r="D147" s="25"/>
      <c r="E147" s="50"/>
      <c r="F147" s="167"/>
      <c r="G147" s="168"/>
      <c r="H147" s="169"/>
      <c r="I147" s="141"/>
      <c r="J147" s="141"/>
      <c r="K147" s="141"/>
      <c r="L147" s="25"/>
      <c r="M147" s="25"/>
      <c r="N147" s="25"/>
      <c r="O147" s="143"/>
      <c r="P147" s="143"/>
      <c r="Q147" s="143"/>
      <c r="R147" s="143"/>
      <c r="S147" s="143"/>
      <c r="T147" s="143"/>
      <c r="U147" s="143"/>
      <c r="V147" s="143"/>
      <c r="W147" s="143"/>
      <c r="X147" s="143"/>
      <c r="Y147" s="143"/>
      <c r="Z147" s="143"/>
      <c r="AA147" s="143"/>
      <c r="AB147" s="143"/>
      <c r="AC147" s="143"/>
      <c r="AD147" s="143"/>
    </row>
    <row r="148">
      <c r="A148" s="25"/>
      <c r="B148" s="25"/>
      <c r="C148" s="25"/>
      <c r="D148" s="25"/>
      <c r="E148" s="50"/>
      <c r="F148" s="167"/>
      <c r="G148" s="168"/>
      <c r="H148" s="169"/>
      <c r="I148" s="141"/>
      <c r="J148" s="141"/>
      <c r="K148" s="141"/>
      <c r="L148" s="25"/>
      <c r="M148" s="25"/>
      <c r="N148" s="25"/>
      <c r="O148" s="143"/>
      <c r="P148" s="143"/>
      <c r="Q148" s="143"/>
      <c r="R148" s="143"/>
      <c r="S148" s="143"/>
      <c r="T148" s="143"/>
      <c r="U148" s="143"/>
      <c r="V148" s="143"/>
      <c r="W148" s="143"/>
      <c r="X148" s="143"/>
      <c r="Y148" s="143"/>
      <c r="Z148" s="143"/>
      <c r="AA148" s="143"/>
      <c r="AB148" s="143"/>
      <c r="AC148" s="143"/>
      <c r="AD148" s="143"/>
    </row>
    <row r="149">
      <c r="A149" s="25"/>
      <c r="B149" s="25"/>
      <c r="C149" s="25"/>
      <c r="D149" s="25"/>
      <c r="E149" s="50"/>
      <c r="F149" s="167"/>
      <c r="G149" s="168"/>
      <c r="H149" s="169"/>
      <c r="I149" s="141"/>
      <c r="J149" s="141"/>
      <c r="K149" s="141"/>
      <c r="L149" s="25"/>
      <c r="M149" s="25"/>
      <c r="N149" s="25"/>
      <c r="O149" s="143"/>
      <c r="P149" s="143"/>
      <c r="Q149" s="143"/>
      <c r="R149" s="143"/>
      <c r="S149" s="143"/>
      <c r="T149" s="143"/>
      <c r="U149" s="143"/>
      <c r="V149" s="143"/>
      <c r="W149" s="143"/>
      <c r="X149" s="143"/>
      <c r="Y149" s="143"/>
      <c r="Z149" s="143"/>
      <c r="AA149" s="143"/>
      <c r="AB149" s="143"/>
      <c r="AC149" s="143"/>
      <c r="AD149" s="143"/>
    </row>
    <row r="150">
      <c r="A150" s="25"/>
      <c r="B150" s="25"/>
      <c r="C150" s="25"/>
      <c r="D150" s="25"/>
      <c r="E150" s="50"/>
      <c r="F150" s="167"/>
      <c r="G150" s="168"/>
      <c r="H150" s="169"/>
      <c r="I150" s="141"/>
      <c r="J150" s="141"/>
      <c r="K150" s="141"/>
      <c r="L150" s="25"/>
      <c r="M150" s="25"/>
      <c r="N150" s="25"/>
      <c r="O150" s="143"/>
      <c r="P150" s="143"/>
      <c r="Q150" s="143"/>
      <c r="R150" s="143"/>
      <c r="S150" s="143"/>
      <c r="T150" s="143"/>
      <c r="U150" s="143"/>
      <c r="V150" s="143"/>
      <c r="W150" s="143"/>
      <c r="X150" s="143"/>
      <c r="Y150" s="143"/>
      <c r="Z150" s="143"/>
      <c r="AA150" s="143"/>
      <c r="AB150" s="143"/>
      <c r="AC150" s="143"/>
      <c r="AD150" s="143"/>
    </row>
    <row r="151">
      <c r="A151" s="25"/>
      <c r="B151" s="25"/>
      <c r="C151" s="25"/>
      <c r="D151" s="25"/>
      <c r="E151" s="50"/>
      <c r="F151" s="167"/>
      <c r="G151" s="168"/>
      <c r="H151" s="169"/>
      <c r="I151" s="141"/>
      <c r="J151" s="141"/>
      <c r="K151" s="141"/>
      <c r="L151" s="25"/>
      <c r="M151" s="25"/>
      <c r="N151" s="25"/>
      <c r="O151" s="143"/>
      <c r="P151" s="143"/>
      <c r="Q151" s="143"/>
      <c r="R151" s="143"/>
      <c r="S151" s="143"/>
      <c r="T151" s="143"/>
      <c r="U151" s="143"/>
      <c r="V151" s="143"/>
      <c r="W151" s="143"/>
      <c r="X151" s="143"/>
      <c r="Y151" s="143"/>
      <c r="Z151" s="143"/>
      <c r="AA151" s="143"/>
      <c r="AB151" s="143"/>
      <c r="AC151" s="143"/>
      <c r="AD151" s="143"/>
    </row>
    <row r="152">
      <c r="A152" s="25"/>
      <c r="B152" s="25"/>
      <c r="C152" s="25"/>
      <c r="D152" s="25"/>
      <c r="E152" s="50"/>
      <c r="F152" s="167"/>
      <c r="G152" s="168"/>
      <c r="H152" s="169"/>
      <c r="I152" s="141"/>
      <c r="J152" s="141"/>
      <c r="K152" s="141"/>
      <c r="L152" s="25"/>
      <c r="M152" s="25"/>
      <c r="N152" s="25"/>
      <c r="O152" s="143"/>
      <c r="P152" s="143"/>
      <c r="Q152" s="143"/>
      <c r="R152" s="143"/>
      <c r="S152" s="143"/>
      <c r="T152" s="143"/>
      <c r="U152" s="143"/>
      <c r="V152" s="143"/>
      <c r="W152" s="143"/>
      <c r="X152" s="143"/>
      <c r="Y152" s="143"/>
      <c r="Z152" s="143"/>
      <c r="AA152" s="143"/>
      <c r="AB152" s="143"/>
      <c r="AC152" s="143"/>
      <c r="AD152" s="143"/>
    </row>
    <row r="153">
      <c r="A153" s="25"/>
      <c r="B153" s="25"/>
      <c r="C153" s="25"/>
      <c r="D153" s="25"/>
      <c r="E153" s="50"/>
      <c r="F153" s="167"/>
      <c r="G153" s="168"/>
      <c r="H153" s="169"/>
      <c r="I153" s="141"/>
      <c r="J153" s="141"/>
      <c r="K153" s="141"/>
      <c r="L153" s="25"/>
      <c r="M153" s="25"/>
      <c r="N153" s="25"/>
      <c r="O153" s="143"/>
      <c r="P153" s="143"/>
      <c r="Q153" s="143"/>
      <c r="R153" s="143"/>
      <c r="S153" s="143"/>
      <c r="T153" s="143"/>
      <c r="U153" s="143"/>
      <c r="V153" s="143"/>
      <c r="W153" s="143"/>
      <c r="X153" s="143"/>
      <c r="Y153" s="143"/>
      <c r="Z153" s="143"/>
      <c r="AA153" s="143"/>
      <c r="AB153" s="143"/>
      <c r="AC153" s="143"/>
      <c r="AD153" s="143"/>
    </row>
    <row r="154">
      <c r="A154" s="25"/>
      <c r="B154" s="25"/>
      <c r="C154" s="25"/>
      <c r="D154" s="25"/>
      <c r="E154" s="50"/>
      <c r="F154" s="167"/>
      <c r="G154" s="168"/>
      <c r="H154" s="169"/>
      <c r="I154" s="141"/>
      <c r="J154" s="141"/>
      <c r="K154" s="141"/>
      <c r="L154" s="25"/>
      <c r="M154" s="25"/>
      <c r="N154" s="25"/>
      <c r="O154" s="143"/>
      <c r="P154" s="143"/>
      <c r="Q154" s="143"/>
      <c r="R154" s="143"/>
      <c r="S154" s="143"/>
      <c r="T154" s="143"/>
      <c r="U154" s="143"/>
      <c r="V154" s="143"/>
      <c r="W154" s="143"/>
      <c r="X154" s="143"/>
      <c r="Y154" s="143"/>
      <c r="Z154" s="143"/>
      <c r="AA154" s="143"/>
      <c r="AB154" s="143"/>
      <c r="AC154" s="143"/>
      <c r="AD154" s="143"/>
    </row>
    <row r="155">
      <c r="A155" s="25"/>
      <c r="B155" s="25"/>
      <c r="C155" s="25"/>
      <c r="D155" s="25"/>
      <c r="E155" s="50"/>
      <c r="F155" s="167"/>
      <c r="G155" s="168"/>
      <c r="H155" s="169"/>
      <c r="I155" s="141"/>
      <c r="J155" s="141"/>
      <c r="K155" s="141"/>
      <c r="L155" s="25"/>
      <c r="M155" s="25"/>
      <c r="N155" s="25"/>
      <c r="O155" s="143"/>
      <c r="P155" s="143"/>
      <c r="Q155" s="143"/>
      <c r="R155" s="143"/>
      <c r="S155" s="143"/>
      <c r="T155" s="143"/>
      <c r="U155" s="143"/>
      <c r="V155" s="143"/>
      <c r="W155" s="143"/>
      <c r="X155" s="143"/>
      <c r="Y155" s="143"/>
      <c r="Z155" s="143"/>
      <c r="AA155" s="143"/>
      <c r="AB155" s="143"/>
      <c r="AC155" s="143"/>
      <c r="AD155" s="143"/>
    </row>
    <row r="156">
      <c r="A156" s="25"/>
      <c r="B156" s="25"/>
      <c r="C156" s="25"/>
      <c r="D156" s="25"/>
      <c r="E156" s="50"/>
      <c r="F156" s="167"/>
      <c r="G156" s="168"/>
      <c r="H156" s="169"/>
      <c r="I156" s="141"/>
      <c r="J156" s="141"/>
      <c r="K156" s="141"/>
      <c r="L156" s="25"/>
      <c r="M156" s="25"/>
      <c r="N156" s="25"/>
      <c r="O156" s="143"/>
      <c r="P156" s="143"/>
      <c r="Q156" s="143"/>
      <c r="R156" s="143"/>
      <c r="S156" s="143"/>
      <c r="T156" s="143"/>
      <c r="U156" s="143"/>
      <c r="V156" s="143"/>
      <c r="W156" s="143"/>
      <c r="X156" s="143"/>
      <c r="Y156" s="143"/>
      <c r="Z156" s="143"/>
      <c r="AA156" s="143"/>
      <c r="AB156" s="143"/>
      <c r="AC156" s="143"/>
      <c r="AD156" s="143"/>
    </row>
    <row r="157">
      <c r="A157" s="25"/>
      <c r="B157" s="25"/>
      <c r="C157" s="25"/>
      <c r="D157" s="25"/>
      <c r="E157" s="50"/>
      <c r="F157" s="167"/>
      <c r="G157" s="168"/>
      <c r="H157" s="169"/>
      <c r="I157" s="141"/>
      <c r="J157" s="141"/>
      <c r="K157" s="141"/>
      <c r="L157" s="25"/>
      <c r="M157" s="25"/>
      <c r="N157" s="25"/>
      <c r="O157" s="143"/>
      <c r="P157" s="143"/>
      <c r="Q157" s="143"/>
      <c r="R157" s="143"/>
      <c r="S157" s="143"/>
      <c r="T157" s="143"/>
      <c r="U157" s="143"/>
      <c r="V157" s="143"/>
      <c r="W157" s="143"/>
      <c r="X157" s="143"/>
      <c r="Y157" s="143"/>
      <c r="Z157" s="143"/>
      <c r="AA157" s="143"/>
      <c r="AB157" s="143"/>
      <c r="AC157" s="143"/>
      <c r="AD157" s="143"/>
    </row>
    <row r="158">
      <c r="A158" s="25"/>
      <c r="B158" s="25"/>
      <c r="C158" s="25"/>
      <c r="D158" s="25"/>
      <c r="E158" s="50"/>
      <c r="F158" s="167"/>
      <c r="G158" s="168"/>
      <c r="H158" s="169"/>
      <c r="I158" s="141"/>
      <c r="J158" s="141"/>
      <c r="K158" s="141"/>
      <c r="L158" s="25"/>
      <c r="M158" s="25"/>
      <c r="N158" s="25"/>
      <c r="O158" s="143"/>
      <c r="P158" s="143"/>
      <c r="Q158" s="143"/>
      <c r="R158" s="143"/>
      <c r="S158" s="143"/>
      <c r="T158" s="143"/>
      <c r="U158" s="143"/>
      <c r="V158" s="143"/>
      <c r="W158" s="143"/>
      <c r="X158" s="143"/>
      <c r="Y158" s="143"/>
      <c r="Z158" s="143"/>
      <c r="AA158" s="143"/>
      <c r="AB158" s="143"/>
      <c r="AC158" s="143"/>
      <c r="AD158" s="143"/>
    </row>
    <row r="159">
      <c r="A159" s="25"/>
      <c r="B159" s="25"/>
      <c r="C159" s="25"/>
      <c r="D159" s="25"/>
      <c r="E159" s="50"/>
      <c r="F159" s="167"/>
      <c r="G159" s="168"/>
      <c r="H159" s="169"/>
      <c r="I159" s="141"/>
      <c r="J159" s="141"/>
      <c r="K159" s="141"/>
      <c r="L159" s="25"/>
      <c r="M159" s="25"/>
      <c r="N159" s="25"/>
      <c r="O159" s="143"/>
      <c r="P159" s="143"/>
      <c r="Q159" s="143"/>
      <c r="R159" s="143"/>
      <c r="S159" s="143"/>
      <c r="T159" s="143"/>
      <c r="U159" s="143"/>
      <c r="V159" s="143"/>
      <c r="W159" s="143"/>
      <c r="X159" s="143"/>
      <c r="Y159" s="143"/>
      <c r="Z159" s="143"/>
      <c r="AA159" s="143"/>
      <c r="AB159" s="143"/>
      <c r="AC159" s="143"/>
      <c r="AD159" s="143"/>
    </row>
    <row r="160">
      <c r="A160" s="25"/>
      <c r="B160" s="25"/>
      <c r="C160" s="25"/>
      <c r="D160" s="25"/>
      <c r="E160" s="50"/>
      <c r="F160" s="167"/>
      <c r="G160" s="168"/>
      <c r="H160" s="169"/>
      <c r="I160" s="141"/>
      <c r="J160" s="141"/>
      <c r="K160" s="141"/>
      <c r="L160" s="25"/>
      <c r="M160" s="25"/>
      <c r="N160" s="25"/>
      <c r="O160" s="143"/>
      <c r="P160" s="143"/>
      <c r="Q160" s="143"/>
      <c r="R160" s="143"/>
      <c r="S160" s="143"/>
      <c r="T160" s="143"/>
      <c r="U160" s="143"/>
      <c r="V160" s="143"/>
      <c r="W160" s="143"/>
      <c r="X160" s="143"/>
      <c r="Y160" s="143"/>
      <c r="Z160" s="143"/>
      <c r="AA160" s="143"/>
      <c r="AB160" s="143"/>
      <c r="AC160" s="143"/>
      <c r="AD160" s="143"/>
    </row>
    <row r="161">
      <c r="A161" s="25"/>
      <c r="B161" s="25"/>
      <c r="C161" s="25"/>
      <c r="D161" s="25"/>
      <c r="E161" s="50"/>
      <c r="F161" s="167"/>
      <c r="G161" s="168"/>
      <c r="H161" s="169"/>
      <c r="I161" s="141"/>
      <c r="J161" s="141"/>
      <c r="K161" s="141"/>
      <c r="L161" s="25"/>
      <c r="M161" s="25"/>
      <c r="N161" s="25"/>
      <c r="O161" s="143"/>
      <c r="P161" s="143"/>
      <c r="Q161" s="143"/>
      <c r="R161" s="143"/>
      <c r="S161" s="143"/>
      <c r="T161" s="143"/>
      <c r="U161" s="143"/>
      <c r="V161" s="143"/>
      <c r="W161" s="143"/>
      <c r="X161" s="143"/>
      <c r="Y161" s="143"/>
      <c r="Z161" s="143"/>
      <c r="AA161" s="143"/>
      <c r="AB161" s="143"/>
      <c r="AC161" s="143"/>
      <c r="AD161" s="143"/>
    </row>
    <row r="162">
      <c r="A162" s="25"/>
      <c r="B162" s="25"/>
      <c r="C162" s="25"/>
      <c r="D162" s="25"/>
      <c r="E162" s="50"/>
      <c r="F162" s="167"/>
      <c r="G162" s="168"/>
      <c r="H162" s="169"/>
      <c r="I162" s="141"/>
      <c r="J162" s="141"/>
      <c r="K162" s="141"/>
      <c r="L162" s="25"/>
      <c r="M162" s="25"/>
      <c r="N162" s="25"/>
      <c r="O162" s="143"/>
      <c r="P162" s="143"/>
      <c r="Q162" s="143"/>
      <c r="R162" s="143"/>
      <c r="S162" s="143"/>
      <c r="T162" s="143"/>
      <c r="U162" s="143"/>
      <c r="V162" s="143"/>
      <c r="W162" s="143"/>
      <c r="X162" s="143"/>
      <c r="Y162" s="143"/>
      <c r="Z162" s="143"/>
      <c r="AA162" s="143"/>
      <c r="AB162" s="143"/>
      <c r="AC162" s="143"/>
      <c r="AD162" s="143"/>
    </row>
    <row r="163">
      <c r="A163" s="25"/>
      <c r="B163" s="25"/>
      <c r="C163" s="25"/>
      <c r="D163" s="25"/>
      <c r="E163" s="50"/>
      <c r="F163" s="167"/>
      <c r="G163" s="168"/>
      <c r="H163" s="169"/>
      <c r="I163" s="141"/>
      <c r="J163" s="141"/>
      <c r="K163" s="141"/>
      <c r="L163" s="25"/>
      <c r="M163" s="25"/>
      <c r="N163" s="25"/>
      <c r="O163" s="143"/>
      <c r="P163" s="143"/>
      <c r="Q163" s="143"/>
      <c r="R163" s="143"/>
      <c r="S163" s="143"/>
      <c r="T163" s="143"/>
      <c r="U163" s="143"/>
      <c r="V163" s="143"/>
      <c r="W163" s="143"/>
      <c r="X163" s="143"/>
      <c r="Y163" s="143"/>
      <c r="Z163" s="143"/>
      <c r="AA163" s="143"/>
      <c r="AB163" s="143"/>
      <c r="AC163" s="143"/>
      <c r="AD163" s="143"/>
    </row>
    <row r="164">
      <c r="A164" s="25"/>
      <c r="B164" s="25"/>
      <c r="C164" s="25"/>
      <c r="D164" s="25"/>
      <c r="E164" s="50"/>
      <c r="F164" s="167"/>
      <c r="G164" s="168"/>
      <c r="H164" s="169"/>
      <c r="I164" s="141"/>
      <c r="J164" s="141"/>
      <c r="K164" s="141"/>
      <c r="L164" s="25"/>
      <c r="M164" s="25"/>
      <c r="N164" s="25"/>
      <c r="O164" s="143"/>
      <c r="P164" s="143"/>
      <c r="Q164" s="143"/>
      <c r="R164" s="143"/>
      <c r="S164" s="143"/>
      <c r="T164" s="143"/>
      <c r="U164" s="143"/>
      <c r="V164" s="143"/>
      <c r="W164" s="143"/>
      <c r="X164" s="143"/>
      <c r="Y164" s="143"/>
      <c r="Z164" s="143"/>
      <c r="AA164" s="143"/>
      <c r="AB164" s="143"/>
      <c r="AC164" s="143"/>
      <c r="AD164" s="143"/>
    </row>
    <row r="165">
      <c r="A165" s="25"/>
      <c r="B165" s="25"/>
      <c r="C165" s="25"/>
      <c r="D165" s="25"/>
      <c r="E165" s="50"/>
      <c r="F165" s="167"/>
      <c r="G165" s="168"/>
      <c r="H165" s="169"/>
      <c r="I165" s="141"/>
      <c r="J165" s="141"/>
      <c r="K165" s="141"/>
      <c r="L165" s="25"/>
      <c r="M165" s="25"/>
      <c r="N165" s="25"/>
      <c r="O165" s="143"/>
      <c r="P165" s="143"/>
      <c r="Q165" s="143"/>
      <c r="R165" s="143"/>
      <c r="S165" s="143"/>
      <c r="T165" s="143"/>
      <c r="U165" s="143"/>
      <c r="V165" s="143"/>
      <c r="W165" s="143"/>
      <c r="X165" s="143"/>
      <c r="Y165" s="143"/>
      <c r="Z165" s="143"/>
      <c r="AA165" s="143"/>
      <c r="AB165" s="143"/>
      <c r="AC165" s="143"/>
      <c r="AD165" s="143"/>
    </row>
    <row r="166">
      <c r="A166" s="25"/>
      <c r="B166" s="25"/>
      <c r="C166" s="25"/>
      <c r="D166" s="25"/>
      <c r="E166" s="50"/>
      <c r="F166" s="167"/>
      <c r="G166" s="168"/>
      <c r="H166" s="169"/>
      <c r="I166" s="141"/>
      <c r="J166" s="141"/>
      <c r="K166" s="141"/>
      <c r="L166" s="25"/>
      <c r="M166" s="25"/>
      <c r="N166" s="25"/>
      <c r="O166" s="143"/>
      <c r="P166" s="143"/>
      <c r="Q166" s="143"/>
      <c r="R166" s="143"/>
      <c r="S166" s="143"/>
      <c r="T166" s="143"/>
      <c r="U166" s="143"/>
      <c r="V166" s="143"/>
      <c r="W166" s="143"/>
      <c r="X166" s="143"/>
      <c r="Y166" s="143"/>
      <c r="Z166" s="143"/>
      <c r="AA166" s="143"/>
      <c r="AB166" s="143"/>
      <c r="AC166" s="143"/>
      <c r="AD166" s="143"/>
    </row>
    <row r="167">
      <c r="A167" s="25"/>
      <c r="B167" s="25"/>
      <c r="C167" s="25"/>
      <c r="D167" s="25"/>
      <c r="E167" s="50"/>
      <c r="F167" s="167"/>
      <c r="G167" s="168"/>
      <c r="H167" s="169"/>
      <c r="I167" s="141"/>
      <c r="J167" s="141"/>
      <c r="K167" s="141"/>
      <c r="L167" s="25"/>
      <c r="M167" s="25"/>
      <c r="N167" s="25"/>
      <c r="O167" s="143"/>
      <c r="P167" s="143"/>
      <c r="Q167" s="143"/>
      <c r="R167" s="143"/>
      <c r="S167" s="143"/>
      <c r="T167" s="143"/>
      <c r="U167" s="143"/>
      <c r="V167" s="143"/>
      <c r="W167" s="143"/>
      <c r="X167" s="143"/>
      <c r="Y167" s="143"/>
      <c r="Z167" s="143"/>
      <c r="AA167" s="143"/>
      <c r="AB167" s="143"/>
      <c r="AC167" s="143"/>
      <c r="AD167" s="143"/>
    </row>
    <row r="168">
      <c r="A168" s="25"/>
      <c r="B168" s="25"/>
      <c r="C168" s="25"/>
      <c r="D168" s="25"/>
      <c r="E168" s="50"/>
      <c r="F168" s="167"/>
      <c r="G168" s="168"/>
      <c r="H168" s="169"/>
      <c r="I168" s="141"/>
      <c r="J168" s="141"/>
      <c r="K168" s="141"/>
      <c r="L168" s="25"/>
      <c r="M168" s="25"/>
      <c r="N168" s="25"/>
      <c r="O168" s="143"/>
      <c r="P168" s="143"/>
      <c r="Q168" s="143"/>
      <c r="R168" s="143"/>
      <c r="S168" s="143"/>
      <c r="T168" s="143"/>
      <c r="U168" s="143"/>
      <c r="V168" s="143"/>
      <c r="W168" s="143"/>
      <c r="X168" s="143"/>
      <c r="Y168" s="143"/>
      <c r="Z168" s="143"/>
      <c r="AA168" s="143"/>
      <c r="AB168" s="143"/>
      <c r="AC168" s="143"/>
      <c r="AD168" s="143"/>
    </row>
    <row r="169">
      <c r="A169" s="25"/>
      <c r="B169" s="25"/>
      <c r="C169" s="25"/>
      <c r="D169" s="25"/>
      <c r="E169" s="50"/>
      <c r="F169" s="167"/>
      <c r="G169" s="168"/>
      <c r="H169" s="169"/>
      <c r="I169" s="141"/>
      <c r="J169" s="141"/>
      <c r="K169" s="141"/>
      <c r="L169" s="25"/>
      <c r="M169" s="25"/>
      <c r="N169" s="25"/>
      <c r="O169" s="143"/>
      <c r="P169" s="143"/>
      <c r="Q169" s="143"/>
      <c r="R169" s="143"/>
      <c r="S169" s="143"/>
      <c r="T169" s="143"/>
      <c r="U169" s="143"/>
      <c r="V169" s="143"/>
      <c r="W169" s="143"/>
      <c r="X169" s="143"/>
      <c r="Y169" s="143"/>
      <c r="Z169" s="143"/>
      <c r="AA169" s="143"/>
      <c r="AB169" s="143"/>
      <c r="AC169" s="143"/>
      <c r="AD169" s="143"/>
    </row>
    <row r="170">
      <c r="A170" s="25"/>
      <c r="B170" s="25"/>
      <c r="C170" s="25"/>
      <c r="D170" s="25"/>
      <c r="E170" s="50"/>
      <c r="F170" s="167"/>
      <c r="G170" s="168"/>
      <c r="H170" s="169"/>
      <c r="I170" s="141"/>
      <c r="J170" s="141"/>
      <c r="K170" s="141"/>
      <c r="L170" s="25"/>
      <c r="M170" s="25"/>
      <c r="N170" s="25"/>
      <c r="O170" s="143"/>
      <c r="P170" s="143"/>
      <c r="Q170" s="143"/>
      <c r="R170" s="143"/>
      <c r="S170" s="143"/>
      <c r="T170" s="143"/>
      <c r="U170" s="143"/>
      <c r="V170" s="143"/>
      <c r="W170" s="143"/>
      <c r="X170" s="143"/>
      <c r="Y170" s="143"/>
      <c r="Z170" s="143"/>
      <c r="AA170" s="143"/>
      <c r="AB170" s="143"/>
      <c r="AC170" s="143"/>
      <c r="AD170" s="143"/>
    </row>
    <row r="171">
      <c r="A171" s="25"/>
      <c r="B171" s="25"/>
      <c r="C171" s="25"/>
      <c r="D171" s="25"/>
      <c r="E171" s="50"/>
      <c r="F171" s="167"/>
      <c r="G171" s="168"/>
      <c r="H171" s="169"/>
      <c r="I171" s="141"/>
      <c r="J171" s="141"/>
      <c r="K171" s="141"/>
      <c r="L171" s="25"/>
      <c r="M171" s="25"/>
      <c r="N171" s="25"/>
      <c r="O171" s="143"/>
      <c r="P171" s="143"/>
      <c r="Q171" s="143"/>
      <c r="R171" s="143"/>
      <c r="S171" s="143"/>
      <c r="T171" s="143"/>
      <c r="U171" s="143"/>
      <c r="V171" s="143"/>
      <c r="W171" s="143"/>
      <c r="X171" s="143"/>
      <c r="Y171" s="143"/>
      <c r="Z171" s="143"/>
      <c r="AA171" s="143"/>
      <c r="AB171" s="143"/>
      <c r="AC171" s="143"/>
      <c r="AD171" s="143"/>
    </row>
    <row r="172">
      <c r="A172" s="25"/>
      <c r="B172" s="25"/>
      <c r="C172" s="25"/>
      <c r="D172" s="25"/>
      <c r="E172" s="50"/>
      <c r="F172" s="167"/>
      <c r="G172" s="168"/>
      <c r="H172" s="169"/>
      <c r="I172" s="141"/>
      <c r="J172" s="141"/>
      <c r="K172" s="141"/>
      <c r="L172" s="25"/>
      <c r="M172" s="25"/>
      <c r="N172" s="25"/>
      <c r="O172" s="143"/>
      <c r="P172" s="143"/>
      <c r="Q172" s="143"/>
      <c r="R172" s="143"/>
      <c r="S172" s="143"/>
      <c r="T172" s="143"/>
      <c r="U172" s="143"/>
      <c r="V172" s="143"/>
      <c r="W172" s="143"/>
      <c r="X172" s="143"/>
      <c r="Y172" s="143"/>
      <c r="Z172" s="143"/>
      <c r="AA172" s="143"/>
      <c r="AB172" s="143"/>
      <c r="AC172" s="143"/>
      <c r="AD172" s="143"/>
    </row>
    <row r="173">
      <c r="A173" s="25"/>
      <c r="B173" s="25"/>
      <c r="C173" s="25"/>
      <c r="D173" s="25"/>
      <c r="E173" s="50"/>
      <c r="F173" s="167"/>
      <c r="G173" s="168"/>
      <c r="H173" s="169"/>
      <c r="I173" s="141"/>
      <c r="J173" s="141"/>
      <c r="K173" s="141"/>
      <c r="L173" s="25"/>
      <c r="M173" s="25"/>
      <c r="N173" s="25"/>
      <c r="O173" s="143"/>
      <c r="P173" s="143"/>
      <c r="Q173" s="143"/>
      <c r="R173" s="143"/>
      <c r="S173" s="143"/>
      <c r="T173" s="143"/>
      <c r="U173" s="143"/>
      <c r="V173" s="143"/>
      <c r="W173" s="143"/>
      <c r="X173" s="143"/>
      <c r="Y173" s="143"/>
      <c r="Z173" s="143"/>
      <c r="AA173" s="143"/>
      <c r="AB173" s="143"/>
      <c r="AC173" s="143"/>
      <c r="AD173" s="143"/>
    </row>
    <row r="174">
      <c r="A174" s="25"/>
      <c r="B174" s="25"/>
      <c r="C174" s="25"/>
      <c r="D174" s="25"/>
      <c r="E174" s="50"/>
      <c r="F174" s="167"/>
      <c r="G174" s="168"/>
      <c r="H174" s="169"/>
      <c r="I174" s="141"/>
      <c r="J174" s="141"/>
      <c r="K174" s="141"/>
      <c r="L174" s="25"/>
      <c r="M174" s="25"/>
      <c r="N174" s="25"/>
      <c r="O174" s="143"/>
      <c r="P174" s="143"/>
      <c r="Q174" s="143"/>
      <c r="R174" s="143"/>
      <c r="S174" s="143"/>
      <c r="T174" s="143"/>
      <c r="U174" s="143"/>
      <c r="V174" s="143"/>
      <c r="W174" s="143"/>
      <c r="X174" s="143"/>
      <c r="Y174" s="143"/>
      <c r="Z174" s="143"/>
      <c r="AA174" s="143"/>
      <c r="AB174" s="143"/>
      <c r="AC174" s="143"/>
      <c r="AD174" s="143"/>
    </row>
    <row r="175">
      <c r="A175" s="25"/>
      <c r="B175" s="25"/>
      <c r="C175" s="25"/>
      <c r="D175" s="25"/>
      <c r="E175" s="50"/>
      <c r="F175" s="167"/>
      <c r="G175" s="168"/>
      <c r="H175" s="169"/>
      <c r="I175" s="141"/>
      <c r="J175" s="141"/>
      <c r="K175" s="141"/>
      <c r="L175" s="25"/>
      <c r="M175" s="25"/>
      <c r="N175" s="25"/>
      <c r="O175" s="143"/>
      <c r="P175" s="143"/>
      <c r="Q175" s="143"/>
      <c r="R175" s="143"/>
      <c r="S175" s="143"/>
      <c r="T175" s="143"/>
      <c r="U175" s="143"/>
      <c r="V175" s="143"/>
      <c r="W175" s="143"/>
      <c r="X175" s="143"/>
      <c r="Y175" s="143"/>
      <c r="Z175" s="143"/>
      <c r="AA175" s="143"/>
      <c r="AB175" s="143"/>
      <c r="AC175" s="143"/>
      <c r="AD175" s="143"/>
    </row>
    <row r="176">
      <c r="A176" s="25"/>
      <c r="B176" s="25"/>
      <c r="C176" s="25"/>
      <c r="D176" s="25"/>
      <c r="E176" s="50"/>
      <c r="F176" s="167"/>
      <c r="G176" s="168"/>
      <c r="H176" s="169"/>
      <c r="I176" s="141"/>
      <c r="J176" s="141"/>
      <c r="K176" s="141"/>
      <c r="L176" s="25"/>
      <c r="M176" s="25"/>
      <c r="N176" s="25"/>
      <c r="O176" s="143"/>
      <c r="P176" s="143"/>
      <c r="Q176" s="143"/>
      <c r="R176" s="143"/>
      <c r="S176" s="143"/>
      <c r="T176" s="143"/>
      <c r="U176" s="143"/>
      <c r="V176" s="143"/>
      <c r="W176" s="143"/>
      <c r="X176" s="143"/>
      <c r="Y176" s="143"/>
      <c r="Z176" s="143"/>
      <c r="AA176" s="143"/>
      <c r="AB176" s="143"/>
      <c r="AC176" s="143"/>
      <c r="AD176" s="143"/>
    </row>
    <row r="177">
      <c r="A177" s="25"/>
      <c r="B177" s="25"/>
      <c r="C177" s="25"/>
      <c r="D177" s="25"/>
      <c r="E177" s="50"/>
      <c r="F177" s="167"/>
      <c r="G177" s="168"/>
      <c r="H177" s="169"/>
      <c r="I177" s="141"/>
      <c r="J177" s="141"/>
      <c r="K177" s="141"/>
      <c r="L177" s="25"/>
      <c r="M177" s="25"/>
      <c r="N177" s="25"/>
      <c r="O177" s="143"/>
      <c r="P177" s="143"/>
      <c r="Q177" s="143"/>
      <c r="R177" s="143"/>
      <c r="S177" s="143"/>
      <c r="T177" s="143"/>
      <c r="U177" s="143"/>
      <c r="V177" s="143"/>
      <c r="W177" s="143"/>
      <c r="X177" s="143"/>
      <c r="Y177" s="143"/>
      <c r="Z177" s="143"/>
      <c r="AA177" s="143"/>
      <c r="AB177" s="143"/>
      <c r="AC177" s="143"/>
      <c r="AD177" s="143"/>
    </row>
    <row r="178">
      <c r="A178" s="25"/>
      <c r="B178" s="25"/>
      <c r="C178" s="25"/>
      <c r="D178" s="25"/>
      <c r="E178" s="50"/>
      <c r="F178" s="167"/>
      <c r="G178" s="168"/>
      <c r="H178" s="169"/>
      <c r="I178" s="141"/>
      <c r="J178" s="141"/>
      <c r="K178" s="141"/>
      <c r="L178" s="25"/>
      <c r="M178" s="25"/>
      <c r="N178" s="25"/>
      <c r="O178" s="143"/>
      <c r="P178" s="143"/>
      <c r="Q178" s="143"/>
      <c r="R178" s="143"/>
      <c r="S178" s="143"/>
      <c r="T178" s="143"/>
      <c r="U178" s="143"/>
      <c r="V178" s="143"/>
      <c r="W178" s="143"/>
      <c r="X178" s="143"/>
      <c r="Y178" s="143"/>
      <c r="Z178" s="143"/>
      <c r="AA178" s="143"/>
      <c r="AB178" s="143"/>
      <c r="AC178" s="143"/>
      <c r="AD178" s="143"/>
    </row>
    <row r="179">
      <c r="A179" s="25"/>
      <c r="B179" s="25"/>
      <c r="C179" s="25"/>
      <c r="D179" s="25"/>
      <c r="E179" s="50"/>
      <c r="F179" s="167"/>
      <c r="G179" s="168"/>
      <c r="H179" s="169"/>
      <c r="I179" s="141"/>
      <c r="J179" s="141"/>
      <c r="K179" s="141"/>
      <c r="L179" s="25"/>
      <c r="M179" s="25"/>
      <c r="N179" s="25"/>
      <c r="O179" s="143"/>
      <c r="P179" s="143"/>
      <c r="Q179" s="143"/>
      <c r="R179" s="143"/>
      <c r="S179" s="143"/>
      <c r="T179" s="143"/>
      <c r="U179" s="143"/>
      <c r="V179" s="143"/>
      <c r="W179" s="143"/>
      <c r="X179" s="143"/>
      <c r="Y179" s="143"/>
      <c r="Z179" s="143"/>
      <c r="AA179" s="143"/>
      <c r="AB179" s="143"/>
      <c r="AC179" s="143"/>
      <c r="AD179" s="143"/>
    </row>
    <row r="180">
      <c r="A180" s="25"/>
      <c r="B180" s="25"/>
      <c r="C180" s="25"/>
      <c r="D180" s="25"/>
      <c r="E180" s="50"/>
      <c r="F180" s="167"/>
      <c r="G180" s="168"/>
      <c r="H180" s="169"/>
      <c r="I180" s="141"/>
      <c r="J180" s="141"/>
      <c r="K180" s="141"/>
      <c r="L180" s="25"/>
      <c r="M180" s="25"/>
      <c r="N180" s="25"/>
      <c r="O180" s="143"/>
      <c r="P180" s="143"/>
      <c r="Q180" s="143"/>
      <c r="R180" s="143"/>
      <c r="S180" s="143"/>
      <c r="T180" s="143"/>
      <c r="U180" s="143"/>
      <c r="V180" s="143"/>
      <c r="W180" s="143"/>
      <c r="X180" s="143"/>
      <c r="Y180" s="143"/>
      <c r="Z180" s="143"/>
      <c r="AA180" s="143"/>
      <c r="AB180" s="143"/>
      <c r="AC180" s="143"/>
      <c r="AD180" s="143"/>
    </row>
    <row r="181">
      <c r="A181" s="25"/>
      <c r="B181" s="25"/>
      <c r="C181" s="25"/>
      <c r="D181" s="25"/>
      <c r="E181" s="50"/>
      <c r="F181" s="167"/>
      <c r="G181" s="168"/>
      <c r="H181" s="169"/>
      <c r="I181" s="141"/>
      <c r="J181" s="141"/>
      <c r="K181" s="141"/>
      <c r="L181" s="25"/>
      <c r="M181" s="25"/>
      <c r="N181" s="25"/>
      <c r="O181" s="143"/>
      <c r="P181" s="143"/>
      <c r="Q181" s="143"/>
      <c r="R181" s="143"/>
      <c r="S181" s="143"/>
      <c r="T181" s="143"/>
      <c r="U181" s="143"/>
      <c r="V181" s="143"/>
      <c r="W181" s="143"/>
      <c r="X181" s="143"/>
      <c r="Y181" s="143"/>
      <c r="Z181" s="143"/>
      <c r="AA181" s="143"/>
      <c r="AB181" s="143"/>
      <c r="AC181" s="143"/>
      <c r="AD181" s="143"/>
    </row>
    <row r="182">
      <c r="A182" s="25"/>
      <c r="B182" s="25"/>
      <c r="C182" s="25"/>
      <c r="D182" s="25"/>
      <c r="E182" s="50"/>
      <c r="F182" s="167"/>
      <c r="G182" s="168"/>
      <c r="H182" s="169"/>
      <c r="I182" s="141"/>
      <c r="J182" s="141"/>
      <c r="K182" s="141"/>
      <c r="L182" s="25"/>
      <c r="M182" s="25"/>
      <c r="N182" s="25"/>
      <c r="O182" s="143"/>
      <c r="P182" s="143"/>
      <c r="Q182" s="143"/>
      <c r="R182" s="143"/>
      <c r="S182" s="143"/>
      <c r="T182" s="143"/>
      <c r="U182" s="143"/>
      <c r="V182" s="143"/>
      <c r="W182" s="143"/>
      <c r="X182" s="143"/>
      <c r="Y182" s="143"/>
      <c r="Z182" s="143"/>
      <c r="AA182" s="143"/>
      <c r="AB182" s="143"/>
      <c r="AC182" s="143"/>
      <c r="AD182" s="143"/>
    </row>
    <row r="183">
      <c r="A183" s="25"/>
      <c r="B183" s="25"/>
      <c r="C183" s="25"/>
      <c r="D183" s="25"/>
      <c r="E183" s="50"/>
      <c r="F183" s="167"/>
      <c r="G183" s="168"/>
      <c r="H183" s="169"/>
      <c r="I183" s="141"/>
      <c r="J183" s="141"/>
      <c r="K183" s="141"/>
      <c r="L183" s="25"/>
      <c r="M183" s="25"/>
      <c r="N183" s="25"/>
      <c r="O183" s="143"/>
      <c r="P183" s="143"/>
      <c r="Q183" s="143"/>
      <c r="R183" s="143"/>
      <c r="S183" s="143"/>
      <c r="T183" s="143"/>
      <c r="U183" s="143"/>
      <c r="V183" s="143"/>
      <c r="W183" s="143"/>
      <c r="X183" s="143"/>
      <c r="Y183" s="143"/>
      <c r="Z183" s="143"/>
      <c r="AA183" s="143"/>
      <c r="AB183" s="143"/>
      <c r="AC183" s="143"/>
      <c r="AD183" s="143"/>
    </row>
    <row r="184">
      <c r="A184" s="25"/>
      <c r="B184" s="25"/>
      <c r="C184" s="25"/>
      <c r="D184" s="25"/>
      <c r="E184" s="50"/>
      <c r="F184" s="167"/>
      <c r="G184" s="168"/>
      <c r="H184" s="169"/>
      <c r="I184" s="141"/>
      <c r="J184" s="141"/>
      <c r="K184" s="141"/>
      <c r="L184" s="25"/>
      <c r="M184" s="25"/>
      <c r="N184" s="25"/>
      <c r="O184" s="143"/>
      <c r="P184" s="143"/>
      <c r="Q184" s="143"/>
      <c r="R184" s="143"/>
      <c r="S184" s="143"/>
      <c r="T184" s="143"/>
      <c r="U184" s="143"/>
      <c r="V184" s="143"/>
      <c r="W184" s="143"/>
      <c r="X184" s="143"/>
      <c r="Y184" s="143"/>
      <c r="Z184" s="143"/>
      <c r="AA184" s="143"/>
      <c r="AB184" s="143"/>
      <c r="AC184" s="143"/>
      <c r="AD184" s="143"/>
    </row>
    <row r="185">
      <c r="A185" s="25"/>
      <c r="B185" s="25"/>
      <c r="C185" s="25"/>
      <c r="D185" s="25"/>
      <c r="E185" s="50"/>
      <c r="F185" s="167"/>
      <c r="G185" s="168"/>
      <c r="H185" s="169"/>
      <c r="I185" s="141"/>
      <c r="J185" s="141"/>
      <c r="K185" s="141"/>
      <c r="L185" s="25"/>
      <c r="M185" s="25"/>
      <c r="N185" s="25"/>
      <c r="O185" s="143"/>
      <c r="P185" s="143"/>
      <c r="Q185" s="143"/>
      <c r="R185" s="143"/>
      <c r="S185" s="143"/>
      <c r="T185" s="143"/>
      <c r="U185" s="143"/>
      <c r="V185" s="143"/>
      <c r="W185" s="143"/>
      <c r="X185" s="143"/>
      <c r="Y185" s="143"/>
      <c r="Z185" s="143"/>
      <c r="AA185" s="143"/>
      <c r="AB185" s="143"/>
      <c r="AC185" s="143"/>
      <c r="AD185" s="143"/>
    </row>
    <row r="186">
      <c r="A186" s="25"/>
      <c r="B186" s="25"/>
      <c r="C186" s="25"/>
      <c r="D186" s="25"/>
      <c r="E186" s="50"/>
      <c r="F186" s="167"/>
      <c r="G186" s="168"/>
      <c r="H186" s="169"/>
      <c r="I186" s="141"/>
      <c r="J186" s="141"/>
      <c r="K186" s="141"/>
      <c r="L186" s="25"/>
      <c r="M186" s="25"/>
      <c r="N186" s="25"/>
      <c r="O186" s="143"/>
      <c r="P186" s="143"/>
      <c r="Q186" s="143"/>
      <c r="R186" s="143"/>
      <c r="S186" s="143"/>
      <c r="T186" s="143"/>
      <c r="U186" s="143"/>
      <c r="V186" s="143"/>
      <c r="W186" s="143"/>
      <c r="X186" s="143"/>
      <c r="Y186" s="143"/>
      <c r="Z186" s="143"/>
      <c r="AA186" s="143"/>
      <c r="AB186" s="143"/>
      <c r="AC186" s="143"/>
      <c r="AD186" s="143"/>
    </row>
    <row r="187">
      <c r="A187" s="25"/>
      <c r="B187" s="25"/>
      <c r="C187" s="25"/>
      <c r="D187" s="25"/>
      <c r="E187" s="50"/>
      <c r="F187" s="167"/>
      <c r="G187" s="168"/>
      <c r="H187" s="169"/>
      <c r="I187" s="141"/>
      <c r="J187" s="141"/>
      <c r="K187" s="141"/>
      <c r="L187" s="25"/>
      <c r="M187" s="25"/>
      <c r="N187" s="25"/>
      <c r="O187" s="143"/>
      <c r="P187" s="143"/>
      <c r="Q187" s="143"/>
      <c r="R187" s="143"/>
      <c r="S187" s="143"/>
      <c r="T187" s="143"/>
      <c r="U187" s="143"/>
      <c r="V187" s="143"/>
      <c r="W187" s="143"/>
      <c r="X187" s="143"/>
      <c r="Y187" s="143"/>
      <c r="Z187" s="143"/>
      <c r="AA187" s="143"/>
      <c r="AB187" s="143"/>
      <c r="AC187" s="143"/>
      <c r="AD187" s="143"/>
    </row>
    <row r="188">
      <c r="A188" s="25"/>
      <c r="B188" s="25"/>
      <c r="C188" s="25"/>
      <c r="D188" s="25"/>
      <c r="E188" s="50"/>
      <c r="F188" s="167"/>
      <c r="G188" s="168"/>
      <c r="H188" s="169"/>
      <c r="I188" s="141"/>
      <c r="J188" s="141"/>
      <c r="K188" s="141"/>
      <c r="L188" s="25"/>
      <c r="M188" s="25"/>
      <c r="N188" s="25"/>
      <c r="O188" s="143"/>
      <c r="P188" s="143"/>
      <c r="Q188" s="143"/>
      <c r="R188" s="143"/>
      <c r="S188" s="143"/>
      <c r="T188" s="143"/>
      <c r="U188" s="143"/>
      <c r="V188" s="143"/>
      <c r="W188" s="143"/>
      <c r="X188" s="143"/>
      <c r="Y188" s="143"/>
      <c r="Z188" s="143"/>
      <c r="AA188" s="143"/>
      <c r="AB188" s="143"/>
      <c r="AC188" s="143"/>
      <c r="AD188" s="143"/>
    </row>
    <row r="189">
      <c r="A189" s="25"/>
      <c r="B189" s="25"/>
      <c r="C189" s="25"/>
      <c r="D189" s="25"/>
      <c r="E189" s="50"/>
      <c r="F189" s="167"/>
      <c r="G189" s="168"/>
      <c r="H189" s="169"/>
      <c r="I189" s="141"/>
      <c r="J189" s="141"/>
      <c r="K189" s="141"/>
      <c r="L189" s="25"/>
      <c r="M189" s="25"/>
      <c r="N189" s="25"/>
      <c r="O189" s="143"/>
      <c r="P189" s="143"/>
      <c r="Q189" s="143"/>
      <c r="R189" s="143"/>
      <c r="S189" s="143"/>
      <c r="T189" s="143"/>
      <c r="U189" s="143"/>
      <c r="V189" s="143"/>
      <c r="W189" s="143"/>
      <c r="X189" s="143"/>
      <c r="Y189" s="143"/>
      <c r="Z189" s="143"/>
      <c r="AA189" s="143"/>
      <c r="AB189" s="143"/>
      <c r="AC189" s="143"/>
      <c r="AD189" s="143"/>
    </row>
    <row r="190">
      <c r="A190" s="25"/>
      <c r="B190" s="25"/>
      <c r="C190" s="25"/>
      <c r="D190" s="25"/>
      <c r="E190" s="50"/>
      <c r="F190" s="167"/>
      <c r="G190" s="168"/>
      <c r="H190" s="169"/>
      <c r="I190" s="141"/>
      <c r="J190" s="141"/>
      <c r="K190" s="141"/>
      <c r="L190" s="25"/>
      <c r="M190" s="25"/>
      <c r="N190" s="25"/>
      <c r="O190" s="143"/>
      <c r="P190" s="143"/>
      <c r="Q190" s="143"/>
      <c r="R190" s="143"/>
      <c r="S190" s="143"/>
      <c r="T190" s="143"/>
      <c r="U190" s="143"/>
      <c r="V190" s="143"/>
      <c r="W190" s="143"/>
      <c r="X190" s="143"/>
      <c r="Y190" s="143"/>
      <c r="Z190" s="143"/>
      <c r="AA190" s="143"/>
      <c r="AB190" s="143"/>
      <c r="AC190" s="143"/>
      <c r="AD190" s="143"/>
    </row>
    <row r="191">
      <c r="A191" s="25"/>
      <c r="B191" s="25"/>
      <c r="C191" s="25"/>
      <c r="D191" s="25"/>
      <c r="E191" s="50"/>
      <c r="F191" s="167"/>
      <c r="G191" s="168"/>
      <c r="H191" s="169"/>
      <c r="I191" s="141"/>
      <c r="J191" s="141"/>
      <c r="K191" s="141"/>
      <c r="L191" s="25"/>
      <c r="M191" s="25"/>
      <c r="N191" s="25"/>
      <c r="O191" s="143"/>
      <c r="P191" s="143"/>
      <c r="Q191" s="143"/>
      <c r="R191" s="143"/>
      <c r="S191" s="143"/>
      <c r="T191" s="143"/>
      <c r="U191" s="143"/>
      <c r="V191" s="143"/>
      <c r="W191" s="143"/>
      <c r="X191" s="143"/>
      <c r="Y191" s="143"/>
      <c r="Z191" s="143"/>
      <c r="AA191" s="143"/>
      <c r="AB191" s="143"/>
      <c r="AC191" s="143"/>
      <c r="AD191" s="143"/>
    </row>
    <row r="192">
      <c r="A192" s="25"/>
      <c r="B192" s="25"/>
      <c r="C192" s="25"/>
      <c r="D192" s="25"/>
      <c r="E192" s="50"/>
      <c r="F192" s="167"/>
      <c r="G192" s="168"/>
      <c r="H192" s="169"/>
      <c r="I192" s="141"/>
      <c r="J192" s="141"/>
      <c r="K192" s="141"/>
      <c r="L192" s="25"/>
      <c r="M192" s="25"/>
      <c r="N192" s="25"/>
      <c r="O192" s="143"/>
      <c r="P192" s="143"/>
      <c r="Q192" s="143"/>
      <c r="R192" s="143"/>
      <c r="S192" s="143"/>
      <c r="T192" s="143"/>
      <c r="U192" s="143"/>
      <c r="V192" s="143"/>
      <c r="W192" s="143"/>
      <c r="X192" s="143"/>
      <c r="Y192" s="143"/>
      <c r="Z192" s="143"/>
      <c r="AA192" s="143"/>
      <c r="AB192" s="143"/>
      <c r="AC192" s="143"/>
      <c r="AD192" s="143"/>
    </row>
    <row r="193">
      <c r="A193" s="25"/>
      <c r="B193" s="25"/>
      <c r="C193" s="25"/>
      <c r="D193" s="25"/>
      <c r="E193" s="50"/>
      <c r="F193" s="167"/>
      <c r="G193" s="168"/>
      <c r="H193" s="169"/>
      <c r="I193" s="141"/>
      <c r="J193" s="141"/>
      <c r="K193" s="141"/>
      <c r="L193" s="25"/>
      <c r="M193" s="25"/>
      <c r="N193" s="25"/>
      <c r="O193" s="143"/>
      <c r="P193" s="143"/>
      <c r="Q193" s="143"/>
      <c r="R193" s="143"/>
      <c r="S193" s="143"/>
      <c r="T193" s="143"/>
      <c r="U193" s="143"/>
      <c r="V193" s="143"/>
      <c r="W193" s="143"/>
      <c r="X193" s="143"/>
      <c r="Y193" s="143"/>
      <c r="Z193" s="143"/>
      <c r="AA193" s="143"/>
      <c r="AB193" s="143"/>
      <c r="AC193" s="143"/>
      <c r="AD193" s="143"/>
    </row>
    <row r="194">
      <c r="A194" s="25"/>
      <c r="B194" s="25"/>
      <c r="C194" s="25"/>
      <c r="D194" s="25"/>
      <c r="E194" s="50"/>
      <c r="F194" s="167"/>
      <c r="G194" s="168"/>
      <c r="H194" s="169"/>
      <c r="I194" s="141"/>
      <c r="J194" s="141"/>
      <c r="K194" s="141"/>
      <c r="L194" s="25"/>
      <c r="M194" s="25"/>
      <c r="N194" s="25"/>
      <c r="O194" s="143"/>
      <c r="P194" s="143"/>
      <c r="Q194" s="143"/>
      <c r="R194" s="143"/>
      <c r="S194" s="143"/>
      <c r="T194" s="143"/>
      <c r="U194" s="143"/>
      <c r="V194" s="143"/>
      <c r="W194" s="143"/>
      <c r="X194" s="143"/>
      <c r="Y194" s="143"/>
      <c r="Z194" s="143"/>
      <c r="AA194" s="143"/>
      <c r="AB194" s="143"/>
      <c r="AC194" s="143"/>
      <c r="AD194" s="143"/>
    </row>
    <row r="195">
      <c r="A195" s="25"/>
      <c r="B195" s="25"/>
      <c r="C195" s="25"/>
      <c r="D195" s="25"/>
      <c r="E195" s="50"/>
      <c r="F195" s="167"/>
      <c r="G195" s="168"/>
      <c r="H195" s="169"/>
      <c r="I195" s="141"/>
      <c r="J195" s="141"/>
      <c r="K195" s="141"/>
      <c r="L195" s="25"/>
      <c r="M195" s="25"/>
      <c r="N195" s="25"/>
      <c r="O195" s="143"/>
      <c r="P195" s="143"/>
      <c r="Q195" s="143"/>
      <c r="R195" s="143"/>
      <c r="S195" s="143"/>
      <c r="T195" s="143"/>
      <c r="U195" s="143"/>
      <c r="V195" s="143"/>
      <c r="W195" s="143"/>
      <c r="X195" s="143"/>
      <c r="Y195" s="143"/>
      <c r="Z195" s="143"/>
      <c r="AA195" s="143"/>
      <c r="AB195" s="143"/>
      <c r="AC195" s="143"/>
      <c r="AD195" s="143"/>
    </row>
    <row r="196">
      <c r="A196" s="25"/>
      <c r="B196" s="25"/>
      <c r="C196" s="25"/>
      <c r="D196" s="25"/>
      <c r="E196" s="50"/>
      <c r="F196" s="167"/>
      <c r="G196" s="168"/>
      <c r="H196" s="169"/>
      <c r="I196" s="141"/>
      <c r="J196" s="141"/>
      <c r="K196" s="141"/>
      <c r="L196" s="25"/>
      <c r="M196" s="25"/>
      <c r="N196" s="25"/>
      <c r="O196" s="143"/>
      <c r="P196" s="143"/>
      <c r="Q196" s="143"/>
      <c r="R196" s="143"/>
      <c r="S196" s="143"/>
      <c r="T196" s="143"/>
      <c r="U196" s="143"/>
      <c r="V196" s="143"/>
      <c r="W196" s="143"/>
      <c r="X196" s="143"/>
      <c r="Y196" s="143"/>
      <c r="Z196" s="143"/>
      <c r="AA196" s="143"/>
      <c r="AB196" s="143"/>
      <c r="AC196" s="143"/>
      <c r="AD196" s="143"/>
    </row>
    <row r="197">
      <c r="A197" s="25"/>
      <c r="B197" s="25"/>
      <c r="C197" s="25"/>
      <c r="D197" s="25"/>
      <c r="E197" s="50"/>
      <c r="F197" s="167"/>
      <c r="G197" s="168"/>
      <c r="H197" s="169"/>
      <c r="I197" s="141"/>
      <c r="J197" s="141"/>
      <c r="K197" s="141"/>
      <c r="L197" s="25"/>
      <c r="M197" s="25"/>
      <c r="N197" s="25"/>
      <c r="O197" s="143"/>
      <c r="P197" s="143"/>
      <c r="Q197" s="143"/>
      <c r="R197" s="143"/>
      <c r="S197" s="143"/>
      <c r="T197" s="143"/>
      <c r="U197" s="143"/>
      <c r="V197" s="143"/>
      <c r="W197" s="143"/>
      <c r="X197" s="143"/>
      <c r="Y197" s="143"/>
      <c r="Z197" s="143"/>
      <c r="AA197" s="143"/>
      <c r="AB197" s="143"/>
      <c r="AC197" s="143"/>
      <c r="AD197" s="143"/>
    </row>
    <row r="198">
      <c r="A198" s="25"/>
      <c r="B198" s="25"/>
      <c r="C198" s="25"/>
      <c r="D198" s="25"/>
      <c r="E198" s="50"/>
      <c r="F198" s="167"/>
      <c r="G198" s="168"/>
      <c r="H198" s="169"/>
      <c r="I198" s="141"/>
      <c r="J198" s="141"/>
      <c r="K198" s="141"/>
      <c r="L198" s="25"/>
      <c r="M198" s="25"/>
      <c r="N198" s="25"/>
      <c r="O198" s="143"/>
      <c r="P198" s="143"/>
      <c r="Q198" s="143"/>
      <c r="R198" s="143"/>
      <c r="S198" s="143"/>
      <c r="T198" s="143"/>
      <c r="U198" s="143"/>
      <c r="V198" s="143"/>
      <c r="W198" s="143"/>
      <c r="X198" s="143"/>
      <c r="Y198" s="143"/>
      <c r="Z198" s="143"/>
      <c r="AA198" s="143"/>
      <c r="AB198" s="143"/>
      <c r="AC198" s="143"/>
      <c r="AD198" s="143"/>
    </row>
    <row r="199">
      <c r="A199" s="25"/>
      <c r="B199" s="25"/>
      <c r="C199" s="25"/>
      <c r="D199" s="25"/>
      <c r="E199" s="50"/>
      <c r="F199" s="167"/>
      <c r="G199" s="168"/>
      <c r="H199" s="169"/>
      <c r="I199" s="141"/>
      <c r="J199" s="141"/>
      <c r="K199" s="141"/>
      <c r="L199" s="25"/>
      <c r="M199" s="25"/>
      <c r="N199" s="25"/>
      <c r="O199" s="143"/>
      <c r="P199" s="143"/>
      <c r="Q199" s="143"/>
      <c r="R199" s="143"/>
      <c r="S199" s="143"/>
      <c r="T199" s="143"/>
      <c r="U199" s="143"/>
      <c r="V199" s="143"/>
      <c r="W199" s="143"/>
      <c r="X199" s="143"/>
      <c r="Y199" s="143"/>
      <c r="Z199" s="143"/>
      <c r="AA199" s="143"/>
      <c r="AB199" s="143"/>
      <c r="AC199" s="143"/>
      <c r="AD199" s="143"/>
    </row>
    <row r="200">
      <c r="A200" s="25"/>
      <c r="B200" s="25"/>
      <c r="C200" s="25"/>
      <c r="D200" s="25"/>
      <c r="E200" s="50"/>
      <c r="F200" s="167"/>
      <c r="G200" s="168"/>
      <c r="H200" s="169"/>
      <c r="I200" s="141"/>
      <c r="J200" s="141"/>
      <c r="K200" s="141"/>
      <c r="L200" s="25"/>
      <c r="M200" s="25"/>
      <c r="N200" s="25"/>
      <c r="O200" s="143"/>
      <c r="P200" s="143"/>
      <c r="Q200" s="143"/>
      <c r="R200" s="143"/>
      <c r="S200" s="143"/>
      <c r="T200" s="143"/>
      <c r="U200" s="143"/>
      <c r="V200" s="143"/>
      <c r="W200" s="143"/>
      <c r="X200" s="143"/>
      <c r="Y200" s="143"/>
      <c r="Z200" s="143"/>
      <c r="AA200" s="143"/>
      <c r="AB200" s="143"/>
      <c r="AC200" s="143"/>
      <c r="AD200" s="143"/>
    </row>
    <row r="201">
      <c r="A201" s="25"/>
      <c r="B201" s="25"/>
      <c r="C201" s="25"/>
      <c r="D201" s="25"/>
      <c r="E201" s="50"/>
      <c r="F201" s="167"/>
      <c r="G201" s="168"/>
      <c r="H201" s="169"/>
      <c r="I201" s="141"/>
      <c r="J201" s="141"/>
      <c r="K201" s="141"/>
      <c r="L201" s="25"/>
      <c r="M201" s="25"/>
      <c r="N201" s="25"/>
      <c r="O201" s="143"/>
      <c r="P201" s="143"/>
      <c r="Q201" s="143"/>
      <c r="R201" s="143"/>
      <c r="S201" s="143"/>
      <c r="T201" s="143"/>
      <c r="U201" s="143"/>
      <c r="V201" s="143"/>
      <c r="W201" s="143"/>
      <c r="X201" s="143"/>
      <c r="Y201" s="143"/>
      <c r="Z201" s="143"/>
      <c r="AA201" s="143"/>
      <c r="AB201" s="143"/>
      <c r="AC201" s="143"/>
      <c r="AD201" s="143"/>
    </row>
    <row r="202">
      <c r="A202" s="25"/>
      <c r="B202" s="25"/>
      <c r="C202" s="25"/>
      <c r="D202" s="25"/>
      <c r="E202" s="50"/>
      <c r="F202" s="167"/>
      <c r="G202" s="168"/>
      <c r="H202" s="169"/>
      <c r="I202" s="141"/>
      <c r="J202" s="141"/>
      <c r="K202" s="141"/>
      <c r="L202" s="25"/>
      <c r="M202" s="25"/>
      <c r="N202" s="25"/>
      <c r="O202" s="143"/>
      <c r="P202" s="143"/>
      <c r="Q202" s="143"/>
      <c r="R202" s="143"/>
      <c r="S202" s="143"/>
      <c r="T202" s="143"/>
      <c r="U202" s="143"/>
      <c r="V202" s="143"/>
      <c r="W202" s="143"/>
      <c r="X202" s="143"/>
      <c r="Y202" s="143"/>
      <c r="Z202" s="143"/>
      <c r="AA202" s="143"/>
      <c r="AB202" s="143"/>
      <c r="AC202" s="143"/>
      <c r="AD202" s="143"/>
    </row>
    <row r="203">
      <c r="A203" s="25"/>
      <c r="B203" s="25"/>
      <c r="C203" s="25"/>
      <c r="D203" s="25"/>
      <c r="E203" s="50"/>
      <c r="F203" s="167"/>
      <c r="G203" s="168"/>
      <c r="H203" s="169"/>
      <c r="I203" s="141"/>
      <c r="J203" s="141"/>
      <c r="K203" s="141"/>
      <c r="L203" s="25"/>
      <c r="M203" s="25"/>
      <c r="N203" s="25"/>
      <c r="O203" s="143"/>
      <c r="P203" s="143"/>
      <c r="Q203" s="143"/>
      <c r="R203" s="143"/>
      <c r="S203" s="143"/>
      <c r="T203" s="143"/>
      <c r="U203" s="143"/>
      <c r="V203" s="143"/>
      <c r="W203" s="143"/>
      <c r="X203" s="143"/>
      <c r="Y203" s="143"/>
      <c r="Z203" s="143"/>
      <c r="AA203" s="143"/>
      <c r="AB203" s="143"/>
      <c r="AC203" s="143"/>
      <c r="AD203" s="143"/>
    </row>
    <row r="204">
      <c r="A204" s="25"/>
      <c r="B204" s="25"/>
      <c r="C204" s="25"/>
      <c r="D204" s="25"/>
      <c r="E204" s="50"/>
      <c r="F204" s="167"/>
      <c r="G204" s="168"/>
      <c r="H204" s="169"/>
      <c r="I204" s="141"/>
      <c r="J204" s="141"/>
      <c r="K204" s="141"/>
      <c r="L204" s="25"/>
      <c r="M204" s="25"/>
      <c r="N204" s="25"/>
      <c r="O204" s="143"/>
      <c r="P204" s="143"/>
      <c r="Q204" s="143"/>
      <c r="R204" s="143"/>
      <c r="S204" s="143"/>
      <c r="T204" s="143"/>
      <c r="U204" s="143"/>
      <c r="V204" s="143"/>
      <c r="W204" s="143"/>
      <c r="X204" s="143"/>
      <c r="Y204" s="143"/>
      <c r="Z204" s="143"/>
      <c r="AA204" s="143"/>
      <c r="AB204" s="143"/>
      <c r="AC204" s="143"/>
      <c r="AD204" s="143"/>
    </row>
    <row r="205">
      <c r="A205" s="25"/>
      <c r="B205" s="25"/>
      <c r="C205" s="25"/>
      <c r="D205" s="25"/>
      <c r="E205" s="50"/>
      <c r="F205" s="167"/>
      <c r="G205" s="168"/>
      <c r="H205" s="169"/>
      <c r="I205" s="141"/>
      <c r="J205" s="141"/>
      <c r="K205" s="141"/>
      <c r="L205" s="25"/>
      <c r="M205" s="25"/>
      <c r="N205" s="25"/>
      <c r="O205" s="143"/>
      <c r="P205" s="143"/>
      <c r="Q205" s="143"/>
      <c r="R205" s="143"/>
      <c r="S205" s="143"/>
      <c r="T205" s="143"/>
      <c r="U205" s="143"/>
      <c r="V205" s="143"/>
      <c r="W205" s="143"/>
      <c r="X205" s="143"/>
      <c r="Y205" s="143"/>
      <c r="Z205" s="143"/>
      <c r="AA205" s="143"/>
      <c r="AB205" s="143"/>
      <c r="AC205" s="143"/>
      <c r="AD205" s="143"/>
    </row>
    <row r="206">
      <c r="A206" s="25"/>
      <c r="B206" s="25"/>
      <c r="C206" s="25"/>
      <c r="D206" s="25"/>
      <c r="E206" s="50"/>
      <c r="F206" s="167"/>
      <c r="G206" s="168"/>
      <c r="H206" s="169"/>
      <c r="I206" s="141"/>
      <c r="J206" s="141"/>
      <c r="K206" s="141"/>
      <c r="L206" s="25"/>
      <c r="M206" s="25"/>
      <c r="N206" s="25"/>
      <c r="O206" s="143"/>
      <c r="P206" s="143"/>
      <c r="Q206" s="143"/>
      <c r="R206" s="143"/>
      <c r="S206" s="143"/>
      <c r="T206" s="143"/>
      <c r="U206" s="143"/>
      <c r="V206" s="143"/>
      <c r="W206" s="143"/>
      <c r="X206" s="143"/>
      <c r="Y206" s="143"/>
      <c r="Z206" s="143"/>
      <c r="AA206" s="143"/>
      <c r="AB206" s="143"/>
      <c r="AC206" s="143"/>
      <c r="AD206" s="143"/>
    </row>
    <row r="207">
      <c r="A207" s="25"/>
      <c r="B207" s="25"/>
      <c r="C207" s="25"/>
      <c r="D207" s="25"/>
      <c r="E207" s="50"/>
      <c r="F207" s="167"/>
      <c r="G207" s="168"/>
      <c r="H207" s="169"/>
      <c r="I207" s="141"/>
      <c r="J207" s="141"/>
      <c r="K207" s="141"/>
      <c r="L207" s="25"/>
      <c r="M207" s="25"/>
      <c r="N207" s="25"/>
      <c r="O207" s="143"/>
      <c r="P207" s="143"/>
      <c r="Q207" s="143"/>
      <c r="R207" s="143"/>
      <c r="S207" s="143"/>
      <c r="T207" s="143"/>
      <c r="U207" s="143"/>
      <c r="V207" s="143"/>
      <c r="W207" s="143"/>
      <c r="X207" s="143"/>
      <c r="Y207" s="143"/>
      <c r="Z207" s="143"/>
      <c r="AA207" s="143"/>
      <c r="AB207" s="143"/>
      <c r="AC207" s="143"/>
      <c r="AD207" s="143"/>
    </row>
    <row r="208">
      <c r="A208" s="25"/>
      <c r="B208" s="25"/>
      <c r="C208" s="25"/>
      <c r="D208" s="25"/>
      <c r="E208" s="50"/>
      <c r="F208" s="167"/>
      <c r="G208" s="168"/>
      <c r="H208" s="169"/>
      <c r="I208" s="141"/>
      <c r="J208" s="141"/>
      <c r="K208" s="141"/>
      <c r="L208" s="25"/>
      <c r="M208" s="25"/>
      <c r="N208" s="25"/>
      <c r="O208" s="143"/>
      <c r="P208" s="143"/>
      <c r="Q208" s="143"/>
      <c r="R208" s="143"/>
      <c r="S208" s="143"/>
      <c r="T208" s="143"/>
      <c r="U208" s="143"/>
      <c r="V208" s="143"/>
      <c r="W208" s="143"/>
      <c r="X208" s="143"/>
      <c r="Y208" s="143"/>
      <c r="Z208" s="143"/>
      <c r="AA208" s="143"/>
      <c r="AB208" s="143"/>
      <c r="AC208" s="143"/>
      <c r="AD208" s="143"/>
    </row>
    <row r="209">
      <c r="A209" s="25"/>
      <c r="B209" s="25"/>
      <c r="C209" s="25"/>
      <c r="D209" s="25"/>
      <c r="E209" s="50"/>
      <c r="F209" s="167"/>
      <c r="G209" s="168"/>
      <c r="H209" s="169"/>
      <c r="I209" s="141"/>
      <c r="J209" s="141"/>
      <c r="K209" s="141"/>
      <c r="L209" s="25"/>
      <c r="M209" s="25"/>
      <c r="N209" s="25"/>
      <c r="O209" s="143"/>
      <c r="P209" s="143"/>
      <c r="Q209" s="143"/>
      <c r="R209" s="143"/>
      <c r="S209" s="143"/>
      <c r="T209" s="143"/>
      <c r="U209" s="143"/>
      <c r="V209" s="143"/>
      <c r="W209" s="143"/>
      <c r="X209" s="143"/>
      <c r="Y209" s="143"/>
      <c r="Z209" s="143"/>
      <c r="AA209" s="143"/>
      <c r="AB209" s="143"/>
      <c r="AC209" s="143"/>
      <c r="AD209" s="143"/>
    </row>
    <row r="210">
      <c r="A210" s="25"/>
      <c r="B210" s="25"/>
      <c r="C210" s="25"/>
      <c r="D210" s="25"/>
      <c r="E210" s="50"/>
      <c r="F210" s="167"/>
      <c r="G210" s="168"/>
      <c r="H210" s="169"/>
      <c r="I210" s="141"/>
      <c r="J210" s="141"/>
      <c r="K210" s="141"/>
      <c r="L210" s="25"/>
      <c r="M210" s="25"/>
      <c r="N210" s="25"/>
      <c r="O210" s="143"/>
      <c r="P210" s="143"/>
      <c r="Q210" s="143"/>
      <c r="R210" s="143"/>
      <c r="S210" s="143"/>
      <c r="T210" s="143"/>
      <c r="U210" s="143"/>
      <c r="V210" s="143"/>
      <c r="W210" s="143"/>
      <c r="X210" s="143"/>
      <c r="Y210" s="143"/>
      <c r="Z210" s="143"/>
      <c r="AA210" s="143"/>
      <c r="AB210" s="143"/>
      <c r="AC210" s="143"/>
      <c r="AD210" s="143"/>
    </row>
    <row r="211">
      <c r="A211" s="25"/>
      <c r="B211" s="25"/>
      <c r="C211" s="25"/>
      <c r="D211" s="25"/>
      <c r="E211" s="50"/>
      <c r="F211" s="167"/>
      <c r="G211" s="168"/>
      <c r="H211" s="169"/>
      <c r="I211" s="141"/>
      <c r="J211" s="141"/>
      <c r="K211" s="141"/>
      <c r="L211" s="25"/>
      <c r="M211" s="25"/>
      <c r="N211" s="25"/>
      <c r="O211" s="143"/>
      <c r="P211" s="143"/>
      <c r="Q211" s="143"/>
      <c r="R211" s="143"/>
      <c r="S211" s="143"/>
      <c r="T211" s="143"/>
      <c r="U211" s="143"/>
      <c r="V211" s="143"/>
      <c r="W211" s="143"/>
      <c r="X211" s="143"/>
      <c r="Y211" s="143"/>
      <c r="Z211" s="143"/>
      <c r="AA211" s="143"/>
      <c r="AB211" s="143"/>
      <c r="AC211" s="143"/>
      <c r="AD211" s="143"/>
    </row>
    <row r="212">
      <c r="A212" s="25"/>
      <c r="B212" s="25"/>
      <c r="C212" s="25"/>
      <c r="D212" s="25"/>
      <c r="E212" s="50"/>
      <c r="F212" s="167"/>
      <c r="G212" s="168"/>
      <c r="H212" s="169"/>
      <c r="I212" s="141"/>
      <c r="J212" s="141"/>
      <c r="K212" s="141"/>
      <c r="L212" s="25"/>
      <c r="M212" s="25"/>
      <c r="N212" s="25"/>
      <c r="O212" s="143"/>
      <c r="P212" s="143"/>
      <c r="Q212" s="143"/>
      <c r="R212" s="143"/>
      <c r="S212" s="143"/>
      <c r="T212" s="143"/>
      <c r="U212" s="143"/>
      <c r="V212" s="143"/>
      <c r="W212" s="143"/>
      <c r="X212" s="143"/>
      <c r="Y212" s="143"/>
      <c r="Z212" s="143"/>
      <c r="AA212" s="143"/>
      <c r="AB212" s="143"/>
      <c r="AC212" s="143"/>
      <c r="AD212" s="143"/>
    </row>
    <row r="213">
      <c r="A213" s="25"/>
      <c r="B213" s="25"/>
      <c r="C213" s="25"/>
      <c r="D213" s="25"/>
      <c r="E213" s="50"/>
      <c r="F213" s="167"/>
      <c r="G213" s="168"/>
      <c r="H213" s="169"/>
      <c r="I213" s="141"/>
      <c r="J213" s="141"/>
      <c r="K213" s="141"/>
      <c r="L213" s="25"/>
      <c r="M213" s="25"/>
      <c r="N213" s="25"/>
      <c r="O213" s="143"/>
      <c r="P213" s="143"/>
      <c r="Q213" s="143"/>
      <c r="R213" s="143"/>
      <c r="S213" s="143"/>
      <c r="T213" s="143"/>
      <c r="U213" s="143"/>
      <c r="V213" s="143"/>
      <c r="W213" s="143"/>
      <c r="X213" s="143"/>
      <c r="Y213" s="143"/>
      <c r="Z213" s="143"/>
      <c r="AA213" s="143"/>
      <c r="AB213" s="143"/>
      <c r="AC213" s="143"/>
      <c r="AD213" s="143"/>
    </row>
    <row r="214">
      <c r="A214" s="25"/>
      <c r="B214" s="25"/>
      <c r="C214" s="25"/>
      <c r="D214" s="25"/>
      <c r="E214" s="50"/>
      <c r="F214" s="167"/>
      <c r="G214" s="168"/>
      <c r="H214" s="169"/>
      <c r="I214" s="141"/>
      <c r="J214" s="141"/>
      <c r="K214" s="141"/>
      <c r="L214" s="25"/>
      <c r="M214" s="25"/>
      <c r="N214" s="25"/>
      <c r="O214" s="143"/>
      <c r="P214" s="143"/>
      <c r="Q214" s="143"/>
      <c r="R214" s="143"/>
      <c r="S214" s="143"/>
      <c r="T214" s="143"/>
      <c r="U214" s="143"/>
      <c r="V214" s="143"/>
      <c r="W214" s="143"/>
      <c r="X214" s="143"/>
      <c r="Y214" s="143"/>
      <c r="Z214" s="143"/>
      <c r="AA214" s="143"/>
      <c r="AB214" s="143"/>
      <c r="AC214" s="143"/>
      <c r="AD214" s="143"/>
    </row>
    <row r="215">
      <c r="A215" s="25"/>
      <c r="B215" s="25"/>
      <c r="C215" s="25"/>
      <c r="D215" s="25"/>
      <c r="E215" s="50"/>
      <c r="F215" s="167"/>
      <c r="G215" s="168"/>
      <c r="H215" s="169"/>
      <c r="I215" s="141"/>
      <c r="J215" s="141"/>
      <c r="K215" s="141"/>
      <c r="L215" s="25"/>
      <c r="M215" s="25"/>
      <c r="N215" s="25"/>
      <c r="O215" s="143"/>
      <c r="P215" s="143"/>
      <c r="Q215" s="143"/>
      <c r="R215" s="143"/>
      <c r="S215" s="143"/>
      <c r="T215" s="143"/>
      <c r="U215" s="143"/>
      <c r="V215" s="143"/>
      <c r="W215" s="143"/>
      <c r="X215" s="143"/>
      <c r="Y215" s="143"/>
      <c r="Z215" s="143"/>
      <c r="AA215" s="143"/>
      <c r="AB215" s="143"/>
      <c r="AC215" s="143"/>
      <c r="AD215" s="143"/>
    </row>
    <row r="216">
      <c r="A216" s="25"/>
      <c r="B216" s="25"/>
      <c r="C216" s="25"/>
      <c r="D216" s="25"/>
      <c r="E216" s="50"/>
      <c r="F216" s="167"/>
      <c r="G216" s="168"/>
      <c r="H216" s="169"/>
      <c r="I216" s="141"/>
      <c r="J216" s="141"/>
      <c r="K216" s="141"/>
      <c r="L216" s="25"/>
      <c r="M216" s="25"/>
      <c r="N216" s="25"/>
      <c r="O216" s="143"/>
      <c r="P216" s="143"/>
      <c r="Q216" s="143"/>
      <c r="R216" s="143"/>
      <c r="S216" s="143"/>
      <c r="T216" s="143"/>
      <c r="U216" s="143"/>
      <c r="V216" s="143"/>
      <c r="W216" s="143"/>
      <c r="X216" s="143"/>
      <c r="Y216" s="143"/>
      <c r="Z216" s="143"/>
      <c r="AA216" s="143"/>
      <c r="AB216" s="143"/>
      <c r="AC216" s="143"/>
      <c r="AD216" s="143"/>
    </row>
    <row r="217">
      <c r="A217" s="25"/>
      <c r="B217" s="25"/>
      <c r="C217" s="25"/>
      <c r="D217" s="25"/>
      <c r="E217" s="50"/>
      <c r="F217" s="167"/>
      <c r="G217" s="168"/>
      <c r="H217" s="169"/>
      <c r="I217" s="141"/>
      <c r="J217" s="141"/>
      <c r="K217" s="141"/>
      <c r="L217" s="25"/>
      <c r="M217" s="25"/>
      <c r="N217" s="25"/>
      <c r="O217" s="143"/>
      <c r="P217" s="143"/>
      <c r="Q217" s="143"/>
      <c r="R217" s="143"/>
      <c r="S217" s="143"/>
      <c r="T217" s="143"/>
      <c r="U217" s="143"/>
      <c r="V217" s="143"/>
      <c r="W217" s="143"/>
      <c r="X217" s="143"/>
      <c r="Y217" s="143"/>
      <c r="Z217" s="143"/>
      <c r="AA217" s="143"/>
      <c r="AB217" s="143"/>
      <c r="AC217" s="143"/>
      <c r="AD217" s="143"/>
    </row>
    <row r="218">
      <c r="A218" s="25"/>
      <c r="B218" s="25"/>
      <c r="C218" s="25"/>
      <c r="D218" s="25"/>
      <c r="E218" s="50"/>
      <c r="F218" s="167"/>
      <c r="G218" s="168"/>
      <c r="H218" s="169"/>
      <c r="I218" s="141"/>
      <c r="J218" s="141"/>
      <c r="K218" s="141"/>
      <c r="L218" s="25"/>
      <c r="M218" s="25"/>
      <c r="N218" s="25"/>
      <c r="O218" s="143"/>
      <c r="P218" s="143"/>
      <c r="Q218" s="143"/>
      <c r="R218" s="143"/>
      <c r="S218" s="143"/>
      <c r="T218" s="143"/>
      <c r="U218" s="143"/>
      <c r="V218" s="143"/>
      <c r="W218" s="143"/>
      <c r="X218" s="143"/>
      <c r="Y218" s="143"/>
      <c r="Z218" s="143"/>
      <c r="AA218" s="143"/>
      <c r="AB218" s="143"/>
      <c r="AC218" s="143"/>
      <c r="AD218" s="143"/>
    </row>
    <row r="219">
      <c r="A219" s="25"/>
      <c r="B219" s="25"/>
      <c r="C219" s="25"/>
      <c r="D219" s="25"/>
      <c r="E219" s="50"/>
      <c r="F219" s="167"/>
      <c r="G219" s="168"/>
      <c r="H219" s="169"/>
      <c r="I219" s="141"/>
      <c r="J219" s="141"/>
      <c r="K219" s="141"/>
      <c r="L219" s="25"/>
      <c r="M219" s="25"/>
      <c r="N219" s="25"/>
      <c r="O219" s="143"/>
      <c r="P219" s="143"/>
      <c r="Q219" s="143"/>
      <c r="R219" s="143"/>
      <c r="S219" s="143"/>
      <c r="T219" s="143"/>
      <c r="U219" s="143"/>
      <c r="V219" s="143"/>
      <c r="W219" s="143"/>
      <c r="X219" s="143"/>
      <c r="Y219" s="143"/>
      <c r="Z219" s="143"/>
      <c r="AA219" s="143"/>
      <c r="AB219" s="143"/>
      <c r="AC219" s="143"/>
      <c r="AD219" s="143"/>
    </row>
    <row r="220">
      <c r="A220" s="25"/>
      <c r="B220" s="25"/>
      <c r="C220" s="25"/>
      <c r="D220" s="25"/>
      <c r="E220" s="50"/>
      <c r="F220" s="167"/>
      <c r="G220" s="168"/>
      <c r="H220" s="169"/>
      <c r="I220" s="141"/>
      <c r="J220" s="141"/>
      <c r="K220" s="141"/>
      <c r="L220" s="25"/>
      <c r="M220" s="25"/>
      <c r="N220" s="25"/>
      <c r="O220" s="143"/>
      <c r="P220" s="143"/>
      <c r="Q220" s="143"/>
      <c r="R220" s="143"/>
      <c r="S220" s="143"/>
      <c r="T220" s="143"/>
      <c r="U220" s="143"/>
      <c r="V220" s="143"/>
      <c r="W220" s="143"/>
      <c r="X220" s="143"/>
      <c r="Y220" s="143"/>
      <c r="Z220" s="143"/>
      <c r="AA220" s="143"/>
      <c r="AB220" s="143"/>
      <c r="AC220" s="143"/>
      <c r="AD220" s="143"/>
    </row>
    <row r="221">
      <c r="A221" s="25"/>
      <c r="B221" s="25"/>
      <c r="C221" s="25"/>
      <c r="D221" s="25"/>
      <c r="E221" s="50"/>
      <c r="F221" s="167"/>
      <c r="G221" s="168"/>
      <c r="H221" s="169"/>
      <c r="I221" s="141"/>
      <c r="J221" s="141"/>
      <c r="K221" s="141"/>
      <c r="L221" s="25"/>
      <c r="M221" s="25"/>
      <c r="N221" s="25"/>
      <c r="O221" s="143"/>
      <c r="P221" s="143"/>
      <c r="Q221" s="143"/>
      <c r="R221" s="143"/>
      <c r="S221" s="143"/>
      <c r="T221" s="143"/>
      <c r="U221" s="143"/>
      <c r="V221" s="143"/>
      <c r="W221" s="143"/>
      <c r="X221" s="143"/>
      <c r="Y221" s="143"/>
      <c r="Z221" s="143"/>
      <c r="AA221" s="143"/>
      <c r="AB221" s="143"/>
      <c r="AC221" s="143"/>
      <c r="AD221" s="143"/>
    </row>
    <row r="222">
      <c r="A222" s="25"/>
      <c r="B222" s="25"/>
      <c r="C222" s="25"/>
      <c r="D222" s="25"/>
      <c r="E222" s="50"/>
      <c r="F222" s="167"/>
      <c r="G222" s="168"/>
      <c r="H222" s="169"/>
      <c r="I222" s="141"/>
      <c r="J222" s="141"/>
      <c r="K222" s="141"/>
      <c r="L222" s="25"/>
      <c r="M222" s="25"/>
      <c r="N222" s="25"/>
      <c r="O222" s="143"/>
      <c r="P222" s="143"/>
      <c r="Q222" s="143"/>
      <c r="R222" s="143"/>
      <c r="S222" s="143"/>
      <c r="T222" s="143"/>
      <c r="U222" s="143"/>
      <c r="V222" s="143"/>
      <c r="W222" s="143"/>
      <c r="X222" s="143"/>
      <c r="Y222" s="143"/>
      <c r="Z222" s="143"/>
      <c r="AA222" s="143"/>
      <c r="AB222" s="143"/>
      <c r="AC222" s="143"/>
      <c r="AD222" s="143"/>
    </row>
    <row r="223">
      <c r="A223" s="25"/>
      <c r="B223" s="25"/>
      <c r="C223" s="25"/>
      <c r="D223" s="25"/>
      <c r="E223" s="50"/>
      <c r="F223" s="167"/>
      <c r="G223" s="168"/>
      <c r="H223" s="169"/>
      <c r="I223" s="141"/>
      <c r="J223" s="141"/>
      <c r="K223" s="141"/>
      <c r="L223" s="25"/>
      <c r="M223" s="25"/>
      <c r="N223" s="25"/>
      <c r="O223" s="143"/>
      <c r="P223" s="143"/>
      <c r="Q223" s="143"/>
      <c r="R223" s="143"/>
      <c r="S223" s="143"/>
      <c r="T223" s="143"/>
      <c r="U223" s="143"/>
      <c r="V223" s="143"/>
      <c r="W223" s="143"/>
      <c r="X223" s="143"/>
      <c r="Y223" s="143"/>
      <c r="Z223" s="143"/>
      <c r="AA223" s="143"/>
      <c r="AB223" s="143"/>
      <c r="AC223" s="143"/>
      <c r="AD223" s="143"/>
    </row>
    <row r="224">
      <c r="A224" s="25"/>
      <c r="B224" s="25"/>
      <c r="C224" s="25"/>
      <c r="D224" s="25"/>
      <c r="E224" s="50"/>
      <c r="F224" s="167"/>
      <c r="G224" s="168"/>
      <c r="H224" s="169"/>
      <c r="I224" s="141"/>
      <c r="J224" s="141"/>
      <c r="K224" s="141"/>
      <c r="L224" s="25"/>
      <c r="M224" s="25"/>
      <c r="N224" s="25"/>
      <c r="O224" s="143"/>
      <c r="P224" s="143"/>
      <c r="Q224" s="143"/>
      <c r="R224" s="143"/>
      <c r="S224" s="143"/>
      <c r="T224" s="143"/>
      <c r="U224" s="143"/>
      <c r="V224" s="143"/>
      <c r="W224" s="143"/>
      <c r="X224" s="143"/>
      <c r="Y224" s="143"/>
      <c r="Z224" s="143"/>
      <c r="AA224" s="143"/>
      <c r="AB224" s="143"/>
      <c r="AC224" s="143"/>
      <c r="AD224" s="143"/>
    </row>
    <row r="225">
      <c r="A225" s="25"/>
      <c r="B225" s="25"/>
      <c r="C225" s="25"/>
      <c r="D225" s="25"/>
      <c r="E225" s="50"/>
      <c r="F225" s="167"/>
      <c r="G225" s="168"/>
      <c r="H225" s="169"/>
      <c r="I225" s="141"/>
      <c r="J225" s="141"/>
      <c r="K225" s="141"/>
      <c r="L225" s="25"/>
      <c r="M225" s="25"/>
      <c r="N225" s="25"/>
      <c r="O225" s="143"/>
      <c r="P225" s="143"/>
      <c r="Q225" s="143"/>
      <c r="R225" s="143"/>
      <c r="S225" s="143"/>
      <c r="T225" s="143"/>
      <c r="U225" s="143"/>
      <c r="V225" s="143"/>
      <c r="W225" s="143"/>
      <c r="X225" s="143"/>
      <c r="Y225" s="143"/>
      <c r="Z225" s="143"/>
      <c r="AA225" s="143"/>
      <c r="AB225" s="143"/>
      <c r="AC225" s="143"/>
      <c r="AD225" s="143"/>
    </row>
    <row r="226">
      <c r="A226" s="25"/>
      <c r="B226" s="25"/>
      <c r="C226" s="25"/>
      <c r="D226" s="25"/>
      <c r="E226" s="50"/>
      <c r="F226" s="167"/>
      <c r="G226" s="168"/>
      <c r="H226" s="169"/>
      <c r="I226" s="141"/>
      <c r="J226" s="141"/>
      <c r="K226" s="141"/>
      <c r="L226" s="25"/>
      <c r="M226" s="25"/>
      <c r="N226" s="25"/>
      <c r="O226" s="143"/>
      <c r="P226" s="143"/>
      <c r="Q226" s="143"/>
      <c r="R226" s="143"/>
      <c r="S226" s="143"/>
      <c r="T226" s="143"/>
      <c r="U226" s="143"/>
      <c r="V226" s="143"/>
      <c r="W226" s="143"/>
      <c r="X226" s="143"/>
      <c r="Y226" s="143"/>
      <c r="Z226" s="143"/>
      <c r="AA226" s="143"/>
      <c r="AB226" s="143"/>
      <c r="AC226" s="143"/>
      <c r="AD226" s="143"/>
    </row>
    <row r="227">
      <c r="A227" s="25"/>
      <c r="B227" s="25"/>
      <c r="C227" s="25"/>
      <c r="D227" s="25"/>
      <c r="E227" s="50"/>
      <c r="F227" s="167"/>
      <c r="G227" s="168"/>
      <c r="H227" s="169"/>
      <c r="I227" s="141"/>
      <c r="J227" s="141"/>
      <c r="K227" s="141"/>
      <c r="L227" s="25"/>
      <c r="M227" s="25"/>
      <c r="N227" s="25"/>
      <c r="O227" s="143"/>
      <c r="P227" s="143"/>
      <c r="Q227" s="143"/>
      <c r="R227" s="143"/>
      <c r="S227" s="143"/>
      <c r="T227" s="143"/>
      <c r="U227" s="143"/>
      <c r="V227" s="143"/>
      <c r="W227" s="143"/>
      <c r="X227" s="143"/>
      <c r="Y227" s="143"/>
      <c r="Z227" s="143"/>
      <c r="AA227" s="143"/>
      <c r="AB227" s="143"/>
      <c r="AC227" s="143"/>
      <c r="AD227" s="143"/>
    </row>
    <row r="228">
      <c r="A228" s="25"/>
      <c r="B228" s="25"/>
      <c r="C228" s="25"/>
      <c r="D228" s="25"/>
      <c r="E228" s="50"/>
      <c r="F228" s="167"/>
      <c r="G228" s="168"/>
      <c r="H228" s="169"/>
      <c r="I228" s="141"/>
      <c r="J228" s="141"/>
      <c r="K228" s="141"/>
      <c r="L228" s="25"/>
      <c r="M228" s="25"/>
      <c r="N228" s="25"/>
      <c r="O228" s="143"/>
      <c r="P228" s="143"/>
      <c r="Q228" s="143"/>
      <c r="R228" s="143"/>
      <c r="S228" s="143"/>
      <c r="T228" s="143"/>
      <c r="U228" s="143"/>
      <c r="V228" s="143"/>
      <c r="W228" s="143"/>
      <c r="X228" s="143"/>
      <c r="Y228" s="143"/>
      <c r="Z228" s="143"/>
      <c r="AA228" s="143"/>
      <c r="AB228" s="143"/>
      <c r="AC228" s="143"/>
      <c r="AD228" s="143"/>
    </row>
    <row r="229">
      <c r="A229" s="25"/>
      <c r="B229" s="25"/>
      <c r="C229" s="25"/>
      <c r="D229" s="25"/>
      <c r="E229" s="50"/>
      <c r="F229" s="167"/>
      <c r="G229" s="168"/>
      <c r="H229" s="169"/>
      <c r="I229" s="141"/>
      <c r="J229" s="141"/>
      <c r="K229" s="141"/>
      <c r="L229" s="25"/>
      <c r="M229" s="25"/>
      <c r="N229" s="25"/>
      <c r="O229" s="143"/>
      <c r="P229" s="143"/>
      <c r="Q229" s="143"/>
      <c r="R229" s="143"/>
      <c r="S229" s="143"/>
      <c r="T229" s="143"/>
      <c r="U229" s="143"/>
      <c r="V229" s="143"/>
      <c r="W229" s="143"/>
      <c r="X229" s="143"/>
      <c r="Y229" s="143"/>
      <c r="Z229" s="143"/>
      <c r="AA229" s="143"/>
      <c r="AB229" s="143"/>
      <c r="AC229" s="143"/>
      <c r="AD229" s="143"/>
    </row>
    <row r="230">
      <c r="A230" s="25"/>
      <c r="B230" s="25"/>
      <c r="C230" s="25"/>
      <c r="D230" s="25"/>
      <c r="E230" s="50"/>
      <c r="F230" s="167"/>
      <c r="G230" s="168"/>
      <c r="H230" s="169"/>
      <c r="I230" s="141"/>
      <c r="J230" s="141"/>
      <c r="K230" s="141"/>
      <c r="L230" s="25"/>
      <c r="M230" s="25"/>
      <c r="N230" s="25"/>
      <c r="O230" s="143"/>
      <c r="P230" s="143"/>
      <c r="Q230" s="143"/>
      <c r="R230" s="143"/>
      <c r="S230" s="143"/>
      <c r="T230" s="143"/>
      <c r="U230" s="143"/>
      <c r="V230" s="143"/>
      <c r="W230" s="143"/>
      <c r="X230" s="143"/>
      <c r="Y230" s="143"/>
      <c r="Z230" s="143"/>
      <c r="AA230" s="143"/>
      <c r="AB230" s="143"/>
      <c r="AC230" s="143"/>
      <c r="AD230" s="143"/>
    </row>
    <row r="231">
      <c r="A231" s="25"/>
      <c r="B231" s="25"/>
      <c r="C231" s="25"/>
      <c r="D231" s="25"/>
      <c r="E231" s="50"/>
      <c r="F231" s="167"/>
      <c r="G231" s="168"/>
      <c r="H231" s="169"/>
      <c r="I231" s="141"/>
      <c r="J231" s="141"/>
      <c r="K231" s="141"/>
      <c r="L231" s="25"/>
      <c r="M231" s="25"/>
      <c r="N231" s="25"/>
      <c r="O231" s="143"/>
      <c r="P231" s="143"/>
      <c r="Q231" s="143"/>
      <c r="R231" s="143"/>
      <c r="S231" s="143"/>
      <c r="T231" s="143"/>
      <c r="U231" s="143"/>
      <c r="V231" s="143"/>
      <c r="W231" s="143"/>
      <c r="X231" s="143"/>
      <c r="Y231" s="143"/>
      <c r="Z231" s="143"/>
      <c r="AA231" s="143"/>
      <c r="AB231" s="143"/>
      <c r="AC231" s="143"/>
      <c r="AD231" s="143"/>
    </row>
    <row r="232">
      <c r="A232" s="25"/>
      <c r="B232" s="25"/>
      <c r="C232" s="25"/>
      <c r="D232" s="25"/>
      <c r="E232" s="50"/>
      <c r="F232" s="167"/>
      <c r="G232" s="168"/>
      <c r="H232" s="169"/>
      <c r="I232" s="141"/>
      <c r="J232" s="141"/>
      <c r="K232" s="141"/>
      <c r="L232" s="25"/>
      <c r="M232" s="25"/>
      <c r="N232" s="25"/>
      <c r="O232" s="143"/>
      <c r="P232" s="143"/>
      <c r="Q232" s="143"/>
      <c r="R232" s="143"/>
      <c r="S232" s="143"/>
      <c r="T232" s="143"/>
      <c r="U232" s="143"/>
      <c r="V232" s="143"/>
      <c r="W232" s="143"/>
      <c r="X232" s="143"/>
      <c r="Y232" s="143"/>
      <c r="Z232" s="143"/>
      <c r="AA232" s="143"/>
      <c r="AB232" s="143"/>
      <c r="AC232" s="143"/>
      <c r="AD232" s="143"/>
    </row>
    <row r="233">
      <c r="A233" s="25"/>
      <c r="B233" s="25"/>
      <c r="C233" s="25"/>
      <c r="D233" s="25"/>
      <c r="E233" s="50"/>
      <c r="F233" s="167"/>
      <c r="G233" s="168"/>
      <c r="H233" s="169"/>
      <c r="I233" s="141"/>
      <c r="J233" s="141"/>
      <c r="K233" s="141"/>
      <c r="L233" s="25"/>
      <c r="M233" s="25"/>
      <c r="N233" s="25"/>
      <c r="O233" s="143"/>
      <c r="P233" s="143"/>
      <c r="Q233" s="143"/>
      <c r="R233" s="143"/>
      <c r="S233" s="143"/>
      <c r="T233" s="143"/>
      <c r="U233" s="143"/>
      <c r="V233" s="143"/>
      <c r="W233" s="143"/>
      <c r="X233" s="143"/>
      <c r="Y233" s="143"/>
      <c r="Z233" s="143"/>
      <c r="AA233" s="143"/>
      <c r="AB233" s="143"/>
      <c r="AC233" s="143"/>
      <c r="AD233" s="143"/>
    </row>
    <row r="234">
      <c r="A234" s="25"/>
      <c r="B234" s="25"/>
      <c r="C234" s="25"/>
      <c r="D234" s="25"/>
      <c r="E234" s="50"/>
      <c r="F234" s="167"/>
      <c r="G234" s="168"/>
      <c r="H234" s="169"/>
      <c r="I234" s="141"/>
      <c r="J234" s="141"/>
      <c r="K234" s="141"/>
      <c r="L234" s="25"/>
      <c r="M234" s="25"/>
      <c r="N234" s="25"/>
      <c r="O234" s="143"/>
      <c r="P234" s="143"/>
      <c r="Q234" s="143"/>
      <c r="R234" s="143"/>
      <c r="S234" s="143"/>
      <c r="T234" s="143"/>
      <c r="U234" s="143"/>
      <c r="V234" s="143"/>
      <c r="W234" s="143"/>
      <c r="X234" s="143"/>
      <c r="Y234" s="143"/>
      <c r="Z234" s="143"/>
      <c r="AA234" s="143"/>
      <c r="AB234" s="143"/>
      <c r="AC234" s="143"/>
      <c r="AD234" s="143"/>
    </row>
    <row r="235">
      <c r="A235" s="25"/>
      <c r="B235" s="25"/>
      <c r="C235" s="25"/>
      <c r="D235" s="25"/>
      <c r="E235" s="50"/>
      <c r="F235" s="167"/>
      <c r="G235" s="168"/>
      <c r="H235" s="169"/>
      <c r="I235" s="141"/>
      <c r="J235" s="141"/>
      <c r="K235" s="141"/>
      <c r="L235" s="25"/>
      <c r="M235" s="25"/>
      <c r="N235" s="25"/>
      <c r="O235" s="143"/>
      <c r="P235" s="143"/>
      <c r="Q235" s="143"/>
      <c r="R235" s="143"/>
      <c r="S235" s="143"/>
      <c r="T235" s="143"/>
      <c r="U235" s="143"/>
      <c r="V235" s="143"/>
      <c r="W235" s="143"/>
      <c r="X235" s="143"/>
      <c r="Y235" s="143"/>
      <c r="Z235" s="143"/>
      <c r="AA235" s="143"/>
      <c r="AB235" s="143"/>
      <c r="AC235" s="143"/>
      <c r="AD235" s="143"/>
    </row>
    <row r="236">
      <c r="A236" s="25"/>
      <c r="B236" s="25"/>
      <c r="C236" s="25"/>
      <c r="D236" s="25"/>
      <c r="E236" s="50"/>
      <c r="F236" s="167"/>
      <c r="G236" s="168"/>
      <c r="H236" s="169"/>
      <c r="I236" s="141"/>
      <c r="J236" s="141"/>
      <c r="K236" s="141"/>
      <c r="L236" s="25"/>
      <c r="M236" s="25"/>
      <c r="N236" s="25"/>
      <c r="O236" s="143"/>
      <c r="P236" s="143"/>
      <c r="Q236" s="143"/>
      <c r="R236" s="143"/>
      <c r="S236" s="143"/>
      <c r="T236" s="143"/>
      <c r="U236" s="143"/>
      <c r="V236" s="143"/>
      <c r="W236" s="143"/>
      <c r="X236" s="143"/>
      <c r="Y236" s="143"/>
      <c r="Z236" s="143"/>
      <c r="AA236" s="143"/>
      <c r="AB236" s="143"/>
      <c r="AC236" s="143"/>
      <c r="AD236" s="143"/>
    </row>
    <row r="237">
      <c r="A237" s="25"/>
      <c r="B237" s="25"/>
      <c r="C237" s="25"/>
      <c r="D237" s="25"/>
      <c r="E237" s="50"/>
      <c r="F237" s="167"/>
      <c r="G237" s="168"/>
      <c r="H237" s="169"/>
      <c r="I237" s="141"/>
      <c r="J237" s="141"/>
      <c r="K237" s="141"/>
      <c r="L237" s="25"/>
      <c r="M237" s="25"/>
      <c r="N237" s="25"/>
      <c r="O237" s="143"/>
      <c r="P237" s="143"/>
      <c r="Q237" s="143"/>
      <c r="R237" s="143"/>
      <c r="S237" s="143"/>
      <c r="T237" s="143"/>
      <c r="U237" s="143"/>
      <c r="V237" s="143"/>
      <c r="W237" s="143"/>
      <c r="X237" s="143"/>
      <c r="Y237" s="143"/>
      <c r="Z237" s="143"/>
      <c r="AA237" s="143"/>
      <c r="AB237" s="143"/>
      <c r="AC237" s="143"/>
      <c r="AD237" s="143"/>
    </row>
    <row r="238">
      <c r="A238" s="25"/>
      <c r="B238" s="25"/>
      <c r="C238" s="25"/>
      <c r="D238" s="25"/>
      <c r="E238" s="50"/>
      <c r="F238" s="167"/>
      <c r="G238" s="168"/>
      <c r="H238" s="169"/>
      <c r="I238" s="141"/>
      <c r="J238" s="141"/>
      <c r="K238" s="141"/>
      <c r="L238" s="25"/>
      <c r="M238" s="25"/>
      <c r="N238" s="25"/>
      <c r="O238" s="143"/>
      <c r="P238" s="143"/>
      <c r="Q238" s="143"/>
      <c r="R238" s="143"/>
      <c r="S238" s="143"/>
      <c r="T238" s="143"/>
      <c r="U238" s="143"/>
      <c r="V238" s="143"/>
      <c r="W238" s="143"/>
      <c r="X238" s="143"/>
      <c r="Y238" s="143"/>
      <c r="Z238" s="143"/>
      <c r="AA238" s="143"/>
      <c r="AB238" s="143"/>
      <c r="AC238" s="143"/>
      <c r="AD238" s="143"/>
    </row>
    <row r="239">
      <c r="A239" s="25"/>
      <c r="B239" s="25"/>
      <c r="C239" s="25"/>
      <c r="D239" s="25"/>
      <c r="E239" s="50"/>
      <c r="F239" s="167"/>
      <c r="G239" s="168"/>
      <c r="H239" s="169"/>
      <c r="I239" s="141"/>
      <c r="J239" s="141"/>
      <c r="K239" s="141"/>
      <c r="L239" s="25"/>
      <c r="M239" s="25"/>
      <c r="N239" s="25"/>
      <c r="O239" s="143"/>
      <c r="P239" s="143"/>
      <c r="Q239" s="143"/>
      <c r="R239" s="143"/>
      <c r="S239" s="143"/>
      <c r="T239" s="143"/>
      <c r="U239" s="143"/>
      <c r="V239" s="143"/>
      <c r="W239" s="143"/>
      <c r="X239" s="143"/>
      <c r="Y239" s="143"/>
      <c r="Z239" s="143"/>
      <c r="AA239" s="143"/>
      <c r="AB239" s="143"/>
      <c r="AC239" s="143"/>
      <c r="AD239" s="143"/>
    </row>
    <row r="240">
      <c r="A240" s="25"/>
      <c r="B240" s="25"/>
      <c r="C240" s="25"/>
      <c r="D240" s="25"/>
      <c r="E240" s="50"/>
      <c r="F240" s="167"/>
      <c r="G240" s="168"/>
      <c r="H240" s="169"/>
      <c r="I240" s="141"/>
      <c r="J240" s="141"/>
      <c r="K240" s="141"/>
      <c r="L240" s="25"/>
      <c r="M240" s="25"/>
      <c r="N240" s="25"/>
      <c r="O240" s="143"/>
      <c r="P240" s="143"/>
      <c r="Q240" s="143"/>
      <c r="R240" s="143"/>
      <c r="S240" s="143"/>
      <c r="T240" s="143"/>
      <c r="U240" s="143"/>
      <c r="V240" s="143"/>
      <c r="W240" s="143"/>
      <c r="X240" s="143"/>
      <c r="Y240" s="143"/>
      <c r="Z240" s="143"/>
      <c r="AA240" s="143"/>
      <c r="AB240" s="143"/>
      <c r="AC240" s="143"/>
      <c r="AD240" s="143"/>
    </row>
    <row r="241">
      <c r="A241" s="25"/>
      <c r="B241" s="25"/>
      <c r="C241" s="25"/>
      <c r="D241" s="25"/>
      <c r="E241" s="50"/>
      <c r="F241" s="167"/>
      <c r="G241" s="168"/>
      <c r="H241" s="169"/>
      <c r="I241" s="141"/>
      <c r="J241" s="141"/>
      <c r="K241" s="141"/>
      <c r="L241" s="25"/>
      <c r="M241" s="25"/>
      <c r="N241" s="25"/>
      <c r="O241" s="143"/>
      <c r="P241" s="143"/>
      <c r="Q241" s="143"/>
      <c r="R241" s="143"/>
      <c r="S241" s="143"/>
      <c r="T241" s="143"/>
      <c r="U241" s="143"/>
      <c r="V241" s="143"/>
      <c r="W241" s="143"/>
      <c r="X241" s="143"/>
      <c r="Y241" s="143"/>
      <c r="Z241" s="143"/>
      <c r="AA241" s="143"/>
      <c r="AB241" s="143"/>
      <c r="AC241" s="143"/>
      <c r="AD241" s="143"/>
    </row>
    <row r="242">
      <c r="A242" s="25"/>
      <c r="B242" s="25"/>
      <c r="C242" s="25"/>
      <c r="D242" s="25"/>
      <c r="E242" s="50"/>
      <c r="F242" s="167"/>
      <c r="G242" s="168"/>
      <c r="H242" s="169"/>
      <c r="I242" s="141"/>
      <c r="J242" s="141"/>
      <c r="K242" s="141"/>
      <c r="L242" s="25"/>
      <c r="M242" s="25"/>
      <c r="N242" s="25"/>
      <c r="O242" s="143"/>
      <c r="P242" s="143"/>
      <c r="Q242" s="143"/>
      <c r="R242" s="143"/>
      <c r="S242" s="143"/>
      <c r="T242" s="143"/>
      <c r="U242" s="143"/>
      <c r="V242" s="143"/>
      <c r="W242" s="143"/>
      <c r="X242" s="143"/>
      <c r="Y242" s="143"/>
      <c r="Z242" s="143"/>
      <c r="AA242" s="143"/>
      <c r="AB242" s="143"/>
      <c r="AC242" s="143"/>
      <c r="AD242" s="143"/>
    </row>
    <row r="243">
      <c r="A243" s="25"/>
      <c r="B243" s="25"/>
      <c r="C243" s="25"/>
      <c r="D243" s="25"/>
      <c r="E243" s="50"/>
      <c r="F243" s="167"/>
      <c r="G243" s="168"/>
      <c r="H243" s="169"/>
      <c r="I243" s="141"/>
      <c r="J243" s="141"/>
      <c r="K243" s="141"/>
      <c r="L243" s="25"/>
      <c r="M243" s="25"/>
      <c r="N243" s="25"/>
      <c r="O243" s="143"/>
      <c r="P243" s="143"/>
      <c r="Q243" s="143"/>
      <c r="R243" s="143"/>
      <c r="S243" s="143"/>
      <c r="T243" s="143"/>
      <c r="U243" s="143"/>
      <c r="V243" s="143"/>
      <c r="W243" s="143"/>
      <c r="X243" s="143"/>
      <c r="Y243" s="143"/>
      <c r="Z243" s="143"/>
      <c r="AA243" s="143"/>
      <c r="AB243" s="143"/>
      <c r="AC243" s="143"/>
      <c r="AD243" s="143"/>
    </row>
    <row r="244">
      <c r="A244" s="25"/>
      <c r="B244" s="25"/>
      <c r="C244" s="25"/>
      <c r="D244" s="25"/>
      <c r="E244" s="50"/>
      <c r="F244" s="167"/>
      <c r="G244" s="168"/>
      <c r="H244" s="169"/>
      <c r="I244" s="141"/>
      <c r="J244" s="141"/>
      <c r="K244" s="141"/>
      <c r="L244" s="25"/>
      <c r="M244" s="25"/>
      <c r="N244" s="25"/>
      <c r="O244" s="143"/>
      <c r="P244" s="143"/>
      <c r="Q244" s="143"/>
      <c r="R244" s="143"/>
      <c r="S244" s="143"/>
      <c r="T244" s="143"/>
      <c r="U244" s="143"/>
      <c r="V244" s="143"/>
      <c r="W244" s="143"/>
      <c r="X244" s="143"/>
      <c r="Y244" s="143"/>
      <c r="Z244" s="143"/>
      <c r="AA244" s="143"/>
      <c r="AB244" s="143"/>
      <c r="AC244" s="143"/>
      <c r="AD244" s="143"/>
    </row>
    <row r="245">
      <c r="A245" s="25"/>
      <c r="B245" s="25"/>
      <c r="C245" s="25"/>
      <c r="D245" s="25"/>
      <c r="E245" s="50"/>
      <c r="F245" s="167"/>
      <c r="G245" s="168"/>
      <c r="H245" s="169"/>
      <c r="I245" s="141"/>
      <c r="J245" s="141"/>
      <c r="K245" s="141"/>
      <c r="L245" s="25"/>
      <c r="M245" s="25"/>
      <c r="N245" s="25"/>
      <c r="O245" s="143"/>
      <c r="P245" s="143"/>
      <c r="Q245" s="143"/>
      <c r="R245" s="143"/>
      <c r="S245" s="143"/>
      <c r="T245" s="143"/>
      <c r="U245" s="143"/>
      <c r="V245" s="143"/>
      <c r="W245" s="143"/>
      <c r="X245" s="143"/>
      <c r="Y245" s="143"/>
      <c r="Z245" s="143"/>
      <c r="AA245" s="143"/>
      <c r="AB245" s="143"/>
      <c r="AC245" s="143"/>
      <c r="AD245" s="143"/>
    </row>
    <row r="246">
      <c r="A246" s="25"/>
      <c r="B246" s="25"/>
      <c r="C246" s="25"/>
      <c r="D246" s="25"/>
      <c r="E246" s="50"/>
      <c r="F246" s="167"/>
      <c r="G246" s="168"/>
      <c r="H246" s="169"/>
      <c r="I246" s="141"/>
      <c r="J246" s="141"/>
      <c r="K246" s="141"/>
      <c r="L246" s="25"/>
      <c r="M246" s="25"/>
      <c r="N246" s="25"/>
      <c r="O246" s="143"/>
      <c r="P246" s="143"/>
      <c r="Q246" s="143"/>
      <c r="R246" s="143"/>
      <c r="S246" s="143"/>
      <c r="T246" s="143"/>
      <c r="U246" s="143"/>
      <c r="V246" s="143"/>
      <c r="W246" s="143"/>
      <c r="X246" s="143"/>
      <c r="Y246" s="143"/>
      <c r="Z246" s="143"/>
      <c r="AA246" s="143"/>
      <c r="AB246" s="143"/>
      <c r="AC246" s="143"/>
      <c r="AD246" s="143"/>
    </row>
    <row r="247">
      <c r="A247" s="25"/>
      <c r="B247" s="25"/>
      <c r="C247" s="25"/>
      <c r="D247" s="25"/>
      <c r="E247" s="50"/>
      <c r="F247" s="167"/>
      <c r="G247" s="168"/>
      <c r="H247" s="169"/>
      <c r="I247" s="141"/>
      <c r="J247" s="141"/>
      <c r="K247" s="141"/>
      <c r="L247" s="25"/>
      <c r="M247" s="25"/>
      <c r="N247" s="25"/>
      <c r="O247" s="143"/>
      <c r="P247" s="143"/>
      <c r="Q247" s="143"/>
      <c r="R247" s="143"/>
      <c r="S247" s="143"/>
      <c r="T247" s="143"/>
      <c r="U247" s="143"/>
      <c r="V247" s="143"/>
      <c r="W247" s="143"/>
      <c r="X247" s="143"/>
      <c r="Y247" s="143"/>
      <c r="Z247" s="143"/>
      <c r="AA247" s="143"/>
      <c r="AB247" s="143"/>
      <c r="AC247" s="143"/>
      <c r="AD247" s="143"/>
    </row>
    <row r="248">
      <c r="A248" s="25"/>
      <c r="B248" s="25"/>
      <c r="C248" s="25"/>
      <c r="D248" s="25"/>
      <c r="E248" s="50"/>
      <c r="F248" s="167"/>
      <c r="G248" s="168"/>
      <c r="H248" s="169"/>
      <c r="I248" s="141"/>
      <c r="J248" s="141"/>
      <c r="K248" s="141"/>
      <c r="L248" s="25"/>
      <c r="M248" s="25"/>
      <c r="N248" s="25"/>
      <c r="O248" s="143"/>
      <c r="P248" s="143"/>
      <c r="Q248" s="143"/>
      <c r="R248" s="143"/>
      <c r="S248" s="143"/>
      <c r="T248" s="143"/>
      <c r="U248" s="143"/>
      <c r="V248" s="143"/>
      <c r="W248" s="143"/>
      <c r="X248" s="143"/>
      <c r="Y248" s="143"/>
      <c r="Z248" s="143"/>
      <c r="AA248" s="143"/>
      <c r="AB248" s="143"/>
      <c r="AC248" s="143"/>
      <c r="AD248" s="143"/>
    </row>
    <row r="249">
      <c r="A249" s="25"/>
      <c r="B249" s="25"/>
      <c r="C249" s="25"/>
      <c r="D249" s="25"/>
      <c r="E249" s="50"/>
      <c r="F249" s="167"/>
      <c r="G249" s="168"/>
      <c r="H249" s="169"/>
      <c r="I249" s="141"/>
      <c r="J249" s="141"/>
      <c r="K249" s="141"/>
      <c r="L249" s="25"/>
      <c r="M249" s="25"/>
      <c r="N249" s="25"/>
      <c r="O249" s="143"/>
      <c r="P249" s="143"/>
      <c r="Q249" s="143"/>
      <c r="R249" s="143"/>
      <c r="S249" s="143"/>
      <c r="T249" s="143"/>
      <c r="U249" s="143"/>
      <c r="V249" s="143"/>
      <c r="W249" s="143"/>
      <c r="X249" s="143"/>
      <c r="Y249" s="143"/>
      <c r="Z249" s="143"/>
      <c r="AA249" s="143"/>
      <c r="AB249" s="143"/>
      <c r="AC249" s="143"/>
      <c r="AD249" s="143"/>
    </row>
    <row r="250">
      <c r="A250" s="25"/>
      <c r="B250" s="25"/>
      <c r="C250" s="25"/>
      <c r="D250" s="25"/>
      <c r="E250" s="50"/>
      <c r="F250" s="167"/>
      <c r="G250" s="168"/>
      <c r="H250" s="169"/>
      <c r="I250" s="141"/>
      <c r="J250" s="141"/>
      <c r="K250" s="141"/>
      <c r="L250" s="25"/>
      <c r="M250" s="25"/>
      <c r="N250" s="25"/>
      <c r="O250" s="143"/>
      <c r="P250" s="143"/>
      <c r="Q250" s="143"/>
      <c r="R250" s="143"/>
      <c r="S250" s="143"/>
      <c r="T250" s="143"/>
      <c r="U250" s="143"/>
      <c r="V250" s="143"/>
      <c r="W250" s="143"/>
      <c r="X250" s="143"/>
      <c r="Y250" s="143"/>
      <c r="Z250" s="143"/>
      <c r="AA250" s="143"/>
      <c r="AB250" s="143"/>
      <c r="AC250" s="143"/>
      <c r="AD250" s="143"/>
    </row>
    <row r="251">
      <c r="A251" s="25"/>
      <c r="B251" s="25"/>
      <c r="C251" s="25"/>
      <c r="D251" s="25"/>
      <c r="E251" s="50"/>
      <c r="F251" s="167"/>
      <c r="G251" s="168"/>
      <c r="H251" s="169"/>
      <c r="I251" s="141"/>
      <c r="J251" s="141"/>
      <c r="K251" s="141"/>
      <c r="L251" s="25"/>
      <c r="M251" s="25"/>
      <c r="N251" s="25"/>
      <c r="O251" s="143"/>
      <c r="P251" s="143"/>
      <c r="Q251" s="143"/>
      <c r="R251" s="143"/>
      <c r="S251" s="143"/>
      <c r="T251" s="143"/>
      <c r="U251" s="143"/>
      <c r="V251" s="143"/>
      <c r="W251" s="143"/>
      <c r="X251" s="143"/>
      <c r="Y251" s="143"/>
      <c r="Z251" s="143"/>
      <c r="AA251" s="143"/>
      <c r="AB251" s="143"/>
      <c r="AC251" s="143"/>
      <c r="AD251" s="143"/>
    </row>
    <row r="252">
      <c r="A252" s="25"/>
      <c r="B252" s="25"/>
      <c r="C252" s="25"/>
      <c r="D252" s="25"/>
      <c r="E252" s="50"/>
      <c r="F252" s="167"/>
      <c r="G252" s="168"/>
      <c r="H252" s="169"/>
      <c r="I252" s="141"/>
      <c r="J252" s="141"/>
      <c r="K252" s="141"/>
      <c r="L252" s="25"/>
      <c r="M252" s="25"/>
      <c r="N252" s="25"/>
      <c r="O252" s="143"/>
      <c r="P252" s="143"/>
      <c r="Q252" s="143"/>
      <c r="R252" s="143"/>
      <c r="S252" s="143"/>
      <c r="T252" s="143"/>
      <c r="U252" s="143"/>
      <c r="V252" s="143"/>
      <c r="W252" s="143"/>
      <c r="X252" s="143"/>
      <c r="Y252" s="143"/>
      <c r="Z252" s="143"/>
      <c r="AA252" s="143"/>
      <c r="AB252" s="143"/>
      <c r="AC252" s="143"/>
      <c r="AD252" s="143"/>
    </row>
    <row r="253">
      <c r="A253" s="25"/>
      <c r="B253" s="25"/>
      <c r="C253" s="25"/>
      <c r="D253" s="25"/>
      <c r="E253" s="50"/>
      <c r="F253" s="167"/>
      <c r="G253" s="168"/>
      <c r="H253" s="169"/>
      <c r="I253" s="141"/>
      <c r="J253" s="141"/>
      <c r="K253" s="141"/>
      <c r="L253" s="25"/>
      <c r="M253" s="25"/>
      <c r="N253" s="25"/>
      <c r="O253" s="143"/>
      <c r="P253" s="143"/>
      <c r="Q253" s="143"/>
      <c r="R253" s="143"/>
      <c r="S253" s="143"/>
      <c r="T253" s="143"/>
      <c r="U253" s="143"/>
      <c r="V253" s="143"/>
      <c r="W253" s="143"/>
      <c r="X253" s="143"/>
      <c r="Y253" s="143"/>
      <c r="Z253" s="143"/>
      <c r="AA253" s="143"/>
      <c r="AB253" s="143"/>
      <c r="AC253" s="143"/>
      <c r="AD253" s="143"/>
    </row>
    <row r="254">
      <c r="A254" s="25"/>
      <c r="B254" s="25"/>
      <c r="C254" s="25"/>
      <c r="D254" s="25"/>
      <c r="E254" s="50"/>
      <c r="F254" s="167"/>
      <c r="G254" s="168"/>
      <c r="H254" s="169"/>
      <c r="I254" s="141"/>
      <c r="J254" s="141"/>
      <c r="K254" s="141"/>
      <c r="L254" s="25"/>
      <c r="M254" s="25"/>
      <c r="N254" s="25"/>
      <c r="O254" s="143"/>
      <c r="P254" s="143"/>
      <c r="Q254" s="143"/>
      <c r="R254" s="143"/>
      <c r="S254" s="143"/>
      <c r="T254" s="143"/>
      <c r="U254" s="143"/>
      <c r="V254" s="143"/>
      <c r="W254" s="143"/>
      <c r="X254" s="143"/>
      <c r="Y254" s="143"/>
      <c r="Z254" s="143"/>
      <c r="AA254" s="143"/>
      <c r="AB254" s="143"/>
      <c r="AC254" s="143"/>
      <c r="AD254" s="143"/>
    </row>
    <row r="255">
      <c r="A255" s="25"/>
      <c r="B255" s="25"/>
      <c r="C255" s="25"/>
      <c r="D255" s="25"/>
      <c r="E255" s="50"/>
      <c r="F255" s="167"/>
      <c r="G255" s="168"/>
      <c r="H255" s="169"/>
      <c r="I255" s="141"/>
      <c r="J255" s="141"/>
      <c r="K255" s="141"/>
      <c r="L255" s="25"/>
      <c r="M255" s="25"/>
      <c r="N255" s="25"/>
      <c r="O255" s="143"/>
      <c r="P255" s="143"/>
      <c r="Q255" s="143"/>
      <c r="R255" s="143"/>
      <c r="S255" s="143"/>
      <c r="T255" s="143"/>
      <c r="U255" s="143"/>
      <c r="V255" s="143"/>
      <c r="W255" s="143"/>
      <c r="X255" s="143"/>
      <c r="Y255" s="143"/>
      <c r="Z255" s="143"/>
      <c r="AA255" s="143"/>
      <c r="AB255" s="143"/>
      <c r="AC255" s="143"/>
      <c r="AD255" s="143"/>
    </row>
    <row r="256">
      <c r="A256" s="25"/>
      <c r="B256" s="25"/>
      <c r="C256" s="25"/>
      <c r="D256" s="25"/>
      <c r="E256" s="50"/>
      <c r="F256" s="167"/>
      <c r="G256" s="168"/>
      <c r="H256" s="169"/>
      <c r="I256" s="141"/>
      <c r="J256" s="141"/>
      <c r="K256" s="141"/>
      <c r="L256" s="25"/>
      <c r="M256" s="25"/>
      <c r="N256" s="25"/>
      <c r="O256" s="143"/>
      <c r="P256" s="143"/>
      <c r="Q256" s="143"/>
      <c r="R256" s="143"/>
      <c r="S256" s="143"/>
      <c r="T256" s="143"/>
      <c r="U256" s="143"/>
      <c r="V256" s="143"/>
      <c r="W256" s="143"/>
      <c r="X256" s="143"/>
      <c r="Y256" s="143"/>
      <c r="Z256" s="143"/>
      <c r="AA256" s="143"/>
      <c r="AB256" s="143"/>
      <c r="AC256" s="143"/>
      <c r="AD256" s="143"/>
    </row>
    <row r="257">
      <c r="A257" s="25"/>
      <c r="B257" s="25"/>
      <c r="C257" s="25"/>
      <c r="D257" s="25"/>
      <c r="E257" s="50"/>
      <c r="F257" s="167"/>
      <c r="G257" s="168"/>
      <c r="H257" s="169"/>
      <c r="I257" s="141"/>
      <c r="J257" s="141"/>
      <c r="K257" s="141"/>
      <c r="L257" s="25"/>
      <c r="M257" s="25"/>
      <c r="N257" s="25"/>
      <c r="O257" s="143"/>
      <c r="P257" s="143"/>
      <c r="Q257" s="143"/>
      <c r="R257" s="143"/>
      <c r="S257" s="143"/>
      <c r="T257" s="143"/>
      <c r="U257" s="143"/>
      <c r="V257" s="143"/>
      <c r="W257" s="143"/>
      <c r="X257" s="143"/>
      <c r="Y257" s="143"/>
      <c r="Z257" s="143"/>
      <c r="AA257" s="143"/>
      <c r="AB257" s="143"/>
      <c r="AC257" s="143"/>
      <c r="AD257" s="143"/>
    </row>
    <row r="258">
      <c r="A258" s="25"/>
      <c r="B258" s="25"/>
      <c r="C258" s="25"/>
      <c r="D258" s="25"/>
      <c r="E258" s="50"/>
      <c r="F258" s="167"/>
      <c r="G258" s="168"/>
      <c r="H258" s="169"/>
      <c r="I258" s="141"/>
      <c r="J258" s="141"/>
      <c r="K258" s="141"/>
      <c r="L258" s="25"/>
      <c r="M258" s="25"/>
      <c r="N258" s="25"/>
      <c r="O258" s="143"/>
      <c r="P258" s="143"/>
      <c r="Q258" s="143"/>
      <c r="R258" s="143"/>
      <c r="S258" s="143"/>
      <c r="T258" s="143"/>
      <c r="U258" s="143"/>
      <c r="V258" s="143"/>
      <c r="W258" s="143"/>
      <c r="X258" s="143"/>
      <c r="Y258" s="143"/>
      <c r="Z258" s="143"/>
      <c r="AA258" s="143"/>
      <c r="AB258" s="143"/>
      <c r="AC258" s="143"/>
      <c r="AD258" s="143"/>
    </row>
    <row r="259">
      <c r="A259" s="25"/>
      <c r="B259" s="25"/>
      <c r="C259" s="25"/>
      <c r="D259" s="25"/>
      <c r="E259" s="50"/>
      <c r="F259" s="167"/>
      <c r="G259" s="168"/>
      <c r="H259" s="169"/>
      <c r="I259" s="141"/>
      <c r="J259" s="141"/>
      <c r="K259" s="141"/>
      <c r="L259" s="25"/>
      <c r="M259" s="25"/>
      <c r="N259" s="25"/>
      <c r="O259" s="143"/>
      <c r="P259" s="143"/>
      <c r="Q259" s="143"/>
      <c r="R259" s="143"/>
      <c r="S259" s="143"/>
      <c r="T259" s="143"/>
      <c r="U259" s="143"/>
      <c r="V259" s="143"/>
      <c r="W259" s="143"/>
      <c r="X259" s="143"/>
      <c r="Y259" s="143"/>
      <c r="Z259" s="143"/>
      <c r="AA259" s="143"/>
      <c r="AB259" s="143"/>
      <c r="AC259" s="143"/>
      <c r="AD259" s="143"/>
    </row>
    <row r="260">
      <c r="A260" s="25"/>
      <c r="B260" s="25"/>
      <c r="C260" s="25"/>
      <c r="D260" s="25"/>
      <c r="E260" s="50"/>
      <c r="F260" s="167"/>
      <c r="G260" s="168"/>
      <c r="H260" s="169"/>
      <c r="I260" s="141"/>
      <c r="J260" s="141"/>
      <c r="K260" s="141"/>
      <c r="L260" s="25"/>
      <c r="M260" s="25"/>
      <c r="N260" s="25"/>
      <c r="O260" s="143"/>
      <c r="P260" s="143"/>
      <c r="Q260" s="143"/>
      <c r="R260" s="143"/>
      <c r="S260" s="143"/>
      <c r="T260" s="143"/>
      <c r="U260" s="143"/>
      <c r="V260" s="143"/>
      <c r="W260" s="143"/>
      <c r="X260" s="143"/>
      <c r="Y260" s="143"/>
      <c r="Z260" s="143"/>
      <c r="AA260" s="143"/>
      <c r="AB260" s="143"/>
      <c r="AC260" s="143"/>
      <c r="AD260" s="143"/>
    </row>
    <row r="261">
      <c r="A261" s="25"/>
      <c r="B261" s="25"/>
      <c r="C261" s="25"/>
      <c r="D261" s="25"/>
      <c r="E261" s="50"/>
      <c r="F261" s="167"/>
      <c r="G261" s="168"/>
      <c r="H261" s="169"/>
      <c r="I261" s="141"/>
      <c r="J261" s="141"/>
      <c r="K261" s="141"/>
      <c r="L261" s="25"/>
      <c r="M261" s="25"/>
      <c r="N261" s="25"/>
      <c r="O261" s="143"/>
      <c r="P261" s="143"/>
      <c r="Q261" s="143"/>
      <c r="R261" s="143"/>
      <c r="S261" s="143"/>
      <c r="T261" s="143"/>
      <c r="U261" s="143"/>
      <c r="V261" s="143"/>
      <c r="W261" s="143"/>
      <c r="X261" s="143"/>
      <c r="Y261" s="143"/>
      <c r="Z261" s="143"/>
      <c r="AA261" s="143"/>
      <c r="AB261" s="143"/>
      <c r="AC261" s="143"/>
      <c r="AD261" s="143"/>
    </row>
    <row r="262">
      <c r="A262" s="25"/>
      <c r="B262" s="25"/>
      <c r="C262" s="25"/>
      <c r="D262" s="25"/>
      <c r="E262" s="50"/>
      <c r="F262" s="167"/>
      <c r="G262" s="168"/>
      <c r="H262" s="169"/>
      <c r="I262" s="141"/>
      <c r="J262" s="141"/>
      <c r="K262" s="141"/>
      <c r="L262" s="25"/>
      <c r="M262" s="25"/>
      <c r="N262" s="25"/>
      <c r="O262" s="143"/>
      <c r="P262" s="143"/>
      <c r="Q262" s="143"/>
      <c r="R262" s="143"/>
      <c r="S262" s="143"/>
      <c r="T262" s="143"/>
      <c r="U262" s="143"/>
      <c r="V262" s="143"/>
      <c r="W262" s="143"/>
      <c r="X262" s="143"/>
      <c r="Y262" s="143"/>
      <c r="Z262" s="143"/>
      <c r="AA262" s="143"/>
      <c r="AB262" s="143"/>
      <c r="AC262" s="143"/>
      <c r="AD262" s="143"/>
    </row>
    <row r="263">
      <c r="A263" s="25"/>
      <c r="B263" s="25"/>
      <c r="C263" s="25"/>
      <c r="D263" s="25"/>
      <c r="E263" s="50"/>
      <c r="F263" s="167"/>
      <c r="G263" s="168"/>
      <c r="H263" s="169"/>
      <c r="I263" s="141"/>
      <c r="J263" s="141"/>
      <c r="K263" s="141"/>
      <c r="L263" s="25"/>
      <c r="M263" s="25"/>
      <c r="N263" s="25"/>
      <c r="O263" s="143"/>
      <c r="P263" s="143"/>
      <c r="Q263" s="143"/>
      <c r="R263" s="143"/>
      <c r="S263" s="143"/>
      <c r="T263" s="143"/>
      <c r="U263" s="143"/>
      <c r="V263" s="143"/>
      <c r="W263" s="143"/>
      <c r="X263" s="143"/>
      <c r="Y263" s="143"/>
      <c r="Z263" s="143"/>
      <c r="AA263" s="143"/>
      <c r="AB263" s="143"/>
      <c r="AC263" s="143"/>
      <c r="AD263" s="143"/>
    </row>
    <row r="264">
      <c r="A264" s="25"/>
      <c r="B264" s="25"/>
      <c r="C264" s="25"/>
      <c r="D264" s="25"/>
      <c r="E264" s="50"/>
      <c r="F264" s="167"/>
      <c r="G264" s="168"/>
      <c r="H264" s="169"/>
      <c r="I264" s="141"/>
      <c r="J264" s="141"/>
      <c r="K264" s="141"/>
      <c r="L264" s="25"/>
      <c r="M264" s="25"/>
      <c r="N264" s="25"/>
      <c r="O264" s="143"/>
      <c r="P264" s="143"/>
      <c r="Q264" s="143"/>
      <c r="R264" s="143"/>
      <c r="S264" s="143"/>
      <c r="T264" s="143"/>
      <c r="U264" s="143"/>
      <c r="V264" s="143"/>
      <c r="W264" s="143"/>
      <c r="X264" s="143"/>
      <c r="Y264" s="143"/>
      <c r="Z264" s="143"/>
      <c r="AA264" s="143"/>
      <c r="AB264" s="143"/>
      <c r="AC264" s="143"/>
      <c r="AD264" s="143"/>
    </row>
    <row r="265">
      <c r="A265" s="25"/>
      <c r="B265" s="25"/>
      <c r="C265" s="25"/>
      <c r="D265" s="25"/>
      <c r="E265" s="50"/>
      <c r="F265" s="167"/>
      <c r="G265" s="168"/>
      <c r="H265" s="169"/>
      <c r="I265" s="141"/>
      <c r="J265" s="141"/>
      <c r="K265" s="141"/>
      <c r="L265" s="25"/>
      <c r="M265" s="25"/>
      <c r="N265" s="25"/>
      <c r="O265" s="143"/>
      <c r="P265" s="143"/>
      <c r="Q265" s="143"/>
      <c r="R265" s="143"/>
      <c r="S265" s="143"/>
      <c r="T265" s="143"/>
      <c r="U265" s="143"/>
      <c r="V265" s="143"/>
      <c r="W265" s="143"/>
      <c r="X265" s="143"/>
      <c r="Y265" s="143"/>
      <c r="Z265" s="143"/>
      <c r="AA265" s="143"/>
      <c r="AB265" s="143"/>
      <c r="AC265" s="143"/>
      <c r="AD265" s="143"/>
    </row>
    <row r="266">
      <c r="A266" s="25"/>
      <c r="B266" s="25"/>
      <c r="C266" s="25"/>
      <c r="D266" s="25"/>
      <c r="E266" s="50"/>
      <c r="F266" s="167"/>
      <c r="G266" s="168"/>
      <c r="H266" s="169"/>
      <c r="I266" s="141"/>
      <c r="J266" s="141"/>
      <c r="K266" s="141"/>
      <c r="L266" s="25"/>
      <c r="M266" s="25"/>
      <c r="N266" s="25"/>
      <c r="O266" s="143"/>
      <c r="P266" s="143"/>
      <c r="Q266" s="143"/>
      <c r="R266" s="143"/>
      <c r="S266" s="143"/>
      <c r="T266" s="143"/>
      <c r="U266" s="143"/>
      <c r="V266" s="143"/>
      <c r="W266" s="143"/>
      <c r="X266" s="143"/>
      <c r="Y266" s="143"/>
      <c r="Z266" s="143"/>
      <c r="AA266" s="143"/>
      <c r="AB266" s="143"/>
      <c r="AC266" s="143"/>
      <c r="AD266" s="143"/>
    </row>
    <row r="267">
      <c r="A267" s="25"/>
      <c r="B267" s="25"/>
      <c r="C267" s="25"/>
      <c r="D267" s="25"/>
      <c r="E267" s="50"/>
      <c r="F267" s="167"/>
      <c r="G267" s="168"/>
      <c r="H267" s="169"/>
      <c r="I267" s="141"/>
      <c r="J267" s="141"/>
      <c r="K267" s="141"/>
      <c r="L267" s="25"/>
      <c r="M267" s="25"/>
      <c r="N267" s="25"/>
      <c r="O267" s="143"/>
      <c r="P267" s="143"/>
      <c r="Q267" s="143"/>
      <c r="R267" s="143"/>
      <c r="S267" s="143"/>
      <c r="T267" s="143"/>
      <c r="U267" s="143"/>
      <c r="V267" s="143"/>
      <c r="W267" s="143"/>
      <c r="X267" s="143"/>
      <c r="Y267" s="143"/>
      <c r="Z267" s="143"/>
      <c r="AA267" s="143"/>
      <c r="AB267" s="143"/>
      <c r="AC267" s="143"/>
      <c r="AD267" s="143"/>
    </row>
    <row r="268">
      <c r="A268" s="25"/>
      <c r="B268" s="25"/>
      <c r="C268" s="25"/>
      <c r="D268" s="25"/>
      <c r="E268" s="50"/>
      <c r="F268" s="167"/>
      <c r="G268" s="168"/>
      <c r="H268" s="169"/>
      <c r="I268" s="141"/>
      <c r="J268" s="141"/>
      <c r="K268" s="141"/>
      <c r="L268" s="25"/>
      <c r="M268" s="25"/>
      <c r="N268" s="25"/>
      <c r="O268" s="143"/>
      <c r="P268" s="143"/>
      <c r="Q268" s="143"/>
      <c r="R268" s="143"/>
      <c r="S268" s="143"/>
      <c r="T268" s="143"/>
      <c r="U268" s="143"/>
      <c r="V268" s="143"/>
      <c r="W268" s="143"/>
      <c r="X268" s="143"/>
      <c r="Y268" s="143"/>
      <c r="Z268" s="143"/>
      <c r="AA268" s="143"/>
      <c r="AB268" s="143"/>
      <c r="AC268" s="143"/>
      <c r="AD268" s="143"/>
    </row>
    <row r="269">
      <c r="A269" s="25"/>
      <c r="B269" s="25"/>
      <c r="C269" s="25"/>
      <c r="D269" s="25"/>
      <c r="E269" s="50"/>
      <c r="F269" s="167"/>
      <c r="G269" s="168"/>
      <c r="H269" s="169"/>
      <c r="I269" s="141"/>
      <c r="J269" s="141"/>
      <c r="K269" s="141"/>
      <c r="L269" s="25"/>
      <c r="M269" s="25"/>
      <c r="N269" s="25"/>
      <c r="O269" s="143"/>
      <c r="P269" s="143"/>
      <c r="Q269" s="143"/>
      <c r="R269" s="143"/>
      <c r="S269" s="143"/>
      <c r="T269" s="143"/>
      <c r="U269" s="143"/>
      <c r="V269" s="143"/>
      <c r="W269" s="143"/>
      <c r="X269" s="143"/>
      <c r="Y269" s="143"/>
      <c r="Z269" s="143"/>
      <c r="AA269" s="143"/>
      <c r="AB269" s="143"/>
      <c r="AC269" s="143"/>
      <c r="AD269" s="143"/>
    </row>
    <row r="270">
      <c r="A270" s="25"/>
      <c r="B270" s="25"/>
      <c r="C270" s="25"/>
      <c r="D270" s="25"/>
      <c r="E270" s="50"/>
      <c r="F270" s="167"/>
      <c r="G270" s="168"/>
      <c r="H270" s="169"/>
      <c r="I270" s="141"/>
      <c r="J270" s="141"/>
      <c r="K270" s="141"/>
      <c r="L270" s="25"/>
      <c r="M270" s="25"/>
      <c r="N270" s="25"/>
      <c r="O270" s="143"/>
      <c r="P270" s="143"/>
      <c r="Q270" s="143"/>
      <c r="R270" s="143"/>
      <c r="S270" s="143"/>
      <c r="T270" s="143"/>
      <c r="U270" s="143"/>
      <c r="V270" s="143"/>
      <c r="W270" s="143"/>
      <c r="X270" s="143"/>
      <c r="Y270" s="143"/>
      <c r="Z270" s="143"/>
      <c r="AA270" s="143"/>
      <c r="AB270" s="143"/>
      <c r="AC270" s="143"/>
      <c r="AD270" s="143"/>
    </row>
    <row r="271">
      <c r="A271" s="25"/>
      <c r="B271" s="25"/>
      <c r="C271" s="25"/>
      <c r="D271" s="25"/>
      <c r="E271" s="50"/>
      <c r="F271" s="167"/>
      <c r="G271" s="168"/>
      <c r="H271" s="169"/>
      <c r="I271" s="141"/>
      <c r="J271" s="141"/>
      <c r="K271" s="141"/>
      <c r="L271" s="25"/>
      <c r="M271" s="25"/>
      <c r="N271" s="25"/>
      <c r="O271" s="143"/>
      <c r="P271" s="143"/>
      <c r="Q271" s="143"/>
      <c r="R271" s="143"/>
      <c r="S271" s="143"/>
      <c r="T271" s="143"/>
      <c r="U271" s="143"/>
      <c r="V271" s="143"/>
      <c r="W271" s="143"/>
      <c r="X271" s="143"/>
      <c r="Y271" s="143"/>
      <c r="Z271" s="143"/>
      <c r="AA271" s="143"/>
      <c r="AB271" s="143"/>
      <c r="AC271" s="143"/>
      <c r="AD271" s="143"/>
    </row>
    <row r="272">
      <c r="A272" s="25"/>
      <c r="B272" s="25"/>
      <c r="C272" s="25"/>
      <c r="D272" s="25"/>
      <c r="E272" s="50"/>
      <c r="F272" s="167"/>
      <c r="G272" s="168"/>
      <c r="H272" s="169"/>
      <c r="I272" s="141"/>
      <c r="J272" s="141"/>
      <c r="K272" s="141"/>
      <c r="L272" s="25"/>
      <c r="M272" s="25"/>
      <c r="N272" s="25"/>
      <c r="O272" s="143"/>
      <c r="P272" s="143"/>
      <c r="Q272" s="143"/>
      <c r="R272" s="143"/>
      <c r="S272" s="143"/>
      <c r="T272" s="143"/>
      <c r="U272" s="143"/>
      <c r="V272" s="143"/>
      <c r="W272" s="143"/>
      <c r="X272" s="143"/>
      <c r="Y272" s="143"/>
      <c r="Z272" s="143"/>
      <c r="AA272" s="143"/>
      <c r="AB272" s="143"/>
      <c r="AC272" s="143"/>
      <c r="AD272" s="143"/>
    </row>
    <row r="273">
      <c r="A273" s="25"/>
      <c r="B273" s="25"/>
      <c r="C273" s="25"/>
      <c r="D273" s="25"/>
      <c r="E273" s="50"/>
      <c r="F273" s="167"/>
      <c r="G273" s="168"/>
      <c r="H273" s="169"/>
      <c r="I273" s="141"/>
      <c r="J273" s="141"/>
      <c r="K273" s="141"/>
      <c r="L273" s="25"/>
      <c r="M273" s="25"/>
      <c r="N273" s="25"/>
      <c r="O273" s="143"/>
      <c r="P273" s="143"/>
      <c r="Q273" s="143"/>
      <c r="R273" s="143"/>
      <c r="S273" s="143"/>
      <c r="T273" s="143"/>
      <c r="U273" s="143"/>
      <c r="V273" s="143"/>
      <c r="W273" s="143"/>
      <c r="X273" s="143"/>
      <c r="Y273" s="143"/>
      <c r="Z273" s="143"/>
      <c r="AA273" s="143"/>
      <c r="AB273" s="143"/>
      <c r="AC273" s="143"/>
      <c r="AD273" s="143"/>
    </row>
    <row r="274">
      <c r="A274" s="25"/>
      <c r="B274" s="25"/>
      <c r="C274" s="25"/>
      <c r="D274" s="25"/>
      <c r="E274" s="50"/>
      <c r="F274" s="167"/>
      <c r="G274" s="168"/>
      <c r="H274" s="169"/>
      <c r="I274" s="141"/>
      <c r="J274" s="141"/>
      <c r="K274" s="141"/>
      <c r="L274" s="25"/>
      <c r="M274" s="25"/>
      <c r="N274" s="25"/>
      <c r="O274" s="143"/>
      <c r="P274" s="143"/>
      <c r="Q274" s="143"/>
      <c r="R274" s="143"/>
      <c r="S274" s="143"/>
      <c r="T274" s="143"/>
      <c r="U274" s="143"/>
      <c r="V274" s="143"/>
      <c r="W274" s="143"/>
      <c r="X274" s="143"/>
      <c r="Y274" s="143"/>
      <c r="Z274" s="143"/>
      <c r="AA274" s="143"/>
      <c r="AB274" s="143"/>
      <c r="AC274" s="143"/>
      <c r="AD274" s="143"/>
    </row>
    <row r="275">
      <c r="A275" s="25"/>
      <c r="B275" s="25"/>
      <c r="C275" s="25"/>
      <c r="D275" s="25"/>
      <c r="E275" s="50"/>
      <c r="F275" s="167"/>
      <c r="G275" s="168"/>
      <c r="H275" s="169"/>
      <c r="I275" s="141"/>
      <c r="J275" s="141"/>
      <c r="K275" s="141"/>
      <c r="L275" s="25"/>
      <c r="M275" s="25"/>
      <c r="N275" s="25"/>
      <c r="O275" s="143"/>
      <c r="P275" s="143"/>
      <c r="Q275" s="143"/>
      <c r="R275" s="143"/>
      <c r="S275" s="143"/>
      <c r="T275" s="143"/>
      <c r="U275" s="143"/>
      <c r="V275" s="143"/>
      <c r="W275" s="143"/>
      <c r="X275" s="143"/>
      <c r="Y275" s="143"/>
      <c r="Z275" s="143"/>
      <c r="AA275" s="143"/>
      <c r="AB275" s="143"/>
      <c r="AC275" s="143"/>
      <c r="AD275" s="143"/>
    </row>
    <row r="276">
      <c r="A276" s="25"/>
      <c r="B276" s="25"/>
      <c r="C276" s="25"/>
      <c r="D276" s="25"/>
      <c r="E276" s="50"/>
      <c r="F276" s="167"/>
      <c r="G276" s="168"/>
      <c r="H276" s="169"/>
      <c r="I276" s="141"/>
      <c r="J276" s="141"/>
      <c r="K276" s="141"/>
      <c r="L276" s="25"/>
      <c r="M276" s="25"/>
      <c r="N276" s="25"/>
      <c r="O276" s="143"/>
      <c r="P276" s="143"/>
      <c r="Q276" s="143"/>
      <c r="R276" s="143"/>
      <c r="S276" s="143"/>
      <c r="T276" s="143"/>
      <c r="U276" s="143"/>
      <c r="V276" s="143"/>
      <c r="W276" s="143"/>
      <c r="X276" s="143"/>
      <c r="Y276" s="143"/>
      <c r="Z276" s="143"/>
      <c r="AA276" s="143"/>
      <c r="AB276" s="143"/>
      <c r="AC276" s="143"/>
      <c r="AD276" s="143"/>
    </row>
    <row r="277">
      <c r="A277" s="25"/>
      <c r="B277" s="25"/>
      <c r="C277" s="25"/>
      <c r="D277" s="25"/>
      <c r="E277" s="50"/>
      <c r="F277" s="167"/>
      <c r="G277" s="168"/>
      <c r="H277" s="169"/>
      <c r="I277" s="141"/>
      <c r="J277" s="141"/>
      <c r="K277" s="141"/>
      <c r="L277" s="25"/>
      <c r="M277" s="25"/>
      <c r="N277" s="25"/>
      <c r="O277" s="143"/>
      <c r="P277" s="143"/>
      <c r="Q277" s="143"/>
      <c r="R277" s="143"/>
      <c r="S277" s="143"/>
      <c r="T277" s="143"/>
      <c r="U277" s="143"/>
      <c r="V277" s="143"/>
      <c r="W277" s="143"/>
      <c r="X277" s="143"/>
      <c r="Y277" s="143"/>
      <c r="Z277" s="143"/>
      <c r="AA277" s="143"/>
      <c r="AB277" s="143"/>
      <c r="AC277" s="143"/>
      <c r="AD277" s="143"/>
    </row>
    <row r="278">
      <c r="A278" s="25"/>
      <c r="B278" s="25"/>
      <c r="C278" s="25"/>
      <c r="D278" s="25"/>
      <c r="E278" s="50"/>
      <c r="F278" s="167"/>
      <c r="G278" s="168"/>
      <c r="H278" s="169"/>
      <c r="I278" s="141"/>
      <c r="J278" s="141"/>
      <c r="K278" s="141"/>
      <c r="L278" s="25"/>
      <c r="M278" s="25"/>
      <c r="N278" s="25"/>
      <c r="O278" s="143"/>
      <c r="P278" s="143"/>
      <c r="Q278" s="143"/>
      <c r="R278" s="143"/>
      <c r="S278" s="143"/>
      <c r="T278" s="143"/>
      <c r="U278" s="143"/>
      <c r="V278" s="143"/>
      <c r="W278" s="143"/>
      <c r="X278" s="143"/>
      <c r="Y278" s="143"/>
      <c r="Z278" s="143"/>
      <c r="AA278" s="143"/>
      <c r="AB278" s="143"/>
      <c r="AC278" s="143"/>
      <c r="AD278" s="143"/>
    </row>
    <row r="279">
      <c r="A279" s="25"/>
      <c r="B279" s="25"/>
      <c r="C279" s="25"/>
      <c r="D279" s="25"/>
      <c r="E279" s="50"/>
      <c r="F279" s="167"/>
      <c r="G279" s="168"/>
      <c r="H279" s="169"/>
      <c r="I279" s="141"/>
      <c r="J279" s="141"/>
      <c r="K279" s="141"/>
      <c r="L279" s="25"/>
      <c r="M279" s="25"/>
      <c r="N279" s="25"/>
      <c r="O279" s="143"/>
      <c r="P279" s="143"/>
      <c r="Q279" s="143"/>
      <c r="R279" s="143"/>
      <c r="S279" s="143"/>
      <c r="T279" s="143"/>
      <c r="U279" s="143"/>
      <c r="V279" s="143"/>
      <c r="W279" s="143"/>
      <c r="X279" s="143"/>
      <c r="Y279" s="143"/>
      <c r="Z279" s="143"/>
      <c r="AA279" s="143"/>
      <c r="AB279" s="143"/>
      <c r="AC279" s="143"/>
      <c r="AD279" s="143"/>
    </row>
    <row r="280">
      <c r="A280" s="25"/>
      <c r="B280" s="25"/>
      <c r="C280" s="25"/>
      <c r="D280" s="25"/>
      <c r="E280" s="50"/>
      <c r="F280" s="167"/>
      <c r="G280" s="168"/>
      <c r="H280" s="169"/>
      <c r="I280" s="141"/>
      <c r="J280" s="141"/>
      <c r="K280" s="141"/>
      <c r="L280" s="25"/>
      <c r="M280" s="25"/>
      <c r="N280" s="25"/>
      <c r="O280" s="143"/>
      <c r="P280" s="143"/>
      <c r="Q280" s="143"/>
      <c r="R280" s="143"/>
      <c r="S280" s="143"/>
      <c r="T280" s="143"/>
      <c r="U280" s="143"/>
      <c r="V280" s="143"/>
      <c r="W280" s="143"/>
      <c r="X280" s="143"/>
      <c r="Y280" s="143"/>
      <c r="Z280" s="143"/>
      <c r="AA280" s="143"/>
      <c r="AB280" s="143"/>
      <c r="AC280" s="143"/>
      <c r="AD280" s="143"/>
    </row>
    <row r="281">
      <c r="A281" s="25"/>
      <c r="B281" s="25"/>
      <c r="C281" s="25"/>
      <c r="D281" s="25"/>
      <c r="E281" s="50"/>
      <c r="F281" s="167"/>
      <c r="G281" s="168"/>
      <c r="H281" s="169"/>
      <c r="I281" s="141"/>
      <c r="J281" s="141"/>
      <c r="K281" s="141"/>
      <c r="L281" s="25"/>
      <c r="M281" s="25"/>
      <c r="N281" s="25"/>
      <c r="O281" s="143"/>
      <c r="P281" s="143"/>
      <c r="Q281" s="143"/>
      <c r="R281" s="143"/>
      <c r="S281" s="143"/>
      <c r="T281" s="143"/>
      <c r="U281" s="143"/>
      <c r="V281" s="143"/>
      <c r="W281" s="143"/>
      <c r="X281" s="143"/>
      <c r="Y281" s="143"/>
      <c r="Z281" s="143"/>
      <c r="AA281" s="143"/>
      <c r="AB281" s="143"/>
      <c r="AC281" s="143"/>
      <c r="AD281" s="143"/>
    </row>
    <row r="282">
      <c r="A282" s="25"/>
      <c r="B282" s="25"/>
      <c r="C282" s="25"/>
      <c r="D282" s="25"/>
      <c r="E282" s="50"/>
      <c r="F282" s="167"/>
      <c r="G282" s="168"/>
      <c r="H282" s="169"/>
      <c r="I282" s="141"/>
      <c r="J282" s="141"/>
      <c r="K282" s="141"/>
      <c r="L282" s="25"/>
      <c r="M282" s="25"/>
      <c r="N282" s="25"/>
      <c r="O282" s="143"/>
      <c r="P282" s="143"/>
      <c r="Q282" s="143"/>
      <c r="R282" s="143"/>
      <c r="S282" s="143"/>
      <c r="T282" s="143"/>
      <c r="U282" s="143"/>
      <c r="V282" s="143"/>
      <c r="W282" s="143"/>
      <c r="X282" s="143"/>
      <c r="Y282" s="143"/>
      <c r="Z282" s="143"/>
      <c r="AA282" s="143"/>
      <c r="AB282" s="143"/>
      <c r="AC282" s="143"/>
      <c r="AD282" s="143"/>
    </row>
    <row r="283">
      <c r="A283" s="25"/>
      <c r="B283" s="25"/>
      <c r="C283" s="25"/>
      <c r="D283" s="25"/>
      <c r="E283" s="50"/>
      <c r="F283" s="167"/>
      <c r="G283" s="168"/>
      <c r="H283" s="169"/>
      <c r="I283" s="141"/>
      <c r="J283" s="141"/>
      <c r="K283" s="141"/>
      <c r="L283" s="25"/>
      <c r="M283" s="25"/>
      <c r="N283" s="25"/>
      <c r="O283" s="143"/>
      <c r="P283" s="143"/>
      <c r="Q283" s="143"/>
      <c r="R283" s="143"/>
      <c r="S283" s="143"/>
      <c r="T283" s="143"/>
      <c r="U283" s="143"/>
      <c r="V283" s="143"/>
      <c r="W283" s="143"/>
      <c r="X283" s="143"/>
      <c r="Y283" s="143"/>
      <c r="Z283" s="143"/>
      <c r="AA283" s="143"/>
      <c r="AB283" s="143"/>
      <c r="AC283" s="143"/>
      <c r="AD283" s="143"/>
    </row>
    <row r="284">
      <c r="A284" s="25"/>
      <c r="B284" s="25"/>
      <c r="C284" s="25"/>
      <c r="D284" s="25"/>
      <c r="E284" s="50"/>
      <c r="F284" s="167"/>
      <c r="G284" s="168"/>
      <c r="H284" s="169"/>
      <c r="I284" s="141"/>
      <c r="J284" s="141"/>
      <c r="K284" s="141"/>
      <c r="L284" s="25"/>
      <c r="M284" s="25"/>
      <c r="N284" s="25"/>
      <c r="O284" s="143"/>
      <c r="P284" s="143"/>
      <c r="Q284" s="143"/>
      <c r="R284" s="143"/>
      <c r="S284" s="143"/>
      <c r="T284" s="143"/>
      <c r="U284" s="143"/>
      <c r="V284" s="143"/>
      <c r="W284" s="143"/>
      <c r="X284" s="143"/>
      <c r="Y284" s="143"/>
      <c r="Z284" s="143"/>
      <c r="AA284" s="143"/>
      <c r="AB284" s="143"/>
      <c r="AC284" s="143"/>
      <c r="AD284" s="143"/>
    </row>
    <row r="285">
      <c r="A285" s="25"/>
      <c r="B285" s="25"/>
      <c r="C285" s="25"/>
      <c r="D285" s="25"/>
      <c r="E285" s="50"/>
      <c r="F285" s="167"/>
      <c r="G285" s="168"/>
      <c r="H285" s="169"/>
      <c r="I285" s="141"/>
      <c r="J285" s="141"/>
      <c r="K285" s="141"/>
      <c r="L285" s="25"/>
      <c r="M285" s="25"/>
      <c r="N285" s="25"/>
      <c r="O285" s="143"/>
      <c r="P285" s="143"/>
      <c r="Q285" s="143"/>
      <c r="R285" s="143"/>
      <c r="S285" s="143"/>
      <c r="T285" s="143"/>
      <c r="U285" s="143"/>
      <c r="V285" s="143"/>
      <c r="W285" s="143"/>
      <c r="X285" s="143"/>
      <c r="Y285" s="143"/>
      <c r="Z285" s="143"/>
      <c r="AA285" s="143"/>
      <c r="AB285" s="143"/>
      <c r="AC285" s="143"/>
      <c r="AD285" s="143"/>
    </row>
    <row r="286">
      <c r="A286" s="25"/>
      <c r="B286" s="25"/>
      <c r="C286" s="25"/>
      <c r="D286" s="25"/>
      <c r="E286" s="50"/>
      <c r="F286" s="167"/>
      <c r="G286" s="168"/>
      <c r="H286" s="169"/>
      <c r="I286" s="141"/>
      <c r="J286" s="141"/>
      <c r="K286" s="141"/>
      <c r="L286" s="25"/>
      <c r="M286" s="25"/>
      <c r="N286" s="25"/>
      <c r="O286" s="143"/>
      <c r="P286" s="143"/>
      <c r="Q286" s="143"/>
      <c r="R286" s="143"/>
      <c r="S286" s="143"/>
      <c r="T286" s="143"/>
      <c r="U286" s="143"/>
      <c r="V286" s="143"/>
      <c r="W286" s="143"/>
      <c r="X286" s="143"/>
      <c r="Y286" s="143"/>
      <c r="Z286" s="143"/>
      <c r="AA286" s="143"/>
      <c r="AB286" s="143"/>
      <c r="AC286" s="143"/>
      <c r="AD286" s="143"/>
    </row>
    <row r="287">
      <c r="A287" s="25"/>
      <c r="B287" s="25"/>
      <c r="C287" s="25"/>
      <c r="D287" s="25"/>
      <c r="E287" s="50"/>
      <c r="F287" s="167"/>
      <c r="G287" s="168"/>
      <c r="H287" s="169"/>
      <c r="I287" s="141"/>
      <c r="J287" s="141"/>
      <c r="K287" s="141"/>
      <c r="L287" s="25"/>
      <c r="M287" s="25"/>
      <c r="N287" s="25"/>
      <c r="O287" s="143"/>
      <c r="P287" s="143"/>
      <c r="Q287" s="143"/>
      <c r="R287" s="143"/>
      <c r="S287" s="143"/>
      <c r="T287" s="143"/>
      <c r="U287" s="143"/>
      <c r="V287" s="143"/>
      <c r="W287" s="143"/>
      <c r="X287" s="143"/>
      <c r="Y287" s="143"/>
      <c r="Z287" s="143"/>
      <c r="AA287" s="143"/>
      <c r="AB287" s="143"/>
      <c r="AC287" s="143"/>
      <c r="AD287" s="143"/>
    </row>
    <row r="288">
      <c r="A288" s="25"/>
      <c r="B288" s="25"/>
      <c r="C288" s="25"/>
      <c r="D288" s="25"/>
      <c r="E288" s="50"/>
      <c r="F288" s="167"/>
      <c r="G288" s="168"/>
      <c r="H288" s="169"/>
      <c r="I288" s="141"/>
      <c r="J288" s="141"/>
      <c r="K288" s="141"/>
      <c r="L288" s="25"/>
      <c r="M288" s="25"/>
      <c r="N288" s="25"/>
      <c r="O288" s="143"/>
      <c r="P288" s="143"/>
      <c r="Q288" s="143"/>
      <c r="R288" s="143"/>
      <c r="S288" s="143"/>
      <c r="T288" s="143"/>
      <c r="U288" s="143"/>
      <c r="V288" s="143"/>
      <c r="W288" s="143"/>
      <c r="X288" s="143"/>
      <c r="Y288" s="143"/>
      <c r="Z288" s="143"/>
      <c r="AA288" s="143"/>
      <c r="AB288" s="143"/>
      <c r="AC288" s="143"/>
      <c r="AD288" s="143"/>
    </row>
    <row r="289">
      <c r="A289" s="25"/>
      <c r="B289" s="25"/>
      <c r="C289" s="25"/>
      <c r="D289" s="25"/>
      <c r="E289" s="50"/>
      <c r="F289" s="167"/>
      <c r="G289" s="168"/>
      <c r="H289" s="169"/>
      <c r="I289" s="141"/>
      <c r="J289" s="141"/>
      <c r="K289" s="141"/>
      <c r="L289" s="25"/>
      <c r="M289" s="25"/>
      <c r="N289" s="25"/>
      <c r="O289" s="143"/>
      <c r="P289" s="143"/>
      <c r="Q289" s="143"/>
      <c r="R289" s="143"/>
      <c r="S289" s="143"/>
      <c r="T289" s="143"/>
      <c r="U289" s="143"/>
      <c r="V289" s="143"/>
      <c r="W289" s="143"/>
      <c r="X289" s="143"/>
      <c r="Y289" s="143"/>
      <c r="Z289" s="143"/>
      <c r="AA289" s="143"/>
      <c r="AB289" s="143"/>
      <c r="AC289" s="143"/>
      <c r="AD289" s="143"/>
    </row>
    <row r="290">
      <c r="A290" s="25"/>
      <c r="B290" s="25"/>
      <c r="C290" s="25"/>
      <c r="D290" s="25"/>
      <c r="E290" s="50"/>
      <c r="F290" s="167"/>
      <c r="G290" s="168"/>
      <c r="H290" s="169"/>
      <c r="I290" s="141"/>
      <c r="J290" s="141"/>
      <c r="K290" s="141"/>
      <c r="L290" s="25"/>
      <c r="M290" s="25"/>
      <c r="N290" s="25"/>
      <c r="O290" s="143"/>
      <c r="P290" s="143"/>
      <c r="Q290" s="143"/>
      <c r="R290" s="143"/>
      <c r="S290" s="143"/>
      <c r="T290" s="143"/>
      <c r="U290" s="143"/>
      <c r="V290" s="143"/>
      <c r="W290" s="143"/>
      <c r="X290" s="143"/>
      <c r="Y290" s="143"/>
      <c r="Z290" s="143"/>
      <c r="AA290" s="143"/>
      <c r="AB290" s="143"/>
      <c r="AC290" s="143"/>
      <c r="AD290" s="143"/>
    </row>
    <row r="291">
      <c r="A291" s="25"/>
      <c r="B291" s="25"/>
      <c r="C291" s="25"/>
      <c r="D291" s="25"/>
      <c r="E291" s="50"/>
      <c r="F291" s="167"/>
      <c r="G291" s="168"/>
      <c r="H291" s="169"/>
      <c r="I291" s="141"/>
      <c r="J291" s="141"/>
      <c r="K291" s="141"/>
      <c r="L291" s="25"/>
      <c r="M291" s="25"/>
      <c r="N291" s="25"/>
      <c r="O291" s="143"/>
      <c r="P291" s="143"/>
      <c r="Q291" s="143"/>
      <c r="R291" s="143"/>
      <c r="S291" s="143"/>
      <c r="T291" s="143"/>
      <c r="U291" s="143"/>
      <c r="V291" s="143"/>
      <c r="W291" s="143"/>
      <c r="X291" s="143"/>
      <c r="Y291" s="143"/>
      <c r="Z291" s="143"/>
      <c r="AA291" s="143"/>
      <c r="AB291" s="143"/>
      <c r="AC291" s="143"/>
      <c r="AD291" s="143"/>
    </row>
    <row r="292">
      <c r="A292" s="25"/>
      <c r="B292" s="25"/>
      <c r="C292" s="25"/>
      <c r="D292" s="25"/>
      <c r="E292" s="50"/>
      <c r="F292" s="167"/>
      <c r="G292" s="168"/>
      <c r="H292" s="169"/>
      <c r="I292" s="141"/>
      <c r="J292" s="141"/>
      <c r="K292" s="141"/>
      <c r="L292" s="25"/>
      <c r="M292" s="25"/>
      <c r="N292" s="25"/>
      <c r="O292" s="143"/>
      <c r="P292" s="143"/>
      <c r="Q292" s="143"/>
      <c r="R292" s="143"/>
      <c r="S292" s="143"/>
      <c r="T292" s="143"/>
      <c r="U292" s="143"/>
      <c r="V292" s="143"/>
      <c r="W292" s="143"/>
      <c r="X292" s="143"/>
      <c r="Y292" s="143"/>
      <c r="Z292" s="143"/>
      <c r="AA292" s="143"/>
      <c r="AB292" s="143"/>
      <c r="AC292" s="143"/>
      <c r="AD292" s="143"/>
    </row>
    <row r="293">
      <c r="A293" s="25"/>
      <c r="B293" s="25"/>
      <c r="C293" s="25"/>
      <c r="D293" s="25"/>
      <c r="E293" s="50"/>
      <c r="F293" s="167"/>
      <c r="G293" s="168"/>
      <c r="H293" s="169"/>
      <c r="I293" s="141"/>
      <c r="J293" s="141"/>
      <c r="K293" s="141"/>
      <c r="L293" s="25"/>
      <c r="M293" s="25"/>
      <c r="N293" s="25"/>
      <c r="O293" s="143"/>
      <c r="P293" s="143"/>
      <c r="Q293" s="143"/>
      <c r="R293" s="143"/>
      <c r="S293" s="143"/>
      <c r="T293" s="143"/>
      <c r="U293" s="143"/>
      <c r="V293" s="143"/>
      <c r="W293" s="143"/>
      <c r="X293" s="143"/>
      <c r="Y293" s="143"/>
      <c r="Z293" s="143"/>
      <c r="AA293" s="143"/>
      <c r="AB293" s="143"/>
      <c r="AC293" s="143"/>
      <c r="AD293" s="143"/>
    </row>
    <row r="294">
      <c r="A294" s="25"/>
      <c r="B294" s="25"/>
      <c r="C294" s="25"/>
      <c r="D294" s="25"/>
      <c r="E294" s="50"/>
      <c r="F294" s="167"/>
      <c r="G294" s="168"/>
      <c r="H294" s="169"/>
      <c r="I294" s="141"/>
      <c r="J294" s="141"/>
      <c r="K294" s="141"/>
      <c r="L294" s="25"/>
      <c r="M294" s="25"/>
      <c r="N294" s="25"/>
      <c r="O294" s="143"/>
      <c r="P294" s="143"/>
      <c r="Q294" s="143"/>
      <c r="R294" s="143"/>
      <c r="S294" s="143"/>
      <c r="T294" s="143"/>
      <c r="U294" s="143"/>
      <c r="V294" s="143"/>
      <c r="W294" s="143"/>
      <c r="X294" s="143"/>
      <c r="Y294" s="143"/>
      <c r="Z294" s="143"/>
      <c r="AA294" s="143"/>
      <c r="AB294" s="143"/>
      <c r="AC294" s="143"/>
      <c r="AD294" s="143"/>
    </row>
    <row r="295">
      <c r="A295" s="25"/>
      <c r="B295" s="25"/>
      <c r="C295" s="25"/>
      <c r="D295" s="25"/>
      <c r="E295" s="50"/>
      <c r="F295" s="167"/>
      <c r="G295" s="168"/>
      <c r="H295" s="169"/>
      <c r="I295" s="141"/>
      <c r="J295" s="141"/>
      <c r="K295" s="141"/>
      <c r="L295" s="25"/>
      <c r="M295" s="25"/>
      <c r="N295" s="25"/>
      <c r="O295" s="143"/>
      <c r="P295" s="143"/>
      <c r="Q295" s="143"/>
      <c r="R295" s="143"/>
      <c r="S295" s="143"/>
      <c r="T295" s="143"/>
      <c r="U295" s="143"/>
      <c r="V295" s="143"/>
      <c r="W295" s="143"/>
      <c r="X295" s="143"/>
      <c r="Y295" s="143"/>
      <c r="Z295" s="143"/>
      <c r="AA295" s="143"/>
      <c r="AB295" s="143"/>
      <c r="AC295" s="143"/>
      <c r="AD295" s="143"/>
    </row>
    <row r="296">
      <c r="A296" s="25"/>
      <c r="B296" s="25"/>
      <c r="C296" s="25"/>
      <c r="D296" s="25"/>
      <c r="E296" s="50"/>
      <c r="F296" s="167"/>
      <c r="G296" s="168"/>
      <c r="H296" s="169"/>
      <c r="I296" s="141"/>
      <c r="J296" s="141"/>
      <c r="K296" s="141"/>
      <c r="L296" s="25"/>
      <c r="M296" s="25"/>
      <c r="N296" s="25"/>
      <c r="O296" s="143"/>
      <c r="P296" s="143"/>
      <c r="Q296" s="143"/>
      <c r="R296" s="143"/>
      <c r="S296" s="143"/>
      <c r="T296" s="143"/>
      <c r="U296" s="143"/>
      <c r="V296" s="143"/>
      <c r="W296" s="143"/>
      <c r="X296" s="143"/>
      <c r="Y296" s="143"/>
      <c r="Z296" s="143"/>
      <c r="AA296" s="143"/>
      <c r="AB296" s="143"/>
      <c r="AC296" s="143"/>
      <c r="AD296" s="143"/>
    </row>
    <row r="297">
      <c r="A297" s="25"/>
      <c r="B297" s="25"/>
      <c r="C297" s="25"/>
      <c r="D297" s="25"/>
      <c r="E297" s="50"/>
      <c r="F297" s="167"/>
      <c r="G297" s="168"/>
      <c r="H297" s="169"/>
      <c r="I297" s="141"/>
      <c r="J297" s="141"/>
      <c r="K297" s="141"/>
      <c r="L297" s="25"/>
      <c r="M297" s="25"/>
      <c r="N297" s="25"/>
      <c r="O297" s="143"/>
      <c r="P297" s="143"/>
      <c r="Q297" s="143"/>
      <c r="R297" s="143"/>
      <c r="S297" s="143"/>
      <c r="T297" s="143"/>
      <c r="U297" s="143"/>
      <c r="V297" s="143"/>
      <c r="W297" s="143"/>
      <c r="X297" s="143"/>
      <c r="Y297" s="143"/>
      <c r="Z297" s="143"/>
      <c r="AA297" s="143"/>
      <c r="AB297" s="143"/>
      <c r="AC297" s="143"/>
      <c r="AD297" s="143"/>
    </row>
    <row r="298">
      <c r="A298" s="25"/>
      <c r="B298" s="25"/>
      <c r="C298" s="25"/>
      <c r="D298" s="25"/>
      <c r="E298" s="50"/>
      <c r="F298" s="167"/>
      <c r="G298" s="168"/>
      <c r="H298" s="169"/>
      <c r="I298" s="141"/>
      <c r="J298" s="141"/>
      <c r="K298" s="141"/>
      <c r="L298" s="25"/>
      <c r="M298" s="25"/>
      <c r="N298" s="25"/>
      <c r="O298" s="143"/>
      <c r="P298" s="143"/>
      <c r="Q298" s="143"/>
      <c r="R298" s="143"/>
      <c r="S298" s="143"/>
      <c r="T298" s="143"/>
      <c r="U298" s="143"/>
      <c r="V298" s="143"/>
      <c r="W298" s="143"/>
      <c r="X298" s="143"/>
      <c r="Y298" s="143"/>
      <c r="Z298" s="143"/>
      <c r="AA298" s="143"/>
      <c r="AB298" s="143"/>
      <c r="AC298" s="143"/>
      <c r="AD298" s="143"/>
    </row>
    <row r="299">
      <c r="A299" s="25"/>
      <c r="B299" s="25"/>
      <c r="C299" s="25"/>
      <c r="D299" s="25"/>
      <c r="E299" s="50"/>
      <c r="F299" s="167"/>
      <c r="G299" s="168"/>
      <c r="H299" s="169"/>
      <c r="I299" s="141"/>
      <c r="J299" s="141"/>
      <c r="K299" s="141"/>
      <c r="L299" s="25"/>
      <c r="M299" s="25"/>
      <c r="N299" s="25"/>
      <c r="O299" s="143"/>
      <c r="P299" s="143"/>
      <c r="Q299" s="143"/>
      <c r="R299" s="143"/>
      <c r="S299" s="143"/>
      <c r="T299" s="143"/>
      <c r="U299" s="143"/>
      <c r="V299" s="143"/>
      <c r="W299" s="143"/>
      <c r="X299" s="143"/>
      <c r="Y299" s="143"/>
      <c r="Z299" s="143"/>
      <c r="AA299" s="143"/>
      <c r="AB299" s="143"/>
      <c r="AC299" s="143"/>
      <c r="AD299" s="143"/>
    </row>
    <row r="300">
      <c r="A300" s="25"/>
      <c r="B300" s="25"/>
      <c r="C300" s="25"/>
      <c r="D300" s="25"/>
      <c r="E300" s="50"/>
      <c r="F300" s="167"/>
      <c r="G300" s="168"/>
      <c r="H300" s="169"/>
      <c r="I300" s="141"/>
      <c r="J300" s="141"/>
      <c r="K300" s="141"/>
      <c r="L300" s="25"/>
      <c r="M300" s="25"/>
      <c r="N300" s="25"/>
      <c r="O300" s="143"/>
      <c r="P300" s="143"/>
      <c r="Q300" s="143"/>
      <c r="R300" s="143"/>
      <c r="S300" s="143"/>
      <c r="T300" s="143"/>
      <c r="U300" s="143"/>
      <c r="V300" s="143"/>
      <c r="W300" s="143"/>
      <c r="X300" s="143"/>
      <c r="Y300" s="143"/>
      <c r="Z300" s="143"/>
      <c r="AA300" s="143"/>
      <c r="AB300" s="143"/>
      <c r="AC300" s="143"/>
      <c r="AD300" s="143"/>
    </row>
    <row r="301">
      <c r="A301" s="25"/>
      <c r="B301" s="25"/>
      <c r="C301" s="25"/>
      <c r="D301" s="25"/>
      <c r="E301" s="50"/>
      <c r="F301" s="167"/>
      <c r="G301" s="168"/>
      <c r="H301" s="169"/>
      <c r="I301" s="141"/>
      <c r="J301" s="141"/>
      <c r="K301" s="141"/>
      <c r="L301" s="25"/>
      <c r="M301" s="25"/>
      <c r="N301" s="25"/>
      <c r="O301" s="143"/>
      <c r="P301" s="143"/>
      <c r="Q301" s="143"/>
      <c r="R301" s="143"/>
      <c r="S301" s="143"/>
      <c r="T301" s="143"/>
      <c r="U301" s="143"/>
      <c r="V301" s="143"/>
      <c r="W301" s="143"/>
      <c r="X301" s="143"/>
      <c r="Y301" s="143"/>
      <c r="Z301" s="143"/>
      <c r="AA301" s="143"/>
      <c r="AB301" s="143"/>
      <c r="AC301" s="143"/>
      <c r="AD301" s="143"/>
    </row>
    <row r="302">
      <c r="A302" s="25"/>
      <c r="B302" s="25"/>
      <c r="C302" s="25"/>
      <c r="D302" s="25"/>
      <c r="E302" s="50"/>
      <c r="F302" s="167"/>
      <c r="G302" s="168"/>
      <c r="H302" s="169"/>
      <c r="I302" s="141"/>
      <c r="J302" s="141"/>
      <c r="K302" s="141"/>
      <c r="L302" s="25"/>
      <c r="M302" s="25"/>
      <c r="N302" s="25"/>
      <c r="O302" s="143"/>
      <c r="P302" s="143"/>
      <c r="Q302" s="143"/>
      <c r="R302" s="143"/>
      <c r="S302" s="143"/>
      <c r="T302" s="143"/>
      <c r="U302" s="143"/>
      <c r="V302" s="143"/>
      <c r="W302" s="143"/>
      <c r="X302" s="143"/>
      <c r="Y302" s="143"/>
      <c r="Z302" s="143"/>
      <c r="AA302" s="143"/>
      <c r="AB302" s="143"/>
      <c r="AC302" s="143"/>
      <c r="AD302" s="143"/>
    </row>
    <row r="303">
      <c r="A303" s="25"/>
      <c r="B303" s="25"/>
      <c r="C303" s="25"/>
      <c r="D303" s="25"/>
      <c r="E303" s="50"/>
      <c r="F303" s="167"/>
      <c r="G303" s="168"/>
      <c r="H303" s="169"/>
      <c r="I303" s="141"/>
      <c r="J303" s="141"/>
      <c r="K303" s="141"/>
      <c r="L303" s="25"/>
      <c r="M303" s="25"/>
      <c r="N303" s="25"/>
      <c r="O303" s="143"/>
      <c r="P303" s="143"/>
      <c r="Q303" s="143"/>
      <c r="R303" s="143"/>
      <c r="S303" s="143"/>
      <c r="T303" s="143"/>
      <c r="U303" s="143"/>
      <c r="V303" s="143"/>
      <c r="W303" s="143"/>
      <c r="X303" s="143"/>
      <c r="Y303" s="143"/>
      <c r="Z303" s="143"/>
      <c r="AA303" s="143"/>
      <c r="AB303" s="143"/>
      <c r="AC303" s="143"/>
      <c r="AD303" s="143"/>
    </row>
    <row r="304">
      <c r="A304" s="25"/>
      <c r="B304" s="25"/>
      <c r="C304" s="25"/>
      <c r="D304" s="25"/>
      <c r="E304" s="50"/>
      <c r="F304" s="167"/>
      <c r="G304" s="168"/>
      <c r="H304" s="169"/>
      <c r="I304" s="141"/>
      <c r="J304" s="141"/>
      <c r="K304" s="141"/>
      <c r="L304" s="25"/>
      <c r="M304" s="25"/>
      <c r="N304" s="25"/>
      <c r="O304" s="143"/>
      <c r="P304" s="143"/>
      <c r="Q304" s="143"/>
      <c r="R304" s="143"/>
      <c r="S304" s="143"/>
      <c r="T304" s="143"/>
      <c r="U304" s="143"/>
      <c r="V304" s="143"/>
      <c r="W304" s="143"/>
      <c r="X304" s="143"/>
      <c r="Y304" s="143"/>
      <c r="Z304" s="143"/>
      <c r="AA304" s="143"/>
      <c r="AB304" s="143"/>
      <c r="AC304" s="143"/>
      <c r="AD304" s="143"/>
    </row>
    <row r="305">
      <c r="A305" s="25"/>
      <c r="B305" s="25"/>
      <c r="C305" s="25"/>
      <c r="D305" s="25"/>
      <c r="E305" s="50"/>
      <c r="F305" s="167"/>
      <c r="G305" s="168"/>
      <c r="H305" s="169"/>
      <c r="I305" s="141"/>
      <c r="J305" s="141"/>
      <c r="K305" s="141"/>
      <c r="L305" s="25"/>
      <c r="M305" s="25"/>
      <c r="N305" s="25"/>
      <c r="O305" s="143"/>
      <c r="P305" s="143"/>
      <c r="Q305" s="143"/>
      <c r="R305" s="143"/>
      <c r="S305" s="143"/>
      <c r="T305" s="143"/>
      <c r="U305" s="143"/>
      <c r="V305" s="143"/>
      <c r="W305" s="143"/>
      <c r="X305" s="143"/>
      <c r="Y305" s="143"/>
      <c r="Z305" s="143"/>
      <c r="AA305" s="143"/>
      <c r="AB305" s="143"/>
      <c r="AC305" s="143"/>
      <c r="AD305" s="143"/>
    </row>
    <row r="306">
      <c r="A306" s="25"/>
      <c r="B306" s="25"/>
      <c r="C306" s="25"/>
      <c r="D306" s="25"/>
      <c r="E306" s="50"/>
      <c r="F306" s="167"/>
      <c r="G306" s="168"/>
      <c r="H306" s="169"/>
      <c r="I306" s="141"/>
      <c r="J306" s="141"/>
      <c r="K306" s="141"/>
      <c r="L306" s="25"/>
      <c r="M306" s="25"/>
      <c r="N306" s="25"/>
      <c r="O306" s="143"/>
      <c r="P306" s="143"/>
      <c r="Q306" s="143"/>
      <c r="R306" s="143"/>
      <c r="S306" s="143"/>
      <c r="T306" s="143"/>
      <c r="U306" s="143"/>
      <c r="V306" s="143"/>
      <c r="W306" s="143"/>
      <c r="X306" s="143"/>
      <c r="Y306" s="143"/>
      <c r="Z306" s="143"/>
      <c r="AA306" s="143"/>
      <c r="AB306" s="143"/>
      <c r="AC306" s="143"/>
      <c r="AD306" s="143"/>
    </row>
    <row r="307">
      <c r="A307" s="25"/>
      <c r="B307" s="25"/>
      <c r="C307" s="25"/>
      <c r="D307" s="25"/>
      <c r="E307" s="50"/>
      <c r="F307" s="167"/>
      <c r="G307" s="168"/>
      <c r="H307" s="169"/>
      <c r="I307" s="141"/>
      <c r="J307" s="141"/>
      <c r="K307" s="141"/>
      <c r="L307" s="25"/>
      <c r="M307" s="25"/>
      <c r="N307" s="25"/>
      <c r="O307" s="143"/>
      <c r="P307" s="143"/>
      <c r="Q307" s="143"/>
      <c r="R307" s="143"/>
      <c r="S307" s="143"/>
      <c r="T307" s="143"/>
      <c r="U307" s="143"/>
      <c r="V307" s="143"/>
      <c r="W307" s="143"/>
      <c r="X307" s="143"/>
      <c r="Y307" s="143"/>
      <c r="Z307" s="143"/>
      <c r="AA307" s="143"/>
      <c r="AB307" s="143"/>
      <c r="AC307" s="143"/>
      <c r="AD307" s="143"/>
    </row>
    <row r="308">
      <c r="A308" s="25"/>
      <c r="B308" s="25"/>
      <c r="C308" s="25"/>
      <c r="D308" s="25"/>
      <c r="E308" s="50"/>
      <c r="F308" s="167"/>
      <c r="G308" s="168"/>
      <c r="H308" s="169"/>
      <c r="I308" s="141"/>
      <c r="J308" s="141"/>
      <c r="K308" s="141"/>
      <c r="L308" s="25"/>
      <c r="M308" s="25"/>
      <c r="N308" s="25"/>
      <c r="O308" s="143"/>
      <c r="P308" s="143"/>
      <c r="Q308" s="143"/>
      <c r="R308" s="143"/>
      <c r="S308" s="143"/>
      <c r="T308" s="143"/>
      <c r="U308" s="143"/>
      <c r="V308" s="143"/>
      <c r="W308" s="143"/>
      <c r="X308" s="143"/>
      <c r="Y308" s="143"/>
      <c r="Z308" s="143"/>
      <c r="AA308" s="143"/>
      <c r="AB308" s="143"/>
      <c r="AC308" s="143"/>
      <c r="AD308" s="143"/>
    </row>
    <row r="309">
      <c r="A309" s="25"/>
      <c r="B309" s="25"/>
      <c r="C309" s="25"/>
      <c r="D309" s="25"/>
      <c r="E309" s="50"/>
      <c r="F309" s="167"/>
      <c r="G309" s="168"/>
      <c r="H309" s="169"/>
      <c r="I309" s="141"/>
      <c r="J309" s="141"/>
      <c r="K309" s="141"/>
      <c r="L309" s="25"/>
      <c r="M309" s="25"/>
      <c r="N309" s="25"/>
      <c r="O309" s="143"/>
      <c r="P309" s="143"/>
      <c r="Q309" s="143"/>
      <c r="R309" s="143"/>
      <c r="S309" s="143"/>
      <c r="T309" s="143"/>
      <c r="U309" s="143"/>
      <c r="V309" s="143"/>
      <c r="W309" s="143"/>
      <c r="X309" s="143"/>
      <c r="Y309" s="143"/>
      <c r="Z309" s="143"/>
      <c r="AA309" s="143"/>
      <c r="AB309" s="143"/>
      <c r="AC309" s="143"/>
      <c r="AD309" s="143"/>
    </row>
    <row r="310">
      <c r="A310" s="25"/>
      <c r="B310" s="25"/>
      <c r="C310" s="25"/>
      <c r="D310" s="25"/>
      <c r="E310" s="50"/>
      <c r="F310" s="167"/>
      <c r="G310" s="168"/>
      <c r="H310" s="169"/>
      <c r="I310" s="141"/>
      <c r="J310" s="141"/>
      <c r="K310" s="141"/>
      <c r="L310" s="25"/>
      <c r="M310" s="25"/>
      <c r="N310" s="25"/>
      <c r="O310" s="143"/>
      <c r="P310" s="143"/>
      <c r="Q310" s="143"/>
      <c r="R310" s="143"/>
      <c r="S310" s="143"/>
      <c r="T310" s="143"/>
      <c r="U310" s="143"/>
      <c r="V310" s="143"/>
      <c r="W310" s="143"/>
      <c r="X310" s="143"/>
      <c r="Y310" s="143"/>
      <c r="Z310" s="143"/>
      <c r="AA310" s="143"/>
      <c r="AB310" s="143"/>
      <c r="AC310" s="143"/>
      <c r="AD310" s="143"/>
    </row>
    <row r="311">
      <c r="A311" s="25"/>
      <c r="B311" s="25"/>
      <c r="C311" s="25"/>
      <c r="D311" s="25"/>
      <c r="E311" s="50"/>
      <c r="F311" s="167"/>
      <c r="G311" s="168"/>
      <c r="H311" s="169"/>
      <c r="I311" s="141"/>
      <c r="J311" s="141"/>
      <c r="K311" s="141"/>
      <c r="L311" s="25"/>
      <c r="M311" s="25"/>
      <c r="N311" s="25"/>
      <c r="O311" s="143"/>
      <c r="P311" s="143"/>
      <c r="Q311" s="143"/>
      <c r="R311" s="143"/>
      <c r="S311" s="143"/>
      <c r="T311" s="143"/>
      <c r="U311" s="143"/>
      <c r="V311" s="143"/>
      <c r="W311" s="143"/>
      <c r="X311" s="143"/>
      <c r="Y311" s="143"/>
      <c r="Z311" s="143"/>
      <c r="AA311" s="143"/>
      <c r="AB311" s="143"/>
      <c r="AC311" s="143"/>
      <c r="AD311" s="143"/>
    </row>
    <row r="312">
      <c r="A312" s="25"/>
      <c r="B312" s="25"/>
      <c r="C312" s="25"/>
      <c r="D312" s="25"/>
      <c r="E312" s="50"/>
      <c r="F312" s="167"/>
      <c r="G312" s="168"/>
      <c r="H312" s="169"/>
      <c r="I312" s="141"/>
      <c r="J312" s="141"/>
      <c r="K312" s="141"/>
      <c r="L312" s="25"/>
      <c r="M312" s="25"/>
      <c r="N312" s="25"/>
      <c r="O312" s="143"/>
      <c r="P312" s="143"/>
      <c r="Q312" s="143"/>
      <c r="R312" s="143"/>
      <c r="S312" s="143"/>
      <c r="T312" s="143"/>
      <c r="U312" s="143"/>
      <c r="V312" s="143"/>
      <c r="W312" s="143"/>
      <c r="X312" s="143"/>
      <c r="Y312" s="143"/>
      <c r="Z312" s="143"/>
      <c r="AA312" s="143"/>
      <c r="AB312" s="143"/>
      <c r="AC312" s="143"/>
      <c r="AD312" s="143"/>
    </row>
    <row r="313">
      <c r="A313" s="25"/>
      <c r="B313" s="25"/>
      <c r="C313" s="25"/>
      <c r="D313" s="25"/>
      <c r="E313" s="50"/>
      <c r="F313" s="167"/>
      <c r="G313" s="168"/>
      <c r="H313" s="169"/>
      <c r="I313" s="141"/>
      <c r="J313" s="141"/>
      <c r="K313" s="141"/>
      <c r="L313" s="25"/>
      <c r="M313" s="25"/>
      <c r="N313" s="25"/>
      <c r="O313" s="143"/>
      <c r="P313" s="143"/>
      <c r="Q313" s="143"/>
      <c r="R313" s="143"/>
      <c r="S313" s="143"/>
      <c r="T313" s="143"/>
      <c r="U313" s="143"/>
      <c r="V313" s="143"/>
      <c r="W313" s="143"/>
      <c r="X313" s="143"/>
      <c r="Y313" s="143"/>
      <c r="Z313" s="143"/>
      <c r="AA313" s="143"/>
      <c r="AB313" s="143"/>
      <c r="AC313" s="143"/>
      <c r="AD313" s="143"/>
    </row>
    <row r="314">
      <c r="A314" s="25"/>
      <c r="B314" s="25"/>
      <c r="C314" s="25"/>
      <c r="D314" s="25"/>
      <c r="E314" s="50"/>
      <c r="F314" s="167"/>
      <c r="G314" s="168"/>
      <c r="H314" s="169"/>
      <c r="I314" s="141"/>
      <c r="J314" s="141"/>
      <c r="K314" s="141"/>
      <c r="L314" s="25"/>
      <c r="M314" s="25"/>
      <c r="N314" s="25"/>
      <c r="O314" s="143"/>
      <c r="P314" s="143"/>
      <c r="Q314" s="143"/>
      <c r="R314" s="143"/>
      <c r="S314" s="143"/>
      <c r="T314" s="143"/>
      <c r="U314" s="143"/>
      <c r="V314" s="143"/>
      <c r="W314" s="143"/>
      <c r="X314" s="143"/>
      <c r="Y314" s="143"/>
      <c r="Z314" s="143"/>
      <c r="AA314" s="143"/>
      <c r="AB314" s="143"/>
      <c r="AC314" s="143"/>
      <c r="AD314" s="143"/>
    </row>
    <row r="315">
      <c r="A315" s="25"/>
      <c r="B315" s="25"/>
      <c r="C315" s="25"/>
      <c r="D315" s="25"/>
      <c r="E315" s="50"/>
      <c r="F315" s="167"/>
      <c r="G315" s="168"/>
      <c r="H315" s="169"/>
      <c r="I315" s="141"/>
      <c r="J315" s="141"/>
      <c r="K315" s="141"/>
      <c r="L315" s="25"/>
      <c r="M315" s="25"/>
      <c r="N315" s="25"/>
      <c r="O315" s="143"/>
      <c r="P315" s="143"/>
      <c r="Q315" s="143"/>
      <c r="R315" s="143"/>
      <c r="S315" s="143"/>
      <c r="T315" s="143"/>
      <c r="U315" s="143"/>
      <c r="V315" s="143"/>
      <c r="W315" s="143"/>
      <c r="X315" s="143"/>
      <c r="Y315" s="143"/>
      <c r="Z315" s="143"/>
      <c r="AA315" s="143"/>
      <c r="AB315" s="143"/>
      <c r="AC315" s="143"/>
      <c r="AD315" s="143"/>
    </row>
    <row r="316">
      <c r="A316" s="25"/>
      <c r="B316" s="25"/>
      <c r="C316" s="25"/>
      <c r="D316" s="25"/>
      <c r="E316" s="50"/>
      <c r="F316" s="167"/>
      <c r="G316" s="168"/>
      <c r="H316" s="169"/>
      <c r="I316" s="141"/>
      <c r="J316" s="141"/>
      <c r="K316" s="141"/>
      <c r="L316" s="25"/>
      <c r="M316" s="25"/>
      <c r="N316" s="25"/>
      <c r="O316" s="143"/>
      <c r="P316" s="143"/>
      <c r="Q316" s="143"/>
      <c r="R316" s="143"/>
      <c r="S316" s="143"/>
      <c r="T316" s="143"/>
      <c r="U316" s="143"/>
      <c r="V316" s="143"/>
      <c r="W316" s="143"/>
      <c r="X316" s="143"/>
      <c r="Y316" s="143"/>
      <c r="Z316" s="143"/>
      <c r="AA316" s="143"/>
      <c r="AB316" s="143"/>
      <c r="AC316" s="143"/>
      <c r="AD316" s="143"/>
    </row>
    <row r="317">
      <c r="A317" s="25"/>
      <c r="B317" s="25"/>
      <c r="C317" s="25"/>
      <c r="D317" s="25"/>
      <c r="E317" s="50"/>
      <c r="F317" s="167"/>
      <c r="G317" s="168"/>
      <c r="H317" s="169"/>
      <c r="I317" s="141"/>
      <c r="J317" s="141"/>
      <c r="K317" s="141"/>
      <c r="L317" s="25"/>
      <c r="M317" s="25"/>
      <c r="N317" s="25"/>
      <c r="O317" s="143"/>
      <c r="P317" s="143"/>
      <c r="Q317" s="143"/>
      <c r="R317" s="143"/>
      <c r="S317" s="143"/>
      <c r="T317" s="143"/>
      <c r="U317" s="143"/>
      <c r="V317" s="143"/>
      <c r="W317" s="143"/>
      <c r="X317" s="143"/>
      <c r="Y317" s="143"/>
      <c r="Z317" s="143"/>
      <c r="AA317" s="143"/>
      <c r="AB317" s="143"/>
      <c r="AC317" s="143"/>
      <c r="AD317" s="143"/>
    </row>
    <row r="318">
      <c r="A318" s="25"/>
      <c r="B318" s="25"/>
      <c r="C318" s="25"/>
      <c r="D318" s="25"/>
      <c r="E318" s="50"/>
      <c r="F318" s="167"/>
      <c r="G318" s="168"/>
      <c r="H318" s="169"/>
      <c r="I318" s="141"/>
      <c r="J318" s="141"/>
      <c r="K318" s="141"/>
      <c r="L318" s="25"/>
      <c r="M318" s="25"/>
      <c r="N318" s="25"/>
      <c r="O318" s="143"/>
      <c r="P318" s="143"/>
      <c r="Q318" s="143"/>
      <c r="R318" s="143"/>
      <c r="S318" s="143"/>
      <c r="T318" s="143"/>
      <c r="U318" s="143"/>
      <c r="V318" s="143"/>
      <c r="W318" s="143"/>
      <c r="X318" s="143"/>
      <c r="Y318" s="143"/>
      <c r="Z318" s="143"/>
      <c r="AA318" s="143"/>
      <c r="AB318" s="143"/>
      <c r="AC318" s="143"/>
      <c r="AD318" s="143"/>
    </row>
    <row r="319">
      <c r="A319" s="25"/>
      <c r="B319" s="25"/>
      <c r="C319" s="25"/>
      <c r="D319" s="25"/>
      <c r="E319" s="50"/>
      <c r="F319" s="167"/>
      <c r="G319" s="168"/>
      <c r="H319" s="169"/>
      <c r="I319" s="141"/>
      <c r="J319" s="141"/>
      <c r="K319" s="141"/>
      <c r="L319" s="25"/>
      <c r="M319" s="25"/>
      <c r="N319" s="25"/>
      <c r="O319" s="143"/>
      <c r="P319" s="143"/>
      <c r="Q319" s="143"/>
      <c r="R319" s="143"/>
      <c r="S319" s="143"/>
      <c r="T319" s="143"/>
      <c r="U319" s="143"/>
      <c r="V319" s="143"/>
      <c r="W319" s="143"/>
      <c r="X319" s="143"/>
      <c r="Y319" s="143"/>
      <c r="Z319" s="143"/>
      <c r="AA319" s="143"/>
      <c r="AB319" s="143"/>
      <c r="AC319" s="143"/>
      <c r="AD319" s="143"/>
    </row>
    <row r="320">
      <c r="A320" s="25"/>
      <c r="B320" s="25"/>
      <c r="C320" s="25"/>
      <c r="D320" s="25"/>
      <c r="E320" s="50"/>
      <c r="F320" s="167"/>
      <c r="G320" s="168"/>
      <c r="H320" s="169"/>
      <c r="I320" s="141"/>
      <c r="J320" s="141"/>
      <c r="K320" s="141"/>
      <c r="L320" s="25"/>
      <c r="M320" s="25"/>
      <c r="N320" s="25"/>
      <c r="O320" s="143"/>
      <c r="P320" s="143"/>
      <c r="Q320" s="143"/>
      <c r="R320" s="143"/>
      <c r="S320" s="143"/>
      <c r="T320" s="143"/>
      <c r="U320" s="143"/>
      <c r="V320" s="143"/>
      <c r="W320" s="143"/>
      <c r="X320" s="143"/>
      <c r="Y320" s="143"/>
      <c r="Z320" s="143"/>
      <c r="AA320" s="143"/>
      <c r="AB320" s="143"/>
      <c r="AC320" s="143"/>
      <c r="AD320" s="143"/>
    </row>
    <row r="321">
      <c r="A321" s="25"/>
      <c r="B321" s="25"/>
      <c r="C321" s="25"/>
      <c r="D321" s="25"/>
      <c r="E321" s="50"/>
      <c r="F321" s="167"/>
      <c r="G321" s="168"/>
      <c r="H321" s="169"/>
      <c r="I321" s="141"/>
      <c r="J321" s="141"/>
      <c r="K321" s="141"/>
      <c r="L321" s="25"/>
      <c r="M321" s="25"/>
      <c r="N321" s="25"/>
      <c r="O321" s="143"/>
      <c r="P321" s="143"/>
      <c r="Q321" s="143"/>
      <c r="R321" s="143"/>
      <c r="S321" s="143"/>
      <c r="T321" s="143"/>
      <c r="U321" s="143"/>
      <c r="V321" s="143"/>
      <c r="W321" s="143"/>
      <c r="X321" s="143"/>
      <c r="Y321" s="143"/>
      <c r="Z321" s="143"/>
      <c r="AA321" s="143"/>
      <c r="AB321" s="143"/>
      <c r="AC321" s="143"/>
      <c r="AD321" s="143"/>
    </row>
    <row r="322">
      <c r="A322" s="25"/>
      <c r="B322" s="25"/>
      <c r="C322" s="25"/>
      <c r="D322" s="25"/>
      <c r="E322" s="50"/>
      <c r="F322" s="167"/>
      <c r="G322" s="168"/>
      <c r="H322" s="169"/>
      <c r="I322" s="141"/>
      <c r="J322" s="141"/>
      <c r="K322" s="141"/>
      <c r="L322" s="25"/>
      <c r="M322" s="25"/>
      <c r="N322" s="25"/>
      <c r="O322" s="143"/>
      <c r="P322" s="143"/>
      <c r="Q322" s="143"/>
      <c r="R322" s="143"/>
      <c r="S322" s="143"/>
      <c r="T322" s="143"/>
      <c r="U322" s="143"/>
      <c r="V322" s="143"/>
      <c r="W322" s="143"/>
      <c r="X322" s="143"/>
      <c r="Y322" s="143"/>
      <c r="Z322" s="143"/>
      <c r="AA322" s="143"/>
      <c r="AB322" s="143"/>
      <c r="AC322" s="143"/>
      <c r="AD322" s="143"/>
    </row>
    <row r="323">
      <c r="A323" s="25"/>
      <c r="B323" s="25"/>
      <c r="C323" s="25"/>
      <c r="D323" s="25"/>
      <c r="E323" s="50"/>
      <c r="F323" s="167"/>
      <c r="G323" s="168"/>
      <c r="H323" s="169"/>
      <c r="I323" s="141"/>
      <c r="J323" s="141"/>
      <c r="K323" s="141"/>
      <c r="L323" s="25"/>
      <c r="M323" s="25"/>
      <c r="N323" s="25"/>
      <c r="O323" s="143"/>
      <c r="P323" s="143"/>
      <c r="Q323" s="143"/>
      <c r="R323" s="143"/>
      <c r="S323" s="143"/>
      <c r="T323" s="143"/>
      <c r="U323" s="143"/>
      <c r="V323" s="143"/>
      <c r="W323" s="143"/>
      <c r="X323" s="143"/>
      <c r="Y323" s="143"/>
      <c r="Z323" s="143"/>
      <c r="AA323" s="143"/>
      <c r="AB323" s="143"/>
      <c r="AC323" s="143"/>
      <c r="AD323" s="143"/>
    </row>
    <row r="324">
      <c r="A324" s="25"/>
      <c r="B324" s="25"/>
      <c r="C324" s="25"/>
      <c r="D324" s="25"/>
      <c r="E324" s="50"/>
      <c r="F324" s="167"/>
      <c r="G324" s="168"/>
      <c r="H324" s="169"/>
      <c r="I324" s="141"/>
      <c r="J324" s="141"/>
      <c r="K324" s="141"/>
      <c r="L324" s="25"/>
      <c r="M324" s="25"/>
      <c r="N324" s="25"/>
      <c r="O324" s="143"/>
      <c r="P324" s="143"/>
      <c r="Q324" s="143"/>
      <c r="R324" s="143"/>
      <c r="S324" s="143"/>
      <c r="T324" s="143"/>
      <c r="U324" s="143"/>
      <c r="V324" s="143"/>
      <c r="W324" s="143"/>
      <c r="X324" s="143"/>
      <c r="Y324" s="143"/>
      <c r="Z324" s="143"/>
      <c r="AA324" s="143"/>
      <c r="AB324" s="143"/>
      <c r="AC324" s="143"/>
      <c r="AD324" s="143"/>
    </row>
    <row r="325">
      <c r="A325" s="25"/>
      <c r="B325" s="25"/>
      <c r="C325" s="25"/>
      <c r="D325" s="25"/>
      <c r="E325" s="50"/>
      <c r="F325" s="167"/>
      <c r="G325" s="168"/>
      <c r="H325" s="169"/>
      <c r="I325" s="141"/>
      <c r="J325" s="141"/>
      <c r="K325" s="141"/>
      <c r="L325" s="25"/>
      <c r="M325" s="25"/>
      <c r="N325" s="25"/>
      <c r="O325" s="143"/>
      <c r="P325" s="143"/>
      <c r="Q325" s="143"/>
      <c r="R325" s="143"/>
      <c r="S325" s="143"/>
      <c r="T325" s="143"/>
      <c r="U325" s="143"/>
      <c r="V325" s="143"/>
      <c r="W325" s="143"/>
      <c r="X325" s="143"/>
      <c r="Y325" s="143"/>
      <c r="Z325" s="143"/>
      <c r="AA325" s="143"/>
      <c r="AB325" s="143"/>
      <c r="AC325" s="143"/>
      <c r="AD325" s="143"/>
    </row>
    <row r="326">
      <c r="A326" s="25"/>
      <c r="B326" s="25"/>
      <c r="C326" s="25"/>
      <c r="D326" s="25"/>
      <c r="E326" s="50"/>
      <c r="F326" s="167"/>
      <c r="G326" s="168"/>
      <c r="H326" s="169"/>
      <c r="I326" s="141"/>
      <c r="J326" s="141"/>
      <c r="K326" s="141"/>
      <c r="L326" s="25"/>
      <c r="M326" s="25"/>
      <c r="N326" s="25"/>
      <c r="O326" s="143"/>
      <c r="P326" s="143"/>
      <c r="Q326" s="143"/>
      <c r="R326" s="143"/>
      <c r="S326" s="143"/>
      <c r="T326" s="143"/>
      <c r="U326" s="143"/>
      <c r="V326" s="143"/>
      <c r="W326" s="143"/>
      <c r="X326" s="143"/>
      <c r="Y326" s="143"/>
      <c r="Z326" s="143"/>
      <c r="AA326" s="143"/>
      <c r="AB326" s="143"/>
      <c r="AC326" s="143"/>
      <c r="AD326" s="143"/>
    </row>
    <row r="327">
      <c r="A327" s="25"/>
      <c r="B327" s="25"/>
      <c r="C327" s="25"/>
      <c r="D327" s="25"/>
      <c r="E327" s="50"/>
      <c r="F327" s="167"/>
      <c r="G327" s="168"/>
      <c r="H327" s="169"/>
      <c r="I327" s="141"/>
      <c r="J327" s="141"/>
      <c r="K327" s="141"/>
      <c r="L327" s="25"/>
      <c r="M327" s="25"/>
      <c r="N327" s="25"/>
      <c r="O327" s="143"/>
      <c r="P327" s="143"/>
      <c r="Q327" s="143"/>
      <c r="R327" s="143"/>
      <c r="S327" s="143"/>
      <c r="T327" s="143"/>
      <c r="U327" s="143"/>
      <c r="V327" s="143"/>
      <c r="W327" s="143"/>
      <c r="X327" s="143"/>
      <c r="Y327" s="143"/>
      <c r="Z327" s="143"/>
      <c r="AA327" s="143"/>
      <c r="AB327" s="143"/>
      <c r="AC327" s="143"/>
      <c r="AD327" s="143"/>
    </row>
    <row r="328">
      <c r="A328" s="25"/>
      <c r="B328" s="25"/>
      <c r="C328" s="25"/>
      <c r="D328" s="25"/>
      <c r="E328" s="50"/>
      <c r="F328" s="167"/>
      <c r="G328" s="168"/>
      <c r="H328" s="169"/>
      <c r="I328" s="141"/>
      <c r="J328" s="141"/>
      <c r="K328" s="141"/>
      <c r="L328" s="25"/>
      <c r="M328" s="25"/>
      <c r="N328" s="25"/>
      <c r="O328" s="143"/>
      <c r="P328" s="143"/>
      <c r="Q328" s="143"/>
      <c r="R328" s="143"/>
      <c r="S328" s="143"/>
      <c r="T328" s="143"/>
      <c r="U328" s="143"/>
      <c r="V328" s="143"/>
      <c r="W328" s="143"/>
      <c r="X328" s="143"/>
      <c r="Y328" s="143"/>
      <c r="Z328" s="143"/>
      <c r="AA328" s="143"/>
      <c r="AB328" s="143"/>
      <c r="AC328" s="143"/>
      <c r="AD328" s="143"/>
    </row>
    <row r="329">
      <c r="A329" s="25"/>
      <c r="B329" s="25"/>
      <c r="C329" s="25"/>
      <c r="D329" s="25"/>
      <c r="E329" s="50"/>
      <c r="F329" s="167"/>
      <c r="G329" s="168"/>
      <c r="H329" s="169"/>
      <c r="I329" s="141"/>
      <c r="J329" s="141"/>
      <c r="K329" s="141"/>
      <c r="L329" s="25"/>
      <c r="M329" s="25"/>
      <c r="N329" s="25"/>
      <c r="O329" s="143"/>
      <c r="P329" s="143"/>
      <c r="Q329" s="143"/>
      <c r="R329" s="143"/>
      <c r="S329" s="143"/>
      <c r="T329" s="143"/>
      <c r="U329" s="143"/>
      <c r="V329" s="143"/>
      <c r="W329" s="143"/>
      <c r="X329" s="143"/>
      <c r="Y329" s="143"/>
      <c r="Z329" s="143"/>
      <c r="AA329" s="143"/>
      <c r="AB329" s="143"/>
      <c r="AC329" s="143"/>
      <c r="AD329" s="143"/>
    </row>
    <row r="330">
      <c r="A330" s="25"/>
      <c r="B330" s="25"/>
      <c r="C330" s="25"/>
      <c r="D330" s="25"/>
      <c r="E330" s="50"/>
      <c r="F330" s="167"/>
      <c r="G330" s="168"/>
      <c r="H330" s="169"/>
      <c r="I330" s="141"/>
      <c r="J330" s="141"/>
      <c r="K330" s="141"/>
      <c r="L330" s="25"/>
      <c r="M330" s="25"/>
      <c r="N330" s="25"/>
      <c r="O330" s="143"/>
      <c r="P330" s="143"/>
      <c r="Q330" s="143"/>
      <c r="R330" s="143"/>
      <c r="S330" s="143"/>
      <c r="T330" s="143"/>
      <c r="U330" s="143"/>
      <c r="V330" s="143"/>
      <c r="W330" s="143"/>
      <c r="X330" s="143"/>
      <c r="Y330" s="143"/>
      <c r="Z330" s="143"/>
      <c r="AA330" s="143"/>
      <c r="AB330" s="143"/>
      <c r="AC330" s="143"/>
      <c r="AD330" s="143"/>
    </row>
    <row r="331">
      <c r="A331" s="25"/>
      <c r="B331" s="25"/>
      <c r="C331" s="25"/>
      <c r="D331" s="25"/>
      <c r="E331" s="50"/>
      <c r="F331" s="167"/>
      <c r="G331" s="168"/>
      <c r="H331" s="169"/>
      <c r="I331" s="141"/>
      <c r="J331" s="141"/>
      <c r="K331" s="141"/>
      <c r="L331" s="25"/>
      <c r="M331" s="25"/>
      <c r="N331" s="25"/>
      <c r="O331" s="143"/>
      <c r="P331" s="143"/>
      <c r="Q331" s="143"/>
      <c r="R331" s="143"/>
      <c r="S331" s="143"/>
      <c r="T331" s="143"/>
      <c r="U331" s="143"/>
      <c r="V331" s="143"/>
      <c r="W331" s="143"/>
      <c r="X331" s="143"/>
      <c r="Y331" s="143"/>
      <c r="Z331" s="143"/>
      <c r="AA331" s="143"/>
      <c r="AB331" s="143"/>
      <c r="AC331" s="143"/>
      <c r="AD331" s="143"/>
    </row>
    <row r="332">
      <c r="A332" s="25"/>
      <c r="B332" s="25"/>
      <c r="C332" s="25"/>
      <c r="D332" s="25"/>
      <c r="E332" s="50"/>
      <c r="F332" s="167"/>
      <c r="G332" s="168"/>
      <c r="H332" s="169"/>
      <c r="I332" s="141"/>
      <c r="J332" s="141"/>
      <c r="K332" s="141"/>
      <c r="L332" s="25"/>
      <c r="M332" s="25"/>
      <c r="N332" s="25"/>
      <c r="O332" s="143"/>
      <c r="P332" s="143"/>
      <c r="Q332" s="143"/>
      <c r="R332" s="143"/>
      <c r="S332" s="143"/>
      <c r="T332" s="143"/>
      <c r="U332" s="143"/>
      <c r="V332" s="143"/>
      <c r="W332" s="143"/>
      <c r="X332" s="143"/>
      <c r="Y332" s="143"/>
      <c r="Z332" s="143"/>
      <c r="AA332" s="143"/>
      <c r="AB332" s="143"/>
      <c r="AC332" s="143"/>
      <c r="AD332" s="143"/>
    </row>
    <row r="333">
      <c r="A333" s="25"/>
      <c r="B333" s="25"/>
      <c r="C333" s="25"/>
      <c r="D333" s="25"/>
      <c r="E333" s="50"/>
      <c r="F333" s="167"/>
      <c r="G333" s="168"/>
      <c r="H333" s="169"/>
      <c r="I333" s="141"/>
      <c r="J333" s="141"/>
      <c r="K333" s="141"/>
      <c r="L333" s="25"/>
      <c r="M333" s="25"/>
      <c r="N333" s="25"/>
      <c r="O333" s="143"/>
      <c r="P333" s="143"/>
      <c r="Q333" s="143"/>
      <c r="R333" s="143"/>
      <c r="S333" s="143"/>
      <c r="T333" s="143"/>
      <c r="U333" s="143"/>
      <c r="V333" s="143"/>
      <c r="W333" s="143"/>
      <c r="X333" s="143"/>
      <c r="Y333" s="143"/>
      <c r="Z333" s="143"/>
      <c r="AA333" s="143"/>
      <c r="AB333" s="143"/>
      <c r="AC333" s="143"/>
      <c r="AD333" s="143"/>
    </row>
    <row r="334">
      <c r="A334" s="25"/>
      <c r="B334" s="25"/>
      <c r="C334" s="25"/>
      <c r="D334" s="25"/>
      <c r="E334" s="50"/>
      <c r="F334" s="167"/>
      <c r="G334" s="168"/>
      <c r="H334" s="169"/>
      <c r="I334" s="141"/>
      <c r="J334" s="141"/>
      <c r="K334" s="141"/>
      <c r="L334" s="25"/>
      <c r="M334" s="25"/>
      <c r="N334" s="25"/>
      <c r="O334" s="143"/>
      <c r="P334" s="143"/>
      <c r="Q334" s="143"/>
      <c r="R334" s="143"/>
      <c r="S334" s="143"/>
      <c r="T334" s="143"/>
      <c r="U334" s="143"/>
      <c r="V334" s="143"/>
      <c r="W334" s="143"/>
      <c r="X334" s="143"/>
      <c r="Y334" s="143"/>
      <c r="Z334" s="143"/>
      <c r="AA334" s="143"/>
      <c r="AB334" s="143"/>
      <c r="AC334" s="143"/>
      <c r="AD334" s="143"/>
    </row>
    <row r="335">
      <c r="A335" s="25"/>
      <c r="B335" s="25"/>
      <c r="C335" s="25"/>
      <c r="D335" s="25"/>
      <c r="E335" s="50"/>
      <c r="F335" s="167"/>
      <c r="G335" s="168"/>
      <c r="H335" s="169"/>
      <c r="I335" s="141"/>
      <c r="J335" s="141"/>
      <c r="K335" s="141"/>
      <c r="L335" s="25"/>
      <c r="M335" s="25"/>
      <c r="N335" s="25"/>
      <c r="O335" s="143"/>
      <c r="P335" s="143"/>
      <c r="Q335" s="143"/>
      <c r="R335" s="143"/>
      <c r="S335" s="143"/>
      <c r="T335" s="143"/>
      <c r="U335" s="143"/>
      <c r="V335" s="143"/>
      <c r="W335" s="143"/>
      <c r="X335" s="143"/>
      <c r="Y335" s="143"/>
      <c r="Z335" s="143"/>
      <c r="AA335" s="143"/>
      <c r="AB335" s="143"/>
      <c r="AC335" s="143"/>
      <c r="AD335" s="143"/>
    </row>
    <row r="336">
      <c r="A336" s="25"/>
      <c r="B336" s="25"/>
      <c r="C336" s="25"/>
      <c r="D336" s="25"/>
      <c r="E336" s="50"/>
      <c r="F336" s="167"/>
      <c r="G336" s="168"/>
      <c r="H336" s="169"/>
      <c r="I336" s="141"/>
      <c r="J336" s="141"/>
      <c r="K336" s="141"/>
      <c r="L336" s="25"/>
      <c r="M336" s="25"/>
      <c r="N336" s="25"/>
      <c r="O336" s="143"/>
      <c r="P336" s="143"/>
      <c r="Q336" s="143"/>
      <c r="R336" s="143"/>
      <c r="S336" s="143"/>
      <c r="T336" s="143"/>
      <c r="U336" s="143"/>
      <c r="V336" s="143"/>
      <c r="W336" s="143"/>
      <c r="X336" s="143"/>
      <c r="Y336" s="143"/>
      <c r="Z336" s="143"/>
      <c r="AA336" s="143"/>
      <c r="AB336" s="143"/>
      <c r="AC336" s="143"/>
      <c r="AD336" s="143"/>
    </row>
    <row r="337">
      <c r="A337" s="25"/>
      <c r="B337" s="25"/>
      <c r="C337" s="25"/>
      <c r="D337" s="25"/>
      <c r="E337" s="50"/>
      <c r="F337" s="167"/>
      <c r="G337" s="168"/>
      <c r="H337" s="169"/>
      <c r="I337" s="141"/>
      <c r="J337" s="141"/>
      <c r="K337" s="141"/>
      <c r="L337" s="25"/>
      <c r="M337" s="25"/>
      <c r="N337" s="25"/>
      <c r="O337" s="143"/>
      <c r="P337" s="143"/>
      <c r="Q337" s="143"/>
      <c r="R337" s="143"/>
      <c r="S337" s="143"/>
      <c r="T337" s="143"/>
      <c r="U337" s="143"/>
      <c r="V337" s="143"/>
      <c r="W337" s="143"/>
      <c r="X337" s="143"/>
      <c r="Y337" s="143"/>
      <c r="Z337" s="143"/>
      <c r="AA337" s="143"/>
      <c r="AB337" s="143"/>
      <c r="AC337" s="143"/>
      <c r="AD337" s="143"/>
    </row>
    <row r="338">
      <c r="A338" s="25"/>
      <c r="B338" s="25"/>
      <c r="C338" s="25"/>
      <c r="D338" s="25"/>
      <c r="E338" s="50"/>
      <c r="F338" s="167"/>
      <c r="G338" s="168"/>
      <c r="H338" s="169"/>
      <c r="I338" s="141"/>
      <c r="J338" s="141"/>
      <c r="K338" s="141"/>
      <c r="L338" s="25"/>
      <c r="M338" s="25"/>
      <c r="N338" s="25"/>
      <c r="O338" s="143"/>
      <c r="P338" s="143"/>
      <c r="Q338" s="143"/>
      <c r="R338" s="143"/>
      <c r="S338" s="143"/>
      <c r="T338" s="143"/>
      <c r="U338" s="143"/>
      <c r="V338" s="143"/>
      <c r="W338" s="143"/>
      <c r="X338" s="143"/>
      <c r="Y338" s="143"/>
      <c r="Z338" s="143"/>
      <c r="AA338" s="143"/>
      <c r="AB338" s="143"/>
      <c r="AC338" s="143"/>
      <c r="AD338" s="143"/>
    </row>
    <row r="339">
      <c r="A339" s="25"/>
      <c r="B339" s="25"/>
      <c r="C339" s="25"/>
      <c r="D339" s="25"/>
      <c r="E339" s="50"/>
      <c r="F339" s="167"/>
      <c r="G339" s="168"/>
      <c r="H339" s="169"/>
      <c r="I339" s="141"/>
      <c r="J339" s="141"/>
      <c r="K339" s="141"/>
      <c r="L339" s="25"/>
      <c r="M339" s="25"/>
      <c r="N339" s="25"/>
      <c r="O339" s="143"/>
      <c r="P339" s="143"/>
      <c r="Q339" s="143"/>
      <c r="R339" s="143"/>
      <c r="S339" s="143"/>
      <c r="T339" s="143"/>
      <c r="U339" s="143"/>
      <c r="V339" s="143"/>
      <c r="W339" s="143"/>
      <c r="X339" s="143"/>
      <c r="Y339" s="143"/>
      <c r="Z339" s="143"/>
      <c r="AA339" s="143"/>
      <c r="AB339" s="143"/>
      <c r="AC339" s="143"/>
      <c r="AD339" s="143"/>
    </row>
    <row r="340">
      <c r="A340" s="25"/>
      <c r="B340" s="25"/>
      <c r="C340" s="25"/>
      <c r="D340" s="25"/>
      <c r="E340" s="50"/>
      <c r="F340" s="167"/>
      <c r="G340" s="168"/>
      <c r="H340" s="169"/>
      <c r="I340" s="141"/>
      <c r="J340" s="141"/>
      <c r="K340" s="141"/>
      <c r="L340" s="25"/>
      <c r="M340" s="25"/>
      <c r="N340" s="25"/>
      <c r="O340" s="143"/>
      <c r="P340" s="143"/>
      <c r="Q340" s="143"/>
      <c r="R340" s="143"/>
      <c r="S340" s="143"/>
      <c r="T340" s="143"/>
      <c r="U340" s="143"/>
      <c r="V340" s="143"/>
      <c r="W340" s="143"/>
      <c r="X340" s="143"/>
      <c r="Y340" s="143"/>
      <c r="Z340" s="143"/>
      <c r="AA340" s="143"/>
      <c r="AB340" s="143"/>
      <c r="AC340" s="143"/>
      <c r="AD340" s="143"/>
    </row>
    <row r="341">
      <c r="A341" s="25"/>
      <c r="B341" s="25"/>
      <c r="C341" s="25"/>
      <c r="D341" s="25"/>
      <c r="E341" s="50"/>
      <c r="F341" s="167"/>
      <c r="G341" s="168"/>
      <c r="H341" s="169"/>
      <c r="I341" s="141"/>
      <c r="J341" s="141"/>
      <c r="K341" s="141"/>
      <c r="L341" s="25"/>
      <c r="M341" s="25"/>
      <c r="N341" s="25"/>
      <c r="O341" s="143"/>
      <c r="P341" s="143"/>
      <c r="Q341" s="143"/>
      <c r="R341" s="143"/>
      <c r="S341" s="143"/>
      <c r="T341" s="143"/>
      <c r="U341" s="143"/>
      <c r="V341" s="143"/>
      <c r="W341" s="143"/>
      <c r="X341" s="143"/>
      <c r="Y341" s="143"/>
      <c r="Z341" s="143"/>
      <c r="AA341" s="143"/>
      <c r="AB341" s="143"/>
      <c r="AC341" s="143"/>
      <c r="AD341" s="143"/>
    </row>
    <row r="342">
      <c r="A342" s="25"/>
      <c r="B342" s="25"/>
      <c r="C342" s="25"/>
      <c r="D342" s="25"/>
      <c r="E342" s="50"/>
      <c r="F342" s="167"/>
      <c r="G342" s="168"/>
      <c r="H342" s="169"/>
      <c r="I342" s="141"/>
      <c r="J342" s="141"/>
      <c r="K342" s="141"/>
      <c r="L342" s="25"/>
      <c r="M342" s="25"/>
      <c r="N342" s="25"/>
      <c r="O342" s="143"/>
      <c r="P342" s="143"/>
      <c r="Q342" s="143"/>
      <c r="R342" s="143"/>
      <c r="S342" s="143"/>
      <c r="T342" s="143"/>
      <c r="U342" s="143"/>
      <c r="V342" s="143"/>
      <c r="W342" s="143"/>
      <c r="X342" s="143"/>
      <c r="Y342" s="143"/>
      <c r="Z342" s="143"/>
      <c r="AA342" s="143"/>
      <c r="AB342" s="143"/>
      <c r="AC342" s="143"/>
      <c r="AD342" s="143"/>
    </row>
    <row r="343">
      <c r="A343" s="25"/>
      <c r="B343" s="25"/>
      <c r="C343" s="25"/>
      <c r="D343" s="25"/>
      <c r="E343" s="50"/>
      <c r="F343" s="167"/>
      <c r="G343" s="168"/>
      <c r="H343" s="169"/>
      <c r="I343" s="141"/>
      <c r="J343" s="141"/>
      <c r="K343" s="141"/>
      <c r="L343" s="25"/>
      <c r="M343" s="25"/>
      <c r="N343" s="25"/>
      <c r="O343" s="143"/>
      <c r="P343" s="143"/>
      <c r="Q343" s="143"/>
      <c r="R343" s="143"/>
      <c r="S343" s="143"/>
      <c r="T343" s="143"/>
      <c r="U343" s="143"/>
      <c r="V343" s="143"/>
      <c r="W343" s="143"/>
      <c r="X343" s="143"/>
      <c r="Y343" s="143"/>
      <c r="Z343" s="143"/>
      <c r="AA343" s="143"/>
      <c r="AB343" s="143"/>
      <c r="AC343" s="143"/>
      <c r="AD343" s="143"/>
    </row>
    <row r="344">
      <c r="A344" s="25"/>
      <c r="B344" s="25"/>
      <c r="C344" s="25"/>
      <c r="D344" s="25"/>
      <c r="E344" s="50"/>
      <c r="F344" s="167"/>
      <c r="G344" s="168"/>
      <c r="H344" s="169"/>
      <c r="I344" s="141"/>
      <c r="J344" s="141"/>
      <c r="K344" s="141"/>
      <c r="L344" s="25"/>
      <c r="M344" s="25"/>
      <c r="N344" s="25"/>
      <c r="O344" s="143"/>
      <c r="P344" s="143"/>
      <c r="Q344" s="143"/>
      <c r="R344" s="143"/>
      <c r="S344" s="143"/>
      <c r="T344" s="143"/>
      <c r="U344" s="143"/>
      <c r="V344" s="143"/>
      <c r="W344" s="143"/>
      <c r="X344" s="143"/>
      <c r="Y344" s="143"/>
      <c r="Z344" s="143"/>
      <c r="AA344" s="143"/>
      <c r="AB344" s="143"/>
      <c r="AC344" s="143"/>
      <c r="AD344" s="143"/>
    </row>
    <row r="345">
      <c r="A345" s="25"/>
      <c r="B345" s="25"/>
      <c r="C345" s="25"/>
      <c r="D345" s="25"/>
      <c r="E345" s="50"/>
      <c r="F345" s="167"/>
      <c r="G345" s="168"/>
      <c r="H345" s="169"/>
      <c r="I345" s="141"/>
      <c r="J345" s="141"/>
      <c r="K345" s="141"/>
      <c r="L345" s="25"/>
      <c r="M345" s="25"/>
      <c r="N345" s="25"/>
      <c r="O345" s="143"/>
      <c r="P345" s="143"/>
      <c r="Q345" s="143"/>
      <c r="R345" s="143"/>
      <c r="S345" s="143"/>
      <c r="T345" s="143"/>
      <c r="U345" s="143"/>
      <c r="V345" s="143"/>
      <c r="W345" s="143"/>
      <c r="X345" s="143"/>
      <c r="Y345" s="143"/>
      <c r="Z345" s="143"/>
      <c r="AA345" s="143"/>
      <c r="AB345" s="143"/>
      <c r="AC345" s="143"/>
      <c r="AD345" s="143"/>
    </row>
    <row r="346">
      <c r="A346" s="25"/>
      <c r="B346" s="25"/>
      <c r="C346" s="25"/>
      <c r="D346" s="25"/>
      <c r="E346" s="50"/>
      <c r="F346" s="167"/>
      <c r="G346" s="168"/>
      <c r="H346" s="169"/>
      <c r="I346" s="141"/>
      <c r="J346" s="141"/>
      <c r="K346" s="141"/>
      <c r="L346" s="25"/>
      <c r="M346" s="25"/>
      <c r="N346" s="25"/>
      <c r="O346" s="143"/>
      <c r="P346" s="143"/>
      <c r="Q346" s="143"/>
      <c r="R346" s="143"/>
      <c r="S346" s="143"/>
      <c r="T346" s="143"/>
      <c r="U346" s="143"/>
      <c r="V346" s="143"/>
      <c r="W346" s="143"/>
      <c r="X346" s="143"/>
      <c r="Y346" s="143"/>
      <c r="Z346" s="143"/>
      <c r="AA346" s="143"/>
      <c r="AB346" s="143"/>
      <c r="AC346" s="143"/>
      <c r="AD346" s="143"/>
    </row>
    <row r="347">
      <c r="A347" s="25"/>
      <c r="B347" s="25"/>
      <c r="C347" s="25"/>
      <c r="D347" s="25"/>
      <c r="E347" s="50"/>
      <c r="F347" s="167"/>
      <c r="G347" s="168"/>
      <c r="H347" s="169"/>
      <c r="I347" s="141"/>
      <c r="J347" s="141"/>
      <c r="K347" s="141"/>
      <c r="L347" s="25"/>
      <c r="M347" s="25"/>
      <c r="N347" s="25"/>
      <c r="O347" s="143"/>
      <c r="P347" s="143"/>
      <c r="Q347" s="143"/>
      <c r="R347" s="143"/>
      <c r="S347" s="143"/>
      <c r="T347" s="143"/>
      <c r="U347" s="143"/>
      <c r="V347" s="143"/>
      <c r="W347" s="143"/>
      <c r="X347" s="143"/>
      <c r="Y347" s="143"/>
      <c r="Z347" s="143"/>
      <c r="AA347" s="143"/>
      <c r="AB347" s="143"/>
      <c r="AC347" s="143"/>
      <c r="AD347" s="143"/>
    </row>
    <row r="348">
      <c r="A348" s="25"/>
      <c r="B348" s="25"/>
      <c r="C348" s="25"/>
      <c r="D348" s="25"/>
      <c r="E348" s="50"/>
      <c r="F348" s="167"/>
      <c r="G348" s="168"/>
      <c r="H348" s="169"/>
      <c r="I348" s="141"/>
      <c r="J348" s="141"/>
      <c r="K348" s="141"/>
      <c r="L348" s="25"/>
      <c r="M348" s="25"/>
      <c r="N348" s="25"/>
      <c r="O348" s="143"/>
      <c r="P348" s="143"/>
      <c r="Q348" s="143"/>
      <c r="R348" s="143"/>
      <c r="S348" s="143"/>
      <c r="T348" s="143"/>
      <c r="U348" s="143"/>
      <c r="V348" s="143"/>
      <c r="W348" s="143"/>
      <c r="X348" s="143"/>
      <c r="Y348" s="143"/>
      <c r="Z348" s="143"/>
      <c r="AA348" s="143"/>
      <c r="AB348" s="143"/>
      <c r="AC348" s="143"/>
      <c r="AD348" s="143"/>
    </row>
    <row r="349">
      <c r="A349" s="25"/>
      <c r="B349" s="25"/>
      <c r="C349" s="25"/>
      <c r="D349" s="25"/>
      <c r="E349" s="50"/>
      <c r="F349" s="167"/>
      <c r="G349" s="168"/>
      <c r="H349" s="169"/>
      <c r="I349" s="141"/>
      <c r="J349" s="141"/>
      <c r="K349" s="141"/>
      <c r="L349" s="25"/>
      <c r="M349" s="25"/>
      <c r="N349" s="25"/>
      <c r="O349" s="143"/>
      <c r="P349" s="143"/>
      <c r="Q349" s="143"/>
      <c r="R349" s="143"/>
      <c r="S349" s="143"/>
      <c r="T349" s="143"/>
      <c r="U349" s="143"/>
      <c r="V349" s="143"/>
      <c r="W349" s="143"/>
      <c r="X349" s="143"/>
      <c r="Y349" s="143"/>
      <c r="Z349" s="143"/>
      <c r="AA349" s="143"/>
      <c r="AB349" s="143"/>
      <c r="AC349" s="143"/>
      <c r="AD349" s="143"/>
    </row>
    <row r="350">
      <c r="A350" s="25"/>
      <c r="B350" s="25"/>
      <c r="C350" s="25"/>
      <c r="D350" s="25"/>
      <c r="E350" s="50"/>
      <c r="F350" s="167"/>
      <c r="G350" s="168"/>
      <c r="H350" s="169"/>
      <c r="I350" s="141"/>
      <c r="J350" s="141"/>
      <c r="K350" s="141"/>
      <c r="L350" s="25"/>
      <c r="M350" s="25"/>
      <c r="N350" s="25"/>
      <c r="O350" s="143"/>
      <c r="P350" s="143"/>
      <c r="Q350" s="143"/>
      <c r="R350" s="143"/>
      <c r="S350" s="143"/>
      <c r="T350" s="143"/>
      <c r="U350" s="143"/>
      <c r="V350" s="143"/>
      <c r="W350" s="143"/>
      <c r="X350" s="143"/>
      <c r="Y350" s="143"/>
      <c r="Z350" s="143"/>
      <c r="AA350" s="143"/>
      <c r="AB350" s="143"/>
      <c r="AC350" s="143"/>
      <c r="AD350" s="143"/>
    </row>
    <row r="351">
      <c r="A351" s="25"/>
      <c r="B351" s="25"/>
      <c r="C351" s="25"/>
      <c r="D351" s="25"/>
      <c r="E351" s="50"/>
      <c r="F351" s="167"/>
      <c r="G351" s="168"/>
      <c r="H351" s="169"/>
      <c r="I351" s="141"/>
      <c r="J351" s="141"/>
      <c r="K351" s="141"/>
      <c r="L351" s="25"/>
      <c r="M351" s="25"/>
      <c r="N351" s="25"/>
      <c r="O351" s="143"/>
      <c r="P351" s="143"/>
      <c r="Q351" s="143"/>
      <c r="R351" s="143"/>
      <c r="S351" s="143"/>
      <c r="T351" s="143"/>
      <c r="U351" s="143"/>
      <c r="V351" s="143"/>
      <c r="W351" s="143"/>
      <c r="X351" s="143"/>
      <c r="Y351" s="143"/>
      <c r="Z351" s="143"/>
      <c r="AA351" s="143"/>
      <c r="AB351" s="143"/>
      <c r="AC351" s="143"/>
      <c r="AD351" s="143"/>
    </row>
    <row r="352">
      <c r="A352" s="25"/>
      <c r="B352" s="25"/>
      <c r="C352" s="25"/>
      <c r="D352" s="25"/>
      <c r="E352" s="50"/>
      <c r="F352" s="167"/>
      <c r="G352" s="168"/>
      <c r="H352" s="169"/>
      <c r="I352" s="141"/>
      <c r="J352" s="141"/>
      <c r="K352" s="141"/>
      <c r="L352" s="25"/>
      <c r="M352" s="25"/>
      <c r="N352" s="25"/>
      <c r="O352" s="143"/>
      <c r="P352" s="143"/>
      <c r="Q352" s="143"/>
      <c r="R352" s="143"/>
      <c r="S352" s="143"/>
      <c r="T352" s="143"/>
      <c r="U352" s="143"/>
      <c r="V352" s="143"/>
      <c r="W352" s="143"/>
      <c r="X352" s="143"/>
      <c r="Y352" s="143"/>
      <c r="Z352" s="143"/>
      <c r="AA352" s="143"/>
      <c r="AB352" s="143"/>
      <c r="AC352" s="143"/>
      <c r="AD352" s="143"/>
    </row>
    <row r="353">
      <c r="A353" s="25"/>
      <c r="B353" s="25"/>
      <c r="C353" s="25"/>
      <c r="D353" s="25"/>
      <c r="E353" s="50"/>
      <c r="F353" s="167"/>
      <c r="G353" s="168"/>
      <c r="H353" s="169"/>
      <c r="I353" s="141"/>
      <c r="J353" s="141"/>
      <c r="K353" s="141"/>
      <c r="L353" s="25"/>
      <c r="M353" s="25"/>
      <c r="N353" s="25"/>
      <c r="O353" s="143"/>
      <c r="P353" s="143"/>
      <c r="Q353" s="143"/>
      <c r="R353" s="143"/>
      <c r="S353" s="143"/>
      <c r="T353" s="143"/>
      <c r="U353" s="143"/>
      <c r="V353" s="143"/>
      <c r="W353" s="143"/>
      <c r="X353" s="143"/>
      <c r="Y353" s="143"/>
      <c r="Z353" s="143"/>
      <c r="AA353" s="143"/>
      <c r="AB353" s="143"/>
      <c r="AC353" s="143"/>
      <c r="AD353" s="143"/>
    </row>
    <row r="354">
      <c r="A354" s="25"/>
      <c r="B354" s="25"/>
      <c r="C354" s="25"/>
      <c r="D354" s="25"/>
      <c r="E354" s="50"/>
      <c r="F354" s="167"/>
      <c r="G354" s="168"/>
      <c r="H354" s="169"/>
      <c r="I354" s="141"/>
      <c r="J354" s="141"/>
      <c r="K354" s="141"/>
      <c r="L354" s="25"/>
      <c r="M354" s="25"/>
      <c r="N354" s="25"/>
      <c r="O354" s="143"/>
      <c r="P354" s="143"/>
      <c r="Q354" s="143"/>
      <c r="R354" s="143"/>
      <c r="S354" s="143"/>
      <c r="T354" s="143"/>
      <c r="U354" s="143"/>
      <c r="V354" s="143"/>
      <c r="W354" s="143"/>
      <c r="X354" s="143"/>
      <c r="Y354" s="143"/>
      <c r="Z354" s="143"/>
      <c r="AA354" s="143"/>
      <c r="AB354" s="143"/>
      <c r="AC354" s="143"/>
      <c r="AD354" s="143"/>
    </row>
    <row r="355">
      <c r="A355" s="25"/>
      <c r="B355" s="25"/>
      <c r="C355" s="25"/>
      <c r="D355" s="25"/>
      <c r="E355" s="50"/>
      <c r="F355" s="167"/>
      <c r="G355" s="168"/>
      <c r="H355" s="169"/>
      <c r="I355" s="141"/>
      <c r="J355" s="141"/>
      <c r="K355" s="141"/>
      <c r="L355" s="25"/>
      <c r="M355" s="25"/>
      <c r="N355" s="25"/>
      <c r="O355" s="143"/>
      <c r="P355" s="143"/>
      <c r="Q355" s="143"/>
      <c r="R355" s="143"/>
      <c r="S355" s="143"/>
      <c r="T355" s="143"/>
      <c r="U355" s="143"/>
      <c r="V355" s="143"/>
      <c r="W355" s="143"/>
      <c r="X355" s="143"/>
      <c r="Y355" s="143"/>
      <c r="Z355" s="143"/>
      <c r="AA355" s="143"/>
      <c r="AB355" s="143"/>
      <c r="AC355" s="143"/>
      <c r="AD355" s="143"/>
    </row>
    <row r="356">
      <c r="A356" s="25"/>
      <c r="B356" s="25"/>
      <c r="C356" s="25"/>
      <c r="D356" s="25"/>
      <c r="E356" s="50"/>
      <c r="F356" s="167"/>
      <c r="G356" s="168"/>
      <c r="H356" s="169"/>
      <c r="I356" s="141"/>
      <c r="J356" s="141"/>
      <c r="K356" s="141"/>
      <c r="L356" s="25"/>
      <c r="M356" s="25"/>
      <c r="N356" s="25"/>
      <c r="O356" s="143"/>
      <c r="P356" s="143"/>
      <c r="Q356" s="143"/>
      <c r="R356" s="143"/>
      <c r="S356" s="143"/>
      <c r="T356" s="143"/>
      <c r="U356" s="143"/>
      <c r="V356" s="143"/>
      <c r="W356" s="143"/>
      <c r="X356" s="143"/>
      <c r="Y356" s="143"/>
      <c r="Z356" s="143"/>
      <c r="AA356" s="143"/>
      <c r="AB356" s="143"/>
      <c r="AC356" s="143"/>
      <c r="AD356" s="143"/>
    </row>
    <row r="357">
      <c r="A357" s="25"/>
      <c r="B357" s="25"/>
      <c r="C357" s="25"/>
      <c r="D357" s="25"/>
      <c r="E357" s="50"/>
      <c r="F357" s="167"/>
      <c r="G357" s="168"/>
      <c r="H357" s="169"/>
      <c r="I357" s="141"/>
      <c r="J357" s="141"/>
      <c r="K357" s="141"/>
      <c r="L357" s="25"/>
      <c r="M357" s="25"/>
      <c r="N357" s="25"/>
      <c r="O357" s="143"/>
      <c r="P357" s="143"/>
      <c r="Q357" s="143"/>
      <c r="R357" s="143"/>
      <c r="S357" s="143"/>
      <c r="T357" s="143"/>
      <c r="U357" s="143"/>
      <c r="V357" s="143"/>
      <c r="W357" s="143"/>
      <c r="X357" s="143"/>
      <c r="Y357" s="143"/>
      <c r="Z357" s="143"/>
      <c r="AA357" s="143"/>
      <c r="AB357" s="143"/>
      <c r="AC357" s="143"/>
      <c r="AD357" s="143"/>
    </row>
    <row r="358">
      <c r="A358" s="25"/>
      <c r="B358" s="25"/>
      <c r="C358" s="25"/>
      <c r="D358" s="25"/>
      <c r="E358" s="50"/>
      <c r="F358" s="167"/>
      <c r="G358" s="168"/>
      <c r="H358" s="169"/>
      <c r="I358" s="141"/>
      <c r="J358" s="141"/>
      <c r="K358" s="141"/>
      <c r="L358" s="25"/>
      <c r="M358" s="25"/>
      <c r="N358" s="25"/>
      <c r="O358" s="143"/>
      <c r="P358" s="143"/>
      <c r="Q358" s="143"/>
      <c r="R358" s="143"/>
      <c r="S358" s="143"/>
      <c r="T358" s="143"/>
      <c r="U358" s="143"/>
      <c r="V358" s="143"/>
      <c r="W358" s="143"/>
      <c r="X358" s="143"/>
      <c r="Y358" s="143"/>
      <c r="Z358" s="143"/>
      <c r="AA358" s="143"/>
      <c r="AB358" s="143"/>
      <c r="AC358" s="143"/>
      <c r="AD358" s="143"/>
    </row>
    <row r="359">
      <c r="A359" s="25"/>
      <c r="B359" s="25"/>
      <c r="C359" s="25"/>
      <c r="D359" s="25"/>
      <c r="E359" s="50"/>
      <c r="F359" s="167"/>
      <c r="G359" s="168"/>
      <c r="H359" s="169"/>
      <c r="I359" s="141"/>
      <c r="J359" s="141"/>
      <c r="K359" s="141"/>
      <c r="L359" s="25"/>
      <c r="M359" s="25"/>
      <c r="N359" s="25"/>
      <c r="O359" s="143"/>
      <c r="P359" s="143"/>
      <c r="Q359" s="143"/>
      <c r="R359" s="143"/>
      <c r="S359" s="143"/>
      <c r="T359" s="143"/>
      <c r="U359" s="143"/>
      <c r="V359" s="143"/>
      <c r="W359" s="143"/>
      <c r="X359" s="143"/>
      <c r="Y359" s="143"/>
      <c r="Z359" s="143"/>
      <c r="AA359" s="143"/>
      <c r="AB359" s="143"/>
      <c r="AC359" s="143"/>
      <c r="AD359" s="143"/>
    </row>
    <row r="360">
      <c r="A360" s="25"/>
      <c r="B360" s="25"/>
      <c r="C360" s="25"/>
      <c r="D360" s="25"/>
      <c r="E360" s="50"/>
      <c r="F360" s="167"/>
      <c r="G360" s="168"/>
      <c r="H360" s="169"/>
      <c r="I360" s="141"/>
      <c r="J360" s="141"/>
      <c r="K360" s="141"/>
      <c r="L360" s="25"/>
      <c r="M360" s="25"/>
      <c r="N360" s="25"/>
      <c r="O360" s="143"/>
      <c r="P360" s="143"/>
      <c r="Q360" s="143"/>
      <c r="R360" s="143"/>
      <c r="S360" s="143"/>
      <c r="T360" s="143"/>
      <c r="U360" s="143"/>
      <c r="V360" s="143"/>
      <c r="W360" s="143"/>
      <c r="X360" s="143"/>
      <c r="Y360" s="143"/>
      <c r="Z360" s="143"/>
      <c r="AA360" s="143"/>
      <c r="AB360" s="143"/>
      <c r="AC360" s="143"/>
      <c r="AD360" s="143"/>
    </row>
    <row r="361">
      <c r="A361" s="25"/>
      <c r="B361" s="25"/>
      <c r="C361" s="25"/>
      <c r="D361" s="25"/>
      <c r="E361" s="50"/>
      <c r="F361" s="167"/>
      <c r="G361" s="168"/>
      <c r="H361" s="169"/>
      <c r="I361" s="141"/>
      <c r="J361" s="141"/>
      <c r="K361" s="141"/>
      <c r="L361" s="25"/>
      <c r="M361" s="25"/>
      <c r="N361" s="25"/>
      <c r="O361" s="143"/>
      <c r="P361" s="143"/>
      <c r="Q361" s="143"/>
      <c r="R361" s="143"/>
      <c r="S361" s="143"/>
      <c r="T361" s="143"/>
      <c r="U361" s="143"/>
      <c r="V361" s="143"/>
      <c r="W361" s="143"/>
      <c r="X361" s="143"/>
      <c r="Y361" s="143"/>
      <c r="Z361" s="143"/>
      <c r="AA361" s="143"/>
      <c r="AB361" s="143"/>
      <c r="AC361" s="143"/>
      <c r="AD361" s="143"/>
    </row>
    <row r="362">
      <c r="A362" s="25"/>
      <c r="B362" s="25"/>
      <c r="C362" s="25"/>
      <c r="D362" s="25"/>
      <c r="E362" s="50"/>
      <c r="F362" s="167"/>
      <c r="G362" s="168"/>
      <c r="H362" s="169"/>
      <c r="I362" s="141"/>
      <c r="J362" s="141"/>
      <c r="K362" s="141"/>
      <c r="L362" s="25"/>
      <c r="M362" s="25"/>
      <c r="N362" s="25"/>
      <c r="O362" s="143"/>
      <c r="P362" s="143"/>
      <c r="Q362" s="143"/>
      <c r="R362" s="143"/>
      <c r="S362" s="143"/>
      <c r="T362" s="143"/>
      <c r="U362" s="143"/>
      <c r="V362" s="143"/>
      <c r="W362" s="143"/>
      <c r="X362" s="143"/>
      <c r="Y362" s="143"/>
      <c r="Z362" s="143"/>
      <c r="AA362" s="143"/>
      <c r="AB362" s="143"/>
      <c r="AC362" s="143"/>
      <c r="AD362" s="143"/>
    </row>
    <row r="363">
      <c r="A363" s="25"/>
      <c r="B363" s="25"/>
      <c r="C363" s="25"/>
      <c r="D363" s="25"/>
      <c r="E363" s="50"/>
      <c r="F363" s="167"/>
      <c r="G363" s="168"/>
      <c r="H363" s="169"/>
      <c r="I363" s="141"/>
      <c r="J363" s="141"/>
      <c r="K363" s="141"/>
      <c r="L363" s="25"/>
      <c r="M363" s="25"/>
      <c r="N363" s="25"/>
      <c r="O363" s="143"/>
      <c r="P363" s="143"/>
      <c r="Q363" s="143"/>
      <c r="R363" s="143"/>
      <c r="S363" s="143"/>
      <c r="T363" s="143"/>
      <c r="U363" s="143"/>
      <c r="V363" s="143"/>
      <c r="W363" s="143"/>
      <c r="X363" s="143"/>
      <c r="Y363" s="143"/>
      <c r="Z363" s="143"/>
      <c r="AA363" s="143"/>
      <c r="AB363" s="143"/>
      <c r="AC363" s="143"/>
      <c r="AD363" s="143"/>
    </row>
    <row r="364">
      <c r="A364" s="25"/>
      <c r="B364" s="25"/>
      <c r="C364" s="25"/>
      <c r="D364" s="25"/>
      <c r="E364" s="50"/>
      <c r="F364" s="167"/>
      <c r="G364" s="168"/>
      <c r="H364" s="169"/>
      <c r="I364" s="141"/>
      <c r="J364" s="141"/>
      <c r="K364" s="141"/>
      <c r="L364" s="25"/>
      <c r="M364" s="25"/>
      <c r="N364" s="25"/>
      <c r="O364" s="143"/>
      <c r="P364" s="143"/>
      <c r="Q364" s="143"/>
      <c r="R364" s="143"/>
      <c r="S364" s="143"/>
      <c r="T364" s="143"/>
      <c r="U364" s="143"/>
      <c r="V364" s="143"/>
      <c r="W364" s="143"/>
      <c r="X364" s="143"/>
      <c r="Y364" s="143"/>
      <c r="Z364" s="143"/>
      <c r="AA364" s="143"/>
      <c r="AB364" s="143"/>
      <c r="AC364" s="143"/>
      <c r="AD364" s="143"/>
    </row>
    <row r="365">
      <c r="A365" s="25"/>
      <c r="B365" s="25"/>
      <c r="C365" s="25"/>
      <c r="D365" s="25"/>
      <c r="E365" s="50"/>
      <c r="F365" s="167"/>
      <c r="G365" s="168"/>
      <c r="H365" s="169"/>
      <c r="I365" s="141"/>
      <c r="J365" s="141"/>
      <c r="K365" s="141"/>
      <c r="L365" s="25"/>
      <c r="M365" s="25"/>
      <c r="N365" s="25"/>
      <c r="O365" s="143"/>
      <c r="P365" s="143"/>
      <c r="Q365" s="143"/>
      <c r="R365" s="143"/>
      <c r="S365" s="143"/>
      <c r="T365" s="143"/>
      <c r="U365" s="143"/>
      <c r="V365" s="143"/>
      <c r="W365" s="143"/>
      <c r="X365" s="143"/>
      <c r="Y365" s="143"/>
      <c r="Z365" s="143"/>
      <c r="AA365" s="143"/>
      <c r="AB365" s="143"/>
      <c r="AC365" s="143"/>
      <c r="AD365" s="143"/>
    </row>
    <row r="366">
      <c r="A366" s="25"/>
      <c r="B366" s="25"/>
      <c r="C366" s="25"/>
      <c r="D366" s="25"/>
      <c r="E366" s="50"/>
      <c r="F366" s="167"/>
      <c r="G366" s="168"/>
      <c r="H366" s="169"/>
      <c r="I366" s="141"/>
      <c r="J366" s="141"/>
      <c r="K366" s="141"/>
      <c r="L366" s="25"/>
      <c r="M366" s="25"/>
      <c r="N366" s="25"/>
      <c r="O366" s="143"/>
      <c r="P366" s="143"/>
      <c r="Q366" s="143"/>
      <c r="R366" s="143"/>
      <c r="S366" s="143"/>
      <c r="T366" s="143"/>
      <c r="U366" s="143"/>
      <c r="V366" s="143"/>
      <c r="W366" s="143"/>
      <c r="X366" s="143"/>
      <c r="Y366" s="143"/>
      <c r="Z366" s="143"/>
      <c r="AA366" s="143"/>
      <c r="AB366" s="143"/>
      <c r="AC366" s="143"/>
      <c r="AD366" s="143"/>
    </row>
    <row r="367">
      <c r="A367" s="25"/>
      <c r="B367" s="25"/>
      <c r="C367" s="25"/>
      <c r="D367" s="25"/>
      <c r="E367" s="50"/>
      <c r="F367" s="167"/>
      <c r="G367" s="168"/>
      <c r="H367" s="169"/>
      <c r="I367" s="141"/>
      <c r="J367" s="141"/>
      <c r="K367" s="141"/>
      <c r="L367" s="25"/>
      <c r="M367" s="25"/>
      <c r="N367" s="25"/>
      <c r="O367" s="143"/>
      <c r="P367" s="143"/>
      <c r="Q367" s="143"/>
      <c r="R367" s="143"/>
      <c r="S367" s="143"/>
      <c r="T367" s="143"/>
      <c r="U367" s="143"/>
      <c r="V367" s="143"/>
      <c r="W367" s="143"/>
      <c r="X367" s="143"/>
      <c r="Y367" s="143"/>
      <c r="Z367" s="143"/>
      <c r="AA367" s="143"/>
      <c r="AB367" s="143"/>
      <c r="AC367" s="143"/>
      <c r="AD367" s="143"/>
    </row>
    <row r="368">
      <c r="A368" s="25"/>
      <c r="B368" s="25"/>
      <c r="C368" s="25"/>
      <c r="D368" s="25"/>
      <c r="E368" s="50"/>
      <c r="F368" s="167"/>
      <c r="G368" s="168"/>
      <c r="H368" s="169"/>
      <c r="I368" s="141"/>
      <c r="J368" s="141"/>
      <c r="K368" s="141"/>
      <c r="L368" s="25"/>
      <c r="M368" s="25"/>
      <c r="N368" s="25"/>
      <c r="O368" s="143"/>
      <c r="P368" s="143"/>
      <c r="Q368" s="143"/>
      <c r="R368" s="143"/>
      <c r="S368" s="143"/>
      <c r="T368" s="143"/>
      <c r="U368" s="143"/>
      <c r="V368" s="143"/>
      <c r="W368" s="143"/>
      <c r="X368" s="143"/>
      <c r="Y368" s="143"/>
      <c r="Z368" s="143"/>
      <c r="AA368" s="143"/>
      <c r="AB368" s="143"/>
      <c r="AC368" s="143"/>
      <c r="AD368" s="143"/>
    </row>
    <row r="369">
      <c r="A369" s="25"/>
      <c r="B369" s="25"/>
      <c r="C369" s="25"/>
      <c r="D369" s="25"/>
      <c r="E369" s="50"/>
      <c r="F369" s="167"/>
      <c r="G369" s="168"/>
      <c r="H369" s="169"/>
      <c r="I369" s="141"/>
      <c r="J369" s="141"/>
      <c r="K369" s="141"/>
      <c r="L369" s="25"/>
      <c r="M369" s="25"/>
      <c r="N369" s="25"/>
      <c r="O369" s="143"/>
      <c r="P369" s="143"/>
      <c r="Q369" s="143"/>
      <c r="R369" s="143"/>
      <c r="S369" s="143"/>
      <c r="T369" s="143"/>
      <c r="U369" s="143"/>
      <c r="V369" s="143"/>
      <c r="W369" s="143"/>
      <c r="X369" s="143"/>
      <c r="Y369" s="143"/>
      <c r="Z369" s="143"/>
      <c r="AA369" s="143"/>
      <c r="AB369" s="143"/>
      <c r="AC369" s="143"/>
      <c r="AD369" s="143"/>
    </row>
    <row r="370">
      <c r="A370" s="25"/>
      <c r="B370" s="25"/>
      <c r="C370" s="25"/>
      <c r="D370" s="25"/>
      <c r="E370" s="50"/>
      <c r="F370" s="167"/>
      <c r="G370" s="168"/>
      <c r="H370" s="169"/>
      <c r="I370" s="141"/>
      <c r="J370" s="141"/>
      <c r="K370" s="141"/>
      <c r="L370" s="25"/>
      <c r="M370" s="25"/>
      <c r="N370" s="25"/>
      <c r="O370" s="143"/>
      <c r="P370" s="143"/>
      <c r="Q370" s="143"/>
      <c r="R370" s="143"/>
      <c r="S370" s="143"/>
      <c r="T370" s="143"/>
      <c r="U370" s="143"/>
      <c r="V370" s="143"/>
      <c r="W370" s="143"/>
      <c r="X370" s="143"/>
      <c r="Y370" s="143"/>
      <c r="Z370" s="143"/>
      <c r="AA370" s="143"/>
      <c r="AB370" s="143"/>
      <c r="AC370" s="143"/>
      <c r="AD370" s="143"/>
    </row>
    <row r="371">
      <c r="A371" s="25"/>
      <c r="B371" s="25"/>
      <c r="C371" s="25"/>
      <c r="D371" s="25"/>
      <c r="E371" s="50"/>
      <c r="F371" s="167"/>
      <c r="G371" s="168"/>
      <c r="H371" s="169"/>
      <c r="I371" s="141"/>
      <c r="J371" s="141"/>
      <c r="K371" s="141"/>
      <c r="L371" s="25"/>
      <c r="M371" s="25"/>
      <c r="N371" s="25"/>
      <c r="O371" s="143"/>
      <c r="P371" s="143"/>
      <c r="Q371" s="143"/>
      <c r="R371" s="143"/>
      <c r="S371" s="143"/>
      <c r="T371" s="143"/>
      <c r="U371" s="143"/>
      <c r="V371" s="143"/>
      <c r="W371" s="143"/>
      <c r="X371" s="143"/>
      <c r="Y371" s="143"/>
      <c r="Z371" s="143"/>
      <c r="AA371" s="143"/>
      <c r="AB371" s="143"/>
      <c r="AC371" s="143"/>
      <c r="AD371" s="143"/>
    </row>
    <row r="372">
      <c r="A372" s="25"/>
      <c r="B372" s="25"/>
      <c r="C372" s="25"/>
      <c r="D372" s="25"/>
      <c r="E372" s="50"/>
      <c r="F372" s="167"/>
      <c r="G372" s="168"/>
      <c r="H372" s="169"/>
      <c r="I372" s="141"/>
      <c r="J372" s="141"/>
      <c r="K372" s="141"/>
      <c r="L372" s="25"/>
      <c r="M372" s="25"/>
      <c r="N372" s="25"/>
      <c r="O372" s="143"/>
      <c r="P372" s="143"/>
      <c r="Q372" s="143"/>
      <c r="R372" s="143"/>
      <c r="S372" s="143"/>
      <c r="T372" s="143"/>
      <c r="U372" s="143"/>
      <c r="V372" s="143"/>
      <c r="W372" s="143"/>
      <c r="X372" s="143"/>
      <c r="Y372" s="143"/>
      <c r="Z372" s="143"/>
      <c r="AA372" s="143"/>
      <c r="AB372" s="143"/>
      <c r="AC372" s="143"/>
      <c r="AD372" s="143"/>
    </row>
    <row r="373">
      <c r="A373" s="25"/>
      <c r="B373" s="25"/>
      <c r="C373" s="25"/>
      <c r="D373" s="25"/>
      <c r="E373" s="50"/>
      <c r="F373" s="167"/>
      <c r="G373" s="168"/>
      <c r="H373" s="169"/>
      <c r="I373" s="141"/>
      <c r="J373" s="141"/>
      <c r="K373" s="141"/>
      <c r="L373" s="25"/>
      <c r="M373" s="25"/>
      <c r="N373" s="25"/>
      <c r="O373" s="143"/>
      <c r="P373" s="143"/>
      <c r="Q373" s="143"/>
      <c r="R373" s="143"/>
      <c r="S373" s="143"/>
      <c r="T373" s="143"/>
      <c r="U373" s="143"/>
      <c r="V373" s="143"/>
      <c r="W373" s="143"/>
      <c r="X373" s="143"/>
      <c r="Y373" s="143"/>
      <c r="Z373" s="143"/>
      <c r="AA373" s="143"/>
      <c r="AB373" s="143"/>
      <c r="AC373" s="143"/>
      <c r="AD373" s="143"/>
    </row>
    <row r="374">
      <c r="A374" s="25"/>
      <c r="B374" s="25"/>
      <c r="C374" s="25"/>
      <c r="D374" s="25"/>
      <c r="E374" s="50"/>
      <c r="F374" s="167"/>
      <c r="G374" s="168"/>
      <c r="H374" s="169"/>
      <c r="I374" s="141"/>
      <c r="J374" s="141"/>
      <c r="K374" s="141"/>
      <c r="L374" s="25"/>
      <c r="M374" s="25"/>
      <c r="N374" s="25"/>
      <c r="O374" s="143"/>
      <c r="P374" s="143"/>
      <c r="Q374" s="143"/>
      <c r="R374" s="143"/>
      <c r="S374" s="143"/>
      <c r="T374" s="143"/>
      <c r="U374" s="143"/>
      <c r="V374" s="143"/>
      <c r="W374" s="143"/>
      <c r="X374" s="143"/>
      <c r="Y374" s="143"/>
      <c r="Z374" s="143"/>
      <c r="AA374" s="143"/>
      <c r="AB374" s="143"/>
      <c r="AC374" s="143"/>
      <c r="AD374" s="143"/>
    </row>
    <row r="375">
      <c r="A375" s="25"/>
      <c r="B375" s="25"/>
      <c r="C375" s="25"/>
      <c r="D375" s="25"/>
      <c r="E375" s="50"/>
      <c r="F375" s="167"/>
      <c r="G375" s="168"/>
      <c r="H375" s="169"/>
      <c r="I375" s="141"/>
      <c r="J375" s="141"/>
      <c r="K375" s="141"/>
      <c r="L375" s="25"/>
      <c r="M375" s="25"/>
      <c r="N375" s="25"/>
      <c r="O375" s="143"/>
      <c r="P375" s="143"/>
      <c r="Q375" s="143"/>
      <c r="R375" s="143"/>
      <c r="S375" s="143"/>
      <c r="T375" s="143"/>
      <c r="U375" s="143"/>
      <c r="V375" s="143"/>
      <c r="W375" s="143"/>
      <c r="X375" s="143"/>
      <c r="Y375" s="143"/>
      <c r="Z375" s="143"/>
      <c r="AA375" s="143"/>
      <c r="AB375" s="143"/>
      <c r="AC375" s="143"/>
      <c r="AD375" s="143"/>
    </row>
    <row r="376">
      <c r="A376" s="25"/>
      <c r="B376" s="25"/>
      <c r="C376" s="25"/>
      <c r="D376" s="25"/>
      <c r="E376" s="50"/>
      <c r="F376" s="167"/>
      <c r="G376" s="168"/>
      <c r="H376" s="169"/>
      <c r="I376" s="141"/>
      <c r="J376" s="141"/>
      <c r="K376" s="141"/>
      <c r="L376" s="25"/>
      <c r="M376" s="25"/>
      <c r="N376" s="25"/>
      <c r="O376" s="143"/>
      <c r="P376" s="143"/>
      <c r="Q376" s="143"/>
      <c r="R376" s="143"/>
      <c r="S376" s="143"/>
      <c r="T376" s="143"/>
      <c r="U376" s="143"/>
      <c r="V376" s="143"/>
      <c r="W376" s="143"/>
      <c r="X376" s="143"/>
      <c r="Y376" s="143"/>
      <c r="Z376" s="143"/>
      <c r="AA376" s="143"/>
      <c r="AB376" s="143"/>
      <c r="AC376" s="143"/>
      <c r="AD376" s="143"/>
    </row>
    <row r="377">
      <c r="A377" s="25"/>
      <c r="B377" s="25"/>
      <c r="C377" s="25"/>
      <c r="D377" s="25"/>
      <c r="E377" s="50"/>
      <c r="F377" s="167"/>
      <c r="G377" s="168"/>
      <c r="H377" s="169"/>
      <c r="I377" s="141"/>
      <c r="J377" s="141"/>
      <c r="K377" s="141"/>
      <c r="L377" s="25"/>
      <c r="M377" s="25"/>
      <c r="N377" s="25"/>
      <c r="O377" s="143"/>
      <c r="P377" s="143"/>
      <c r="Q377" s="143"/>
      <c r="R377" s="143"/>
      <c r="S377" s="143"/>
      <c r="T377" s="143"/>
      <c r="U377" s="143"/>
      <c r="V377" s="143"/>
      <c r="W377" s="143"/>
      <c r="X377" s="143"/>
      <c r="Y377" s="143"/>
      <c r="Z377" s="143"/>
      <c r="AA377" s="143"/>
      <c r="AB377" s="143"/>
      <c r="AC377" s="143"/>
      <c r="AD377" s="143"/>
    </row>
    <row r="378">
      <c r="A378" s="25"/>
      <c r="B378" s="25"/>
      <c r="C378" s="25"/>
      <c r="D378" s="25"/>
      <c r="E378" s="50"/>
      <c r="F378" s="167"/>
      <c r="G378" s="168"/>
      <c r="H378" s="169"/>
      <c r="I378" s="141"/>
      <c r="J378" s="141"/>
      <c r="K378" s="141"/>
      <c r="L378" s="25"/>
      <c r="M378" s="25"/>
      <c r="N378" s="25"/>
      <c r="O378" s="143"/>
      <c r="P378" s="143"/>
      <c r="Q378" s="143"/>
      <c r="R378" s="143"/>
      <c r="S378" s="143"/>
      <c r="T378" s="143"/>
      <c r="U378" s="143"/>
      <c r="V378" s="143"/>
      <c r="W378" s="143"/>
      <c r="X378" s="143"/>
      <c r="Y378" s="143"/>
      <c r="Z378" s="143"/>
      <c r="AA378" s="143"/>
      <c r="AB378" s="143"/>
      <c r="AC378" s="143"/>
      <c r="AD378" s="143"/>
    </row>
    <row r="379">
      <c r="A379" s="25"/>
      <c r="B379" s="25"/>
      <c r="C379" s="25"/>
      <c r="D379" s="25"/>
      <c r="E379" s="50"/>
      <c r="F379" s="167"/>
      <c r="G379" s="168"/>
      <c r="H379" s="169"/>
      <c r="I379" s="141"/>
      <c r="J379" s="141"/>
      <c r="K379" s="141"/>
      <c r="L379" s="25"/>
      <c r="M379" s="25"/>
      <c r="N379" s="25"/>
      <c r="O379" s="143"/>
      <c r="P379" s="143"/>
      <c r="Q379" s="143"/>
      <c r="R379" s="143"/>
      <c r="S379" s="143"/>
      <c r="T379" s="143"/>
      <c r="U379" s="143"/>
      <c r="V379" s="143"/>
      <c r="W379" s="143"/>
      <c r="X379" s="143"/>
      <c r="Y379" s="143"/>
      <c r="Z379" s="143"/>
      <c r="AA379" s="143"/>
      <c r="AB379" s="143"/>
      <c r="AC379" s="143"/>
      <c r="AD379" s="143"/>
    </row>
    <row r="380">
      <c r="A380" s="25"/>
      <c r="B380" s="25"/>
      <c r="C380" s="25"/>
      <c r="D380" s="25"/>
      <c r="E380" s="50"/>
      <c r="F380" s="167"/>
      <c r="G380" s="168"/>
      <c r="H380" s="169"/>
      <c r="I380" s="141"/>
      <c r="J380" s="141"/>
      <c r="K380" s="141"/>
      <c r="L380" s="25"/>
      <c r="M380" s="25"/>
      <c r="N380" s="25"/>
      <c r="O380" s="143"/>
      <c r="P380" s="143"/>
      <c r="Q380" s="143"/>
      <c r="R380" s="143"/>
      <c r="S380" s="143"/>
      <c r="T380" s="143"/>
      <c r="U380" s="143"/>
      <c r="V380" s="143"/>
      <c r="W380" s="143"/>
      <c r="X380" s="143"/>
      <c r="Y380" s="143"/>
      <c r="Z380" s="143"/>
      <c r="AA380" s="143"/>
      <c r="AB380" s="143"/>
      <c r="AC380" s="143"/>
      <c r="AD380" s="143"/>
    </row>
    <row r="381">
      <c r="A381" s="25"/>
      <c r="B381" s="25"/>
      <c r="C381" s="25"/>
      <c r="D381" s="25"/>
      <c r="E381" s="50"/>
      <c r="F381" s="167"/>
      <c r="G381" s="168"/>
      <c r="H381" s="169"/>
      <c r="I381" s="141"/>
      <c r="J381" s="141"/>
      <c r="K381" s="141"/>
      <c r="L381" s="25"/>
      <c r="M381" s="25"/>
      <c r="N381" s="25"/>
      <c r="O381" s="143"/>
      <c r="P381" s="143"/>
      <c r="Q381" s="143"/>
      <c r="R381" s="143"/>
      <c r="S381" s="143"/>
      <c r="T381" s="143"/>
      <c r="U381" s="143"/>
      <c r="V381" s="143"/>
      <c r="W381" s="143"/>
      <c r="X381" s="143"/>
      <c r="Y381" s="143"/>
      <c r="Z381" s="143"/>
      <c r="AA381" s="143"/>
      <c r="AB381" s="143"/>
      <c r="AC381" s="143"/>
      <c r="AD381" s="143"/>
    </row>
    <row r="382">
      <c r="A382" s="25"/>
      <c r="B382" s="25"/>
      <c r="C382" s="25"/>
      <c r="D382" s="25"/>
      <c r="E382" s="50"/>
      <c r="F382" s="167"/>
      <c r="G382" s="168"/>
      <c r="H382" s="169"/>
      <c r="I382" s="141"/>
      <c r="J382" s="141"/>
      <c r="K382" s="141"/>
      <c r="L382" s="25"/>
      <c r="M382" s="25"/>
      <c r="N382" s="25"/>
      <c r="O382" s="143"/>
      <c r="P382" s="143"/>
      <c r="Q382" s="143"/>
      <c r="R382" s="143"/>
      <c r="S382" s="143"/>
      <c r="T382" s="143"/>
      <c r="U382" s="143"/>
      <c r="V382" s="143"/>
      <c r="W382" s="143"/>
      <c r="X382" s="143"/>
      <c r="Y382" s="143"/>
      <c r="Z382" s="143"/>
      <c r="AA382" s="143"/>
      <c r="AB382" s="143"/>
      <c r="AC382" s="143"/>
      <c r="AD382" s="143"/>
    </row>
    <row r="383">
      <c r="A383" s="25"/>
      <c r="B383" s="25"/>
      <c r="C383" s="25"/>
      <c r="D383" s="25"/>
      <c r="E383" s="50"/>
      <c r="F383" s="167"/>
      <c r="G383" s="168"/>
      <c r="H383" s="169"/>
      <c r="I383" s="141"/>
      <c r="J383" s="141"/>
      <c r="K383" s="141"/>
      <c r="L383" s="25"/>
      <c r="M383" s="25"/>
      <c r="N383" s="25"/>
      <c r="O383" s="143"/>
      <c r="P383" s="143"/>
      <c r="Q383" s="143"/>
      <c r="R383" s="143"/>
      <c r="S383" s="143"/>
      <c r="T383" s="143"/>
      <c r="U383" s="143"/>
      <c r="V383" s="143"/>
      <c r="W383" s="143"/>
      <c r="X383" s="143"/>
      <c r="Y383" s="143"/>
      <c r="Z383" s="143"/>
      <c r="AA383" s="143"/>
      <c r="AB383" s="143"/>
      <c r="AC383" s="143"/>
      <c r="AD383" s="143"/>
    </row>
    <row r="384">
      <c r="A384" s="25"/>
      <c r="B384" s="25"/>
      <c r="C384" s="25"/>
      <c r="D384" s="25"/>
      <c r="E384" s="50"/>
      <c r="F384" s="167"/>
      <c r="G384" s="168"/>
      <c r="H384" s="169"/>
      <c r="I384" s="141"/>
      <c r="J384" s="141"/>
      <c r="K384" s="141"/>
      <c r="L384" s="25"/>
      <c r="M384" s="25"/>
      <c r="N384" s="25"/>
      <c r="O384" s="143"/>
      <c r="P384" s="143"/>
      <c r="Q384" s="143"/>
      <c r="R384" s="143"/>
      <c r="S384" s="143"/>
      <c r="T384" s="143"/>
      <c r="U384" s="143"/>
      <c r="V384" s="143"/>
      <c r="W384" s="143"/>
      <c r="X384" s="143"/>
      <c r="Y384" s="143"/>
      <c r="Z384" s="143"/>
      <c r="AA384" s="143"/>
      <c r="AB384" s="143"/>
      <c r="AC384" s="143"/>
      <c r="AD384" s="143"/>
    </row>
    <row r="385">
      <c r="A385" s="25"/>
      <c r="B385" s="25"/>
      <c r="C385" s="25"/>
      <c r="D385" s="25"/>
      <c r="E385" s="50"/>
      <c r="F385" s="167"/>
      <c r="G385" s="168"/>
      <c r="H385" s="169"/>
      <c r="I385" s="141"/>
      <c r="J385" s="141"/>
      <c r="K385" s="141"/>
      <c r="L385" s="25"/>
      <c r="M385" s="25"/>
      <c r="N385" s="25"/>
      <c r="O385" s="143"/>
      <c r="P385" s="143"/>
      <c r="Q385" s="143"/>
      <c r="R385" s="143"/>
      <c r="S385" s="143"/>
      <c r="T385" s="143"/>
      <c r="U385" s="143"/>
      <c r="V385" s="143"/>
      <c r="W385" s="143"/>
      <c r="X385" s="143"/>
      <c r="Y385" s="143"/>
      <c r="Z385" s="143"/>
      <c r="AA385" s="143"/>
      <c r="AB385" s="143"/>
      <c r="AC385" s="143"/>
      <c r="AD385" s="143"/>
    </row>
    <row r="386">
      <c r="A386" s="25"/>
      <c r="B386" s="25"/>
      <c r="C386" s="25"/>
      <c r="D386" s="25"/>
      <c r="E386" s="50"/>
      <c r="F386" s="167"/>
      <c r="G386" s="168"/>
      <c r="H386" s="169"/>
      <c r="I386" s="141"/>
      <c r="J386" s="141"/>
      <c r="K386" s="141"/>
      <c r="L386" s="25"/>
      <c r="M386" s="25"/>
      <c r="N386" s="25"/>
      <c r="O386" s="143"/>
      <c r="P386" s="143"/>
      <c r="Q386" s="143"/>
      <c r="R386" s="143"/>
      <c r="S386" s="143"/>
      <c r="T386" s="143"/>
      <c r="U386" s="143"/>
      <c r="V386" s="143"/>
      <c r="W386" s="143"/>
      <c r="X386" s="143"/>
      <c r="Y386" s="143"/>
      <c r="Z386" s="143"/>
      <c r="AA386" s="143"/>
      <c r="AB386" s="143"/>
      <c r="AC386" s="143"/>
      <c r="AD386" s="143"/>
    </row>
    <row r="387">
      <c r="A387" s="25"/>
      <c r="B387" s="25"/>
      <c r="C387" s="25"/>
      <c r="D387" s="25"/>
      <c r="E387" s="50"/>
      <c r="F387" s="167"/>
      <c r="G387" s="168"/>
      <c r="H387" s="169"/>
      <c r="I387" s="141"/>
      <c r="J387" s="141"/>
      <c r="K387" s="141"/>
      <c r="L387" s="25"/>
      <c r="M387" s="25"/>
      <c r="N387" s="25"/>
      <c r="O387" s="143"/>
      <c r="P387" s="143"/>
      <c r="Q387" s="143"/>
      <c r="R387" s="143"/>
      <c r="S387" s="143"/>
      <c r="T387" s="143"/>
      <c r="U387" s="143"/>
      <c r="V387" s="143"/>
      <c r="W387" s="143"/>
      <c r="X387" s="143"/>
      <c r="Y387" s="143"/>
      <c r="Z387" s="143"/>
      <c r="AA387" s="143"/>
      <c r="AB387" s="143"/>
      <c r="AC387" s="143"/>
      <c r="AD387" s="143"/>
    </row>
    <row r="388">
      <c r="A388" s="25"/>
      <c r="B388" s="25"/>
      <c r="C388" s="25"/>
      <c r="D388" s="25"/>
      <c r="E388" s="50"/>
      <c r="F388" s="167"/>
      <c r="G388" s="168"/>
      <c r="H388" s="169"/>
      <c r="I388" s="141"/>
      <c r="J388" s="141"/>
      <c r="K388" s="141"/>
      <c r="L388" s="25"/>
      <c r="M388" s="25"/>
      <c r="N388" s="25"/>
      <c r="O388" s="143"/>
      <c r="P388" s="143"/>
      <c r="Q388" s="143"/>
      <c r="R388" s="143"/>
      <c r="S388" s="143"/>
      <c r="T388" s="143"/>
      <c r="U388" s="143"/>
      <c r="V388" s="143"/>
      <c r="W388" s="143"/>
      <c r="X388" s="143"/>
      <c r="Y388" s="143"/>
      <c r="Z388" s="143"/>
      <c r="AA388" s="143"/>
      <c r="AB388" s="143"/>
      <c r="AC388" s="143"/>
      <c r="AD388" s="143"/>
    </row>
    <row r="389">
      <c r="A389" s="25"/>
      <c r="B389" s="25"/>
      <c r="C389" s="25"/>
      <c r="D389" s="25"/>
      <c r="E389" s="50"/>
      <c r="F389" s="167"/>
      <c r="G389" s="168"/>
      <c r="H389" s="169"/>
      <c r="I389" s="141"/>
      <c r="J389" s="141"/>
      <c r="K389" s="141"/>
      <c r="L389" s="25"/>
      <c r="M389" s="25"/>
      <c r="N389" s="25"/>
      <c r="O389" s="143"/>
      <c r="P389" s="143"/>
      <c r="Q389" s="143"/>
      <c r="R389" s="143"/>
      <c r="S389" s="143"/>
      <c r="T389" s="143"/>
      <c r="U389" s="143"/>
      <c r="V389" s="143"/>
      <c r="W389" s="143"/>
      <c r="X389" s="143"/>
      <c r="Y389" s="143"/>
      <c r="Z389" s="143"/>
      <c r="AA389" s="143"/>
      <c r="AB389" s="143"/>
      <c r="AC389" s="143"/>
      <c r="AD389" s="143"/>
    </row>
    <row r="390">
      <c r="A390" s="25"/>
      <c r="B390" s="25"/>
      <c r="C390" s="25"/>
      <c r="D390" s="25"/>
      <c r="E390" s="50"/>
      <c r="F390" s="167"/>
      <c r="G390" s="168"/>
      <c r="H390" s="169"/>
      <c r="I390" s="141"/>
      <c r="J390" s="141"/>
      <c r="K390" s="141"/>
      <c r="L390" s="25"/>
      <c r="M390" s="25"/>
      <c r="N390" s="25"/>
      <c r="O390" s="143"/>
      <c r="P390" s="143"/>
      <c r="Q390" s="143"/>
      <c r="R390" s="143"/>
      <c r="S390" s="143"/>
      <c r="T390" s="143"/>
      <c r="U390" s="143"/>
      <c r="V390" s="143"/>
      <c r="W390" s="143"/>
      <c r="X390" s="143"/>
      <c r="Y390" s="143"/>
      <c r="Z390" s="143"/>
      <c r="AA390" s="143"/>
      <c r="AB390" s="143"/>
      <c r="AC390" s="143"/>
      <c r="AD390" s="143"/>
    </row>
    <row r="391">
      <c r="A391" s="25"/>
      <c r="B391" s="25"/>
      <c r="C391" s="25"/>
      <c r="D391" s="25"/>
      <c r="E391" s="50"/>
      <c r="F391" s="167"/>
      <c r="G391" s="168"/>
      <c r="H391" s="169"/>
      <c r="I391" s="141"/>
      <c r="J391" s="141"/>
      <c r="K391" s="141"/>
      <c r="L391" s="25"/>
      <c r="M391" s="25"/>
      <c r="N391" s="25"/>
      <c r="O391" s="143"/>
      <c r="P391" s="143"/>
      <c r="Q391" s="143"/>
      <c r="R391" s="143"/>
      <c r="S391" s="143"/>
      <c r="T391" s="143"/>
      <c r="U391" s="143"/>
      <c r="V391" s="143"/>
      <c r="W391" s="143"/>
      <c r="X391" s="143"/>
      <c r="Y391" s="143"/>
      <c r="Z391" s="143"/>
      <c r="AA391" s="143"/>
      <c r="AB391" s="143"/>
      <c r="AC391" s="143"/>
      <c r="AD391" s="143"/>
    </row>
    <row r="392">
      <c r="A392" s="25"/>
      <c r="B392" s="25"/>
      <c r="C392" s="25"/>
      <c r="D392" s="25"/>
      <c r="E392" s="50"/>
      <c r="F392" s="167"/>
      <c r="G392" s="168"/>
      <c r="H392" s="169"/>
      <c r="I392" s="141"/>
      <c r="J392" s="141"/>
      <c r="K392" s="141"/>
      <c r="L392" s="25"/>
      <c r="M392" s="25"/>
      <c r="N392" s="25"/>
      <c r="O392" s="143"/>
      <c r="P392" s="143"/>
      <c r="Q392" s="143"/>
      <c r="R392" s="143"/>
      <c r="S392" s="143"/>
      <c r="T392" s="143"/>
      <c r="U392" s="143"/>
      <c r="V392" s="143"/>
      <c r="W392" s="143"/>
      <c r="X392" s="143"/>
      <c r="Y392" s="143"/>
      <c r="Z392" s="143"/>
      <c r="AA392" s="143"/>
      <c r="AB392" s="143"/>
      <c r="AC392" s="143"/>
      <c r="AD392" s="143"/>
    </row>
    <row r="393">
      <c r="A393" s="25"/>
      <c r="B393" s="25"/>
      <c r="C393" s="25"/>
      <c r="D393" s="25"/>
      <c r="E393" s="50"/>
      <c r="F393" s="167"/>
      <c r="G393" s="168"/>
      <c r="H393" s="169"/>
      <c r="I393" s="141"/>
      <c r="J393" s="141"/>
      <c r="K393" s="141"/>
      <c r="L393" s="25"/>
      <c r="M393" s="25"/>
      <c r="N393" s="25"/>
      <c r="O393" s="143"/>
      <c r="P393" s="143"/>
      <c r="Q393" s="143"/>
      <c r="R393" s="143"/>
      <c r="S393" s="143"/>
      <c r="T393" s="143"/>
      <c r="U393" s="143"/>
      <c r="V393" s="143"/>
      <c r="W393" s="143"/>
      <c r="X393" s="143"/>
      <c r="Y393" s="143"/>
      <c r="Z393" s="143"/>
      <c r="AA393" s="143"/>
      <c r="AB393" s="143"/>
      <c r="AC393" s="143"/>
      <c r="AD393" s="143"/>
    </row>
    <row r="394">
      <c r="A394" s="25"/>
      <c r="B394" s="25"/>
      <c r="C394" s="25"/>
      <c r="D394" s="25"/>
      <c r="E394" s="50"/>
      <c r="F394" s="167"/>
      <c r="G394" s="168"/>
      <c r="H394" s="169"/>
      <c r="I394" s="141"/>
      <c r="J394" s="141"/>
      <c r="K394" s="141"/>
      <c r="L394" s="25"/>
      <c r="M394" s="25"/>
      <c r="N394" s="25"/>
      <c r="O394" s="143"/>
      <c r="P394" s="143"/>
      <c r="Q394" s="143"/>
      <c r="R394" s="143"/>
      <c r="S394" s="143"/>
      <c r="T394" s="143"/>
      <c r="U394" s="143"/>
      <c r="V394" s="143"/>
      <c r="W394" s="143"/>
      <c r="X394" s="143"/>
      <c r="Y394" s="143"/>
      <c r="Z394" s="143"/>
      <c r="AA394" s="143"/>
      <c r="AB394" s="143"/>
      <c r="AC394" s="143"/>
      <c r="AD394" s="143"/>
    </row>
    <row r="395">
      <c r="A395" s="25"/>
      <c r="B395" s="25"/>
      <c r="C395" s="25"/>
      <c r="D395" s="25"/>
      <c r="E395" s="50"/>
      <c r="F395" s="167"/>
      <c r="G395" s="168"/>
      <c r="H395" s="169"/>
      <c r="I395" s="141"/>
      <c r="J395" s="141"/>
      <c r="K395" s="141"/>
      <c r="L395" s="25"/>
      <c r="M395" s="25"/>
      <c r="N395" s="25"/>
      <c r="O395" s="143"/>
      <c r="P395" s="143"/>
      <c r="Q395" s="143"/>
      <c r="R395" s="143"/>
      <c r="S395" s="143"/>
      <c r="T395" s="143"/>
      <c r="U395" s="143"/>
      <c r="V395" s="143"/>
      <c r="W395" s="143"/>
      <c r="X395" s="143"/>
      <c r="Y395" s="143"/>
      <c r="Z395" s="143"/>
      <c r="AA395" s="143"/>
      <c r="AB395" s="143"/>
      <c r="AC395" s="143"/>
      <c r="AD395" s="143"/>
    </row>
    <row r="396">
      <c r="A396" s="25"/>
      <c r="B396" s="25"/>
      <c r="C396" s="25"/>
      <c r="D396" s="25"/>
      <c r="E396" s="50"/>
      <c r="F396" s="167"/>
      <c r="G396" s="168"/>
      <c r="H396" s="169"/>
      <c r="I396" s="141"/>
      <c r="J396" s="141"/>
      <c r="K396" s="141"/>
      <c r="L396" s="25"/>
      <c r="M396" s="25"/>
      <c r="N396" s="25"/>
      <c r="O396" s="143"/>
      <c r="P396" s="143"/>
      <c r="Q396" s="143"/>
      <c r="R396" s="143"/>
      <c r="S396" s="143"/>
      <c r="T396" s="143"/>
      <c r="U396" s="143"/>
      <c r="V396" s="143"/>
      <c r="W396" s="143"/>
      <c r="X396" s="143"/>
      <c r="Y396" s="143"/>
      <c r="Z396" s="143"/>
      <c r="AA396" s="143"/>
      <c r="AB396" s="143"/>
      <c r="AC396" s="143"/>
      <c r="AD396" s="143"/>
    </row>
    <row r="397">
      <c r="A397" s="25"/>
      <c r="B397" s="25"/>
      <c r="C397" s="25"/>
      <c r="D397" s="25"/>
      <c r="E397" s="50"/>
      <c r="F397" s="167"/>
      <c r="G397" s="168"/>
      <c r="H397" s="169"/>
      <c r="I397" s="141"/>
      <c r="J397" s="141"/>
      <c r="K397" s="141"/>
      <c r="L397" s="25"/>
      <c r="M397" s="25"/>
      <c r="N397" s="25"/>
      <c r="O397" s="143"/>
      <c r="P397" s="143"/>
      <c r="Q397" s="143"/>
      <c r="R397" s="143"/>
      <c r="S397" s="143"/>
      <c r="T397" s="143"/>
      <c r="U397" s="143"/>
      <c r="V397" s="143"/>
      <c r="W397" s="143"/>
      <c r="X397" s="143"/>
      <c r="Y397" s="143"/>
      <c r="Z397" s="143"/>
      <c r="AA397" s="143"/>
      <c r="AB397" s="143"/>
      <c r="AC397" s="143"/>
      <c r="AD397" s="143"/>
    </row>
    <row r="398">
      <c r="A398" s="25"/>
      <c r="B398" s="25"/>
      <c r="C398" s="25"/>
      <c r="D398" s="25"/>
      <c r="E398" s="50"/>
      <c r="F398" s="167"/>
      <c r="G398" s="168"/>
      <c r="H398" s="169"/>
      <c r="I398" s="141"/>
      <c r="J398" s="141"/>
      <c r="K398" s="141"/>
      <c r="L398" s="25"/>
      <c r="M398" s="25"/>
      <c r="N398" s="25"/>
      <c r="O398" s="143"/>
      <c r="P398" s="143"/>
      <c r="Q398" s="143"/>
      <c r="R398" s="143"/>
      <c r="S398" s="143"/>
      <c r="T398" s="143"/>
      <c r="U398" s="143"/>
      <c r="V398" s="143"/>
      <c r="W398" s="143"/>
      <c r="X398" s="143"/>
      <c r="Y398" s="143"/>
      <c r="Z398" s="143"/>
      <c r="AA398" s="143"/>
      <c r="AB398" s="143"/>
      <c r="AC398" s="143"/>
      <c r="AD398" s="143"/>
    </row>
    <row r="399">
      <c r="A399" s="25"/>
      <c r="B399" s="25"/>
      <c r="C399" s="25"/>
      <c r="D399" s="25"/>
      <c r="E399" s="50"/>
      <c r="F399" s="167"/>
      <c r="G399" s="168"/>
      <c r="H399" s="169"/>
      <c r="I399" s="141"/>
      <c r="J399" s="141"/>
      <c r="K399" s="141"/>
      <c r="L399" s="25"/>
      <c r="M399" s="25"/>
      <c r="N399" s="25"/>
      <c r="O399" s="143"/>
      <c r="P399" s="143"/>
      <c r="Q399" s="143"/>
      <c r="R399" s="143"/>
      <c r="S399" s="143"/>
      <c r="T399" s="143"/>
      <c r="U399" s="143"/>
      <c r="V399" s="143"/>
      <c r="W399" s="143"/>
      <c r="X399" s="143"/>
      <c r="Y399" s="143"/>
      <c r="Z399" s="143"/>
      <c r="AA399" s="143"/>
      <c r="AB399" s="143"/>
      <c r="AC399" s="143"/>
      <c r="AD399" s="143"/>
    </row>
    <row r="400">
      <c r="A400" s="25"/>
      <c r="B400" s="25"/>
      <c r="C400" s="25"/>
      <c r="D400" s="25"/>
      <c r="E400" s="50"/>
      <c r="F400" s="167"/>
      <c r="G400" s="168"/>
      <c r="H400" s="169"/>
      <c r="I400" s="141"/>
      <c r="J400" s="141"/>
      <c r="K400" s="141"/>
      <c r="L400" s="25"/>
      <c r="M400" s="25"/>
      <c r="N400" s="25"/>
      <c r="O400" s="143"/>
      <c r="P400" s="143"/>
      <c r="Q400" s="143"/>
      <c r="R400" s="143"/>
      <c r="S400" s="143"/>
      <c r="T400" s="143"/>
      <c r="U400" s="143"/>
      <c r="V400" s="143"/>
      <c r="W400" s="143"/>
      <c r="X400" s="143"/>
      <c r="Y400" s="143"/>
      <c r="Z400" s="143"/>
      <c r="AA400" s="143"/>
      <c r="AB400" s="143"/>
      <c r="AC400" s="143"/>
      <c r="AD400" s="143"/>
    </row>
    <row r="401">
      <c r="A401" s="25"/>
      <c r="B401" s="25"/>
      <c r="C401" s="25"/>
      <c r="D401" s="25"/>
      <c r="E401" s="50"/>
      <c r="F401" s="167"/>
      <c r="G401" s="168"/>
      <c r="H401" s="169"/>
      <c r="I401" s="141"/>
      <c r="J401" s="141"/>
      <c r="K401" s="141"/>
      <c r="L401" s="25"/>
      <c r="M401" s="25"/>
      <c r="N401" s="25"/>
      <c r="O401" s="143"/>
      <c r="P401" s="143"/>
      <c r="Q401" s="143"/>
      <c r="R401" s="143"/>
      <c r="S401" s="143"/>
      <c r="T401" s="143"/>
      <c r="U401" s="143"/>
      <c r="V401" s="143"/>
      <c r="W401" s="143"/>
      <c r="X401" s="143"/>
      <c r="Y401" s="143"/>
      <c r="Z401" s="143"/>
      <c r="AA401" s="143"/>
      <c r="AB401" s="143"/>
      <c r="AC401" s="143"/>
      <c r="AD401" s="143"/>
    </row>
    <row r="402">
      <c r="A402" s="25"/>
      <c r="B402" s="25"/>
      <c r="C402" s="25"/>
      <c r="D402" s="25"/>
      <c r="E402" s="50"/>
      <c r="F402" s="167"/>
      <c r="G402" s="168"/>
      <c r="H402" s="169"/>
      <c r="I402" s="141"/>
      <c r="J402" s="141"/>
      <c r="K402" s="141"/>
      <c r="L402" s="25"/>
      <c r="M402" s="25"/>
      <c r="N402" s="25"/>
      <c r="O402" s="143"/>
      <c r="P402" s="143"/>
      <c r="Q402" s="143"/>
      <c r="R402" s="143"/>
      <c r="S402" s="143"/>
      <c r="T402" s="143"/>
      <c r="U402" s="143"/>
      <c r="V402" s="143"/>
      <c r="W402" s="143"/>
      <c r="X402" s="143"/>
      <c r="Y402" s="143"/>
      <c r="Z402" s="143"/>
      <c r="AA402" s="143"/>
      <c r="AB402" s="143"/>
      <c r="AC402" s="143"/>
      <c r="AD402" s="143"/>
    </row>
    <row r="403">
      <c r="A403" s="25"/>
      <c r="B403" s="25"/>
      <c r="C403" s="25"/>
      <c r="D403" s="25"/>
      <c r="E403" s="50"/>
      <c r="F403" s="167"/>
      <c r="G403" s="168"/>
      <c r="H403" s="169"/>
      <c r="I403" s="141"/>
      <c r="J403" s="141"/>
      <c r="K403" s="141"/>
      <c r="L403" s="25"/>
      <c r="M403" s="25"/>
      <c r="N403" s="25"/>
      <c r="O403" s="143"/>
      <c r="P403" s="143"/>
      <c r="Q403" s="143"/>
      <c r="R403" s="143"/>
      <c r="S403" s="143"/>
      <c r="T403" s="143"/>
      <c r="U403" s="143"/>
      <c r="V403" s="143"/>
      <c r="W403" s="143"/>
      <c r="X403" s="143"/>
      <c r="Y403" s="143"/>
      <c r="Z403" s="143"/>
      <c r="AA403" s="143"/>
      <c r="AB403" s="143"/>
      <c r="AC403" s="143"/>
      <c r="AD403" s="143"/>
    </row>
    <row r="404">
      <c r="A404" s="25"/>
      <c r="B404" s="25"/>
      <c r="C404" s="25"/>
      <c r="D404" s="25"/>
      <c r="E404" s="50"/>
      <c r="F404" s="167"/>
      <c r="G404" s="168"/>
      <c r="H404" s="169"/>
      <c r="I404" s="141"/>
      <c r="J404" s="141"/>
      <c r="K404" s="141"/>
      <c r="L404" s="25"/>
      <c r="M404" s="25"/>
      <c r="N404" s="25"/>
      <c r="O404" s="143"/>
      <c r="P404" s="143"/>
      <c r="Q404" s="143"/>
      <c r="R404" s="143"/>
      <c r="S404" s="143"/>
      <c r="T404" s="143"/>
      <c r="U404" s="143"/>
      <c r="V404" s="143"/>
      <c r="W404" s="143"/>
      <c r="X404" s="143"/>
      <c r="Y404" s="143"/>
      <c r="Z404" s="143"/>
      <c r="AA404" s="143"/>
      <c r="AB404" s="143"/>
      <c r="AC404" s="143"/>
      <c r="AD404" s="143"/>
    </row>
    <row r="405">
      <c r="A405" s="25"/>
      <c r="B405" s="25"/>
      <c r="C405" s="25"/>
      <c r="D405" s="25"/>
      <c r="E405" s="50"/>
      <c r="F405" s="167"/>
      <c r="G405" s="168"/>
      <c r="H405" s="169"/>
      <c r="I405" s="141"/>
      <c r="J405" s="141"/>
      <c r="K405" s="141"/>
      <c r="L405" s="25"/>
      <c r="M405" s="25"/>
      <c r="N405" s="25"/>
      <c r="O405" s="143"/>
      <c r="P405" s="143"/>
      <c r="Q405" s="143"/>
      <c r="R405" s="143"/>
      <c r="S405" s="143"/>
      <c r="T405" s="143"/>
      <c r="U405" s="143"/>
      <c r="V405" s="143"/>
      <c r="W405" s="143"/>
      <c r="X405" s="143"/>
      <c r="Y405" s="143"/>
      <c r="Z405" s="143"/>
      <c r="AA405" s="143"/>
      <c r="AB405" s="143"/>
      <c r="AC405" s="143"/>
      <c r="AD405" s="143"/>
    </row>
    <row r="406">
      <c r="A406" s="25"/>
      <c r="B406" s="25"/>
      <c r="C406" s="25"/>
      <c r="D406" s="25"/>
      <c r="E406" s="50"/>
      <c r="F406" s="167"/>
      <c r="G406" s="168"/>
      <c r="H406" s="169"/>
      <c r="I406" s="141"/>
      <c r="J406" s="141"/>
      <c r="K406" s="141"/>
      <c r="L406" s="25"/>
      <c r="M406" s="25"/>
      <c r="N406" s="25"/>
      <c r="O406" s="143"/>
      <c r="P406" s="143"/>
      <c r="Q406" s="143"/>
      <c r="R406" s="143"/>
      <c r="S406" s="143"/>
      <c r="T406" s="143"/>
      <c r="U406" s="143"/>
      <c r="V406" s="143"/>
      <c r="W406" s="143"/>
      <c r="X406" s="143"/>
      <c r="Y406" s="143"/>
      <c r="Z406" s="143"/>
      <c r="AA406" s="143"/>
      <c r="AB406" s="143"/>
      <c r="AC406" s="143"/>
      <c r="AD406" s="143"/>
    </row>
    <row r="407">
      <c r="A407" s="25"/>
      <c r="B407" s="25"/>
      <c r="C407" s="25"/>
      <c r="D407" s="25"/>
      <c r="E407" s="50"/>
      <c r="F407" s="167"/>
      <c r="G407" s="168"/>
      <c r="H407" s="169"/>
      <c r="I407" s="141"/>
      <c r="J407" s="141"/>
      <c r="K407" s="141"/>
      <c r="L407" s="25"/>
      <c r="M407" s="25"/>
      <c r="N407" s="25"/>
      <c r="O407" s="143"/>
      <c r="P407" s="143"/>
      <c r="Q407" s="143"/>
      <c r="R407" s="143"/>
      <c r="S407" s="143"/>
      <c r="T407" s="143"/>
      <c r="U407" s="143"/>
      <c r="V407" s="143"/>
      <c r="W407" s="143"/>
      <c r="X407" s="143"/>
      <c r="Y407" s="143"/>
      <c r="Z407" s="143"/>
      <c r="AA407" s="143"/>
      <c r="AB407" s="143"/>
      <c r="AC407" s="143"/>
      <c r="AD407" s="143"/>
    </row>
    <row r="408">
      <c r="A408" s="25"/>
      <c r="B408" s="25"/>
      <c r="C408" s="25"/>
      <c r="D408" s="25"/>
      <c r="E408" s="50"/>
      <c r="F408" s="167"/>
      <c r="G408" s="168"/>
      <c r="H408" s="169"/>
      <c r="I408" s="141"/>
      <c r="J408" s="141"/>
      <c r="K408" s="141"/>
      <c r="L408" s="25"/>
      <c r="M408" s="25"/>
      <c r="N408" s="25"/>
      <c r="O408" s="143"/>
      <c r="P408" s="143"/>
      <c r="Q408" s="143"/>
      <c r="R408" s="143"/>
      <c r="S408" s="143"/>
      <c r="T408" s="143"/>
      <c r="U408" s="143"/>
      <c r="V408" s="143"/>
      <c r="W408" s="143"/>
      <c r="X408" s="143"/>
      <c r="Y408" s="143"/>
      <c r="Z408" s="143"/>
      <c r="AA408" s="143"/>
      <c r="AB408" s="143"/>
      <c r="AC408" s="143"/>
      <c r="AD408" s="143"/>
    </row>
    <row r="409">
      <c r="A409" s="25"/>
      <c r="B409" s="25"/>
      <c r="C409" s="25"/>
      <c r="D409" s="25"/>
      <c r="E409" s="50"/>
      <c r="F409" s="167"/>
      <c r="G409" s="168"/>
      <c r="H409" s="169"/>
      <c r="I409" s="141"/>
      <c r="J409" s="141"/>
      <c r="K409" s="141"/>
      <c r="L409" s="25"/>
      <c r="M409" s="25"/>
      <c r="N409" s="25"/>
      <c r="O409" s="143"/>
      <c r="P409" s="143"/>
      <c r="Q409" s="143"/>
      <c r="R409" s="143"/>
      <c r="S409" s="143"/>
      <c r="T409" s="143"/>
      <c r="U409" s="143"/>
      <c r="V409" s="143"/>
      <c r="W409" s="143"/>
      <c r="X409" s="143"/>
      <c r="Y409" s="143"/>
      <c r="Z409" s="143"/>
      <c r="AA409" s="143"/>
      <c r="AB409" s="143"/>
      <c r="AC409" s="143"/>
      <c r="AD409" s="143"/>
    </row>
    <row r="410">
      <c r="A410" s="25"/>
      <c r="B410" s="25"/>
      <c r="C410" s="25"/>
      <c r="D410" s="25"/>
      <c r="E410" s="50"/>
      <c r="F410" s="167"/>
      <c r="G410" s="168"/>
      <c r="H410" s="169"/>
      <c r="I410" s="141"/>
      <c r="J410" s="141"/>
      <c r="K410" s="141"/>
      <c r="L410" s="25"/>
      <c r="M410" s="25"/>
      <c r="N410" s="25"/>
      <c r="O410" s="143"/>
      <c r="P410" s="143"/>
      <c r="Q410" s="143"/>
      <c r="R410" s="143"/>
      <c r="S410" s="143"/>
      <c r="T410" s="143"/>
      <c r="U410" s="143"/>
      <c r="V410" s="143"/>
      <c r="W410" s="143"/>
      <c r="X410" s="143"/>
      <c r="Y410" s="143"/>
      <c r="Z410" s="143"/>
      <c r="AA410" s="143"/>
      <c r="AB410" s="143"/>
      <c r="AC410" s="143"/>
      <c r="AD410" s="143"/>
    </row>
    <row r="411">
      <c r="A411" s="25"/>
      <c r="B411" s="25"/>
      <c r="C411" s="25"/>
      <c r="D411" s="25"/>
      <c r="E411" s="50"/>
      <c r="F411" s="167"/>
      <c r="G411" s="168"/>
      <c r="H411" s="169"/>
      <c r="I411" s="141"/>
      <c r="J411" s="141"/>
      <c r="K411" s="141"/>
      <c r="L411" s="25"/>
      <c r="M411" s="25"/>
      <c r="N411" s="25"/>
      <c r="O411" s="143"/>
      <c r="P411" s="143"/>
      <c r="Q411" s="143"/>
      <c r="R411" s="143"/>
      <c r="S411" s="143"/>
      <c r="T411" s="143"/>
      <c r="U411" s="143"/>
      <c r="V411" s="143"/>
      <c r="W411" s="143"/>
      <c r="X411" s="143"/>
      <c r="Y411" s="143"/>
      <c r="Z411" s="143"/>
      <c r="AA411" s="143"/>
      <c r="AB411" s="143"/>
      <c r="AC411" s="143"/>
      <c r="AD411" s="143"/>
    </row>
    <row r="412">
      <c r="A412" s="25"/>
      <c r="B412" s="25"/>
      <c r="C412" s="25"/>
      <c r="D412" s="25"/>
      <c r="E412" s="50"/>
      <c r="F412" s="167"/>
      <c r="G412" s="168"/>
      <c r="H412" s="169"/>
      <c r="I412" s="141"/>
      <c r="J412" s="141"/>
      <c r="K412" s="141"/>
      <c r="L412" s="25"/>
      <c r="M412" s="25"/>
      <c r="N412" s="25"/>
      <c r="O412" s="143"/>
      <c r="P412" s="143"/>
      <c r="Q412" s="143"/>
      <c r="R412" s="143"/>
      <c r="S412" s="143"/>
      <c r="T412" s="143"/>
      <c r="U412" s="143"/>
      <c r="V412" s="143"/>
      <c r="W412" s="143"/>
      <c r="X412" s="143"/>
      <c r="Y412" s="143"/>
      <c r="Z412" s="143"/>
      <c r="AA412" s="143"/>
      <c r="AB412" s="143"/>
      <c r="AC412" s="143"/>
      <c r="AD412" s="143"/>
    </row>
    <row r="413">
      <c r="A413" s="25"/>
      <c r="B413" s="25"/>
      <c r="C413" s="25"/>
      <c r="D413" s="25"/>
      <c r="E413" s="50"/>
      <c r="F413" s="167"/>
      <c r="G413" s="168"/>
      <c r="H413" s="169"/>
      <c r="I413" s="141"/>
      <c r="J413" s="141"/>
      <c r="K413" s="141"/>
      <c r="L413" s="25"/>
      <c r="M413" s="25"/>
      <c r="N413" s="25"/>
      <c r="O413" s="143"/>
      <c r="P413" s="143"/>
      <c r="Q413" s="143"/>
      <c r="R413" s="143"/>
      <c r="S413" s="143"/>
      <c r="T413" s="143"/>
      <c r="U413" s="143"/>
      <c r="V413" s="143"/>
      <c r="W413" s="143"/>
      <c r="X413" s="143"/>
      <c r="Y413" s="143"/>
      <c r="Z413" s="143"/>
      <c r="AA413" s="143"/>
      <c r="AB413" s="143"/>
      <c r="AC413" s="143"/>
      <c r="AD413" s="143"/>
    </row>
    <row r="414">
      <c r="A414" s="25"/>
      <c r="B414" s="25"/>
      <c r="C414" s="25"/>
      <c r="D414" s="25"/>
      <c r="E414" s="50"/>
      <c r="F414" s="167"/>
      <c r="G414" s="168"/>
      <c r="H414" s="169"/>
      <c r="I414" s="141"/>
      <c r="J414" s="141"/>
      <c r="K414" s="141"/>
      <c r="L414" s="25"/>
      <c r="M414" s="25"/>
      <c r="N414" s="25"/>
      <c r="O414" s="143"/>
      <c r="P414" s="143"/>
      <c r="Q414" s="143"/>
      <c r="R414" s="143"/>
      <c r="S414" s="143"/>
      <c r="T414" s="143"/>
      <c r="U414" s="143"/>
      <c r="V414" s="143"/>
      <c r="W414" s="143"/>
      <c r="X414" s="143"/>
      <c r="Y414" s="143"/>
      <c r="Z414" s="143"/>
      <c r="AA414" s="143"/>
      <c r="AB414" s="143"/>
      <c r="AC414" s="143"/>
      <c r="AD414" s="143"/>
    </row>
    <row r="415">
      <c r="A415" s="25"/>
      <c r="B415" s="25"/>
      <c r="C415" s="25"/>
      <c r="D415" s="25"/>
      <c r="E415" s="50"/>
      <c r="F415" s="167"/>
      <c r="G415" s="168"/>
      <c r="H415" s="169"/>
      <c r="I415" s="141"/>
      <c r="J415" s="141"/>
      <c r="K415" s="141"/>
      <c r="L415" s="25"/>
      <c r="M415" s="25"/>
      <c r="N415" s="25"/>
      <c r="O415" s="143"/>
      <c r="P415" s="143"/>
      <c r="Q415" s="143"/>
      <c r="R415" s="143"/>
      <c r="S415" s="143"/>
      <c r="T415" s="143"/>
      <c r="U415" s="143"/>
      <c r="V415" s="143"/>
      <c r="W415" s="143"/>
      <c r="X415" s="143"/>
      <c r="Y415" s="143"/>
      <c r="Z415" s="143"/>
      <c r="AA415" s="143"/>
      <c r="AB415" s="143"/>
      <c r="AC415" s="143"/>
      <c r="AD415" s="143"/>
    </row>
    <row r="416">
      <c r="A416" s="25"/>
      <c r="B416" s="25"/>
      <c r="C416" s="25"/>
      <c r="D416" s="25"/>
      <c r="E416" s="50"/>
      <c r="F416" s="167"/>
      <c r="G416" s="168"/>
      <c r="H416" s="169"/>
      <c r="I416" s="141"/>
      <c r="J416" s="141"/>
      <c r="K416" s="141"/>
      <c r="L416" s="25"/>
      <c r="M416" s="25"/>
      <c r="N416" s="25"/>
      <c r="O416" s="143"/>
      <c r="P416" s="143"/>
      <c r="Q416" s="143"/>
      <c r="R416" s="143"/>
      <c r="S416" s="143"/>
      <c r="T416" s="143"/>
      <c r="U416" s="143"/>
      <c r="V416" s="143"/>
      <c r="W416" s="143"/>
      <c r="X416" s="143"/>
      <c r="Y416" s="143"/>
      <c r="Z416" s="143"/>
      <c r="AA416" s="143"/>
      <c r="AB416" s="143"/>
      <c r="AC416" s="143"/>
      <c r="AD416" s="143"/>
    </row>
    <row r="417">
      <c r="A417" s="25"/>
      <c r="B417" s="25"/>
      <c r="C417" s="25"/>
      <c r="D417" s="25"/>
      <c r="E417" s="50"/>
      <c r="F417" s="167"/>
      <c r="G417" s="168"/>
      <c r="H417" s="169"/>
      <c r="I417" s="141"/>
      <c r="J417" s="141"/>
      <c r="K417" s="141"/>
      <c r="L417" s="25"/>
      <c r="M417" s="25"/>
      <c r="N417" s="25"/>
      <c r="O417" s="143"/>
      <c r="P417" s="143"/>
      <c r="Q417" s="143"/>
      <c r="R417" s="143"/>
      <c r="S417" s="143"/>
      <c r="T417" s="143"/>
      <c r="U417" s="143"/>
      <c r="V417" s="143"/>
      <c r="W417" s="143"/>
      <c r="X417" s="143"/>
      <c r="Y417" s="143"/>
      <c r="Z417" s="143"/>
      <c r="AA417" s="143"/>
      <c r="AB417" s="143"/>
      <c r="AC417" s="143"/>
      <c r="AD417" s="143"/>
    </row>
    <row r="418">
      <c r="A418" s="25"/>
      <c r="B418" s="25"/>
      <c r="C418" s="25"/>
      <c r="D418" s="25"/>
      <c r="E418" s="50"/>
      <c r="F418" s="167"/>
      <c r="G418" s="168"/>
      <c r="H418" s="169"/>
      <c r="I418" s="141"/>
      <c r="J418" s="141"/>
      <c r="K418" s="141"/>
      <c r="L418" s="25"/>
      <c r="M418" s="25"/>
      <c r="N418" s="25"/>
      <c r="O418" s="143"/>
      <c r="P418" s="143"/>
      <c r="Q418" s="143"/>
      <c r="R418" s="143"/>
      <c r="S418" s="143"/>
      <c r="T418" s="143"/>
      <c r="U418" s="143"/>
      <c r="V418" s="143"/>
      <c r="W418" s="143"/>
      <c r="X418" s="143"/>
      <c r="Y418" s="143"/>
      <c r="Z418" s="143"/>
      <c r="AA418" s="143"/>
      <c r="AB418" s="143"/>
      <c r="AC418" s="143"/>
      <c r="AD418" s="143"/>
    </row>
    <row r="419">
      <c r="A419" s="25"/>
      <c r="B419" s="25"/>
      <c r="C419" s="25"/>
      <c r="D419" s="25"/>
      <c r="E419" s="50"/>
      <c r="F419" s="167"/>
      <c r="G419" s="168"/>
      <c r="H419" s="169"/>
      <c r="I419" s="141"/>
      <c r="J419" s="141"/>
      <c r="K419" s="141"/>
      <c r="L419" s="25"/>
      <c r="M419" s="25"/>
      <c r="N419" s="25"/>
      <c r="O419" s="143"/>
      <c r="P419" s="143"/>
      <c r="Q419" s="143"/>
      <c r="R419" s="143"/>
      <c r="S419" s="143"/>
      <c r="T419" s="143"/>
      <c r="U419" s="143"/>
      <c r="V419" s="143"/>
      <c r="W419" s="143"/>
      <c r="X419" s="143"/>
      <c r="Y419" s="143"/>
      <c r="Z419" s="143"/>
      <c r="AA419" s="143"/>
      <c r="AB419" s="143"/>
      <c r="AC419" s="143"/>
      <c r="AD419" s="143"/>
    </row>
    <row r="420">
      <c r="A420" s="25"/>
      <c r="B420" s="25"/>
      <c r="C420" s="25"/>
      <c r="D420" s="25"/>
      <c r="E420" s="50"/>
      <c r="F420" s="167"/>
      <c r="G420" s="168"/>
      <c r="H420" s="169"/>
      <c r="I420" s="141"/>
      <c r="J420" s="141"/>
      <c r="K420" s="141"/>
      <c r="L420" s="25"/>
      <c r="M420" s="25"/>
      <c r="N420" s="25"/>
      <c r="O420" s="143"/>
      <c r="P420" s="143"/>
      <c r="Q420" s="143"/>
      <c r="R420" s="143"/>
      <c r="S420" s="143"/>
      <c r="T420" s="143"/>
      <c r="U420" s="143"/>
      <c r="V420" s="143"/>
      <c r="W420" s="143"/>
      <c r="X420" s="143"/>
      <c r="Y420" s="143"/>
      <c r="Z420" s="143"/>
      <c r="AA420" s="143"/>
      <c r="AB420" s="143"/>
      <c r="AC420" s="143"/>
      <c r="AD420" s="143"/>
    </row>
    <row r="421">
      <c r="A421" s="25"/>
      <c r="B421" s="25"/>
      <c r="C421" s="25"/>
      <c r="D421" s="25"/>
      <c r="E421" s="50"/>
      <c r="F421" s="167"/>
      <c r="G421" s="168"/>
      <c r="H421" s="169"/>
      <c r="I421" s="141"/>
      <c r="J421" s="141"/>
      <c r="K421" s="141"/>
      <c r="L421" s="25"/>
      <c r="M421" s="25"/>
      <c r="N421" s="25"/>
      <c r="O421" s="143"/>
      <c r="P421" s="143"/>
      <c r="Q421" s="143"/>
      <c r="R421" s="143"/>
      <c r="S421" s="143"/>
      <c r="T421" s="143"/>
      <c r="U421" s="143"/>
      <c r="V421" s="143"/>
      <c r="W421" s="143"/>
      <c r="X421" s="143"/>
      <c r="Y421" s="143"/>
      <c r="Z421" s="143"/>
      <c r="AA421" s="143"/>
      <c r="AB421" s="143"/>
      <c r="AC421" s="143"/>
      <c r="AD421" s="143"/>
    </row>
    <row r="422">
      <c r="A422" s="25"/>
      <c r="B422" s="25"/>
      <c r="C422" s="25"/>
      <c r="D422" s="25"/>
      <c r="E422" s="50"/>
      <c r="F422" s="167"/>
      <c r="G422" s="168"/>
      <c r="H422" s="169"/>
      <c r="I422" s="141"/>
      <c r="J422" s="141"/>
      <c r="K422" s="141"/>
      <c r="L422" s="25"/>
      <c r="M422" s="25"/>
      <c r="N422" s="25"/>
      <c r="O422" s="143"/>
      <c r="P422" s="143"/>
      <c r="Q422" s="143"/>
      <c r="R422" s="143"/>
      <c r="S422" s="143"/>
      <c r="T422" s="143"/>
      <c r="U422" s="143"/>
      <c r="V422" s="143"/>
      <c r="W422" s="143"/>
      <c r="X422" s="143"/>
      <c r="Y422" s="143"/>
      <c r="Z422" s="143"/>
      <c r="AA422" s="143"/>
      <c r="AB422" s="143"/>
      <c r="AC422" s="143"/>
      <c r="AD422" s="143"/>
    </row>
    <row r="423">
      <c r="A423" s="25"/>
      <c r="B423" s="25"/>
      <c r="C423" s="25"/>
      <c r="D423" s="25"/>
      <c r="E423" s="50"/>
      <c r="F423" s="167"/>
      <c r="G423" s="168"/>
      <c r="H423" s="169"/>
      <c r="I423" s="141"/>
      <c r="J423" s="141"/>
      <c r="K423" s="141"/>
      <c r="L423" s="25"/>
      <c r="M423" s="25"/>
      <c r="N423" s="25"/>
      <c r="O423" s="143"/>
      <c r="P423" s="143"/>
      <c r="Q423" s="143"/>
      <c r="R423" s="143"/>
      <c r="S423" s="143"/>
      <c r="T423" s="143"/>
      <c r="U423" s="143"/>
      <c r="V423" s="143"/>
      <c r="W423" s="143"/>
      <c r="X423" s="143"/>
      <c r="Y423" s="143"/>
      <c r="Z423" s="143"/>
      <c r="AA423" s="143"/>
      <c r="AB423" s="143"/>
      <c r="AC423" s="143"/>
      <c r="AD423" s="143"/>
    </row>
    <row r="424">
      <c r="A424" s="25"/>
      <c r="B424" s="25"/>
      <c r="C424" s="25"/>
      <c r="D424" s="25"/>
      <c r="E424" s="50"/>
      <c r="F424" s="167"/>
      <c r="G424" s="168"/>
      <c r="H424" s="169"/>
      <c r="I424" s="141"/>
      <c r="J424" s="141"/>
      <c r="K424" s="141"/>
      <c r="L424" s="25"/>
      <c r="M424" s="25"/>
      <c r="N424" s="25"/>
      <c r="O424" s="143"/>
      <c r="P424" s="143"/>
      <c r="Q424" s="143"/>
      <c r="R424" s="143"/>
      <c r="S424" s="143"/>
      <c r="T424" s="143"/>
      <c r="U424" s="143"/>
      <c r="V424" s="143"/>
      <c r="W424" s="143"/>
      <c r="X424" s="143"/>
      <c r="Y424" s="143"/>
      <c r="Z424" s="143"/>
      <c r="AA424" s="143"/>
      <c r="AB424" s="143"/>
      <c r="AC424" s="143"/>
      <c r="AD424" s="143"/>
    </row>
    <row r="425">
      <c r="A425" s="25"/>
      <c r="B425" s="25"/>
      <c r="C425" s="25"/>
      <c r="D425" s="25"/>
      <c r="E425" s="50"/>
      <c r="F425" s="167"/>
      <c r="G425" s="168"/>
      <c r="H425" s="169"/>
      <c r="I425" s="141"/>
      <c r="J425" s="141"/>
      <c r="K425" s="141"/>
      <c r="L425" s="25"/>
      <c r="M425" s="25"/>
      <c r="N425" s="25"/>
      <c r="O425" s="143"/>
      <c r="P425" s="143"/>
      <c r="Q425" s="143"/>
      <c r="R425" s="143"/>
      <c r="S425" s="143"/>
      <c r="T425" s="143"/>
      <c r="U425" s="143"/>
      <c r="V425" s="143"/>
      <c r="W425" s="143"/>
      <c r="X425" s="143"/>
      <c r="Y425" s="143"/>
      <c r="Z425" s="143"/>
      <c r="AA425" s="143"/>
      <c r="AB425" s="143"/>
      <c r="AC425" s="143"/>
      <c r="AD425" s="143"/>
    </row>
    <row r="426">
      <c r="A426" s="25"/>
      <c r="B426" s="25"/>
      <c r="C426" s="25"/>
      <c r="D426" s="25"/>
      <c r="E426" s="50"/>
      <c r="F426" s="167"/>
      <c r="G426" s="168"/>
      <c r="H426" s="169"/>
      <c r="I426" s="141"/>
      <c r="J426" s="141"/>
      <c r="K426" s="141"/>
      <c r="L426" s="25"/>
      <c r="M426" s="25"/>
      <c r="N426" s="25"/>
      <c r="O426" s="143"/>
      <c r="P426" s="143"/>
      <c r="Q426" s="143"/>
      <c r="R426" s="143"/>
      <c r="S426" s="143"/>
      <c r="T426" s="143"/>
      <c r="U426" s="143"/>
      <c r="V426" s="143"/>
      <c r="W426" s="143"/>
      <c r="X426" s="143"/>
      <c r="Y426" s="143"/>
      <c r="Z426" s="143"/>
      <c r="AA426" s="143"/>
      <c r="AB426" s="143"/>
      <c r="AC426" s="143"/>
      <c r="AD426" s="143"/>
    </row>
    <row r="427">
      <c r="A427" s="25"/>
      <c r="B427" s="25"/>
      <c r="C427" s="25"/>
      <c r="D427" s="25"/>
      <c r="E427" s="50"/>
      <c r="F427" s="167"/>
      <c r="G427" s="168"/>
      <c r="H427" s="169"/>
      <c r="I427" s="141"/>
      <c r="J427" s="141"/>
      <c r="K427" s="141"/>
      <c r="L427" s="25"/>
      <c r="M427" s="25"/>
      <c r="N427" s="25"/>
      <c r="O427" s="143"/>
      <c r="P427" s="143"/>
      <c r="Q427" s="143"/>
      <c r="R427" s="143"/>
      <c r="S427" s="143"/>
      <c r="T427" s="143"/>
      <c r="U427" s="143"/>
      <c r="V427" s="143"/>
      <c r="W427" s="143"/>
      <c r="X427" s="143"/>
      <c r="Y427" s="143"/>
      <c r="Z427" s="143"/>
      <c r="AA427" s="143"/>
      <c r="AB427" s="143"/>
      <c r="AC427" s="143"/>
      <c r="AD427" s="143"/>
    </row>
    <row r="428">
      <c r="A428" s="25"/>
      <c r="B428" s="25"/>
      <c r="C428" s="25"/>
      <c r="D428" s="25"/>
      <c r="E428" s="50"/>
      <c r="F428" s="167"/>
      <c r="G428" s="168"/>
      <c r="H428" s="169"/>
      <c r="I428" s="141"/>
      <c r="J428" s="141"/>
      <c r="K428" s="141"/>
      <c r="L428" s="25"/>
      <c r="M428" s="25"/>
      <c r="N428" s="25"/>
      <c r="O428" s="143"/>
      <c r="P428" s="143"/>
      <c r="Q428" s="143"/>
      <c r="R428" s="143"/>
      <c r="S428" s="143"/>
      <c r="T428" s="143"/>
      <c r="U428" s="143"/>
      <c r="V428" s="143"/>
      <c r="W428" s="143"/>
      <c r="X428" s="143"/>
      <c r="Y428" s="143"/>
      <c r="Z428" s="143"/>
      <c r="AA428" s="143"/>
      <c r="AB428" s="143"/>
      <c r="AC428" s="143"/>
      <c r="AD428" s="143"/>
    </row>
    <row r="429">
      <c r="A429" s="25"/>
      <c r="B429" s="25"/>
      <c r="C429" s="25"/>
      <c r="D429" s="25"/>
      <c r="E429" s="50"/>
      <c r="F429" s="167"/>
      <c r="G429" s="168"/>
      <c r="H429" s="169"/>
      <c r="I429" s="141"/>
      <c r="J429" s="141"/>
      <c r="K429" s="141"/>
      <c r="L429" s="25"/>
      <c r="M429" s="25"/>
      <c r="N429" s="25"/>
      <c r="O429" s="143"/>
      <c r="P429" s="143"/>
      <c r="Q429" s="143"/>
      <c r="R429" s="143"/>
      <c r="S429" s="143"/>
      <c r="T429" s="143"/>
      <c r="U429" s="143"/>
      <c r="V429" s="143"/>
      <c r="W429" s="143"/>
      <c r="X429" s="143"/>
      <c r="Y429" s="143"/>
      <c r="Z429" s="143"/>
      <c r="AA429" s="143"/>
      <c r="AB429" s="143"/>
      <c r="AC429" s="143"/>
      <c r="AD429" s="143"/>
    </row>
    <row r="430">
      <c r="A430" s="25"/>
      <c r="B430" s="25"/>
      <c r="C430" s="25"/>
      <c r="D430" s="25"/>
      <c r="E430" s="50"/>
      <c r="F430" s="167"/>
      <c r="G430" s="168"/>
      <c r="H430" s="169"/>
      <c r="I430" s="141"/>
      <c r="J430" s="141"/>
      <c r="K430" s="141"/>
      <c r="L430" s="25"/>
      <c r="M430" s="25"/>
      <c r="N430" s="25"/>
      <c r="O430" s="143"/>
      <c r="P430" s="143"/>
      <c r="Q430" s="143"/>
      <c r="R430" s="143"/>
      <c r="S430" s="143"/>
      <c r="T430" s="143"/>
      <c r="U430" s="143"/>
      <c r="V430" s="143"/>
      <c r="W430" s="143"/>
      <c r="X430" s="143"/>
      <c r="Y430" s="143"/>
      <c r="Z430" s="143"/>
      <c r="AA430" s="143"/>
      <c r="AB430" s="143"/>
      <c r="AC430" s="143"/>
      <c r="AD430" s="143"/>
    </row>
    <row r="431">
      <c r="A431" s="25"/>
      <c r="B431" s="25"/>
      <c r="C431" s="25"/>
      <c r="D431" s="25"/>
      <c r="E431" s="50"/>
      <c r="F431" s="167"/>
      <c r="G431" s="168"/>
      <c r="H431" s="169"/>
      <c r="I431" s="141"/>
      <c r="J431" s="141"/>
      <c r="K431" s="141"/>
      <c r="L431" s="25"/>
      <c r="M431" s="25"/>
      <c r="N431" s="25"/>
      <c r="O431" s="143"/>
      <c r="P431" s="143"/>
      <c r="Q431" s="143"/>
      <c r="R431" s="143"/>
      <c r="S431" s="143"/>
      <c r="T431" s="143"/>
      <c r="U431" s="143"/>
      <c r="V431" s="143"/>
      <c r="W431" s="143"/>
      <c r="X431" s="143"/>
      <c r="Y431" s="143"/>
      <c r="Z431" s="143"/>
      <c r="AA431" s="143"/>
      <c r="AB431" s="143"/>
      <c r="AC431" s="143"/>
      <c r="AD431" s="143"/>
    </row>
    <row r="432">
      <c r="A432" s="25"/>
      <c r="B432" s="25"/>
      <c r="C432" s="25"/>
      <c r="D432" s="25"/>
      <c r="E432" s="50"/>
      <c r="F432" s="167"/>
      <c r="G432" s="168"/>
      <c r="H432" s="169"/>
      <c r="I432" s="141"/>
      <c r="J432" s="141"/>
      <c r="K432" s="141"/>
      <c r="L432" s="25"/>
      <c r="M432" s="25"/>
      <c r="N432" s="25"/>
      <c r="O432" s="143"/>
      <c r="P432" s="143"/>
      <c r="Q432" s="143"/>
      <c r="R432" s="143"/>
      <c r="S432" s="143"/>
      <c r="T432" s="143"/>
      <c r="U432" s="143"/>
      <c r="V432" s="143"/>
      <c r="W432" s="143"/>
      <c r="X432" s="143"/>
      <c r="Y432" s="143"/>
      <c r="Z432" s="143"/>
      <c r="AA432" s="143"/>
      <c r="AB432" s="143"/>
      <c r="AC432" s="143"/>
      <c r="AD432" s="143"/>
    </row>
    <row r="433">
      <c r="A433" s="25"/>
      <c r="B433" s="25"/>
      <c r="C433" s="25"/>
      <c r="D433" s="25"/>
      <c r="E433" s="50"/>
      <c r="F433" s="167"/>
      <c r="G433" s="168"/>
      <c r="H433" s="169"/>
      <c r="I433" s="141"/>
      <c r="J433" s="141"/>
      <c r="K433" s="141"/>
      <c r="L433" s="25"/>
      <c r="M433" s="25"/>
      <c r="N433" s="25"/>
      <c r="O433" s="143"/>
      <c r="P433" s="143"/>
      <c r="Q433" s="143"/>
      <c r="R433" s="143"/>
      <c r="S433" s="143"/>
      <c r="T433" s="143"/>
      <c r="U433" s="143"/>
      <c r="V433" s="143"/>
      <c r="W433" s="143"/>
      <c r="X433" s="143"/>
      <c r="Y433" s="143"/>
      <c r="Z433" s="143"/>
      <c r="AA433" s="143"/>
      <c r="AB433" s="143"/>
      <c r="AC433" s="143"/>
      <c r="AD433" s="143"/>
    </row>
    <row r="434">
      <c r="A434" s="25"/>
      <c r="B434" s="25"/>
      <c r="C434" s="25"/>
      <c r="D434" s="25"/>
      <c r="E434" s="50"/>
      <c r="F434" s="167"/>
      <c r="G434" s="168"/>
      <c r="H434" s="169"/>
      <c r="I434" s="141"/>
      <c r="J434" s="141"/>
      <c r="K434" s="141"/>
      <c r="L434" s="25"/>
      <c r="M434" s="25"/>
      <c r="N434" s="25"/>
      <c r="O434" s="143"/>
      <c r="P434" s="143"/>
      <c r="Q434" s="143"/>
      <c r="R434" s="143"/>
      <c r="S434" s="143"/>
      <c r="T434" s="143"/>
      <c r="U434" s="143"/>
      <c r="V434" s="143"/>
      <c r="W434" s="143"/>
      <c r="X434" s="143"/>
      <c r="Y434" s="143"/>
      <c r="Z434" s="143"/>
      <c r="AA434" s="143"/>
      <c r="AB434" s="143"/>
      <c r="AC434" s="143"/>
      <c r="AD434" s="143"/>
    </row>
    <row r="435">
      <c r="A435" s="25"/>
      <c r="B435" s="25"/>
      <c r="C435" s="25"/>
      <c r="D435" s="25"/>
      <c r="E435" s="50"/>
      <c r="F435" s="167"/>
      <c r="G435" s="168"/>
      <c r="H435" s="169"/>
      <c r="I435" s="141"/>
      <c r="J435" s="141"/>
      <c r="K435" s="141"/>
      <c r="L435" s="25"/>
      <c r="M435" s="25"/>
      <c r="N435" s="25"/>
      <c r="O435" s="143"/>
      <c r="P435" s="143"/>
      <c r="Q435" s="143"/>
      <c r="R435" s="143"/>
      <c r="S435" s="143"/>
      <c r="T435" s="143"/>
      <c r="U435" s="143"/>
      <c r="V435" s="143"/>
      <c r="W435" s="143"/>
      <c r="X435" s="143"/>
      <c r="Y435" s="143"/>
      <c r="Z435" s="143"/>
      <c r="AA435" s="143"/>
      <c r="AB435" s="143"/>
      <c r="AC435" s="143"/>
      <c r="AD435" s="143"/>
    </row>
    <row r="436">
      <c r="A436" s="25"/>
      <c r="B436" s="25"/>
      <c r="C436" s="25"/>
      <c r="D436" s="25"/>
      <c r="E436" s="50"/>
      <c r="F436" s="167"/>
      <c r="G436" s="168"/>
      <c r="H436" s="169"/>
      <c r="I436" s="141"/>
      <c r="J436" s="141"/>
      <c r="K436" s="141"/>
      <c r="L436" s="25"/>
      <c r="M436" s="25"/>
      <c r="N436" s="25"/>
      <c r="O436" s="143"/>
      <c r="P436" s="143"/>
      <c r="Q436" s="143"/>
      <c r="R436" s="143"/>
      <c r="S436" s="143"/>
      <c r="T436" s="143"/>
      <c r="U436" s="143"/>
      <c r="V436" s="143"/>
      <c r="W436" s="143"/>
      <c r="X436" s="143"/>
      <c r="Y436" s="143"/>
      <c r="Z436" s="143"/>
      <c r="AA436" s="143"/>
      <c r="AB436" s="143"/>
      <c r="AC436" s="143"/>
      <c r="AD436" s="143"/>
    </row>
    <row r="437">
      <c r="A437" s="25"/>
      <c r="B437" s="25"/>
      <c r="C437" s="25"/>
      <c r="D437" s="25"/>
      <c r="E437" s="50"/>
      <c r="F437" s="167"/>
      <c r="G437" s="168"/>
      <c r="H437" s="169"/>
      <c r="I437" s="141"/>
      <c r="J437" s="141"/>
      <c r="K437" s="141"/>
      <c r="L437" s="25"/>
      <c r="M437" s="25"/>
      <c r="N437" s="25"/>
      <c r="O437" s="143"/>
      <c r="P437" s="143"/>
      <c r="Q437" s="143"/>
      <c r="R437" s="143"/>
      <c r="S437" s="143"/>
      <c r="T437" s="143"/>
      <c r="U437" s="143"/>
      <c r="V437" s="143"/>
      <c r="W437" s="143"/>
      <c r="X437" s="143"/>
      <c r="Y437" s="143"/>
      <c r="Z437" s="143"/>
      <c r="AA437" s="143"/>
      <c r="AB437" s="143"/>
      <c r="AC437" s="143"/>
      <c r="AD437" s="143"/>
    </row>
    <row r="438">
      <c r="A438" s="25"/>
      <c r="B438" s="25"/>
      <c r="C438" s="25"/>
      <c r="D438" s="25"/>
      <c r="E438" s="50"/>
      <c r="F438" s="167"/>
      <c r="G438" s="168"/>
      <c r="H438" s="169"/>
      <c r="I438" s="141"/>
      <c r="J438" s="141"/>
      <c r="K438" s="141"/>
      <c r="L438" s="25"/>
      <c r="M438" s="25"/>
      <c r="N438" s="25"/>
      <c r="O438" s="143"/>
      <c r="P438" s="143"/>
      <c r="Q438" s="143"/>
      <c r="R438" s="143"/>
      <c r="S438" s="143"/>
      <c r="T438" s="143"/>
      <c r="U438" s="143"/>
      <c r="V438" s="143"/>
      <c r="W438" s="143"/>
      <c r="X438" s="143"/>
      <c r="Y438" s="143"/>
      <c r="Z438" s="143"/>
      <c r="AA438" s="143"/>
      <c r="AB438" s="143"/>
      <c r="AC438" s="143"/>
      <c r="AD438" s="143"/>
    </row>
    <row r="439">
      <c r="A439" s="25"/>
      <c r="B439" s="25"/>
      <c r="C439" s="25"/>
      <c r="D439" s="25"/>
      <c r="E439" s="50"/>
      <c r="F439" s="167"/>
      <c r="G439" s="168"/>
      <c r="H439" s="169"/>
      <c r="I439" s="141"/>
      <c r="J439" s="141"/>
      <c r="K439" s="141"/>
      <c r="L439" s="25"/>
      <c r="M439" s="25"/>
      <c r="N439" s="25"/>
      <c r="O439" s="143"/>
      <c r="P439" s="143"/>
      <c r="Q439" s="143"/>
      <c r="R439" s="143"/>
      <c r="S439" s="143"/>
      <c r="T439" s="143"/>
      <c r="U439" s="143"/>
      <c r="V439" s="143"/>
      <c r="W439" s="143"/>
      <c r="X439" s="143"/>
      <c r="Y439" s="143"/>
      <c r="Z439" s="143"/>
      <c r="AA439" s="143"/>
      <c r="AB439" s="143"/>
      <c r="AC439" s="143"/>
      <c r="AD439" s="143"/>
    </row>
    <row r="440">
      <c r="A440" s="25"/>
      <c r="B440" s="25"/>
      <c r="C440" s="25"/>
      <c r="D440" s="25"/>
      <c r="E440" s="50"/>
      <c r="F440" s="167"/>
      <c r="G440" s="168"/>
      <c r="H440" s="169"/>
      <c r="I440" s="141"/>
      <c r="J440" s="141"/>
      <c r="K440" s="141"/>
      <c r="L440" s="25"/>
      <c r="M440" s="25"/>
      <c r="N440" s="25"/>
      <c r="O440" s="143"/>
      <c r="P440" s="143"/>
      <c r="Q440" s="143"/>
      <c r="R440" s="143"/>
      <c r="S440" s="143"/>
      <c r="T440" s="143"/>
      <c r="U440" s="143"/>
      <c r="V440" s="143"/>
      <c r="W440" s="143"/>
      <c r="X440" s="143"/>
      <c r="Y440" s="143"/>
      <c r="Z440" s="143"/>
      <c r="AA440" s="143"/>
      <c r="AB440" s="143"/>
      <c r="AC440" s="143"/>
      <c r="AD440" s="143"/>
    </row>
    <row r="441">
      <c r="A441" s="25"/>
      <c r="B441" s="25"/>
      <c r="C441" s="25"/>
      <c r="D441" s="25"/>
      <c r="E441" s="50"/>
      <c r="F441" s="167"/>
      <c r="G441" s="168"/>
      <c r="H441" s="169"/>
      <c r="I441" s="141"/>
      <c r="J441" s="141"/>
      <c r="K441" s="141"/>
      <c r="L441" s="25"/>
      <c r="M441" s="25"/>
      <c r="N441" s="25"/>
      <c r="O441" s="143"/>
      <c r="P441" s="143"/>
      <c r="Q441" s="143"/>
      <c r="R441" s="143"/>
      <c r="S441" s="143"/>
      <c r="T441" s="143"/>
      <c r="U441" s="143"/>
      <c r="V441" s="143"/>
      <c r="W441" s="143"/>
      <c r="X441" s="143"/>
      <c r="Y441" s="143"/>
      <c r="Z441" s="143"/>
      <c r="AA441" s="143"/>
      <c r="AB441" s="143"/>
      <c r="AC441" s="143"/>
      <c r="AD441" s="143"/>
    </row>
    <row r="442">
      <c r="A442" s="25"/>
      <c r="B442" s="25"/>
      <c r="C442" s="25"/>
      <c r="D442" s="25"/>
      <c r="E442" s="50"/>
      <c r="F442" s="167"/>
      <c r="G442" s="168"/>
      <c r="H442" s="169"/>
      <c r="I442" s="141"/>
      <c r="J442" s="141"/>
      <c r="K442" s="141"/>
      <c r="L442" s="25"/>
      <c r="M442" s="25"/>
      <c r="N442" s="25"/>
      <c r="O442" s="143"/>
      <c r="P442" s="143"/>
      <c r="Q442" s="143"/>
      <c r="R442" s="143"/>
      <c r="S442" s="143"/>
      <c r="T442" s="143"/>
      <c r="U442" s="143"/>
      <c r="V442" s="143"/>
      <c r="W442" s="143"/>
      <c r="X442" s="143"/>
      <c r="Y442" s="143"/>
      <c r="Z442" s="143"/>
      <c r="AA442" s="143"/>
      <c r="AB442" s="143"/>
      <c r="AC442" s="143"/>
      <c r="AD442" s="143"/>
    </row>
    <row r="443">
      <c r="A443" s="25"/>
      <c r="B443" s="25"/>
      <c r="C443" s="25"/>
      <c r="D443" s="25"/>
      <c r="E443" s="50"/>
      <c r="F443" s="167"/>
      <c r="G443" s="168"/>
      <c r="H443" s="169"/>
      <c r="I443" s="141"/>
      <c r="J443" s="141"/>
      <c r="K443" s="141"/>
      <c r="L443" s="25"/>
      <c r="M443" s="25"/>
      <c r="N443" s="25"/>
      <c r="O443" s="143"/>
      <c r="P443" s="143"/>
      <c r="Q443" s="143"/>
      <c r="R443" s="143"/>
      <c r="S443" s="143"/>
      <c r="T443" s="143"/>
      <c r="U443" s="143"/>
      <c r="V443" s="143"/>
      <c r="W443" s="143"/>
      <c r="X443" s="143"/>
      <c r="Y443" s="143"/>
      <c r="Z443" s="143"/>
      <c r="AA443" s="143"/>
      <c r="AB443" s="143"/>
      <c r="AC443" s="143"/>
      <c r="AD443" s="143"/>
    </row>
    <row r="444">
      <c r="A444" s="25"/>
      <c r="B444" s="25"/>
      <c r="C444" s="25"/>
      <c r="D444" s="25"/>
      <c r="E444" s="50"/>
      <c r="F444" s="167"/>
      <c r="G444" s="168"/>
      <c r="H444" s="169"/>
      <c r="I444" s="141"/>
      <c r="J444" s="141"/>
      <c r="K444" s="141"/>
      <c r="L444" s="25"/>
      <c r="M444" s="25"/>
      <c r="N444" s="25"/>
      <c r="O444" s="143"/>
      <c r="P444" s="143"/>
      <c r="Q444" s="143"/>
      <c r="R444" s="143"/>
      <c r="S444" s="143"/>
      <c r="T444" s="143"/>
      <c r="U444" s="143"/>
      <c r="V444" s="143"/>
      <c r="W444" s="143"/>
      <c r="X444" s="143"/>
      <c r="Y444" s="143"/>
      <c r="Z444" s="143"/>
      <c r="AA444" s="143"/>
      <c r="AB444" s="143"/>
      <c r="AC444" s="143"/>
      <c r="AD444" s="143"/>
    </row>
    <row r="445">
      <c r="A445" s="25"/>
      <c r="B445" s="25"/>
      <c r="C445" s="25"/>
      <c r="D445" s="25"/>
      <c r="E445" s="50"/>
      <c r="F445" s="167"/>
      <c r="G445" s="168"/>
      <c r="H445" s="169"/>
      <c r="I445" s="141"/>
      <c r="J445" s="141"/>
      <c r="K445" s="141"/>
      <c r="L445" s="25"/>
      <c r="M445" s="25"/>
      <c r="N445" s="25"/>
      <c r="O445" s="143"/>
      <c r="P445" s="143"/>
      <c r="Q445" s="143"/>
      <c r="R445" s="143"/>
      <c r="S445" s="143"/>
      <c r="T445" s="143"/>
      <c r="U445" s="143"/>
      <c r="V445" s="143"/>
      <c r="W445" s="143"/>
      <c r="X445" s="143"/>
      <c r="Y445" s="143"/>
      <c r="Z445" s="143"/>
      <c r="AA445" s="143"/>
      <c r="AB445" s="143"/>
      <c r="AC445" s="143"/>
      <c r="AD445" s="143"/>
    </row>
    <row r="446">
      <c r="A446" s="25"/>
      <c r="B446" s="25"/>
      <c r="C446" s="25"/>
      <c r="D446" s="25"/>
      <c r="E446" s="50"/>
      <c r="F446" s="167"/>
      <c r="G446" s="168"/>
      <c r="H446" s="169"/>
      <c r="I446" s="141"/>
      <c r="J446" s="141"/>
      <c r="K446" s="141"/>
      <c r="L446" s="25"/>
      <c r="M446" s="25"/>
      <c r="N446" s="25"/>
      <c r="O446" s="143"/>
      <c r="P446" s="143"/>
      <c r="Q446" s="143"/>
      <c r="R446" s="143"/>
      <c r="S446" s="143"/>
      <c r="T446" s="143"/>
      <c r="U446" s="143"/>
      <c r="V446" s="143"/>
      <c r="W446" s="143"/>
      <c r="X446" s="143"/>
      <c r="Y446" s="143"/>
      <c r="Z446" s="143"/>
      <c r="AA446" s="143"/>
      <c r="AB446" s="143"/>
      <c r="AC446" s="143"/>
      <c r="AD446" s="143"/>
    </row>
    <row r="447">
      <c r="A447" s="25"/>
      <c r="B447" s="25"/>
      <c r="C447" s="25"/>
      <c r="D447" s="25"/>
      <c r="E447" s="50"/>
      <c r="F447" s="167"/>
      <c r="G447" s="168"/>
      <c r="H447" s="169"/>
      <c r="I447" s="141"/>
      <c r="J447" s="141"/>
      <c r="K447" s="141"/>
      <c r="L447" s="25"/>
      <c r="M447" s="25"/>
      <c r="N447" s="25"/>
      <c r="O447" s="143"/>
      <c r="P447" s="143"/>
      <c r="Q447" s="143"/>
      <c r="R447" s="143"/>
      <c r="S447" s="143"/>
      <c r="T447" s="143"/>
      <c r="U447" s="143"/>
      <c r="V447" s="143"/>
      <c r="W447" s="143"/>
      <c r="X447" s="143"/>
      <c r="Y447" s="143"/>
      <c r="Z447" s="143"/>
      <c r="AA447" s="143"/>
      <c r="AB447" s="143"/>
      <c r="AC447" s="143"/>
      <c r="AD447" s="143"/>
    </row>
    <row r="448">
      <c r="A448" s="25"/>
      <c r="B448" s="25"/>
      <c r="C448" s="25"/>
      <c r="D448" s="25"/>
      <c r="E448" s="50"/>
      <c r="F448" s="167"/>
      <c r="G448" s="168"/>
      <c r="H448" s="169"/>
      <c r="I448" s="141"/>
      <c r="J448" s="141"/>
      <c r="K448" s="141"/>
      <c r="L448" s="25"/>
      <c r="M448" s="25"/>
      <c r="N448" s="25"/>
      <c r="O448" s="143"/>
      <c r="P448" s="143"/>
      <c r="Q448" s="143"/>
      <c r="R448" s="143"/>
      <c r="S448" s="143"/>
      <c r="T448" s="143"/>
      <c r="U448" s="143"/>
      <c r="V448" s="143"/>
      <c r="W448" s="143"/>
      <c r="X448" s="143"/>
      <c r="Y448" s="143"/>
      <c r="Z448" s="143"/>
      <c r="AA448" s="143"/>
      <c r="AB448" s="143"/>
      <c r="AC448" s="143"/>
      <c r="AD448" s="143"/>
    </row>
    <row r="449">
      <c r="A449" s="25"/>
      <c r="B449" s="25"/>
      <c r="C449" s="25"/>
      <c r="D449" s="25"/>
      <c r="E449" s="50"/>
      <c r="F449" s="167"/>
      <c r="G449" s="168"/>
      <c r="H449" s="169"/>
      <c r="I449" s="141"/>
      <c r="J449" s="141"/>
      <c r="K449" s="141"/>
      <c r="L449" s="25"/>
      <c r="M449" s="25"/>
      <c r="N449" s="25"/>
      <c r="O449" s="143"/>
      <c r="P449" s="143"/>
      <c r="Q449" s="143"/>
      <c r="R449" s="143"/>
      <c r="S449" s="143"/>
      <c r="T449" s="143"/>
      <c r="U449" s="143"/>
      <c r="V449" s="143"/>
      <c r="W449" s="143"/>
      <c r="X449" s="143"/>
      <c r="Y449" s="143"/>
      <c r="Z449" s="143"/>
      <c r="AA449" s="143"/>
      <c r="AB449" s="143"/>
      <c r="AC449" s="143"/>
      <c r="AD449" s="143"/>
    </row>
    <row r="450">
      <c r="A450" s="25"/>
      <c r="B450" s="25"/>
      <c r="C450" s="25"/>
      <c r="D450" s="25"/>
      <c r="E450" s="50"/>
      <c r="F450" s="167"/>
      <c r="G450" s="168"/>
      <c r="H450" s="169"/>
      <c r="I450" s="141"/>
      <c r="J450" s="141"/>
      <c r="K450" s="141"/>
      <c r="L450" s="25"/>
      <c r="M450" s="25"/>
      <c r="N450" s="25"/>
      <c r="O450" s="143"/>
      <c r="P450" s="143"/>
      <c r="Q450" s="143"/>
      <c r="R450" s="143"/>
      <c r="S450" s="143"/>
      <c r="T450" s="143"/>
      <c r="U450" s="143"/>
      <c r="V450" s="143"/>
      <c r="W450" s="143"/>
      <c r="X450" s="143"/>
      <c r="Y450" s="143"/>
      <c r="Z450" s="143"/>
      <c r="AA450" s="143"/>
      <c r="AB450" s="143"/>
      <c r="AC450" s="143"/>
      <c r="AD450" s="143"/>
    </row>
    <row r="451">
      <c r="A451" s="25"/>
      <c r="B451" s="25"/>
      <c r="C451" s="25"/>
      <c r="D451" s="25"/>
      <c r="E451" s="50"/>
      <c r="F451" s="167"/>
      <c r="G451" s="168"/>
      <c r="H451" s="169"/>
      <c r="I451" s="141"/>
      <c r="J451" s="141"/>
      <c r="K451" s="141"/>
      <c r="L451" s="25"/>
      <c r="M451" s="25"/>
      <c r="N451" s="25"/>
      <c r="O451" s="143"/>
      <c r="P451" s="143"/>
      <c r="Q451" s="143"/>
      <c r="R451" s="143"/>
      <c r="S451" s="143"/>
      <c r="T451" s="143"/>
      <c r="U451" s="143"/>
      <c r="V451" s="143"/>
      <c r="W451" s="143"/>
      <c r="X451" s="143"/>
      <c r="Y451" s="143"/>
      <c r="Z451" s="143"/>
      <c r="AA451" s="143"/>
      <c r="AB451" s="143"/>
      <c r="AC451" s="143"/>
      <c r="AD451" s="143"/>
    </row>
    <row r="452">
      <c r="A452" s="25"/>
      <c r="B452" s="25"/>
      <c r="C452" s="25"/>
      <c r="D452" s="25"/>
      <c r="E452" s="50"/>
      <c r="F452" s="167"/>
      <c r="G452" s="168"/>
      <c r="H452" s="169"/>
      <c r="I452" s="141"/>
      <c r="J452" s="141"/>
      <c r="K452" s="141"/>
      <c r="L452" s="25"/>
      <c r="M452" s="25"/>
      <c r="N452" s="25"/>
      <c r="O452" s="143"/>
      <c r="P452" s="143"/>
      <c r="Q452" s="143"/>
      <c r="R452" s="143"/>
      <c r="S452" s="143"/>
      <c r="T452" s="143"/>
      <c r="U452" s="143"/>
      <c r="V452" s="143"/>
      <c r="W452" s="143"/>
      <c r="X452" s="143"/>
      <c r="Y452" s="143"/>
      <c r="Z452" s="143"/>
      <c r="AA452" s="143"/>
      <c r="AB452" s="143"/>
      <c r="AC452" s="143"/>
      <c r="AD452" s="143"/>
    </row>
    <row r="453">
      <c r="A453" s="25"/>
      <c r="B453" s="25"/>
      <c r="C453" s="25"/>
      <c r="D453" s="25"/>
      <c r="E453" s="50"/>
      <c r="F453" s="167"/>
      <c r="G453" s="168"/>
      <c r="H453" s="169"/>
      <c r="I453" s="141"/>
      <c r="J453" s="141"/>
      <c r="K453" s="141"/>
      <c r="L453" s="25"/>
      <c r="M453" s="25"/>
      <c r="N453" s="25"/>
      <c r="O453" s="143"/>
      <c r="P453" s="143"/>
      <c r="Q453" s="143"/>
      <c r="R453" s="143"/>
      <c r="S453" s="143"/>
      <c r="T453" s="143"/>
      <c r="U453" s="143"/>
      <c r="V453" s="143"/>
      <c r="W453" s="143"/>
      <c r="X453" s="143"/>
      <c r="Y453" s="143"/>
      <c r="Z453" s="143"/>
      <c r="AA453" s="143"/>
      <c r="AB453" s="143"/>
      <c r="AC453" s="143"/>
      <c r="AD453" s="143"/>
    </row>
    <row r="454">
      <c r="A454" s="25"/>
      <c r="B454" s="25"/>
      <c r="C454" s="25"/>
      <c r="D454" s="25"/>
      <c r="E454" s="50"/>
      <c r="F454" s="167"/>
      <c r="G454" s="168"/>
      <c r="H454" s="169"/>
      <c r="I454" s="141"/>
      <c r="J454" s="141"/>
      <c r="K454" s="141"/>
      <c r="L454" s="25"/>
      <c r="M454" s="25"/>
      <c r="N454" s="25"/>
      <c r="O454" s="143"/>
      <c r="P454" s="143"/>
      <c r="Q454" s="143"/>
      <c r="R454" s="143"/>
      <c r="S454" s="143"/>
      <c r="T454" s="143"/>
      <c r="U454" s="143"/>
      <c r="V454" s="143"/>
      <c r="W454" s="143"/>
      <c r="X454" s="143"/>
      <c r="Y454" s="143"/>
      <c r="Z454" s="143"/>
      <c r="AA454" s="143"/>
      <c r="AB454" s="143"/>
      <c r="AC454" s="143"/>
      <c r="AD454" s="143"/>
    </row>
    <row r="455">
      <c r="A455" s="25"/>
      <c r="B455" s="25"/>
      <c r="C455" s="25"/>
      <c r="D455" s="25"/>
      <c r="E455" s="50"/>
      <c r="F455" s="167"/>
      <c r="G455" s="168"/>
      <c r="H455" s="169"/>
      <c r="I455" s="141"/>
      <c r="J455" s="141"/>
      <c r="K455" s="141"/>
      <c r="L455" s="25"/>
      <c r="M455" s="25"/>
      <c r="N455" s="25"/>
      <c r="O455" s="143"/>
      <c r="P455" s="143"/>
      <c r="Q455" s="143"/>
      <c r="R455" s="143"/>
      <c r="S455" s="143"/>
      <c r="T455" s="143"/>
      <c r="U455" s="143"/>
      <c r="V455" s="143"/>
      <c r="W455" s="143"/>
      <c r="X455" s="143"/>
      <c r="Y455" s="143"/>
      <c r="Z455" s="143"/>
      <c r="AA455" s="143"/>
      <c r="AB455" s="143"/>
      <c r="AC455" s="143"/>
      <c r="AD455" s="143"/>
    </row>
    <row r="456">
      <c r="A456" s="25"/>
      <c r="B456" s="25"/>
      <c r="C456" s="25"/>
      <c r="D456" s="25"/>
      <c r="E456" s="50"/>
      <c r="F456" s="167"/>
      <c r="G456" s="168"/>
      <c r="H456" s="169"/>
      <c r="I456" s="141"/>
      <c r="J456" s="141"/>
      <c r="K456" s="141"/>
      <c r="L456" s="25"/>
      <c r="M456" s="25"/>
      <c r="N456" s="25"/>
      <c r="O456" s="143"/>
      <c r="P456" s="143"/>
      <c r="Q456" s="143"/>
      <c r="R456" s="143"/>
      <c r="S456" s="143"/>
      <c r="T456" s="143"/>
      <c r="U456" s="143"/>
      <c r="V456" s="143"/>
      <c r="W456" s="143"/>
      <c r="X456" s="143"/>
      <c r="Y456" s="143"/>
      <c r="Z456" s="143"/>
      <c r="AA456" s="143"/>
      <c r="AB456" s="143"/>
      <c r="AC456" s="143"/>
      <c r="AD456" s="143"/>
    </row>
    <row r="457">
      <c r="A457" s="25"/>
      <c r="B457" s="25"/>
      <c r="C457" s="25"/>
      <c r="D457" s="25"/>
      <c r="E457" s="50"/>
      <c r="F457" s="167"/>
      <c r="G457" s="168"/>
      <c r="H457" s="169"/>
      <c r="I457" s="141"/>
      <c r="J457" s="141"/>
      <c r="K457" s="141"/>
      <c r="L457" s="25"/>
      <c r="M457" s="25"/>
      <c r="N457" s="25"/>
      <c r="O457" s="143"/>
      <c r="P457" s="143"/>
      <c r="Q457" s="143"/>
      <c r="R457" s="143"/>
      <c r="S457" s="143"/>
      <c r="T457" s="143"/>
      <c r="U457" s="143"/>
      <c r="V457" s="143"/>
      <c r="W457" s="143"/>
      <c r="X457" s="143"/>
      <c r="Y457" s="143"/>
      <c r="Z457" s="143"/>
      <c r="AA457" s="143"/>
      <c r="AB457" s="143"/>
      <c r="AC457" s="143"/>
      <c r="AD457" s="143"/>
    </row>
    <row r="458">
      <c r="A458" s="25"/>
      <c r="B458" s="25"/>
      <c r="C458" s="25"/>
      <c r="D458" s="25"/>
      <c r="E458" s="50"/>
      <c r="F458" s="167"/>
      <c r="G458" s="168"/>
      <c r="H458" s="169"/>
      <c r="I458" s="141"/>
      <c r="J458" s="141"/>
      <c r="K458" s="141"/>
      <c r="L458" s="25"/>
      <c r="M458" s="25"/>
      <c r="N458" s="25"/>
      <c r="O458" s="143"/>
      <c r="P458" s="143"/>
      <c r="Q458" s="143"/>
      <c r="R458" s="143"/>
      <c r="S458" s="143"/>
      <c r="T458" s="143"/>
      <c r="U458" s="143"/>
      <c r="V458" s="143"/>
      <c r="W458" s="143"/>
      <c r="X458" s="143"/>
      <c r="Y458" s="143"/>
      <c r="Z458" s="143"/>
      <c r="AA458" s="143"/>
      <c r="AB458" s="143"/>
      <c r="AC458" s="143"/>
      <c r="AD458" s="143"/>
    </row>
    <row r="459">
      <c r="A459" s="25"/>
      <c r="B459" s="25"/>
      <c r="C459" s="25"/>
      <c r="D459" s="25"/>
      <c r="E459" s="50"/>
      <c r="F459" s="167"/>
      <c r="G459" s="168"/>
      <c r="H459" s="169"/>
      <c r="I459" s="141"/>
      <c r="J459" s="141"/>
      <c r="K459" s="141"/>
      <c r="L459" s="25"/>
      <c r="M459" s="25"/>
      <c r="N459" s="25"/>
      <c r="O459" s="143"/>
      <c r="P459" s="143"/>
      <c r="Q459" s="143"/>
      <c r="R459" s="143"/>
      <c r="S459" s="143"/>
      <c r="T459" s="143"/>
      <c r="U459" s="143"/>
      <c r="V459" s="143"/>
      <c r="W459" s="143"/>
      <c r="X459" s="143"/>
      <c r="Y459" s="143"/>
      <c r="Z459" s="143"/>
      <c r="AA459" s="143"/>
      <c r="AB459" s="143"/>
      <c r="AC459" s="143"/>
      <c r="AD459" s="143"/>
    </row>
    <row r="460">
      <c r="A460" s="25"/>
      <c r="B460" s="25"/>
      <c r="C460" s="25"/>
      <c r="D460" s="25"/>
      <c r="E460" s="50"/>
      <c r="F460" s="167"/>
      <c r="G460" s="168"/>
      <c r="H460" s="169"/>
      <c r="I460" s="141"/>
      <c r="J460" s="141"/>
      <c r="K460" s="141"/>
      <c r="L460" s="25"/>
      <c r="M460" s="25"/>
      <c r="N460" s="25"/>
      <c r="O460" s="143"/>
      <c r="P460" s="143"/>
      <c r="Q460" s="143"/>
      <c r="R460" s="143"/>
      <c r="S460" s="143"/>
      <c r="T460" s="143"/>
      <c r="U460" s="143"/>
      <c r="V460" s="143"/>
      <c r="W460" s="143"/>
      <c r="X460" s="143"/>
      <c r="Y460" s="143"/>
      <c r="Z460" s="143"/>
      <c r="AA460" s="143"/>
      <c r="AB460" s="143"/>
      <c r="AC460" s="143"/>
      <c r="AD460" s="143"/>
    </row>
    <row r="461">
      <c r="A461" s="25"/>
      <c r="B461" s="25"/>
      <c r="C461" s="25"/>
      <c r="D461" s="25"/>
      <c r="E461" s="50"/>
      <c r="F461" s="167"/>
      <c r="G461" s="168"/>
      <c r="H461" s="169"/>
      <c r="I461" s="141"/>
      <c r="J461" s="141"/>
      <c r="K461" s="141"/>
      <c r="L461" s="25"/>
      <c r="M461" s="25"/>
      <c r="N461" s="25"/>
      <c r="O461" s="143"/>
      <c r="P461" s="143"/>
      <c r="Q461" s="143"/>
      <c r="R461" s="143"/>
      <c r="S461" s="143"/>
      <c r="T461" s="143"/>
      <c r="U461" s="143"/>
      <c r="V461" s="143"/>
      <c r="W461" s="143"/>
      <c r="X461" s="143"/>
      <c r="Y461" s="143"/>
      <c r="Z461" s="143"/>
      <c r="AA461" s="143"/>
      <c r="AB461" s="143"/>
      <c r="AC461" s="143"/>
      <c r="AD461" s="143"/>
    </row>
    <row r="462">
      <c r="A462" s="25"/>
      <c r="B462" s="25"/>
      <c r="C462" s="25"/>
      <c r="D462" s="25"/>
      <c r="E462" s="50"/>
      <c r="F462" s="167"/>
      <c r="G462" s="168"/>
      <c r="H462" s="169"/>
      <c r="I462" s="141"/>
      <c r="J462" s="141"/>
      <c r="K462" s="141"/>
      <c r="L462" s="25"/>
      <c r="M462" s="25"/>
      <c r="N462" s="25"/>
      <c r="O462" s="143"/>
      <c r="P462" s="143"/>
      <c r="Q462" s="143"/>
      <c r="R462" s="143"/>
      <c r="S462" s="143"/>
      <c r="T462" s="143"/>
      <c r="U462" s="143"/>
      <c r="V462" s="143"/>
      <c r="W462" s="143"/>
      <c r="X462" s="143"/>
      <c r="Y462" s="143"/>
      <c r="Z462" s="143"/>
      <c r="AA462" s="143"/>
      <c r="AB462" s="143"/>
      <c r="AC462" s="143"/>
      <c r="AD462" s="143"/>
    </row>
    <row r="463">
      <c r="A463" s="25"/>
      <c r="B463" s="25"/>
      <c r="C463" s="25"/>
      <c r="D463" s="25"/>
      <c r="E463" s="50"/>
      <c r="F463" s="167"/>
      <c r="G463" s="168"/>
      <c r="H463" s="169"/>
      <c r="I463" s="141"/>
      <c r="J463" s="141"/>
      <c r="K463" s="141"/>
      <c r="L463" s="25"/>
      <c r="M463" s="25"/>
      <c r="N463" s="25"/>
      <c r="O463" s="143"/>
      <c r="P463" s="143"/>
      <c r="Q463" s="143"/>
      <c r="R463" s="143"/>
      <c r="S463" s="143"/>
      <c r="T463" s="143"/>
      <c r="U463" s="143"/>
      <c r="V463" s="143"/>
      <c r="W463" s="143"/>
      <c r="X463" s="143"/>
      <c r="Y463" s="143"/>
      <c r="Z463" s="143"/>
      <c r="AA463" s="143"/>
      <c r="AB463" s="143"/>
      <c r="AC463" s="143"/>
      <c r="AD463" s="143"/>
    </row>
    <row r="464">
      <c r="A464" s="25"/>
      <c r="B464" s="25"/>
      <c r="C464" s="25"/>
      <c r="D464" s="25"/>
      <c r="E464" s="50"/>
      <c r="F464" s="167"/>
      <c r="G464" s="168"/>
      <c r="H464" s="169"/>
      <c r="I464" s="141"/>
      <c r="J464" s="141"/>
      <c r="K464" s="141"/>
      <c r="L464" s="25"/>
      <c r="M464" s="25"/>
      <c r="N464" s="25"/>
      <c r="O464" s="143"/>
      <c r="P464" s="143"/>
      <c r="Q464" s="143"/>
      <c r="R464" s="143"/>
      <c r="S464" s="143"/>
      <c r="T464" s="143"/>
      <c r="U464" s="143"/>
      <c r="V464" s="143"/>
      <c r="W464" s="143"/>
      <c r="X464" s="143"/>
      <c r="Y464" s="143"/>
      <c r="Z464" s="143"/>
      <c r="AA464" s="143"/>
      <c r="AB464" s="143"/>
      <c r="AC464" s="143"/>
      <c r="AD464" s="143"/>
    </row>
    <row r="465">
      <c r="A465" s="25"/>
      <c r="B465" s="25"/>
      <c r="C465" s="25"/>
      <c r="D465" s="25"/>
      <c r="E465" s="50"/>
      <c r="F465" s="167"/>
      <c r="G465" s="168"/>
      <c r="H465" s="169"/>
      <c r="I465" s="141"/>
      <c r="J465" s="141"/>
      <c r="K465" s="141"/>
      <c r="L465" s="25"/>
      <c r="M465" s="25"/>
      <c r="N465" s="25"/>
      <c r="O465" s="143"/>
      <c r="P465" s="143"/>
      <c r="Q465" s="143"/>
      <c r="R465" s="143"/>
      <c r="S465" s="143"/>
      <c r="T465" s="143"/>
      <c r="U465" s="143"/>
      <c r="V465" s="143"/>
      <c r="W465" s="143"/>
      <c r="X465" s="143"/>
      <c r="Y465" s="143"/>
      <c r="Z465" s="143"/>
      <c r="AA465" s="143"/>
      <c r="AB465" s="143"/>
      <c r="AC465" s="143"/>
      <c r="AD465" s="143"/>
    </row>
    <row r="466">
      <c r="A466" s="25"/>
      <c r="B466" s="25"/>
      <c r="C466" s="25"/>
      <c r="D466" s="25"/>
      <c r="E466" s="50"/>
      <c r="F466" s="167"/>
      <c r="G466" s="168"/>
      <c r="H466" s="169"/>
      <c r="I466" s="141"/>
      <c r="J466" s="141"/>
      <c r="K466" s="141"/>
      <c r="L466" s="25"/>
      <c r="M466" s="25"/>
      <c r="N466" s="25"/>
      <c r="O466" s="143"/>
      <c r="P466" s="143"/>
      <c r="Q466" s="143"/>
      <c r="R466" s="143"/>
      <c r="S466" s="143"/>
      <c r="T466" s="143"/>
      <c r="U466" s="143"/>
      <c r="V466" s="143"/>
      <c r="W466" s="143"/>
      <c r="X466" s="143"/>
      <c r="Y466" s="143"/>
      <c r="Z466" s="143"/>
      <c r="AA466" s="143"/>
      <c r="AB466" s="143"/>
      <c r="AC466" s="143"/>
      <c r="AD466" s="143"/>
    </row>
    <row r="467">
      <c r="A467" s="25"/>
      <c r="B467" s="25"/>
      <c r="C467" s="25"/>
      <c r="D467" s="25"/>
      <c r="E467" s="50"/>
      <c r="F467" s="167"/>
      <c r="G467" s="168"/>
      <c r="H467" s="169"/>
      <c r="I467" s="141"/>
      <c r="J467" s="141"/>
      <c r="K467" s="141"/>
      <c r="L467" s="25"/>
      <c r="M467" s="25"/>
      <c r="N467" s="25"/>
      <c r="O467" s="143"/>
      <c r="P467" s="143"/>
      <c r="Q467" s="143"/>
      <c r="R467" s="143"/>
      <c r="S467" s="143"/>
      <c r="T467" s="143"/>
      <c r="U467" s="143"/>
      <c r="V467" s="143"/>
      <c r="W467" s="143"/>
      <c r="X467" s="143"/>
      <c r="Y467" s="143"/>
      <c r="Z467" s="143"/>
      <c r="AA467" s="143"/>
      <c r="AB467" s="143"/>
      <c r="AC467" s="143"/>
      <c r="AD467" s="143"/>
    </row>
    <row r="468">
      <c r="A468" s="25"/>
      <c r="B468" s="25"/>
      <c r="C468" s="25"/>
      <c r="D468" s="25"/>
      <c r="E468" s="50"/>
      <c r="F468" s="167"/>
      <c r="G468" s="168"/>
      <c r="H468" s="169"/>
      <c r="I468" s="141"/>
      <c r="J468" s="141"/>
      <c r="K468" s="141"/>
      <c r="L468" s="25"/>
      <c r="M468" s="25"/>
      <c r="N468" s="25"/>
      <c r="O468" s="143"/>
      <c r="P468" s="143"/>
      <c r="Q468" s="143"/>
      <c r="R468" s="143"/>
      <c r="S468" s="143"/>
      <c r="T468" s="143"/>
      <c r="U468" s="143"/>
      <c r="V468" s="143"/>
      <c r="W468" s="143"/>
      <c r="X468" s="143"/>
      <c r="Y468" s="143"/>
      <c r="Z468" s="143"/>
      <c r="AA468" s="143"/>
      <c r="AB468" s="143"/>
      <c r="AC468" s="143"/>
      <c r="AD468" s="143"/>
    </row>
    <row r="469">
      <c r="A469" s="25"/>
      <c r="B469" s="25"/>
      <c r="C469" s="25"/>
      <c r="D469" s="25"/>
      <c r="E469" s="50"/>
      <c r="F469" s="167"/>
      <c r="G469" s="168"/>
      <c r="H469" s="169"/>
      <c r="I469" s="141"/>
      <c r="J469" s="141"/>
      <c r="K469" s="141"/>
      <c r="L469" s="25"/>
      <c r="M469" s="25"/>
      <c r="N469" s="25"/>
      <c r="O469" s="143"/>
      <c r="P469" s="143"/>
      <c r="Q469" s="143"/>
      <c r="R469" s="143"/>
      <c r="S469" s="143"/>
      <c r="T469" s="143"/>
      <c r="U469" s="143"/>
      <c r="V469" s="143"/>
      <c r="W469" s="143"/>
      <c r="X469" s="143"/>
      <c r="Y469" s="143"/>
      <c r="Z469" s="143"/>
      <c r="AA469" s="143"/>
      <c r="AB469" s="143"/>
      <c r="AC469" s="143"/>
      <c r="AD469" s="143"/>
    </row>
    <row r="470">
      <c r="A470" s="25"/>
      <c r="B470" s="25"/>
      <c r="C470" s="25"/>
      <c r="D470" s="25"/>
      <c r="E470" s="50"/>
      <c r="F470" s="167"/>
      <c r="G470" s="168"/>
      <c r="H470" s="169"/>
      <c r="I470" s="141"/>
      <c r="J470" s="141"/>
      <c r="K470" s="141"/>
      <c r="L470" s="25"/>
      <c r="M470" s="25"/>
      <c r="N470" s="25"/>
      <c r="O470" s="143"/>
      <c r="P470" s="143"/>
      <c r="Q470" s="143"/>
      <c r="R470" s="143"/>
      <c r="S470" s="143"/>
      <c r="T470" s="143"/>
      <c r="U470" s="143"/>
      <c r="V470" s="143"/>
      <c r="W470" s="143"/>
      <c r="X470" s="143"/>
      <c r="Y470" s="143"/>
      <c r="Z470" s="143"/>
      <c r="AA470" s="143"/>
      <c r="AB470" s="143"/>
      <c r="AC470" s="143"/>
      <c r="AD470" s="143"/>
    </row>
    <row r="471">
      <c r="A471" s="25"/>
      <c r="B471" s="25"/>
      <c r="C471" s="25"/>
      <c r="D471" s="25"/>
      <c r="E471" s="50"/>
      <c r="F471" s="167"/>
      <c r="G471" s="168"/>
      <c r="H471" s="169"/>
      <c r="I471" s="141"/>
      <c r="J471" s="141"/>
      <c r="K471" s="141"/>
      <c r="L471" s="25"/>
      <c r="M471" s="25"/>
      <c r="N471" s="25"/>
      <c r="O471" s="143"/>
      <c r="P471" s="143"/>
      <c r="Q471" s="143"/>
      <c r="R471" s="143"/>
      <c r="S471" s="143"/>
      <c r="T471" s="143"/>
      <c r="U471" s="143"/>
      <c r="V471" s="143"/>
      <c r="W471" s="143"/>
      <c r="X471" s="143"/>
      <c r="Y471" s="143"/>
      <c r="Z471" s="143"/>
      <c r="AA471" s="143"/>
      <c r="AB471" s="143"/>
      <c r="AC471" s="143"/>
      <c r="AD471" s="143"/>
    </row>
    <row r="472">
      <c r="A472" s="25"/>
      <c r="B472" s="25"/>
      <c r="C472" s="25"/>
      <c r="D472" s="25"/>
      <c r="E472" s="50"/>
      <c r="F472" s="167"/>
      <c r="G472" s="168"/>
      <c r="H472" s="169"/>
      <c r="I472" s="141"/>
      <c r="J472" s="141"/>
      <c r="K472" s="141"/>
      <c r="L472" s="25"/>
      <c r="M472" s="25"/>
      <c r="N472" s="25"/>
      <c r="O472" s="143"/>
      <c r="P472" s="143"/>
      <c r="Q472" s="143"/>
      <c r="R472" s="143"/>
      <c r="S472" s="143"/>
      <c r="T472" s="143"/>
      <c r="U472" s="143"/>
      <c r="V472" s="143"/>
      <c r="W472" s="143"/>
      <c r="X472" s="143"/>
      <c r="Y472" s="143"/>
      <c r="Z472" s="143"/>
      <c r="AA472" s="143"/>
      <c r="AB472" s="143"/>
      <c r="AC472" s="143"/>
      <c r="AD472" s="143"/>
    </row>
    <row r="473">
      <c r="A473" s="25"/>
      <c r="B473" s="25"/>
      <c r="C473" s="25"/>
      <c r="D473" s="25"/>
      <c r="E473" s="50"/>
      <c r="F473" s="167"/>
      <c r="G473" s="168"/>
      <c r="H473" s="169"/>
      <c r="I473" s="141"/>
      <c r="J473" s="141"/>
      <c r="K473" s="141"/>
      <c r="L473" s="25"/>
      <c r="M473" s="25"/>
      <c r="N473" s="25"/>
      <c r="O473" s="143"/>
      <c r="P473" s="143"/>
      <c r="Q473" s="143"/>
      <c r="R473" s="143"/>
      <c r="S473" s="143"/>
      <c r="T473" s="143"/>
      <c r="U473" s="143"/>
      <c r="V473" s="143"/>
      <c r="W473" s="143"/>
      <c r="X473" s="143"/>
      <c r="Y473" s="143"/>
      <c r="Z473" s="143"/>
      <c r="AA473" s="143"/>
      <c r="AB473" s="143"/>
      <c r="AC473" s="143"/>
      <c r="AD473" s="143"/>
    </row>
    <row r="474">
      <c r="A474" s="25"/>
      <c r="B474" s="25"/>
      <c r="C474" s="25"/>
      <c r="D474" s="25"/>
      <c r="E474" s="50"/>
      <c r="F474" s="167"/>
      <c r="G474" s="168"/>
      <c r="H474" s="169"/>
      <c r="I474" s="141"/>
      <c r="J474" s="141"/>
      <c r="K474" s="141"/>
      <c r="L474" s="25"/>
      <c r="M474" s="25"/>
      <c r="N474" s="25"/>
      <c r="O474" s="143"/>
      <c r="P474" s="143"/>
      <c r="Q474" s="143"/>
      <c r="R474" s="143"/>
      <c r="S474" s="143"/>
      <c r="T474" s="143"/>
      <c r="U474" s="143"/>
      <c r="V474" s="143"/>
      <c r="W474" s="143"/>
      <c r="X474" s="143"/>
      <c r="Y474" s="143"/>
      <c r="Z474" s="143"/>
      <c r="AA474" s="143"/>
      <c r="AB474" s="143"/>
      <c r="AC474" s="143"/>
      <c r="AD474" s="143"/>
    </row>
    <row r="475">
      <c r="A475" s="25"/>
      <c r="B475" s="25"/>
      <c r="C475" s="25"/>
      <c r="D475" s="25"/>
      <c r="E475" s="50"/>
      <c r="F475" s="167"/>
      <c r="G475" s="168"/>
      <c r="H475" s="169"/>
      <c r="I475" s="141"/>
      <c r="J475" s="141"/>
      <c r="K475" s="141"/>
      <c r="L475" s="25"/>
      <c r="M475" s="25"/>
      <c r="N475" s="25"/>
      <c r="O475" s="143"/>
      <c r="P475" s="143"/>
      <c r="Q475" s="143"/>
      <c r="R475" s="143"/>
      <c r="S475" s="143"/>
      <c r="T475" s="143"/>
      <c r="U475" s="143"/>
      <c r="V475" s="143"/>
      <c r="W475" s="143"/>
      <c r="X475" s="143"/>
      <c r="Y475" s="143"/>
      <c r="Z475" s="143"/>
      <c r="AA475" s="143"/>
      <c r="AB475" s="143"/>
      <c r="AC475" s="143"/>
      <c r="AD475" s="143"/>
    </row>
    <row r="476">
      <c r="A476" s="25"/>
      <c r="B476" s="25"/>
      <c r="C476" s="25"/>
      <c r="D476" s="25"/>
      <c r="E476" s="50"/>
      <c r="F476" s="167"/>
      <c r="G476" s="168"/>
      <c r="H476" s="169"/>
      <c r="I476" s="141"/>
      <c r="J476" s="141"/>
      <c r="K476" s="141"/>
      <c r="L476" s="25"/>
      <c r="M476" s="25"/>
      <c r="N476" s="25"/>
      <c r="O476" s="143"/>
      <c r="P476" s="143"/>
      <c r="Q476" s="143"/>
      <c r="R476" s="143"/>
      <c r="S476" s="143"/>
      <c r="T476" s="143"/>
      <c r="U476" s="143"/>
      <c r="V476" s="143"/>
      <c r="W476" s="143"/>
      <c r="X476" s="143"/>
      <c r="Y476" s="143"/>
      <c r="Z476" s="143"/>
      <c r="AA476" s="143"/>
      <c r="AB476" s="143"/>
      <c r="AC476" s="143"/>
      <c r="AD476" s="143"/>
    </row>
    <row r="477">
      <c r="A477" s="25"/>
      <c r="B477" s="25"/>
      <c r="C477" s="25"/>
      <c r="D477" s="25"/>
      <c r="E477" s="50"/>
      <c r="F477" s="167"/>
      <c r="G477" s="168"/>
      <c r="H477" s="169"/>
      <c r="I477" s="141"/>
      <c r="J477" s="141"/>
      <c r="K477" s="141"/>
      <c r="L477" s="25"/>
      <c r="M477" s="25"/>
      <c r="N477" s="25"/>
      <c r="O477" s="143"/>
      <c r="P477" s="143"/>
      <c r="Q477" s="143"/>
      <c r="R477" s="143"/>
      <c r="S477" s="143"/>
      <c r="T477" s="143"/>
      <c r="U477" s="143"/>
      <c r="V477" s="143"/>
      <c r="W477" s="143"/>
      <c r="X477" s="143"/>
      <c r="Y477" s="143"/>
      <c r="Z477" s="143"/>
      <c r="AA477" s="143"/>
      <c r="AB477" s="143"/>
      <c r="AC477" s="143"/>
      <c r="AD477" s="143"/>
    </row>
    <row r="478">
      <c r="A478" s="25"/>
      <c r="B478" s="25"/>
      <c r="C478" s="25"/>
      <c r="D478" s="25"/>
      <c r="E478" s="50"/>
      <c r="F478" s="167"/>
      <c r="G478" s="168"/>
      <c r="H478" s="169"/>
      <c r="I478" s="141"/>
      <c r="J478" s="141"/>
      <c r="K478" s="141"/>
      <c r="L478" s="25"/>
      <c r="M478" s="25"/>
      <c r="N478" s="25"/>
      <c r="O478" s="143"/>
      <c r="P478" s="143"/>
      <c r="Q478" s="143"/>
      <c r="R478" s="143"/>
      <c r="S478" s="143"/>
      <c r="T478" s="143"/>
      <c r="U478" s="143"/>
      <c r="V478" s="143"/>
      <c r="W478" s="143"/>
      <c r="X478" s="143"/>
      <c r="Y478" s="143"/>
      <c r="Z478" s="143"/>
      <c r="AA478" s="143"/>
      <c r="AB478" s="143"/>
      <c r="AC478" s="143"/>
      <c r="AD478" s="143"/>
    </row>
    <row r="479">
      <c r="A479" s="25"/>
      <c r="B479" s="25"/>
      <c r="C479" s="25"/>
      <c r="D479" s="25"/>
      <c r="E479" s="50"/>
      <c r="F479" s="167"/>
      <c r="G479" s="168"/>
      <c r="H479" s="169"/>
      <c r="I479" s="141"/>
      <c r="J479" s="141"/>
      <c r="K479" s="141"/>
      <c r="L479" s="25"/>
      <c r="M479" s="25"/>
      <c r="N479" s="25"/>
      <c r="O479" s="143"/>
      <c r="P479" s="143"/>
      <c r="Q479" s="143"/>
      <c r="R479" s="143"/>
      <c r="S479" s="143"/>
      <c r="T479" s="143"/>
      <c r="U479" s="143"/>
      <c r="V479" s="143"/>
      <c r="W479" s="143"/>
      <c r="X479" s="143"/>
      <c r="Y479" s="143"/>
      <c r="Z479" s="143"/>
      <c r="AA479" s="143"/>
      <c r="AB479" s="143"/>
      <c r="AC479" s="143"/>
      <c r="AD479" s="143"/>
    </row>
    <row r="480">
      <c r="A480" s="25"/>
      <c r="B480" s="25"/>
      <c r="C480" s="25"/>
      <c r="D480" s="25"/>
      <c r="E480" s="50"/>
      <c r="F480" s="167"/>
      <c r="G480" s="168"/>
      <c r="H480" s="169"/>
      <c r="I480" s="141"/>
      <c r="J480" s="141"/>
      <c r="K480" s="141"/>
      <c r="L480" s="25"/>
      <c r="M480" s="25"/>
      <c r="N480" s="25"/>
      <c r="O480" s="143"/>
      <c r="P480" s="143"/>
      <c r="Q480" s="143"/>
      <c r="R480" s="143"/>
      <c r="S480" s="143"/>
      <c r="T480" s="143"/>
      <c r="U480" s="143"/>
      <c r="V480" s="143"/>
      <c r="W480" s="143"/>
      <c r="X480" s="143"/>
      <c r="Y480" s="143"/>
      <c r="Z480" s="143"/>
      <c r="AA480" s="143"/>
      <c r="AB480" s="143"/>
      <c r="AC480" s="143"/>
      <c r="AD480" s="143"/>
    </row>
    <row r="481">
      <c r="A481" s="25"/>
      <c r="B481" s="25"/>
      <c r="C481" s="25"/>
      <c r="D481" s="25"/>
      <c r="E481" s="50"/>
      <c r="F481" s="167"/>
      <c r="G481" s="168"/>
      <c r="H481" s="169"/>
      <c r="I481" s="141"/>
      <c r="J481" s="141"/>
      <c r="K481" s="141"/>
      <c r="L481" s="25"/>
      <c r="M481" s="25"/>
      <c r="N481" s="25"/>
      <c r="O481" s="143"/>
      <c r="P481" s="143"/>
      <c r="Q481" s="143"/>
      <c r="R481" s="143"/>
      <c r="S481" s="143"/>
      <c r="T481" s="143"/>
      <c r="U481" s="143"/>
      <c r="V481" s="143"/>
      <c r="W481" s="143"/>
      <c r="X481" s="143"/>
      <c r="Y481" s="143"/>
      <c r="Z481" s="143"/>
      <c r="AA481" s="143"/>
      <c r="AB481" s="143"/>
      <c r="AC481" s="143"/>
      <c r="AD481" s="143"/>
    </row>
    <row r="482">
      <c r="A482" s="25"/>
      <c r="B482" s="25"/>
      <c r="C482" s="25"/>
      <c r="D482" s="25"/>
      <c r="E482" s="50"/>
      <c r="F482" s="167"/>
      <c r="G482" s="168"/>
      <c r="H482" s="169"/>
      <c r="I482" s="141"/>
      <c r="J482" s="141"/>
      <c r="K482" s="141"/>
      <c r="L482" s="25"/>
      <c r="M482" s="25"/>
      <c r="N482" s="25"/>
      <c r="O482" s="143"/>
      <c r="P482" s="143"/>
      <c r="Q482" s="143"/>
      <c r="R482" s="143"/>
      <c r="S482" s="143"/>
      <c r="T482" s="143"/>
      <c r="U482" s="143"/>
      <c r="V482" s="143"/>
      <c r="W482" s="143"/>
      <c r="X482" s="143"/>
      <c r="Y482" s="143"/>
      <c r="Z482" s="143"/>
      <c r="AA482" s="143"/>
      <c r="AB482" s="143"/>
      <c r="AC482" s="143"/>
      <c r="AD482" s="143"/>
    </row>
    <row r="483">
      <c r="A483" s="25"/>
      <c r="B483" s="25"/>
      <c r="C483" s="25"/>
      <c r="D483" s="25"/>
      <c r="E483" s="50"/>
      <c r="F483" s="167"/>
      <c r="G483" s="168"/>
      <c r="H483" s="169"/>
      <c r="I483" s="141"/>
      <c r="J483" s="141"/>
      <c r="K483" s="141"/>
      <c r="L483" s="25"/>
      <c r="M483" s="25"/>
      <c r="N483" s="25"/>
      <c r="O483" s="143"/>
      <c r="P483" s="143"/>
      <c r="Q483" s="143"/>
      <c r="R483" s="143"/>
      <c r="S483" s="143"/>
      <c r="T483" s="143"/>
      <c r="U483" s="143"/>
      <c r="V483" s="143"/>
      <c r="W483" s="143"/>
      <c r="X483" s="143"/>
      <c r="Y483" s="143"/>
      <c r="Z483" s="143"/>
      <c r="AA483" s="143"/>
      <c r="AB483" s="143"/>
      <c r="AC483" s="143"/>
      <c r="AD483" s="143"/>
    </row>
    <row r="484">
      <c r="A484" s="25"/>
      <c r="B484" s="25"/>
      <c r="C484" s="25"/>
      <c r="D484" s="25"/>
      <c r="E484" s="50"/>
      <c r="F484" s="167"/>
      <c r="G484" s="168"/>
      <c r="H484" s="169"/>
      <c r="I484" s="141"/>
      <c r="J484" s="141"/>
      <c r="K484" s="141"/>
      <c r="L484" s="25"/>
      <c r="M484" s="25"/>
      <c r="N484" s="25"/>
      <c r="O484" s="143"/>
      <c r="P484" s="143"/>
      <c r="Q484" s="143"/>
      <c r="R484" s="143"/>
      <c r="S484" s="143"/>
      <c r="T484" s="143"/>
      <c r="U484" s="143"/>
      <c r="V484" s="143"/>
      <c r="W484" s="143"/>
      <c r="X484" s="143"/>
      <c r="Y484" s="143"/>
      <c r="Z484" s="143"/>
      <c r="AA484" s="143"/>
      <c r="AB484" s="143"/>
      <c r="AC484" s="143"/>
      <c r="AD484" s="143"/>
    </row>
    <row r="485">
      <c r="A485" s="25"/>
      <c r="B485" s="25"/>
      <c r="C485" s="25"/>
      <c r="D485" s="25"/>
      <c r="E485" s="50"/>
      <c r="F485" s="167"/>
      <c r="G485" s="168"/>
      <c r="H485" s="169"/>
      <c r="I485" s="141"/>
      <c r="J485" s="141"/>
      <c r="K485" s="141"/>
      <c r="L485" s="25"/>
      <c r="M485" s="25"/>
      <c r="N485" s="25"/>
      <c r="O485" s="143"/>
      <c r="P485" s="143"/>
      <c r="Q485" s="143"/>
      <c r="R485" s="143"/>
      <c r="S485" s="143"/>
      <c r="T485" s="143"/>
      <c r="U485" s="143"/>
      <c r="V485" s="143"/>
      <c r="W485" s="143"/>
      <c r="X485" s="143"/>
      <c r="Y485" s="143"/>
      <c r="Z485" s="143"/>
      <c r="AA485" s="143"/>
      <c r="AB485" s="143"/>
      <c r="AC485" s="143"/>
      <c r="AD485" s="143"/>
    </row>
    <row r="486">
      <c r="A486" s="25"/>
      <c r="B486" s="25"/>
      <c r="C486" s="25"/>
      <c r="D486" s="25"/>
      <c r="E486" s="50"/>
      <c r="F486" s="167"/>
      <c r="G486" s="168"/>
      <c r="H486" s="169"/>
      <c r="I486" s="141"/>
      <c r="J486" s="141"/>
      <c r="K486" s="141"/>
      <c r="L486" s="25"/>
      <c r="M486" s="25"/>
      <c r="N486" s="25"/>
      <c r="O486" s="143"/>
      <c r="P486" s="143"/>
      <c r="Q486" s="143"/>
      <c r="R486" s="143"/>
      <c r="S486" s="143"/>
      <c r="T486" s="143"/>
      <c r="U486" s="143"/>
      <c r="V486" s="143"/>
      <c r="W486" s="143"/>
      <c r="X486" s="143"/>
      <c r="Y486" s="143"/>
      <c r="Z486" s="143"/>
      <c r="AA486" s="143"/>
      <c r="AB486" s="143"/>
      <c r="AC486" s="143"/>
      <c r="AD486" s="143"/>
    </row>
    <row r="487">
      <c r="A487" s="25"/>
      <c r="B487" s="25"/>
      <c r="C487" s="25"/>
      <c r="D487" s="25"/>
      <c r="E487" s="50"/>
      <c r="F487" s="167"/>
      <c r="G487" s="168"/>
      <c r="H487" s="169"/>
      <c r="I487" s="141"/>
      <c r="J487" s="141"/>
      <c r="K487" s="141"/>
      <c r="L487" s="25"/>
      <c r="M487" s="25"/>
      <c r="N487" s="25"/>
      <c r="O487" s="143"/>
      <c r="P487" s="143"/>
      <c r="Q487" s="143"/>
      <c r="R487" s="143"/>
      <c r="S487" s="143"/>
      <c r="T487" s="143"/>
      <c r="U487" s="143"/>
      <c r="V487" s="143"/>
      <c r="W487" s="143"/>
      <c r="X487" s="143"/>
      <c r="Y487" s="143"/>
      <c r="Z487" s="143"/>
      <c r="AA487" s="143"/>
      <c r="AB487" s="143"/>
      <c r="AC487" s="143"/>
      <c r="AD487" s="143"/>
    </row>
    <row r="488">
      <c r="A488" s="25"/>
      <c r="B488" s="25"/>
      <c r="C488" s="25"/>
      <c r="D488" s="25"/>
      <c r="E488" s="50"/>
      <c r="F488" s="167"/>
      <c r="G488" s="168"/>
      <c r="H488" s="169"/>
      <c r="I488" s="141"/>
      <c r="J488" s="141"/>
      <c r="K488" s="141"/>
      <c r="L488" s="25"/>
      <c r="M488" s="25"/>
      <c r="N488" s="25"/>
      <c r="O488" s="143"/>
      <c r="P488" s="143"/>
      <c r="Q488" s="143"/>
      <c r="R488" s="143"/>
      <c r="S488" s="143"/>
      <c r="T488" s="143"/>
      <c r="U488" s="143"/>
      <c r="V488" s="143"/>
      <c r="W488" s="143"/>
      <c r="X488" s="143"/>
      <c r="Y488" s="143"/>
      <c r="Z488" s="143"/>
      <c r="AA488" s="143"/>
      <c r="AB488" s="143"/>
      <c r="AC488" s="143"/>
      <c r="AD488" s="143"/>
    </row>
    <row r="489">
      <c r="A489" s="25"/>
      <c r="B489" s="25"/>
      <c r="C489" s="25"/>
      <c r="D489" s="25"/>
      <c r="E489" s="50"/>
      <c r="F489" s="167"/>
      <c r="G489" s="168"/>
      <c r="H489" s="169"/>
      <c r="I489" s="141"/>
      <c r="J489" s="141"/>
      <c r="K489" s="141"/>
      <c r="L489" s="25"/>
      <c r="M489" s="25"/>
      <c r="N489" s="25"/>
      <c r="O489" s="143"/>
      <c r="P489" s="143"/>
      <c r="Q489" s="143"/>
      <c r="R489" s="143"/>
      <c r="S489" s="143"/>
      <c r="T489" s="143"/>
      <c r="U489" s="143"/>
      <c r="V489" s="143"/>
      <c r="W489" s="143"/>
      <c r="X489" s="143"/>
      <c r="Y489" s="143"/>
      <c r="Z489" s="143"/>
      <c r="AA489" s="143"/>
      <c r="AB489" s="143"/>
      <c r="AC489" s="143"/>
      <c r="AD489" s="143"/>
    </row>
    <row r="490">
      <c r="A490" s="25"/>
      <c r="B490" s="25"/>
      <c r="C490" s="25"/>
      <c r="D490" s="25"/>
      <c r="E490" s="50"/>
      <c r="F490" s="167"/>
      <c r="G490" s="168"/>
      <c r="H490" s="169"/>
      <c r="I490" s="141"/>
      <c r="J490" s="141"/>
      <c r="K490" s="141"/>
      <c r="L490" s="25"/>
      <c r="M490" s="25"/>
      <c r="N490" s="25"/>
      <c r="O490" s="143"/>
      <c r="P490" s="143"/>
      <c r="Q490" s="143"/>
      <c r="R490" s="143"/>
      <c r="S490" s="143"/>
      <c r="T490" s="143"/>
      <c r="U490" s="143"/>
      <c r="V490" s="143"/>
      <c r="W490" s="143"/>
      <c r="X490" s="143"/>
      <c r="Y490" s="143"/>
      <c r="Z490" s="143"/>
      <c r="AA490" s="143"/>
      <c r="AB490" s="143"/>
      <c r="AC490" s="143"/>
      <c r="AD490" s="143"/>
    </row>
    <row r="491">
      <c r="A491" s="25"/>
      <c r="B491" s="25"/>
      <c r="C491" s="25"/>
      <c r="D491" s="25"/>
      <c r="E491" s="50"/>
      <c r="F491" s="167"/>
      <c r="G491" s="168"/>
      <c r="H491" s="169"/>
      <c r="I491" s="141"/>
      <c r="J491" s="141"/>
      <c r="K491" s="141"/>
      <c r="L491" s="25"/>
      <c r="M491" s="25"/>
      <c r="N491" s="25"/>
      <c r="O491" s="143"/>
      <c r="P491" s="143"/>
      <c r="Q491" s="143"/>
      <c r="R491" s="143"/>
      <c r="S491" s="143"/>
      <c r="T491" s="143"/>
      <c r="U491" s="143"/>
      <c r="V491" s="143"/>
      <c r="W491" s="143"/>
      <c r="X491" s="143"/>
      <c r="Y491" s="143"/>
      <c r="Z491" s="143"/>
      <c r="AA491" s="143"/>
      <c r="AB491" s="143"/>
      <c r="AC491" s="143"/>
      <c r="AD491" s="143"/>
    </row>
    <row r="492">
      <c r="A492" s="25"/>
      <c r="B492" s="25"/>
      <c r="C492" s="25"/>
      <c r="D492" s="25"/>
      <c r="E492" s="50"/>
      <c r="F492" s="167"/>
      <c r="G492" s="168"/>
      <c r="H492" s="169"/>
      <c r="I492" s="141"/>
      <c r="J492" s="141"/>
      <c r="K492" s="141"/>
      <c r="L492" s="25"/>
      <c r="M492" s="25"/>
      <c r="N492" s="25"/>
      <c r="O492" s="143"/>
      <c r="P492" s="143"/>
      <c r="Q492" s="143"/>
      <c r="R492" s="143"/>
      <c r="S492" s="143"/>
      <c r="T492" s="143"/>
      <c r="U492" s="143"/>
      <c r="V492" s="143"/>
      <c r="W492" s="143"/>
      <c r="X492" s="143"/>
      <c r="Y492" s="143"/>
      <c r="Z492" s="143"/>
      <c r="AA492" s="143"/>
      <c r="AB492" s="143"/>
      <c r="AC492" s="143"/>
      <c r="AD492" s="143"/>
    </row>
    <row r="493">
      <c r="A493" s="25"/>
      <c r="B493" s="25"/>
      <c r="C493" s="25"/>
      <c r="D493" s="25"/>
      <c r="E493" s="50"/>
      <c r="F493" s="167"/>
      <c r="G493" s="168"/>
      <c r="H493" s="169"/>
      <c r="I493" s="141"/>
      <c r="J493" s="141"/>
      <c r="K493" s="141"/>
      <c r="L493" s="25"/>
      <c r="M493" s="25"/>
      <c r="N493" s="25"/>
      <c r="O493" s="143"/>
      <c r="P493" s="143"/>
      <c r="Q493" s="143"/>
      <c r="R493" s="143"/>
      <c r="S493" s="143"/>
      <c r="T493" s="143"/>
      <c r="U493" s="143"/>
      <c r="V493" s="143"/>
      <c r="W493" s="143"/>
      <c r="X493" s="143"/>
      <c r="Y493" s="143"/>
      <c r="Z493" s="143"/>
      <c r="AA493" s="143"/>
      <c r="AB493" s="143"/>
      <c r="AC493" s="143"/>
      <c r="AD493" s="143"/>
    </row>
    <row r="494">
      <c r="A494" s="25"/>
      <c r="B494" s="25"/>
      <c r="C494" s="25"/>
      <c r="D494" s="25"/>
      <c r="E494" s="50"/>
      <c r="F494" s="167"/>
      <c r="G494" s="168"/>
      <c r="H494" s="169"/>
      <c r="I494" s="141"/>
      <c r="J494" s="141"/>
      <c r="K494" s="141"/>
      <c r="L494" s="25"/>
      <c r="M494" s="25"/>
      <c r="N494" s="25"/>
      <c r="O494" s="143"/>
      <c r="P494" s="143"/>
      <c r="Q494" s="143"/>
      <c r="R494" s="143"/>
      <c r="S494" s="143"/>
      <c r="T494" s="143"/>
      <c r="U494" s="143"/>
      <c r="V494" s="143"/>
      <c r="W494" s="143"/>
      <c r="X494" s="143"/>
      <c r="Y494" s="143"/>
      <c r="Z494" s="143"/>
      <c r="AA494" s="143"/>
      <c r="AB494" s="143"/>
      <c r="AC494" s="143"/>
      <c r="AD494" s="143"/>
    </row>
    <row r="495">
      <c r="A495" s="25"/>
      <c r="B495" s="25"/>
      <c r="C495" s="25"/>
      <c r="D495" s="25"/>
      <c r="E495" s="50"/>
      <c r="F495" s="167"/>
      <c r="G495" s="168"/>
      <c r="H495" s="169"/>
      <c r="I495" s="141"/>
      <c r="J495" s="141"/>
      <c r="K495" s="141"/>
      <c r="L495" s="25"/>
      <c r="M495" s="25"/>
      <c r="N495" s="25"/>
      <c r="O495" s="143"/>
      <c r="P495" s="143"/>
      <c r="Q495" s="143"/>
      <c r="R495" s="143"/>
      <c r="S495" s="143"/>
      <c r="T495" s="143"/>
      <c r="U495" s="143"/>
      <c r="V495" s="143"/>
      <c r="W495" s="143"/>
      <c r="X495" s="143"/>
      <c r="Y495" s="143"/>
      <c r="Z495" s="143"/>
      <c r="AA495" s="143"/>
      <c r="AB495" s="143"/>
      <c r="AC495" s="143"/>
      <c r="AD495" s="143"/>
    </row>
    <row r="496">
      <c r="A496" s="25"/>
      <c r="B496" s="25"/>
      <c r="C496" s="25"/>
      <c r="D496" s="25"/>
      <c r="E496" s="50"/>
      <c r="F496" s="167"/>
      <c r="G496" s="168"/>
      <c r="H496" s="169"/>
      <c r="I496" s="141"/>
      <c r="J496" s="141"/>
      <c r="K496" s="141"/>
      <c r="L496" s="25"/>
      <c r="M496" s="25"/>
      <c r="N496" s="25"/>
      <c r="O496" s="143"/>
      <c r="P496" s="143"/>
      <c r="Q496" s="143"/>
      <c r="R496" s="143"/>
      <c r="S496" s="143"/>
      <c r="T496" s="143"/>
      <c r="U496" s="143"/>
      <c r="V496" s="143"/>
      <c r="W496" s="143"/>
      <c r="X496" s="143"/>
      <c r="Y496" s="143"/>
      <c r="Z496" s="143"/>
      <c r="AA496" s="143"/>
      <c r="AB496" s="143"/>
      <c r="AC496" s="143"/>
      <c r="AD496" s="143"/>
    </row>
    <row r="497">
      <c r="A497" s="25"/>
      <c r="B497" s="25"/>
      <c r="C497" s="25"/>
      <c r="D497" s="25"/>
      <c r="E497" s="50"/>
      <c r="F497" s="167"/>
      <c r="G497" s="168"/>
      <c r="H497" s="169"/>
      <c r="I497" s="141"/>
      <c r="J497" s="141"/>
      <c r="K497" s="141"/>
      <c r="L497" s="25"/>
      <c r="M497" s="25"/>
      <c r="N497" s="25"/>
      <c r="O497" s="143"/>
      <c r="P497" s="143"/>
      <c r="Q497" s="143"/>
      <c r="R497" s="143"/>
      <c r="S497" s="143"/>
      <c r="T497" s="143"/>
      <c r="U497" s="143"/>
      <c r="V497" s="143"/>
      <c r="W497" s="143"/>
      <c r="X497" s="143"/>
      <c r="Y497" s="143"/>
      <c r="Z497" s="143"/>
      <c r="AA497" s="143"/>
      <c r="AB497" s="143"/>
      <c r="AC497" s="143"/>
      <c r="AD497" s="143"/>
    </row>
    <row r="498">
      <c r="A498" s="25"/>
      <c r="B498" s="25"/>
      <c r="C498" s="25"/>
      <c r="D498" s="25"/>
      <c r="E498" s="50"/>
      <c r="F498" s="167"/>
      <c r="G498" s="168"/>
      <c r="H498" s="169"/>
      <c r="I498" s="141"/>
      <c r="J498" s="141"/>
      <c r="K498" s="141"/>
      <c r="L498" s="25"/>
      <c r="M498" s="25"/>
      <c r="N498" s="25"/>
      <c r="O498" s="143"/>
      <c r="P498" s="143"/>
      <c r="Q498" s="143"/>
      <c r="R498" s="143"/>
      <c r="S498" s="143"/>
      <c r="T498" s="143"/>
      <c r="U498" s="143"/>
      <c r="V498" s="143"/>
      <c r="W498" s="143"/>
      <c r="X498" s="143"/>
      <c r="Y498" s="143"/>
      <c r="Z498" s="143"/>
      <c r="AA498" s="143"/>
      <c r="AB498" s="143"/>
      <c r="AC498" s="143"/>
      <c r="AD498" s="143"/>
    </row>
    <row r="499">
      <c r="A499" s="25"/>
      <c r="B499" s="25"/>
      <c r="C499" s="25"/>
      <c r="D499" s="25"/>
      <c r="E499" s="50"/>
      <c r="F499" s="167"/>
      <c r="G499" s="168"/>
      <c r="H499" s="169"/>
      <c r="I499" s="141"/>
      <c r="J499" s="141"/>
      <c r="K499" s="141"/>
      <c r="L499" s="25"/>
      <c r="M499" s="25"/>
      <c r="N499" s="25"/>
      <c r="O499" s="143"/>
      <c r="P499" s="143"/>
      <c r="Q499" s="143"/>
      <c r="R499" s="143"/>
      <c r="S499" s="143"/>
      <c r="T499" s="143"/>
      <c r="U499" s="143"/>
      <c r="V499" s="143"/>
      <c r="W499" s="143"/>
      <c r="X499" s="143"/>
      <c r="Y499" s="143"/>
      <c r="Z499" s="143"/>
      <c r="AA499" s="143"/>
      <c r="AB499" s="143"/>
      <c r="AC499" s="143"/>
      <c r="AD499" s="143"/>
    </row>
    <row r="500">
      <c r="A500" s="25"/>
      <c r="B500" s="25"/>
      <c r="C500" s="25"/>
      <c r="D500" s="25"/>
      <c r="E500" s="50"/>
      <c r="F500" s="167"/>
      <c r="G500" s="168"/>
      <c r="H500" s="169"/>
      <c r="I500" s="141"/>
      <c r="J500" s="141"/>
      <c r="K500" s="141"/>
      <c r="L500" s="25"/>
      <c r="M500" s="25"/>
      <c r="N500" s="25"/>
      <c r="O500" s="143"/>
      <c r="P500" s="143"/>
      <c r="Q500" s="143"/>
      <c r="R500" s="143"/>
      <c r="S500" s="143"/>
      <c r="T500" s="143"/>
      <c r="U500" s="143"/>
      <c r="V500" s="143"/>
      <c r="W500" s="143"/>
      <c r="X500" s="143"/>
      <c r="Y500" s="143"/>
      <c r="Z500" s="143"/>
      <c r="AA500" s="143"/>
      <c r="AB500" s="143"/>
      <c r="AC500" s="143"/>
      <c r="AD500" s="143"/>
    </row>
    <row r="501">
      <c r="A501" s="25"/>
      <c r="B501" s="25"/>
      <c r="C501" s="25"/>
      <c r="D501" s="25"/>
      <c r="E501" s="50"/>
      <c r="F501" s="167"/>
      <c r="G501" s="168"/>
      <c r="H501" s="169"/>
      <c r="I501" s="141"/>
      <c r="J501" s="141"/>
      <c r="K501" s="141"/>
      <c r="L501" s="25"/>
      <c r="M501" s="25"/>
      <c r="N501" s="25"/>
      <c r="O501" s="143"/>
      <c r="P501" s="143"/>
      <c r="Q501" s="143"/>
      <c r="R501" s="143"/>
      <c r="S501" s="143"/>
      <c r="T501" s="143"/>
      <c r="U501" s="143"/>
      <c r="V501" s="143"/>
      <c r="W501" s="143"/>
      <c r="X501" s="143"/>
      <c r="Y501" s="143"/>
      <c r="Z501" s="143"/>
      <c r="AA501" s="143"/>
      <c r="AB501" s="143"/>
      <c r="AC501" s="143"/>
      <c r="AD501" s="143"/>
    </row>
    <row r="502">
      <c r="A502" s="25"/>
      <c r="B502" s="25"/>
      <c r="C502" s="25"/>
      <c r="D502" s="25"/>
      <c r="E502" s="50"/>
      <c r="F502" s="167"/>
      <c r="G502" s="168"/>
      <c r="H502" s="169"/>
      <c r="I502" s="141"/>
      <c r="J502" s="141"/>
      <c r="K502" s="141"/>
      <c r="L502" s="25"/>
      <c r="M502" s="25"/>
      <c r="N502" s="25"/>
      <c r="O502" s="143"/>
      <c r="P502" s="143"/>
      <c r="Q502" s="143"/>
      <c r="R502" s="143"/>
      <c r="S502" s="143"/>
      <c r="T502" s="143"/>
      <c r="U502" s="143"/>
      <c r="V502" s="143"/>
      <c r="W502" s="143"/>
      <c r="X502" s="143"/>
      <c r="Y502" s="143"/>
      <c r="Z502" s="143"/>
      <c r="AA502" s="143"/>
      <c r="AB502" s="143"/>
      <c r="AC502" s="143"/>
      <c r="AD502" s="143"/>
    </row>
    <row r="503">
      <c r="A503" s="25"/>
      <c r="B503" s="25"/>
      <c r="C503" s="25"/>
      <c r="D503" s="25"/>
      <c r="E503" s="50"/>
      <c r="F503" s="167"/>
      <c r="G503" s="168"/>
      <c r="H503" s="169"/>
      <c r="I503" s="141"/>
      <c r="J503" s="141"/>
      <c r="K503" s="141"/>
      <c r="L503" s="25"/>
      <c r="M503" s="25"/>
      <c r="N503" s="25"/>
      <c r="O503" s="143"/>
      <c r="P503" s="143"/>
      <c r="Q503" s="143"/>
      <c r="R503" s="143"/>
      <c r="S503" s="143"/>
      <c r="T503" s="143"/>
      <c r="U503" s="143"/>
      <c r="V503" s="143"/>
      <c r="W503" s="143"/>
      <c r="X503" s="143"/>
      <c r="Y503" s="143"/>
      <c r="Z503" s="143"/>
      <c r="AA503" s="143"/>
      <c r="AB503" s="143"/>
      <c r="AC503" s="143"/>
      <c r="AD503" s="143"/>
    </row>
    <row r="504">
      <c r="A504" s="25"/>
      <c r="B504" s="25"/>
      <c r="C504" s="25"/>
      <c r="D504" s="25"/>
      <c r="E504" s="50"/>
      <c r="F504" s="167"/>
      <c r="G504" s="168"/>
      <c r="H504" s="169"/>
      <c r="I504" s="141"/>
      <c r="J504" s="141"/>
      <c r="K504" s="141"/>
      <c r="L504" s="25"/>
      <c r="M504" s="25"/>
      <c r="N504" s="25"/>
      <c r="O504" s="143"/>
      <c r="P504" s="143"/>
      <c r="Q504" s="143"/>
      <c r="R504" s="143"/>
      <c r="S504" s="143"/>
      <c r="T504" s="143"/>
      <c r="U504" s="143"/>
      <c r="V504" s="143"/>
      <c r="W504" s="143"/>
      <c r="X504" s="143"/>
      <c r="Y504" s="143"/>
      <c r="Z504" s="143"/>
      <c r="AA504" s="143"/>
      <c r="AB504" s="143"/>
      <c r="AC504" s="143"/>
      <c r="AD504" s="143"/>
    </row>
    <row r="505">
      <c r="A505" s="25"/>
      <c r="B505" s="25"/>
      <c r="C505" s="25"/>
      <c r="D505" s="25"/>
      <c r="E505" s="50"/>
      <c r="F505" s="167"/>
      <c r="G505" s="168"/>
      <c r="H505" s="169"/>
      <c r="I505" s="141"/>
      <c r="J505" s="141"/>
      <c r="K505" s="141"/>
      <c r="L505" s="25"/>
      <c r="M505" s="25"/>
      <c r="N505" s="25"/>
      <c r="O505" s="143"/>
      <c r="P505" s="143"/>
      <c r="Q505" s="143"/>
      <c r="R505" s="143"/>
      <c r="S505" s="143"/>
      <c r="T505" s="143"/>
      <c r="U505" s="143"/>
      <c r="V505" s="143"/>
      <c r="W505" s="143"/>
      <c r="X505" s="143"/>
      <c r="Y505" s="143"/>
      <c r="Z505" s="143"/>
      <c r="AA505" s="143"/>
      <c r="AB505" s="143"/>
      <c r="AC505" s="143"/>
      <c r="AD505" s="143"/>
    </row>
    <row r="506">
      <c r="A506" s="25"/>
      <c r="B506" s="25"/>
      <c r="C506" s="25"/>
      <c r="D506" s="25"/>
      <c r="E506" s="50"/>
      <c r="F506" s="167"/>
      <c r="G506" s="168"/>
      <c r="H506" s="169"/>
      <c r="I506" s="141"/>
      <c r="J506" s="141"/>
      <c r="K506" s="141"/>
      <c r="L506" s="25"/>
      <c r="M506" s="25"/>
      <c r="N506" s="25"/>
      <c r="O506" s="143"/>
      <c r="P506" s="143"/>
      <c r="Q506" s="143"/>
      <c r="R506" s="143"/>
      <c r="S506" s="143"/>
      <c r="T506" s="143"/>
      <c r="U506" s="143"/>
      <c r="V506" s="143"/>
      <c r="W506" s="143"/>
      <c r="X506" s="143"/>
      <c r="Y506" s="143"/>
      <c r="Z506" s="143"/>
      <c r="AA506" s="143"/>
      <c r="AB506" s="143"/>
      <c r="AC506" s="143"/>
      <c r="AD506" s="143"/>
    </row>
    <row r="507">
      <c r="A507" s="25"/>
      <c r="B507" s="25"/>
      <c r="C507" s="25"/>
      <c r="D507" s="25"/>
      <c r="E507" s="50"/>
      <c r="F507" s="167"/>
      <c r="G507" s="168"/>
      <c r="H507" s="169"/>
      <c r="I507" s="141"/>
      <c r="J507" s="141"/>
      <c r="K507" s="141"/>
      <c r="L507" s="25"/>
      <c r="M507" s="25"/>
      <c r="N507" s="25"/>
      <c r="O507" s="143"/>
      <c r="P507" s="143"/>
      <c r="Q507" s="143"/>
      <c r="R507" s="143"/>
      <c r="S507" s="143"/>
      <c r="T507" s="143"/>
      <c r="U507" s="143"/>
      <c r="V507" s="143"/>
      <c r="W507" s="143"/>
      <c r="X507" s="143"/>
      <c r="Y507" s="143"/>
      <c r="Z507" s="143"/>
      <c r="AA507" s="143"/>
      <c r="AB507" s="143"/>
      <c r="AC507" s="143"/>
      <c r="AD507" s="143"/>
    </row>
    <row r="508">
      <c r="A508" s="25"/>
      <c r="B508" s="25"/>
      <c r="C508" s="25"/>
      <c r="D508" s="25"/>
      <c r="E508" s="50"/>
      <c r="F508" s="167"/>
      <c r="G508" s="168"/>
      <c r="H508" s="169"/>
      <c r="I508" s="141"/>
      <c r="J508" s="141"/>
      <c r="K508" s="141"/>
      <c r="L508" s="25"/>
      <c r="M508" s="25"/>
      <c r="N508" s="25"/>
      <c r="O508" s="143"/>
      <c r="P508" s="143"/>
      <c r="Q508" s="143"/>
      <c r="R508" s="143"/>
      <c r="S508" s="143"/>
      <c r="T508" s="143"/>
      <c r="U508" s="143"/>
      <c r="V508" s="143"/>
      <c r="W508" s="143"/>
      <c r="X508" s="143"/>
      <c r="Y508" s="143"/>
      <c r="Z508" s="143"/>
      <c r="AA508" s="143"/>
      <c r="AB508" s="143"/>
      <c r="AC508" s="143"/>
      <c r="AD508" s="143"/>
    </row>
    <row r="509">
      <c r="A509" s="25"/>
      <c r="B509" s="25"/>
      <c r="C509" s="25"/>
      <c r="D509" s="25"/>
      <c r="E509" s="50"/>
      <c r="F509" s="167"/>
      <c r="G509" s="168"/>
      <c r="H509" s="169"/>
      <c r="I509" s="141"/>
      <c r="J509" s="141"/>
      <c r="K509" s="141"/>
      <c r="L509" s="25"/>
      <c r="M509" s="25"/>
      <c r="N509" s="25"/>
      <c r="O509" s="143"/>
      <c r="P509" s="143"/>
      <c r="Q509" s="143"/>
      <c r="R509" s="143"/>
      <c r="S509" s="143"/>
      <c r="T509" s="143"/>
      <c r="U509" s="143"/>
      <c r="V509" s="143"/>
      <c r="W509" s="143"/>
      <c r="X509" s="143"/>
      <c r="Y509" s="143"/>
      <c r="Z509" s="143"/>
      <c r="AA509" s="143"/>
      <c r="AB509" s="143"/>
      <c r="AC509" s="143"/>
      <c r="AD509" s="143"/>
    </row>
    <row r="510">
      <c r="A510" s="25"/>
      <c r="B510" s="25"/>
      <c r="C510" s="25"/>
      <c r="D510" s="25"/>
      <c r="E510" s="50"/>
      <c r="F510" s="167"/>
      <c r="G510" s="168"/>
      <c r="H510" s="169"/>
      <c r="I510" s="141"/>
      <c r="J510" s="141"/>
      <c r="K510" s="141"/>
      <c r="L510" s="25"/>
      <c r="M510" s="25"/>
      <c r="N510" s="25"/>
      <c r="O510" s="143"/>
      <c r="P510" s="143"/>
      <c r="Q510" s="143"/>
      <c r="R510" s="143"/>
      <c r="S510" s="143"/>
      <c r="T510" s="143"/>
      <c r="U510" s="143"/>
      <c r="V510" s="143"/>
      <c r="W510" s="143"/>
      <c r="X510" s="143"/>
      <c r="Y510" s="143"/>
      <c r="Z510" s="143"/>
      <c r="AA510" s="143"/>
      <c r="AB510" s="143"/>
      <c r="AC510" s="143"/>
      <c r="AD510" s="143"/>
    </row>
    <row r="511">
      <c r="A511" s="25"/>
      <c r="B511" s="25"/>
      <c r="C511" s="25"/>
      <c r="D511" s="25"/>
      <c r="E511" s="50"/>
      <c r="F511" s="167"/>
      <c r="G511" s="168"/>
      <c r="H511" s="169"/>
      <c r="I511" s="141"/>
      <c r="J511" s="141"/>
      <c r="K511" s="141"/>
      <c r="L511" s="25"/>
      <c r="M511" s="25"/>
      <c r="N511" s="25"/>
      <c r="O511" s="143"/>
      <c r="P511" s="143"/>
      <c r="Q511" s="143"/>
      <c r="R511" s="143"/>
      <c r="S511" s="143"/>
      <c r="T511" s="143"/>
      <c r="U511" s="143"/>
      <c r="V511" s="143"/>
      <c r="W511" s="143"/>
      <c r="X511" s="143"/>
      <c r="Y511" s="143"/>
      <c r="Z511" s="143"/>
      <c r="AA511" s="143"/>
      <c r="AB511" s="143"/>
      <c r="AC511" s="143"/>
      <c r="AD511" s="143"/>
    </row>
    <row r="512">
      <c r="A512" s="25"/>
      <c r="B512" s="25"/>
      <c r="C512" s="25"/>
      <c r="D512" s="25"/>
      <c r="E512" s="50"/>
      <c r="F512" s="167"/>
      <c r="G512" s="168"/>
      <c r="H512" s="169"/>
      <c r="I512" s="141"/>
      <c r="J512" s="141"/>
      <c r="K512" s="141"/>
      <c r="L512" s="25"/>
      <c r="M512" s="25"/>
      <c r="N512" s="25"/>
      <c r="O512" s="143"/>
      <c r="P512" s="143"/>
      <c r="Q512" s="143"/>
      <c r="R512" s="143"/>
      <c r="S512" s="143"/>
      <c r="T512" s="143"/>
      <c r="U512" s="143"/>
      <c r="V512" s="143"/>
      <c r="W512" s="143"/>
      <c r="X512" s="143"/>
      <c r="Y512" s="143"/>
      <c r="Z512" s="143"/>
      <c r="AA512" s="143"/>
      <c r="AB512" s="143"/>
      <c r="AC512" s="143"/>
      <c r="AD512" s="143"/>
    </row>
    <row r="513">
      <c r="A513" s="25"/>
      <c r="B513" s="25"/>
      <c r="C513" s="25"/>
      <c r="D513" s="25"/>
      <c r="E513" s="50"/>
      <c r="F513" s="167"/>
      <c r="G513" s="168"/>
      <c r="H513" s="169"/>
      <c r="I513" s="141"/>
      <c r="J513" s="141"/>
      <c r="K513" s="141"/>
      <c r="L513" s="25"/>
      <c r="M513" s="25"/>
      <c r="N513" s="25"/>
      <c r="O513" s="143"/>
      <c r="P513" s="143"/>
      <c r="Q513" s="143"/>
      <c r="R513" s="143"/>
      <c r="S513" s="143"/>
      <c r="T513" s="143"/>
      <c r="U513" s="143"/>
      <c r="V513" s="143"/>
      <c r="W513" s="143"/>
      <c r="X513" s="143"/>
      <c r="Y513" s="143"/>
      <c r="Z513" s="143"/>
      <c r="AA513" s="143"/>
      <c r="AB513" s="143"/>
      <c r="AC513" s="143"/>
      <c r="AD513" s="143"/>
    </row>
    <row r="514">
      <c r="A514" s="25"/>
      <c r="B514" s="25"/>
      <c r="C514" s="25"/>
      <c r="D514" s="25"/>
      <c r="E514" s="50"/>
      <c r="F514" s="167"/>
      <c r="G514" s="168"/>
      <c r="H514" s="169"/>
      <c r="I514" s="141"/>
      <c r="J514" s="141"/>
      <c r="K514" s="141"/>
      <c r="L514" s="25"/>
      <c r="M514" s="25"/>
      <c r="N514" s="25"/>
      <c r="O514" s="143"/>
      <c r="P514" s="143"/>
      <c r="Q514" s="143"/>
      <c r="R514" s="143"/>
      <c r="S514" s="143"/>
      <c r="T514" s="143"/>
      <c r="U514" s="143"/>
      <c r="V514" s="143"/>
      <c r="W514" s="143"/>
      <c r="X514" s="143"/>
      <c r="Y514" s="143"/>
      <c r="Z514" s="143"/>
      <c r="AA514" s="143"/>
      <c r="AB514" s="143"/>
      <c r="AC514" s="143"/>
      <c r="AD514" s="143"/>
    </row>
    <row r="515">
      <c r="A515" s="25"/>
      <c r="B515" s="25"/>
      <c r="C515" s="25"/>
      <c r="D515" s="25"/>
      <c r="E515" s="50"/>
      <c r="F515" s="167"/>
      <c r="G515" s="168"/>
      <c r="H515" s="169"/>
      <c r="I515" s="141"/>
      <c r="J515" s="141"/>
      <c r="K515" s="141"/>
      <c r="L515" s="25"/>
      <c r="M515" s="25"/>
      <c r="N515" s="25"/>
      <c r="O515" s="143"/>
      <c r="P515" s="143"/>
      <c r="Q515" s="143"/>
      <c r="R515" s="143"/>
      <c r="S515" s="143"/>
      <c r="T515" s="143"/>
      <c r="U515" s="143"/>
      <c r="V515" s="143"/>
      <c r="W515" s="143"/>
      <c r="X515" s="143"/>
      <c r="Y515" s="143"/>
      <c r="Z515" s="143"/>
      <c r="AA515" s="143"/>
      <c r="AB515" s="143"/>
      <c r="AC515" s="143"/>
      <c r="AD515" s="143"/>
    </row>
    <row r="516">
      <c r="A516" s="25"/>
      <c r="B516" s="25"/>
      <c r="C516" s="25"/>
      <c r="D516" s="25"/>
      <c r="E516" s="50"/>
      <c r="F516" s="167"/>
      <c r="G516" s="168"/>
      <c r="H516" s="169"/>
      <c r="I516" s="141"/>
      <c r="J516" s="141"/>
      <c r="K516" s="141"/>
      <c r="L516" s="25"/>
      <c r="M516" s="25"/>
      <c r="N516" s="25"/>
      <c r="O516" s="143"/>
      <c r="P516" s="143"/>
      <c r="Q516" s="143"/>
      <c r="R516" s="143"/>
      <c r="S516" s="143"/>
      <c r="T516" s="143"/>
      <c r="U516" s="143"/>
      <c r="V516" s="143"/>
      <c r="W516" s="143"/>
      <c r="X516" s="143"/>
      <c r="Y516" s="143"/>
      <c r="Z516" s="143"/>
      <c r="AA516" s="143"/>
      <c r="AB516" s="143"/>
      <c r="AC516" s="143"/>
      <c r="AD516" s="143"/>
    </row>
    <row r="517">
      <c r="A517" s="25"/>
      <c r="B517" s="25"/>
      <c r="C517" s="25"/>
      <c r="D517" s="25"/>
      <c r="E517" s="50"/>
      <c r="F517" s="167"/>
      <c r="G517" s="168"/>
      <c r="H517" s="169"/>
      <c r="I517" s="141"/>
      <c r="J517" s="141"/>
      <c r="K517" s="141"/>
      <c r="L517" s="25"/>
      <c r="M517" s="25"/>
      <c r="N517" s="25"/>
      <c r="O517" s="143"/>
      <c r="P517" s="143"/>
      <c r="Q517" s="143"/>
      <c r="R517" s="143"/>
      <c r="S517" s="143"/>
      <c r="T517" s="143"/>
      <c r="U517" s="143"/>
      <c r="V517" s="143"/>
      <c r="W517" s="143"/>
      <c r="X517" s="143"/>
      <c r="Y517" s="143"/>
      <c r="Z517" s="143"/>
      <c r="AA517" s="143"/>
      <c r="AB517" s="143"/>
      <c r="AC517" s="143"/>
      <c r="AD517" s="143"/>
    </row>
    <row r="518">
      <c r="A518" s="25"/>
      <c r="B518" s="25"/>
      <c r="C518" s="25"/>
      <c r="D518" s="25"/>
      <c r="E518" s="50"/>
      <c r="F518" s="167"/>
      <c r="G518" s="168"/>
      <c r="H518" s="169"/>
      <c r="I518" s="141"/>
      <c r="J518" s="141"/>
      <c r="K518" s="141"/>
      <c r="L518" s="25"/>
      <c r="M518" s="25"/>
      <c r="N518" s="25"/>
      <c r="O518" s="143"/>
      <c r="P518" s="143"/>
      <c r="Q518" s="143"/>
      <c r="R518" s="143"/>
      <c r="S518" s="143"/>
      <c r="T518" s="143"/>
      <c r="U518" s="143"/>
      <c r="V518" s="143"/>
      <c r="W518" s="143"/>
      <c r="X518" s="143"/>
      <c r="Y518" s="143"/>
      <c r="Z518" s="143"/>
      <c r="AA518" s="143"/>
      <c r="AB518" s="143"/>
      <c r="AC518" s="143"/>
      <c r="AD518" s="143"/>
    </row>
    <row r="519">
      <c r="A519" s="25"/>
      <c r="B519" s="25"/>
      <c r="C519" s="25"/>
      <c r="D519" s="25"/>
      <c r="E519" s="50"/>
      <c r="F519" s="167"/>
      <c r="G519" s="168"/>
      <c r="H519" s="169"/>
      <c r="I519" s="141"/>
      <c r="J519" s="141"/>
      <c r="K519" s="141"/>
      <c r="L519" s="25"/>
      <c r="M519" s="25"/>
      <c r="N519" s="25"/>
      <c r="O519" s="143"/>
      <c r="P519" s="143"/>
      <c r="Q519" s="143"/>
      <c r="R519" s="143"/>
      <c r="S519" s="143"/>
      <c r="T519" s="143"/>
      <c r="U519" s="143"/>
      <c r="V519" s="143"/>
      <c r="W519" s="143"/>
      <c r="X519" s="143"/>
      <c r="Y519" s="143"/>
      <c r="Z519" s="143"/>
      <c r="AA519" s="143"/>
      <c r="AB519" s="143"/>
      <c r="AC519" s="143"/>
      <c r="AD519" s="143"/>
    </row>
    <row r="520">
      <c r="A520" s="25"/>
      <c r="B520" s="25"/>
      <c r="C520" s="25"/>
      <c r="D520" s="25"/>
      <c r="E520" s="50"/>
      <c r="F520" s="167"/>
      <c r="G520" s="168"/>
      <c r="H520" s="169"/>
      <c r="I520" s="141"/>
      <c r="J520" s="141"/>
      <c r="K520" s="141"/>
      <c r="L520" s="25"/>
      <c r="M520" s="25"/>
      <c r="N520" s="25"/>
      <c r="O520" s="143"/>
      <c r="P520" s="143"/>
      <c r="Q520" s="143"/>
      <c r="R520" s="143"/>
      <c r="S520" s="143"/>
      <c r="T520" s="143"/>
      <c r="U520" s="143"/>
      <c r="V520" s="143"/>
      <c r="W520" s="143"/>
      <c r="X520" s="143"/>
      <c r="Y520" s="143"/>
      <c r="Z520" s="143"/>
      <c r="AA520" s="143"/>
      <c r="AB520" s="143"/>
      <c r="AC520" s="143"/>
      <c r="AD520" s="143"/>
    </row>
    <row r="521">
      <c r="A521" s="25"/>
      <c r="B521" s="25"/>
      <c r="C521" s="25"/>
      <c r="D521" s="25"/>
      <c r="E521" s="50"/>
      <c r="F521" s="167"/>
      <c r="G521" s="168"/>
      <c r="H521" s="169"/>
      <c r="I521" s="141"/>
      <c r="J521" s="141"/>
      <c r="K521" s="141"/>
      <c r="L521" s="25"/>
      <c r="M521" s="25"/>
      <c r="N521" s="25"/>
      <c r="O521" s="143"/>
      <c r="P521" s="143"/>
      <c r="Q521" s="143"/>
      <c r="R521" s="143"/>
      <c r="S521" s="143"/>
      <c r="T521" s="143"/>
      <c r="U521" s="143"/>
      <c r="V521" s="143"/>
      <c r="W521" s="143"/>
      <c r="X521" s="143"/>
      <c r="Y521" s="143"/>
      <c r="Z521" s="143"/>
      <c r="AA521" s="143"/>
      <c r="AB521" s="143"/>
      <c r="AC521" s="143"/>
      <c r="AD521" s="143"/>
    </row>
    <row r="522">
      <c r="A522" s="25"/>
      <c r="B522" s="25"/>
      <c r="C522" s="25"/>
      <c r="D522" s="25"/>
      <c r="E522" s="50"/>
      <c r="F522" s="167"/>
      <c r="G522" s="168"/>
      <c r="H522" s="169"/>
      <c r="I522" s="141"/>
      <c r="J522" s="141"/>
      <c r="K522" s="141"/>
      <c r="L522" s="25"/>
      <c r="M522" s="25"/>
      <c r="N522" s="25"/>
      <c r="O522" s="143"/>
      <c r="P522" s="143"/>
      <c r="Q522" s="143"/>
      <c r="R522" s="143"/>
      <c r="S522" s="143"/>
      <c r="T522" s="143"/>
      <c r="U522" s="143"/>
      <c r="V522" s="143"/>
      <c r="W522" s="143"/>
      <c r="X522" s="143"/>
      <c r="Y522" s="143"/>
      <c r="Z522" s="143"/>
      <c r="AA522" s="143"/>
      <c r="AB522" s="143"/>
      <c r="AC522" s="143"/>
      <c r="AD522" s="143"/>
    </row>
    <row r="523">
      <c r="A523" s="25"/>
      <c r="B523" s="25"/>
      <c r="C523" s="25"/>
      <c r="D523" s="25"/>
      <c r="E523" s="50"/>
      <c r="F523" s="167"/>
      <c r="G523" s="168"/>
      <c r="H523" s="169"/>
      <c r="I523" s="141"/>
      <c r="J523" s="141"/>
      <c r="K523" s="141"/>
      <c r="L523" s="25"/>
      <c r="M523" s="25"/>
      <c r="N523" s="25"/>
      <c r="O523" s="143"/>
      <c r="P523" s="143"/>
      <c r="Q523" s="143"/>
      <c r="R523" s="143"/>
      <c r="S523" s="143"/>
      <c r="T523" s="143"/>
      <c r="U523" s="143"/>
      <c r="V523" s="143"/>
      <c r="W523" s="143"/>
      <c r="X523" s="143"/>
      <c r="Y523" s="143"/>
      <c r="Z523" s="143"/>
      <c r="AA523" s="143"/>
      <c r="AB523" s="143"/>
      <c r="AC523" s="143"/>
      <c r="AD523" s="143"/>
    </row>
    <row r="524">
      <c r="A524" s="25"/>
      <c r="B524" s="25"/>
      <c r="C524" s="25"/>
      <c r="D524" s="25"/>
      <c r="E524" s="50"/>
      <c r="F524" s="167"/>
      <c r="G524" s="168"/>
      <c r="H524" s="169"/>
      <c r="I524" s="141"/>
      <c r="J524" s="141"/>
      <c r="K524" s="141"/>
      <c r="L524" s="25"/>
      <c r="M524" s="25"/>
      <c r="N524" s="25"/>
      <c r="O524" s="143"/>
      <c r="P524" s="143"/>
      <c r="Q524" s="143"/>
      <c r="R524" s="143"/>
      <c r="S524" s="143"/>
      <c r="T524" s="143"/>
      <c r="U524" s="143"/>
      <c r="V524" s="143"/>
      <c r="W524" s="143"/>
      <c r="X524" s="143"/>
      <c r="Y524" s="143"/>
      <c r="Z524" s="143"/>
      <c r="AA524" s="143"/>
      <c r="AB524" s="143"/>
      <c r="AC524" s="143"/>
      <c r="AD524" s="143"/>
    </row>
    <row r="525">
      <c r="A525" s="25"/>
      <c r="B525" s="25"/>
      <c r="C525" s="25"/>
      <c r="D525" s="25"/>
      <c r="E525" s="50"/>
      <c r="F525" s="167"/>
      <c r="G525" s="168"/>
      <c r="H525" s="169"/>
      <c r="I525" s="141"/>
      <c r="J525" s="141"/>
      <c r="K525" s="141"/>
      <c r="L525" s="25"/>
      <c r="M525" s="25"/>
      <c r="N525" s="25"/>
      <c r="O525" s="143"/>
      <c r="P525" s="143"/>
      <c r="Q525" s="143"/>
      <c r="R525" s="143"/>
      <c r="S525" s="143"/>
      <c r="T525" s="143"/>
      <c r="U525" s="143"/>
      <c r="V525" s="143"/>
      <c r="W525" s="143"/>
      <c r="X525" s="143"/>
      <c r="Y525" s="143"/>
      <c r="Z525" s="143"/>
      <c r="AA525" s="143"/>
      <c r="AB525" s="143"/>
      <c r="AC525" s="143"/>
      <c r="AD525" s="143"/>
    </row>
    <row r="526">
      <c r="A526" s="25"/>
      <c r="B526" s="25"/>
      <c r="C526" s="25"/>
      <c r="D526" s="25"/>
      <c r="E526" s="50"/>
      <c r="F526" s="167"/>
      <c r="G526" s="168"/>
      <c r="H526" s="169"/>
      <c r="I526" s="141"/>
      <c r="J526" s="141"/>
      <c r="K526" s="141"/>
      <c r="L526" s="25"/>
      <c r="M526" s="25"/>
      <c r="N526" s="25"/>
      <c r="O526" s="143"/>
      <c r="P526" s="143"/>
      <c r="Q526" s="143"/>
      <c r="R526" s="143"/>
      <c r="S526" s="143"/>
      <c r="T526" s="143"/>
      <c r="U526" s="143"/>
      <c r="V526" s="143"/>
      <c r="W526" s="143"/>
      <c r="X526" s="143"/>
      <c r="Y526" s="143"/>
      <c r="Z526" s="143"/>
      <c r="AA526" s="143"/>
      <c r="AB526" s="143"/>
      <c r="AC526" s="143"/>
      <c r="AD526" s="143"/>
    </row>
    <row r="527">
      <c r="A527" s="25"/>
      <c r="B527" s="25"/>
      <c r="C527" s="25"/>
      <c r="D527" s="25"/>
      <c r="E527" s="50"/>
      <c r="F527" s="167"/>
      <c r="G527" s="168"/>
      <c r="H527" s="169"/>
      <c r="I527" s="141"/>
      <c r="J527" s="141"/>
      <c r="K527" s="141"/>
      <c r="L527" s="25"/>
      <c r="M527" s="25"/>
      <c r="N527" s="25"/>
      <c r="O527" s="143"/>
      <c r="P527" s="143"/>
      <c r="Q527" s="143"/>
      <c r="R527" s="143"/>
      <c r="S527" s="143"/>
      <c r="T527" s="143"/>
      <c r="U527" s="143"/>
      <c r="V527" s="143"/>
      <c r="W527" s="143"/>
      <c r="X527" s="143"/>
      <c r="Y527" s="143"/>
      <c r="Z527" s="143"/>
      <c r="AA527" s="143"/>
      <c r="AB527" s="143"/>
      <c r="AC527" s="143"/>
      <c r="AD527" s="143"/>
    </row>
    <row r="528">
      <c r="A528" s="25"/>
      <c r="B528" s="25"/>
      <c r="C528" s="25"/>
      <c r="D528" s="25"/>
      <c r="E528" s="50"/>
      <c r="F528" s="167"/>
      <c r="G528" s="168"/>
      <c r="H528" s="169"/>
      <c r="I528" s="141"/>
      <c r="J528" s="141"/>
      <c r="K528" s="141"/>
      <c r="L528" s="25"/>
      <c r="M528" s="25"/>
      <c r="N528" s="25"/>
      <c r="O528" s="143"/>
      <c r="P528" s="143"/>
      <c r="Q528" s="143"/>
      <c r="R528" s="143"/>
      <c r="S528" s="143"/>
      <c r="T528" s="143"/>
      <c r="U528" s="143"/>
      <c r="V528" s="143"/>
      <c r="W528" s="143"/>
      <c r="X528" s="143"/>
      <c r="Y528" s="143"/>
      <c r="Z528" s="143"/>
      <c r="AA528" s="143"/>
      <c r="AB528" s="143"/>
      <c r="AC528" s="143"/>
      <c r="AD528" s="143"/>
    </row>
    <row r="529">
      <c r="A529" s="25"/>
      <c r="B529" s="25"/>
      <c r="C529" s="25"/>
      <c r="D529" s="25"/>
      <c r="E529" s="50"/>
      <c r="F529" s="167"/>
      <c r="G529" s="168"/>
      <c r="H529" s="169"/>
      <c r="I529" s="141"/>
      <c r="J529" s="141"/>
      <c r="K529" s="141"/>
      <c r="L529" s="25"/>
      <c r="M529" s="25"/>
      <c r="N529" s="25"/>
      <c r="O529" s="143"/>
      <c r="P529" s="143"/>
      <c r="Q529" s="143"/>
      <c r="R529" s="143"/>
      <c r="S529" s="143"/>
      <c r="T529" s="143"/>
      <c r="U529" s="143"/>
      <c r="V529" s="143"/>
      <c r="W529" s="143"/>
      <c r="X529" s="143"/>
      <c r="Y529" s="143"/>
      <c r="Z529" s="143"/>
      <c r="AA529" s="143"/>
      <c r="AB529" s="143"/>
      <c r="AC529" s="143"/>
      <c r="AD529" s="143"/>
    </row>
    <row r="530">
      <c r="A530" s="25"/>
      <c r="B530" s="25"/>
      <c r="C530" s="25"/>
      <c r="D530" s="25"/>
      <c r="E530" s="50"/>
      <c r="F530" s="167"/>
      <c r="G530" s="168"/>
      <c r="H530" s="169"/>
      <c r="I530" s="141"/>
      <c r="J530" s="141"/>
      <c r="K530" s="141"/>
      <c r="L530" s="25"/>
      <c r="M530" s="25"/>
      <c r="N530" s="25"/>
      <c r="O530" s="143"/>
      <c r="P530" s="143"/>
      <c r="Q530" s="143"/>
      <c r="R530" s="143"/>
      <c r="S530" s="143"/>
      <c r="T530" s="143"/>
      <c r="U530" s="143"/>
      <c r="V530" s="143"/>
      <c r="W530" s="143"/>
      <c r="X530" s="143"/>
      <c r="Y530" s="143"/>
      <c r="Z530" s="143"/>
      <c r="AA530" s="143"/>
      <c r="AB530" s="143"/>
      <c r="AC530" s="143"/>
      <c r="AD530" s="143"/>
    </row>
    <row r="531">
      <c r="A531" s="25"/>
      <c r="B531" s="25"/>
      <c r="C531" s="25"/>
      <c r="D531" s="25"/>
      <c r="E531" s="50"/>
      <c r="F531" s="167"/>
      <c r="G531" s="168"/>
      <c r="H531" s="169"/>
      <c r="I531" s="141"/>
      <c r="J531" s="141"/>
      <c r="K531" s="141"/>
      <c r="L531" s="25"/>
      <c r="M531" s="25"/>
      <c r="N531" s="25"/>
      <c r="O531" s="143"/>
      <c r="P531" s="143"/>
      <c r="Q531" s="143"/>
      <c r="R531" s="143"/>
      <c r="S531" s="143"/>
      <c r="T531" s="143"/>
      <c r="U531" s="143"/>
      <c r="V531" s="143"/>
      <c r="W531" s="143"/>
      <c r="X531" s="143"/>
      <c r="Y531" s="143"/>
      <c r="Z531" s="143"/>
      <c r="AA531" s="143"/>
      <c r="AB531" s="143"/>
      <c r="AC531" s="143"/>
      <c r="AD531" s="143"/>
    </row>
    <row r="532">
      <c r="A532" s="25"/>
      <c r="B532" s="25"/>
      <c r="C532" s="25"/>
      <c r="D532" s="25"/>
      <c r="E532" s="50"/>
      <c r="F532" s="167"/>
      <c r="G532" s="168"/>
      <c r="H532" s="169"/>
      <c r="I532" s="141"/>
      <c r="J532" s="141"/>
      <c r="K532" s="141"/>
      <c r="L532" s="25"/>
      <c r="M532" s="25"/>
      <c r="N532" s="25"/>
      <c r="O532" s="143"/>
      <c r="P532" s="143"/>
      <c r="Q532" s="143"/>
      <c r="R532" s="143"/>
      <c r="S532" s="143"/>
      <c r="T532" s="143"/>
      <c r="U532" s="143"/>
      <c r="V532" s="143"/>
      <c r="W532" s="143"/>
      <c r="X532" s="143"/>
      <c r="Y532" s="143"/>
      <c r="Z532" s="143"/>
      <c r="AA532" s="143"/>
      <c r="AB532" s="143"/>
      <c r="AC532" s="143"/>
      <c r="AD532" s="143"/>
    </row>
    <row r="533">
      <c r="A533" s="25"/>
      <c r="B533" s="25"/>
      <c r="C533" s="25"/>
      <c r="D533" s="25"/>
      <c r="E533" s="50"/>
      <c r="F533" s="167"/>
      <c r="G533" s="168"/>
      <c r="H533" s="169"/>
      <c r="I533" s="141"/>
      <c r="J533" s="141"/>
      <c r="K533" s="141"/>
      <c r="L533" s="25"/>
      <c r="M533" s="25"/>
      <c r="N533" s="25"/>
      <c r="O533" s="143"/>
      <c r="P533" s="143"/>
      <c r="Q533" s="143"/>
      <c r="R533" s="143"/>
      <c r="S533" s="143"/>
      <c r="T533" s="143"/>
      <c r="U533" s="143"/>
      <c r="V533" s="143"/>
      <c r="W533" s="143"/>
      <c r="X533" s="143"/>
      <c r="Y533" s="143"/>
      <c r="Z533" s="143"/>
      <c r="AA533" s="143"/>
      <c r="AB533" s="143"/>
      <c r="AC533" s="143"/>
      <c r="AD533" s="143"/>
    </row>
    <row r="534">
      <c r="A534" s="25"/>
      <c r="B534" s="25"/>
      <c r="C534" s="25"/>
      <c r="D534" s="25"/>
      <c r="E534" s="50"/>
      <c r="F534" s="167"/>
      <c r="G534" s="168"/>
      <c r="H534" s="169"/>
      <c r="I534" s="141"/>
      <c r="J534" s="141"/>
      <c r="K534" s="141"/>
      <c r="L534" s="25"/>
      <c r="M534" s="25"/>
      <c r="N534" s="25"/>
      <c r="O534" s="143"/>
      <c r="P534" s="143"/>
      <c r="Q534" s="143"/>
      <c r="R534" s="143"/>
      <c r="S534" s="143"/>
      <c r="T534" s="143"/>
      <c r="U534" s="143"/>
      <c r="V534" s="143"/>
      <c r="W534" s="143"/>
      <c r="X534" s="143"/>
      <c r="Y534" s="143"/>
      <c r="Z534" s="143"/>
      <c r="AA534" s="143"/>
      <c r="AB534" s="143"/>
      <c r="AC534" s="143"/>
      <c r="AD534" s="143"/>
    </row>
    <row r="535">
      <c r="A535" s="25"/>
      <c r="B535" s="25"/>
      <c r="C535" s="25"/>
      <c r="D535" s="25"/>
      <c r="E535" s="50"/>
      <c r="F535" s="167"/>
      <c r="G535" s="168"/>
      <c r="H535" s="169"/>
      <c r="I535" s="141"/>
      <c r="J535" s="141"/>
      <c r="K535" s="141"/>
      <c r="L535" s="25"/>
      <c r="M535" s="25"/>
      <c r="N535" s="25"/>
      <c r="O535" s="143"/>
      <c r="P535" s="143"/>
      <c r="Q535" s="143"/>
      <c r="R535" s="143"/>
      <c r="S535" s="143"/>
      <c r="T535" s="143"/>
      <c r="U535" s="143"/>
      <c r="V535" s="143"/>
      <c r="W535" s="143"/>
      <c r="X535" s="143"/>
      <c r="Y535" s="143"/>
      <c r="Z535" s="143"/>
      <c r="AA535" s="143"/>
      <c r="AB535" s="143"/>
      <c r="AC535" s="143"/>
      <c r="AD535" s="143"/>
    </row>
    <row r="536">
      <c r="A536" s="25"/>
      <c r="B536" s="25"/>
      <c r="C536" s="25"/>
      <c r="D536" s="25"/>
      <c r="E536" s="50"/>
      <c r="F536" s="167"/>
      <c r="G536" s="168"/>
      <c r="H536" s="169"/>
      <c r="I536" s="141"/>
      <c r="J536" s="141"/>
      <c r="K536" s="141"/>
      <c r="L536" s="25"/>
      <c r="M536" s="25"/>
      <c r="N536" s="25"/>
      <c r="O536" s="143"/>
      <c r="P536" s="143"/>
      <c r="Q536" s="143"/>
      <c r="R536" s="143"/>
      <c r="S536" s="143"/>
      <c r="T536" s="143"/>
      <c r="U536" s="143"/>
      <c r="V536" s="143"/>
      <c r="W536" s="143"/>
      <c r="X536" s="143"/>
      <c r="Y536" s="143"/>
      <c r="Z536" s="143"/>
      <c r="AA536" s="143"/>
      <c r="AB536" s="143"/>
      <c r="AC536" s="143"/>
      <c r="AD536" s="143"/>
    </row>
    <row r="537">
      <c r="A537" s="25"/>
      <c r="B537" s="25"/>
      <c r="C537" s="25"/>
      <c r="D537" s="25"/>
      <c r="E537" s="50"/>
      <c r="F537" s="167"/>
      <c r="G537" s="168"/>
      <c r="H537" s="169"/>
      <c r="I537" s="141"/>
      <c r="J537" s="141"/>
      <c r="K537" s="141"/>
      <c r="L537" s="25"/>
      <c r="M537" s="25"/>
      <c r="N537" s="25"/>
      <c r="O537" s="143"/>
      <c r="P537" s="143"/>
      <c r="Q537" s="143"/>
      <c r="R537" s="143"/>
      <c r="S537" s="143"/>
      <c r="T537" s="143"/>
      <c r="U537" s="143"/>
      <c r="V537" s="143"/>
      <c r="W537" s="143"/>
      <c r="X537" s="143"/>
      <c r="Y537" s="143"/>
      <c r="Z537" s="143"/>
      <c r="AA537" s="143"/>
      <c r="AB537" s="143"/>
      <c r="AC537" s="143"/>
      <c r="AD537" s="143"/>
    </row>
    <row r="538">
      <c r="A538" s="25"/>
      <c r="B538" s="25"/>
      <c r="C538" s="25"/>
      <c r="D538" s="25"/>
      <c r="E538" s="50"/>
      <c r="F538" s="167"/>
      <c r="G538" s="168"/>
      <c r="H538" s="169"/>
      <c r="I538" s="141"/>
      <c r="J538" s="141"/>
      <c r="K538" s="141"/>
      <c r="L538" s="25"/>
      <c r="M538" s="25"/>
      <c r="N538" s="25"/>
      <c r="O538" s="143"/>
      <c r="P538" s="143"/>
      <c r="Q538" s="143"/>
      <c r="R538" s="143"/>
      <c r="S538" s="143"/>
      <c r="T538" s="143"/>
      <c r="U538" s="143"/>
      <c r="V538" s="143"/>
      <c r="W538" s="143"/>
      <c r="X538" s="143"/>
      <c r="Y538" s="143"/>
      <c r="Z538" s="143"/>
      <c r="AA538" s="143"/>
      <c r="AB538" s="143"/>
      <c r="AC538" s="143"/>
      <c r="AD538" s="143"/>
    </row>
    <row r="539">
      <c r="A539" s="25"/>
      <c r="B539" s="25"/>
      <c r="C539" s="25"/>
      <c r="D539" s="25"/>
      <c r="E539" s="50"/>
      <c r="F539" s="167"/>
      <c r="G539" s="168"/>
      <c r="H539" s="169"/>
      <c r="I539" s="141"/>
      <c r="J539" s="141"/>
      <c r="K539" s="141"/>
      <c r="L539" s="25"/>
      <c r="M539" s="25"/>
      <c r="N539" s="25"/>
      <c r="O539" s="143"/>
      <c r="P539" s="143"/>
      <c r="Q539" s="143"/>
      <c r="R539" s="143"/>
      <c r="S539" s="143"/>
      <c r="T539" s="143"/>
      <c r="U539" s="143"/>
      <c r="V539" s="143"/>
      <c r="W539" s="143"/>
      <c r="X539" s="143"/>
      <c r="Y539" s="143"/>
      <c r="Z539" s="143"/>
      <c r="AA539" s="143"/>
      <c r="AB539" s="143"/>
      <c r="AC539" s="143"/>
      <c r="AD539" s="143"/>
    </row>
    <row r="540">
      <c r="A540" s="25"/>
      <c r="B540" s="25"/>
      <c r="C540" s="25"/>
      <c r="D540" s="25"/>
      <c r="E540" s="50"/>
      <c r="F540" s="167"/>
      <c r="G540" s="168"/>
      <c r="H540" s="169"/>
      <c r="I540" s="141"/>
      <c r="J540" s="141"/>
      <c r="K540" s="141"/>
      <c r="L540" s="25"/>
      <c r="M540" s="25"/>
      <c r="N540" s="25"/>
      <c r="O540" s="143"/>
      <c r="P540" s="143"/>
      <c r="Q540" s="143"/>
      <c r="R540" s="143"/>
      <c r="S540" s="143"/>
      <c r="T540" s="143"/>
      <c r="U540" s="143"/>
      <c r="V540" s="143"/>
      <c r="W540" s="143"/>
      <c r="X540" s="143"/>
      <c r="Y540" s="143"/>
      <c r="Z540" s="143"/>
      <c r="AA540" s="143"/>
      <c r="AB540" s="143"/>
      <c r="AC540" s="143"/>
      <c r="AD540" s="143"/>
    </row>
    <row r="541">
      <c r="A541" s="25"/>
      <c r="B541" s="25"/>
      <c r="C541" s="25"/>
      <c r="D541" s="25"/>
      <c r="E541" s="50"/>
      <c r="F541" s="167"/>
      <c r="G541" s="168"/>
      <c r="H541" s="169"/>
      <c r="I541" s="141"/>
      <c r="J541" s="141"/>
      <c r="K541" s="141"/>
      <c r="L541" s="25"/>
      <c r="M541" s="25"/>
      <c r="N541" s="25"/>
      <c r="O541" s="143"/>
      <c r="P541" s="143"/>
      <c r="Q541" s="143"/>
      <c r="R541" s="143"/>
      <c r="S541" s="143"/>
      <c r="T541" s="143"/>
      <c r="U541" s="143"/>
      <c r="V541" s="143"/>
      <c r="W541" s="143"/>
      <c r="X541" s="143"/>
      <c r="Y541" s="143"/>
      <c r="Z541" s="143"/>
      <c r="AA541" s="143"/>
      <c r="AB541" s="143"/>
      <c r="AC541" s="143"/>
      <c r="AD541" s="143"/>
    </row>
    <row r="542">
      <c r="A542" s="25"/>
      <c r="B542" s="25"/>
      <c r="C542" s="25"/>
      <c r="D542" s="25"/>
      <c r="E542" s="50"/>
      <c r="F542" s="167"/>
      <c r="G542" s="168"/>
      <c r="H542" s="169"/>
      <c r="I542" s="141"/>
      <c r="J542" s="141"/>
      <c r="K542" s="141"/>
      <c r="L542" s="25"/>
      <c r="M542" s="25"/>
      <c r="N542" s="25"/>
      <c r="O542" s="143"/>
      <c r="P542" s="143"/>
      <c r="Q542" s="143"/>
      <c r="R542" s="143"/>
      <c r="S542" s="143"/>
      <c r="T542" s="143"/>
      <c r="U542" s="143"/>
      <c r="V542" s="143"/>
      <c r="W542" s="143"/>
      <c r="X542" s="143"/>
      <c r="Y542" s="143"/>
      <c r="Z542" s="143"/>
      <c r="AA542" s="143"/>
      <c r="AB542" s="143"/>
      <c r="AC542" s="143"/>
      <c r="AD542" s="143"/>
    </row>
    <row r="543">
      <c r="A543" s="25"/>
      <c r="B543" s="25"/>
      <c r="C543" s="25"/>
      <c r="D543" s="25"/>
      <c r="E543" s="50"/>
      <c r="F543" s="167"/>
      <c r="G543" s="168"/>
      <c r="H543" s="169"/>
      <c r="I543" s="141"/>
      <c r="J543" s="141"/>
      <c r="K543" s="141"/>
      <c r="L543" s="25"/>
      <c r="M543" s="25"/>
      <c r="N543" s="25"/>
      <c r="O543" s="143"/>
      <c r="P543" s="143"/>
      <c r="Q543" s="143"/>
      <c r="R543" s="143"/>
      <c r="S543" s="143"/>
      <c r="T543" s="143"/>
      <c r="U543" s="143"/>
      <c r="V543" s="143"/>
      <c r="W543" s="143"/>
      <c r="X543" s="143"/>
      <c r="Y543" s="143"/>
      <c r="Z543" s="143"/>
      <c r="AA543" s="143"/>
      <c r="AB543" s="143"/>
      <c r="AC543" s="143"/>
      <c r="AD543" s="143"/>
    </row>
    <row r="544">
      <c r="A544" s="25"/>
      <c r="B544" s="25"/>
      <c r="C544" s="25"/>
      <c r="D544" s="25"/>
      <c r="E544" s="50"/>
      <c r="F544" s="167"/>
      <c r="G544" s="168"/>
      <c r="H544" s="169"/>
      <c r="I544" s="141"/>
      <c r="J544" s="141"/>
      <c r="K544" s="141"/>
      <c r="L544" s="25"/>
      <c r="M544" s="25"/>
      <c r="N544" s="25"/>
      <c r="O544" s="143"/>
      <c r="P544" s="143"/>
      <c r="Q544" s="143"/>
      <c r="R544" s="143"/>
      <c r="S544" s="143"/>
      <c r="T544" s="143"/>
      <c r="U544" s="143"/>
      <c r="V544" s="143"/>
      <c r="W544" s="143"/>
      <c r="X544" s="143"/>
      <c r="Y544" s="143"/>
      <c r="Z544" s="143"/>
      <c r="AA544" s="143"/>
      <c r="AB544" s="143"/>
      <c r="AC544" s="143"/>
      <c r="AD544" s="143"/>
    </row>
    <row r="545">
      <c r="A545" s="25"/>
      <c r="B545" s="25"/>
      <c r="C545" s="25"/>
      <c r="D545" s="25"/>
      <c r="E545" s="50"/>
      <c r="F545" s="167"/>
      <c r="G545" s="168"/>
      <c r="H545" s="169"/>
      <c r="I545" s="141"/>
      <c r="J545" s="141"/>
      <c r="K545" s="141"/>
      <c r="L545" s="25"/>
      <c r="M545" s="25"/>
      <c r="N545" s="25"/>
      <c r="O545" s="143"/>
      <c r="P545" s="143"/>
      <c r="Q545" s="143"/>
      <c r="R545" s="143"/>
      <c r="S545" s="143"/>
      <c r="T545" s="143"/>
      <c r="U545" s="143"/>
      <c r="V545" s="143"/>
      <c r="W545" s="143"/>
      <c r="X545" s="143"/>
      <c r="Y545" s="143"/>
      <c r="Z545" s="143"/>
      <c r="AA545" s="143"/>
      <c r="AB545" s="143"/>
      <c r="AC545" s="143"/>
      <c r="AD545" s="143"/>
    </row>
    <row r="546">
      <c r="A546" s="25"/>
      <c r="B546" s="25"/>
      <c r="C546" s="25"/>
      <c r="D546" s="25"/>
      <c r="E546" s="50"/>
      <c r="F546" s="167"/>
      <c r="G546" s="168"/>
      <c r="H546" s="169"/>
      <c r="I546" s="141"/>
      <c r="J546" s="141"/>
      <c r="K546" s="141"/>
      <c r="L546" s="25"/>
      <c r="M546" s="25"/>
      <c r="N546" s="25"/>
      <c r="O546" s="143"/>
      <c r="P546" s="143"/>
      <c r="Q546" s="143"/>
      <c r="R546" s="143"/>
      <c r="S546" s="143"/>
      <c r="T546" s="143"/>
      <c r="U546" s="143"/>
      <c r="V546" s="143"/>
      <c r="W546" s="143"/>
      <c r="X546" s="143"/>
      <c r="Y546" s="143"/>
      <c r="Z546" s="143"/>
      <c r="AA546" s="143"/>
      <c r="AB546" s="143"/>
      <c r="AC546" s="143"/>
      <c r="AD546" s="143"/>
    </row>
    <row r="547">
      <c r="A547" s="25"/>
      <c r="B547" s="25"/>
      <c r="C547" s="25"/>
      <c r="D547" s="25"/>
      <c r="E547" s="50"/>
      <c r="F547" s="167"/>
      <c r="G547" s="168"/>
      <c r="H547" s="169"/>
      <c r="I547" s="141"/>
      <c r="J547" s="141"/>
      <c r="K547" s="141"/>
      <c r="L547" s="25"/>
      <c r="M547" s="25"/>
      <c r="N547" s="25"/>
      <c r="O547" s="143"/>
      <c r="P547" s="143"/>
      <c r="Q547" s="143"/>
      <c r="R547" s="143"/>
      <c r="S547" s="143"/>
      <c r="T547" s="143"/>
      <c r="U547" s="143"/>
      <c r="V547" s="143"/>
      <c r="W547" s="143"/>
      <c r="X547" s="143"/>
      <c r="Y547" s="143"/>
      <c r="Z547" s="143"/>
      <c r="AA547" s="143"/>
      <c r="AB547" s="143"/>
      <c r="AC547" s="143"/>
      <c r="AD547" s="143"/>
    </row>
    <row r="548">
      <c r="A548" s="25"/>
      <c r="B548" s="25"/>
      <c r="C548" s="25"/>
      <c r="D548" s="25"/>
      <c r="E548" s="50"/>
      <c r="F548" s="167"/>
      <c r="G548" s="168"/>
      <c r="H548" s="169"/>
      <c r="I548" s="141"/>
      <c r="J548" s="141"/>
      <c r="K548" s="141"/>
      <c r="L548" s="25"/>
      <c r="M548" s="25"/>
      <c r="N548" s="25"/>
      <c r="O548" s="143"/>
      <c r="P548" s="143"/>
      <c r="Q548" s="143"/>
      <c r="R548" s="143"/>
      <c r="S548" s="143"/>
      <c r="T548" s="143"/>
      <c r="U548" s="143"/>
      <c r="V548" s="143"/>
      <c r="W548" s="143"/>
      <c r="X548" s="143"/>
      <c r="Y548" s="143"/>
      <c r="Z548" s="143"/>
      <c r="AA548" s="143"/>
      <c r="AB548" s="143"/>
      <c r="AC548" s="143"/>
      <c r="AD548" s="143"/>
    </row>
    <row r="549">
      <c r="A549" s="25"/>
      <c r="B549" s="25"/>
      <c r="C549" s="25"/>
      <c r="D549" s="25"/>
      <c r="E549" s="50"/>
      <c r="F549" s="167"/>
      <c r="G549" s="168"/>
      <c r="H549" s="169"/>
      <c r="I549" s="141"/>
      <c r="J549" s="141"/>
      <c r="K549" s="141"/>
      <c r="L549" s="25"/>
      <c r="M549" s="25"/>
      <c r="N549" s="25"/>
      <c r="O549" s="143"/>
      <c r="P549" s="143"/>
      <c r="Q549" s="143"/>
      <c r="R549" s="143"/>
      <c r="S549" s="143"/>
      <c r="T549" s="143"/>
      <c r="U549" s="143"/>
      <c r="V549" s="143"/>
      <c r="W549" s="143"/>
      <c r="X549" s="143"/>
      <c r="Y549" s="143"/>
      <c r="Z549" s="143"/>
      <c r="AA549" s="143"/>
      <c r="AB549" s="143"/>
      <c r="AC549" s="143"/>
      <c r="AD549" s="143"/>
    </row>
    <row r="550">
      <c r="A550" s="25"/>
      <c r="B550" s="25"/>
      <c r="C550" s="25"/>
      <c r="D550" s="25"/>
      <c r="E550" s="50"/>
      <c r="F550" s="167"/>
      <c r="G550" s="168"/>
      <c r="H550" s="169"/>
      <c r="I550" s="141"/>
      <c r="J550" s="141"/>
      <c r="K550" s="141"/>
      <c r="L550" s="25"/>
      <c r="M550" s="25"/>
      <c r="N550" s="25"/>
      <c r="O550" s="143"/>
      <c r="P550" s="143"/>
      <c r="Q550" s="143"/>
      <c r="R550" s="143"/>
      <c r="S550" s="143"/>
      <c r="T550" s="143"/>
      <c r="U550" s="143"/>
      <c r="V550" s="143"/>
      <c r="W550" s="143"/>
      <c r="X550" s="143"/>
      <c r="Y550" s="143"/>
      <c r="Z550" s="143"/>
      <c r="AA550" s="143"/>
      <c r="AB550" s="143"/>
      <c r="AC550" s="143"/>
      <c r="AD550" s="143"/>
    </row>
    <row r="551">
      <c r="A551" s="25"/>
      <c r="B551" s="25"/>
      <c r="C551" s="25"/>
      <c r="D551" s="25"/>
      <c r="E551" s="50"/>
      <c r="F551" s="167"/>
      <c r="G551" s="168"/>
      <c r="H551" s="169"/>
      <c r="I551" s="141"/>
      <c r="J551" s="141"/>
      <c r="K551" s="141"/>
      <c r="L551" s="25"/>
      <c r="M551" s="25"/>
      <c r="N551" s="25"/>
      <c r="O551" s="143"/>
      <c r="P551" s="143"/>
      <c r="Q551" s="143"/>
      <c r="R551" s="143"/>
      <c r="S551" s="143"/>
      <c r="T551" s="143"/>
      <c r="U551" s="143"/>
      <c r="V551" s="143"/>
      <c r="W551" s="143"/>
      <c r="X551" s="143"/>
      <c r="Y551" s="143"/>
      <c r="Z551" s="143"/>
      <c r="AA551" s="143"/>
      <c r="AB551" s="143"/>
      <c r="AC551" s="143"/>
      <c r="AD551" s="143"/>
    </row>
    <row r="552">
      <c r="A552" s="25"/>
      <c r="B552" s="25"/>
      <c r="C552" s="25"/>
      <c r="D552" s="25"/>
      <c r="E552" s="50"/>
      <c r="F552" s="167"/>
      <c r="G552" s="168"/>
      <c r="H552" s="169"/>
      <c r="I552" s="141"/>
      <c r="J552" s="141"/>
      <c r="K552" s="141"/>
      <c r="L552" s="25"/>
      <c r="M552" s="25"/>
      <c r="N552" s="25"/>
      <c r="O552" s="143"/>
      <c r="P552" s="143"/>
      <c r="Q552" s="143"/>
      <c r="R552" s="143"/>
      <c r="S552" s="143"/>
      <c r="T552" s="143"/>
      <c r="U552" s="143"/>
      <c r="V552" s="143"/>
      <c r="W552" s="143"/>
      <c r="X552" s="143"/>
      <c r="Y552" s="143"/>
      <c r="Z552" s="143"/>
      <c r="AA552" s="143"/>
      <c r="AB552" s="143"/>
      <c r="AC552" s="143"/>
      <c r="AD552" s="143"/>
    </row>
    <row r="553">
      <c r="A553" s="25"/>
      <c r="B553" s="25"/>
      <c r="C553" s="25"/>
      <c r="D553" s="25"/>
      <c r="E553" s="50"/>
      <c r="F553" s="167"/>
      <c r="G553" s="168"/>
      <c r="H553" s="169"/>
      <c r="I553" s="141"/>
      <c r="J553" s="141"/>
      <c r="K553" s="141"/>
      <c r="L553" s="25"/>
      <c r="M553" s="25"/>
      <c r="N553" s="25"/>
      <c r="O553" s="143"/>
      <c r="P553" s="143"/>
      <c r="Q553" s="143"/>
      <c r="R553" s="143"/>
      <c r="S553" s="143"/>
      <c r="T553" s="143"/>
      <c r="U553" s="143"/>
      <c r="V553" s="143"/>
      <c r="W553" s="143"/>
      <c r="X553" s="143"/>
      <c r="Y553" s="143"/>
      <c r="Z553" s="143"/>
      <c r="AA553" s="143"/>
      <c r="AB553" s="143"/>
      <c r="AC553" s="143"/>
      <c r="AD553" s="143"/>
    </row>
    <row r="554">
      <c r="A554" s="25"/>
      <c r="B554" s="25"/>
      <c r="C554" s="25"/>
      <c r="D554" s="25"/>
      <c r="E554" s="50"/>
      <c r="F554" s="167"/>
      <c r="G554" s="168"/>
      <c r="H554" s="169"/>
      <c r="I554" s="141"/>
      <c r="J554" s="141"/>
      <c r="K554" s="141"/>
      <c r="L554" s="25"/>
      <c r="M554" s="25"/>
      <c r="N554" s="25"/>
      <c r="O554" s="143"/>
      <c r="P554" s="143"/>
      <c r="Q554" s="143"/>
      <c r="R554" s="143"/>
      <c r="S554" s="143"/>
      <c r="T554" s="143"/>
      <c r="U554" s="143"/>
      <c r="V554" s="143"/>
      <c r="W554" s="143"/>
      <c r="X554" s="143"/>
      <c r="Y554" s="143"/>
      <c r="Z554" s="143"/>
      <c r="AA554" s="143"/>
      <c r="AB554" s="143"/>
      <c r="AC554" s="143"/>
      <c r="AD554" s="143"/>
    </row>
    <row r="555">
      <c r="A555" s="25"/>
      <c r="B555" s="25"/>
      <c r="C555" s="25"/>
      <c r="D555" s="25"/>
      <c r="E555" s="50"/>
      <c r="F555" s="167"/>
      <c r="G555" s="168"/>
      <c r="H555" s="169"/>
      <c r="I555" s="141"/>
      <c r="J555" s="141"/>
      <c r="K555" s="141"/>
      <c r="L555" s="25"/>
      <c r="M555" s="25"/>
      <c r="N555" s="25"/>
      <c r="O555" s="143"/>
      <c r="P555" s="143"/>
      <c r="Q555" s="143"/>
      <c r="R555" s="143"/>
      <c r="S555" s="143"/>
      <c r="T555" s="143"/>
      <c r="U555" s="143"/>
      <c r="V555" s="143"/>
      <c r="W555" s="143"/>
      <c r="X555" s="143"/>
      <c r="Y555" s="143"/>
      <c r="Z555" s="143"/>
      <c r="AA555" s="143"/>
      <c r="AB555" s="143"/>
      <c r="AC555" s="143"/>
      <c r="AD555" s="143"/>
    </row>
    <row r="556">
      <c r="A556" s="25"/>
      <c r="B556" s="25"/>
      <c r="C556" s="25"/>
      <c r="D556" s="25"/>
      <c r="E556" s="50"/>
      <c r="F556" s="167"/>
      <c r="G556" s="168"/>
      <c r="H556" s="169"/>
      <c r="I556" s="141"/>
      <c r="J556" s="141"/>
      <c r="K556" s="141"/>
      <c r="L556" s="25"/>
      <c r="M556" s="25"/>
      <c r="N556" s="25"/>
      <c r="O556" s="143"/>
      <c r="P556" s="143"/>
      <c r="Q556" s="143"/>
      <c r="R556" s="143"/>
      <c r="S556" s="143"/>
      <c r="T556" s="143"/>
      <c r="U556" s="143"/>
      <c r="V556" s="143"/>
      <c r="W556" s="143"/>
      <c r="X556" s="143"/>
      <c r="Y556" s="143"/>
      <c r="Z556" s="143"/>
      <c r="AA556" s="143"/>
      <c r="AB556" s="143"/>
      <c r="AC556" s="143"/>
      <c r="AD556" s="143"/>
    </row>
    <row r="557">
      <c r="A557" s="25"/>
      <c r="B557" s="25"/>
      <c r="C557" s="25"/>
      <c r="D557" s="25"/>
      <c r="E557" s="50"/>
      <c r="F557" s="167"/>
      <c r="G557" s="168"/>
      <c r="H557" s="169"/>
      <c r="I557" s="141"/>
      <c r="J557" s="141"/>
      <c r="K557" s="141"/>
      <c r="L557" s="25"/>
      <c r="M557" s="25"/>
      <c r="N557" s="25"/>
      <c r="O557" s="143"/>
      <c r="P557" s="143"/>
      <c r="Q557" s="143"/>
      <c r="R557" s="143"/>
      <c r="S557" s="143"/>
      <c r="T557" s="143"/>
      <c r="U557" s="143"/>
      <c r="V557" s="143"/>
      <c r="W557" s="143"/>
      <c r="X557" s="143"/>
      <c r="Y557" s="143"/>
      <c r="Z557" s="143"/>
      <c r="AA557" s="143"/>
      <c r="AB557" s="143"/>
      <c r="AC557" s="143"/>
      <c r="AD557" s="143"/>
    </row>
    <row r="558">
      <c r="A558" s="25"/>
      <c r="B558" s="25"/>
      <c r="C558" s="25"/>
      <c r="D558" s="25"/>
      <c r="E558" s="50"/>
      <c r="F558" s="167"/>
      <c r="G558" s="168"/>
      <c r="H558" s="169"/>
      <c r="I558" s="141"/>
      <c r="J558" s="141"/>
      <c r="K558" s="141"/>
      <c r="L558" s="25"/>
      <c r="M558" s="25"/>
      <c r="N558" s="25"/>
      <c r="O558" s="143"/>
      <c r="P558" s="143"/>
      <c r="Q558" s="143"/>
      <c r="R558" s="143"/>
      <c r="S558" s="143"/>
      <c r="T558" s="143"/>
      <c r="U558" s="143"/>
      <c r="V558" s="143"/>
      <c r="W558" s="143"/>
      <c r="X558" s="143"/>
      <c r="Y558" s="143"/>
      <c r="Z558" s="143"/>
      <c r="AA558" s="143"/>
      <c r="AB558" s="143"/>
      <c r="AC558" s="143"/>
      <c r="AD558" s="143"/>
    </row>
    <row r="559">
      <c r="A559" s="25"/>
      <c r="B559" s="25"/>
      <c r="C559" s="25"/>
      <c r="D559" s="25"/>
      <c r="E559" s="50"/>
      <c r="F559" s="167"/>
      <c r="G559" s="168"/>
      <c r="H559" s="169"/>
      <c r="I559" s="141"/>
      <c r="J559" s="141"/>
      <c r="K559" s="141"/>
      <c r="L559" s="25"/>
      <c r="M559" s="25"/>
      <c r="N559" s="25"/>
      <c r="O559" s="143"/>
      <c r="P559" s="143"/>
      <c r="Q559" s="143"/>
      <c r="R559" s="143"/>
      <c r="S559" s="143"/>
      <c r="T559" s="143"/>
      <c r="U559" s="143"/>
      <c r="V559" s="143"/>
      <c r="W559" s="143"/>
      <c r="X559" s="143"/>
      <c r="Y559" s="143"/>
      <c r="Z559" s="143"/>
      <c r="AA559" s="143"/>
      <c r="AB559" s="143"/>
      <c r="AC559" s="143"/>
      <c r="AD559" s="143"/>
    </row>
    <row r="560">
      <c r="A560" s="25"/>
      <c r="B560" s="25"/>
      <c r="C560" s="25"/>
      <c r="D560" s="25"/>
      <c r="E560" s="50"/>
      <c r="F560" s="167"/>
      <c r="G560" s="168"/>
      <c r="H560" s="169"/>
      <c r="I560" s="141"/>
      <c r="J560" s="141"/>
      <c r="K560" s="141"/>
      <c r="L560" s="25"/>
      <c r="M560" s="25"/>
      <c r="N560" s="25"/>
      <c r="O560" s="143"/>
      <c r="P560" s="143"/>
      <c r="Q560" s="143"/>
      <c r="R560" s="143"/>
      <c r="S560" s="143"/>
      <c r="T560" s="143"/>
      <c r="U560" s="143"/>
      <c r="V560" s="143"/>
      <c r="W560" s="143"/>
      <c r="X560" s="143"/>
      <c r="Y560" s="143"/>
      <c r="Z560" s="143"/>
      <c r="AA560" s="143"/>
      <c r="AB560" s="143"/>
      <c r="AC560" s="143"/>
      <c r="AD560" s="143"/>
    </row>
    <row r="561">
      <c r="A561" s="25"/>
      <c r="B561" s="25"/>
      <c r="C561" s="25"/>
      <c r="D561" s="25"/>
      <c r="E561" s="50"/>
      <c r="F561" s="167"/>
      <c r="G561" s="168"/>
      <c r="H561" s="169"/>
      <c r="I561" s="141"/>
      <c r="J561" s="141"/>
      <c r="K561" s="141"/>
      <c r="L561" s="25"/>
      <c r="M561" s="25"/>
      <c r="N561" s="25"/>
      <c r="O561" s="143"/>
      <c r="P561" s="143"/>
      <c r="Q561" s="143"/>
      <c r="R561" s="143"/>
      <c r="S561" s="143"/>
      <c r="T561" s="143"/>
      <c r="U561" s="143"/>
      <c r="V561" s="143"/>
      <c r="W561" s="143"/>
      <c r="X561" s="143"/>
      <c r="Y561" s="143"/>
      <c r="Z561" s="143"/>
      <c r="AA561" s="143"/>
      <c r="AB561" s="143"/>
      <c r="AC561" s="143"/>
      <c r="AD561" s="143"/>
    </row>
    <row r="562">
      <c r="A562" s="25"/>
      <c r="B562" s="25"/>
      <c r="C562" s="25"/>
      <c r="D562" s="25"/>
      <c r="E562" s="50"/>
      <c r="F562" s="167"/>
      <c r="G562" s="168"/>
      <c r="H562" s="169"/>
      <c r="I562" s="141"/>
      <c r="J562" s="141"/>
      <c r="K562" s="141"/>
      <c r="L562" s="25"/>
      <c r="M562" s="25"/>
      <c r="N562" s="25"/>
      <c r="O562" s="143"/>
      <c r="P562" s="143"/>
      <c r="Q562" s="143"/>
      <c r="R562" s="143"/>
      <c r="S562" s="143"/>
      <c r="T562" s="143"/>
      <c r="U562" s="143"/>
      <c r="V562" s="143"/>
      <c r="W562" s="143"/>
      <c r="X562" s="143"/>
      <c r="Y562" s="143"/>
      <c r="Z562" s="143"/>
      <c r="AA562" s="143"/>
      <c r="AB562" s="143"/>
      <c r="AC562" s="143"/>
      <c r="AD562" s="143"/>
    </row>
    <row r="563">
      <c r="A563" s="25"/>
      <c r="B563" s="25"/>
      <c r="C563" s="25"/>
      <c r="D563" s="25"/>
      <c r="E563" s="50"/>
      <c r="F563" s="167"/>
      <c r="G563" s="168"/>
      <c r="H563" s="169"/>
      <c r="I563" s="141"/>
      <c r="J563" s="141"/>
      <c r="K563" s="141"/>
      <c r="L563" s="25"/>
      <c r="M563" s="25"/>
      <c r="N563" s="25"/>
      <c r="O563" s="143"/>
      <c r="P563" s="143"/>
      <c r="Q563" s="143"/>
      <c r="R563" s="143"/>
      <c r="S563" s="143"/>
      <c r="T563" s="143"/>
      <c r="U563" s="143"/>
      <c r="V563" s="143"/>
      <c r="W563" s="143"/>
      <c r="X563" s="143"/>
      <c r="Y563" s="143"/>
      <c r="Z563" s="143"/>
      <c r="AA563" s="143"/>
      <c r="AB563" s="143"/>
      <c r="AC563" s="143"/>
      <c r="AD563" s="143"/>
    </row>
    <row r="564">
      <c r="A564" s="25"/>
      <c r="B564" s="25"/>
      <c r="C564" s="25"/>
      <c r="D564" s="25"/>
      <c r="E564" s="50"/>
      <c r="F564" s="167"/>
      <c r="G564" s="168"/>
      <c r="H564" s="169"/>
      <c r="I564" s="141"/>
      <c r="J564" s="141"/>
      <c r="K564" s="141"/>
      <c r="L564" s="25"/>
      <c r="M564" s="25"/>
      <c r="N564" s="25"/>
      <c r="O564" s="143"/>
      <c r="P564" s="143"/>
      <c r="Q564" s="143"/>
      <c r="R564" s="143"/>
      <c r="S564" s="143"/>
      <c r="T564" s="143"/>
      <c r="U564" s="143"/>
      <c r="V564" s="143"/>
      <c r="W564" s="143"/>
      <c r="X564" s="143"/>
      <c r="Y564" s="143"/>
      <c r="Z564" s="143"/>
      <c r="AA564" s="143"/>
      <c r="AB564" s="143"/>
      <c r="AC564" s="143"/>
      <c r="AD564" s="143"/>
    </row>
    <row r="565">
      <c r="A565" s="25"/>
      <c r="B565" s="25"/>
      <c r="C565" s="25"/>
      <c r="D565" s="25"/>
      <c r="E565" s="50"/>
      <c r="F565" s="167"/>
      <c r="G565" s="168"/>
      <c r="H565" s="169"/>
      <c r="I565" s="141"/>
      <c r="J565" s="141"/>
      <c r="K565" s="141"/>
      <c r="L565" s="25"/>
      <c r="M565" s="25"/>
      <c r="N565" s="25"/>
      <c r="O565" s="143"/>
      <c r="P565" s="143"/>
      <c r="Q565" s="143"/>
      <c r="R565" s="143"/>
      <c r="S565" s="143"/>
      <c r="T565" s="143"/>
      <c r="U565" s="143"/>
      <c r="V565" s="143"/>
      <c r="W565" s="143"/>
      <c r="X565" s="143"/>
      <c r="Y565" s="143"/>
      <c r="Z565" s="143"/>
      <c r="AA565" s="143"/>
      <c r="AB565" s="143"/>
      <c r="AC565" s="143"/>
      <c r="AD565" s="143"/>
    </row>
    <row r="566">
      <c r="A566" s="25"/>
      <c r="B566" s="25"/>
      <c r="C566" s="25"/>
      <c r="D566" s="25"/>
      <c r="E566" s="50"/>
      <c r="F566" s="167"/>
      <c r="G566" s="168"/>
      <c r="H566" s="169"/>
      <c r="I566" s="141"/>
      <c r="J566" s="141"/>
      <c r="K566" s="141"/>
      <c r="L566" s="25"/>
      <c r="M566" s="25"/>
      <c r="N566" s="25"/>
      <c r="O566" s="143"/>
      <c r="P566" s="143"/>
      <c r="Q566" s="143"/>
      <c r="R566" s="143"/>
      <c r="S566" s="143"/>
      <c r="T566" s="143"/>
      <c r="U566" s="143"/>
      <c r="V566" s="143"/>
      <c r="W566" s="143"/>
      <c r="X566" s="143"/>
      <c r="Y566" s="143"/>
      <c r="Z566" s="143"/>
      <c r="AA566" s="143"/>
      <c r="AB566" s="143"/>
      <c r="AC566" s="143"/>
      <c r="AD566" s="143"/>
    </row>
    <row r="567">
      <c r="A567" s="25"/>
      <c r="B567" s="25"/>
      <c r="C567" s="25"/>
      <c r="D567" s="25"/>
      <c r="E567" s="50"/>
      <c r="F567" s="167"/>
      <c r="G567" s="168"/>
      <c r="H567" s="169"/>
      <c r="I567" s="141"/>
      <c r="J567" s="141"/>
      <c r="K567" s="141"/>
      <c r="L567" s="25"/>
      <c r="M567" s="25"/>
      <c r="N567" s="25"/>
      <c r="O567" s="143"/>
      <c r="P567" s="143"/>
      <c r="Q567" s="143"/>
      <c r="R567" s="143"/>
      <c r="S567" s="143"/>
      <c r="T567" s="143"/>
      <c r="U567" s="143"/>
      <c r="V567" s="143"/>
      <c r="W567" s="143"/>
      <c r="X567" s="143"/>
      <c r="Y567" s="143"/>
      <c r="Z567" s="143"/>
      <c r="AA567" s="143"/>
      <c r="AB567" s="143"/>
      <c r="AC567" s="143"/>
      <c r="AD567" s="143"/>
    </row>
    <row r="568">
      <c r="A568" s="25"/>
      <c r="B568" s="25"/>
      <c r="C568" s="25"/>
      <c r="D568" s="25"/>
      <c r="E568" s="50"/>
      <c r="F568" s="167"/>
      <c r="G568" s="168"/>
      <c r="H568" s="169"/>
      <c r="I568" s="141"/>
      <c r="J568" s="141"/>
      <c r="K568" s="141"/>
      <c r="L568" s="25"/>
      <c r="M568" s="25"/>
      <c r="N568" s="25"/>
      <c r="O568" s="143"/>
      <c r="P568" s="143"/>
      <c r="Q568" s="143"/>
      <c r="R568" s="143"/>
      <c r="S568" s="143"/>
      <c r="T568" s="143"/>
      <c r="U568" s="143"/>
      <c r="V568" s="143"/>
      <c r="W568" s="143"/>
      <c r="X568" s="143"/>
      <c r="Y568" s="143"/>
      <c r="Z568" s="143"/>
      <c r="AA568" s="143"/>
      <c r="AB568" s="143"/>
      <c r="AC568" s="143"/>
      <c r="AD568" s="143"/>
    </row>
    <row r="569">
      <c r="A569" s="25"/>
      <c r="B569" s="25"/>
      <c r="C569" s="25"/>
      <c r="D569" s="25"/>
      <c r="E569" s="50"/>
      <c r="F569" s="167"/>
      <c r="G569" s="168"/>
      <c r="H569" s="169"/>
      <c r="I569" s="141"/>
      <c r="J569" s="141"/>
      <c r="K569" s="141"/>
      <c r="L569" s="25"/>
      <c r="M569" s="25"/>
      <c r="N569" s="25"/>
      <c r="O569" s="143"/>
      <c r="P569" s="143"/>
      <c r="Q569" s="143"/>
      <c r="R569" s="143"/>
      <c r="S569" s="143"/>
      <c r="T569" s="143"/>
      <c r="U569" s="143"/>
      <c r="V569" s="143"/>
      <c r="W569" s="143"/>
      <c r="X569" s="143"/>
      <c r="Y569" s="143"/>
      <c r="Z569" s="143"/>
      <c r="AA569" s="143"/>
      <c r="AB569" s="143"/>
      <c r="AC569" s="143"/>
      <c r="AD569" s="143"/>
    </row>
    <row r="570">
      <c r="A570" s="25"/>
      <c r="B570" s="25"/>
      <c r="C570" s="25"/>
      <c r="D570" s="25"/>
      <c r="E570" s="50"/>
      <c r="F570" s="167"/>
      <c r="G570" s="168"/>
      <c r="H570" s="169"/>
      <c r="I570" s="141"/>
      <c r="J570" s="141"/>
      <c r="K570" s="141"/>
      <c r="L570" s="25"/>
      <c r="M570" s="25"/>
      <c r="N570" s="25"/>
      <c r="O570" s="143"/>
      <c r="P570" s="143"/>
      <c r="Q570" s="143"/>
      <c r="R570" s="143"/>
      <c r="S570" s="143"/>
      <c r="T570" s="143"/>
      <c r="U570" s="143"/>
      <c r="V570" s="143"/>
      <c r="W570" s="143"/>
      <c r="X570" s="143"/>
      <c r="Y570" s="143"/>
      <c r="Z570" s="143"/>
      <c r="AA570" s="143"/>
      <c r="AB570" s="143"/>
      <c r="AC570" s="143"/>
      <c r="AD570" s="143"/>
    </row>
    <row r="571">
      <c r="A571" s="25"/>
      <c r="B571" s="25"/>
      <c r="C571" s="25"/>
      <c r="D571" s="25"/>
      <c r="E571" s="50"/>
      <c r="F571" s="167"/>
      <c r="G571" s="168"/>
      <c r="H571" s="169"/>
      <c r="I571" s="141"/>
      <c r="J571" s="141"/>
      <c r="K571" s="141"/>
      <c r="L571" s="25"/>
      <c r="M571" s="25"/>
      <c r="N571" s="25"/>
      <c r="O571" s="143"/>
      <c r="P571" s="143"/>
      <c r="Q571" s="143"/>
      <c r="R571" s="143"/>
      <c r="S571" s="143"/>
      <c r="T571" s="143"/>
      <c r="U571" s="143"/>
      <c r="V571" s="143"/>
      <c r="W571" s="143"/>
      <c r="X571" s="143"/>
      <c r="Y571" s="143"/>
      <c r="Z571" s="143"/>
      <c r="AA571" s="143"/>
      <c r="AB571" s="143"/>
      <c r="AC571" s="143"/>
      <c r="AD571" s="143"/>
    </row>
    <row r="572">
      <c r="A572" s="25"/>
      <c r="B572" s="25"/>
      <c r="C572" s="25"/>
      <c r="D572" s="25"/>
      <c r="E572" s="50"/>
      <c r="F572" s="167"/>
      <c r="G572" s="168"/>
      <c r="H572" s="169"/>
      <c r="I572" s="141"/>
      <c r="J572" s="141"/>
      <c r="K572" s="141"/>
      <c r="L572" s="25"/>
      <c r="M572" s="25"/>
      <c r="N572" s="25"/>
      <c r="O572" s="143"/>
      <c r="P572" s="143"/>
      <c r="Q572" s="143"/>
      <c r="R572" s="143"/>
      <c r="S572" s="143"/>
      <c r="T572" s="143"/>
      <c r="U572" s="143"/>
      <c r="V572" s="143"/>
      <c r="W572" s="143"/>
      <c r="X572" s="143"/>
      <c r="Y572" s="143"/>
      <c r="Z572" s="143"/>
      <c r="AA572" s="143"/>
      <c r="AB572" s="143"/>
      <c r="AC572" s="143"/>
      <c r="AD572" s="143"/>
    </row>
    <row r="573">
      <c r="A573" s="25"/>
      <c r="B573" s="25"/>
      <c r="C573" s="25"/>
      <c r="D573" s="25"/>
      <c r="E573" s="50"/>
      <c r="F573" s="167"/>
      <c r="G573" s="168"/>
      <c r="H573" s="169"/>
      <c r="I573" s="141"/>
      <c r="J573" s="141"/>
      <c r="K573" s="141"/>
      <c r="L573" s="25"/>
      <c r="M573" s="25"/>
      <c r="N573" s="25"/>
      <c r="O573" s="143"/>
      <c r="P573" s="143"/>
      <c r="Q573" s="143"/>
      <c r="R573" s="143"/>
      <c r="S573" s="143"/>
      <c r="T573" s="143"/>
      <c r="U573" s="143"/>
      <c r="V573" s="143"/>
      <c r="W573" s="143"/>
      <c r="X573" s="143"/>
      <c r="Y573" s="143"/>
      <c r="Z573" s="143"/>
      <c r="AA573" s="143"/>
      <c r="AB573" s="143"/>
      <c r="AC573" s="143"/>
      <c r="AD573" s="143"/>
    </row>
    <row r="574">
      <c r="A574" s="25"/>
      <c r="B574" s="25"/>
      <c r="C574" s="25"/>
      <c r="D574" s="25"/>
      <c r="E574" s="50"/>
      <c r="F574" s="167"/>
      <c r="G574" s="168"/>
      <c r="H574" s="169"/>
      <c r="I574" s="141"/>
      <c r="J574" s="141"/>
      <c r="K574" s="141"/>
      <c r="L574" s="25"/>
      <c r="M574" s="25"/>
      <c r="N574" s="25"/>
      <c r="O574" s="143"/>
      <c r="P574" s="143"/>
      <c r="Q574" s="143"/>
      <c r="R574" s="143"/>
      <c r="S574" s="143"/>
      <c r="T574" s="143"/>
      <c r="U574" s="143"/>
      <c r="V574" s="143"/>
      <c r="W574" s="143"/>
      <c r="X574" s="143"/>
      <c r="Y574" s="143"/>
      <c r="Z574" s="143"/>
      <c r="AA574" s="143"/>
      <c r="AB574" s="143"/>
      <c r="AC574" s="143"/>
      <c r="AD574" s="143"/>
    </row>
    <row r="575">
      <c r="A575" s="25"/>
      <c r="B575" s="25"/>
      <c r="C575" s="25"/>
      <c r="D575" s="25"/>
      <c r="E575" s="50"/>
      <c r="F575" s="167"/>
      <c r="G575" s="168"/>
      <c r="H575" s="169"/>
      <c r="I575" s="141"/>
      <c r="J575" s="141"/>
      <c r="K575" s="141"/>
      <c r="L575" s="25"/>
      <c r="M575" s="25"/>
      <c r="N575" s="25"/>
      <c r="O575" s="143"/>
      <c r="P575" s="143"/>
      <c r="Q575" s="143"/>
      <c r="R575" s="143"/>
      <c r="S575" s="143"/>
      <c r="T575" s="143"/>
      <c r="U575" s="143"/>
      <c r="V575" s="143"/>
      <c r="W575" s="143"/>
      <c r="X575" s="143"/>
      <c r="Y575" s="143"/>
      <c r="Z575" s="143"/>
      <c r="AA575" s="143"/>
      <c r="AB575" s="143"/>
      <c r="AC575" s="143"/>
      <c r="AD575" s="143"/>
    </row>
    <row r="576">
      <c r="A576" s="25"/>
      <c r="B576" s="25"/>
      <c r="C576" s="25"/>
      <c r="D576" s="25"/>
      <c r="E576" s="50"/>
      <c r="F576" s="167"/>
      <c r="G576" s="168"/>
      <c r="H576" s="169"/>
      <c r="I576" s="141"/>
      <c r="J576" s="141"/>
      <c r="K576" s="141"/>
      <c r="L576" s="25"/>
      <c r="M576" s="25"/>
      <c r="N576" s="25"/>
      <c r="O576" s="143"/>
      <c r="P576" s="143"/>
      <c r="Q576" s="143"/>
      <c r="R576" s="143"/>
      <c r="S576" s="143"/>
      <c r="T576" s="143"/>
      <c r="U576" s="143"/>
      <c r="V576" s="143"/>
      <c r="W576" s="143"/>
      <c r="X576" s="143"/>
      <c r="Y576" s="143"/>
      <c r="Z576" s="143"/>
      <c r="AA576" s="143"/>
      <c r="AB576" s="143"/>
      <c r="AC576" s="143"/>
      <c r="AD576" s="143"/>
    </row>
    <row r="577">
      <c r="A577" s="25"/>
      <c r="B577" s="25"/>
      <c r="C577" s="25"/>
      <c r="D577" s="25"/>
      <c r="E577" s="50"/>
      <c r="F577" s="167"/>
      <c r="G577" s="168"/>
      <c r="H577" s="169"/>
      <c r="I577" s="141"/>
      <c r="J577" s="141"/>
      <c r="K577" s="141"/>
      <c r="L577" s="25"/>
      <c r="M577" s="25"/>
      <c r="N577" s="25"/>
      <c r="O577" s="143"/>
      <c r="P577" s="143"/>
      <c r="Q577" s="143"/>
      <c r="R577" s="143"/>
      <c r="S577" s="143"/>
      <c r="T577" s="143"/>
      <c r="U577" s="143"/>
      <c r="V577" s="143"/>
      <c r="W577" s="143"/>
      <c r="X577" s="143"/>
      <c r="Y577" s="143"/>
      <c r="Z577" s="143"/>
      <c r="AA577" s="143"/>
      <c r="AB577" s="143"/>
      <c r="AC577" s="143"/>
      <c r="AD577" s="143"/>
    </row>
    <row r="578">
      <c r="A578" s="25"/>
      <c r="B578" s="25"/>
      <c r="C578" s="25"/>
      <c r="D578" s="25"/>
      <c r="E578" s="50"/>
      <c r="F578" s="167"/>
      <c r="G578" s="168"/>
      <c r="H578" s="169"/>
      <c r="I578" s="141"/>
      <c r="J578" s="141"/>
      <c r="K578" s="141"/>
      <c r="L578" s="25"/>
      <c r="M578" s="25"/>
      <c r="N578" s="25"/>
      <c r="O578" s="143"/>
      <c r="P578" s="143"/>
      <c r="Q578" s="143"/>
      <c r="R578" s="143"/>
      <c r="S578" s="143"/>
      <c r="T578" s="143"/>
      <c r="U578" s="143"/>
      <c r="V578" s="143"/>
      <c r="W578" s="143"/>
      <c r="X578" s="143"/>
      <c r="Y578" s="143"/>
      <c r="Z578" s="143"/>
      <c r="AA578" s="143"/>
      <c r="AB578" s="143"/>
      <c r="AC578" s="143"/>
      <c r="AD578" s="143"/>
    </row>
    <row r="579">
      <c r="A579" s="25"/>
      <c r="B579" s="25"/>
      <c r="C579" s="25"/>
      <c r="D579" s="25"/>
      <c r="E579" s="50"/>
      <c r="F579" s="167"/>
      <c r="G579" s="168"/>
      <c r="H579" s="169"/>
      <c r="I579" s="141"/>
      <c r="J579" s="141"/>
      <c r="K579" s="141"/>
      <c r="L579" s="25"/>
      <c r="M579" s="25"/>
      <c r="N579" s="25"/>
      <c r="O579" s="143"/>
      <c r="P579" s="143"/>
      <c r="Q579" s="143"/>
      <c r="R579" s="143"/>
      <c r="S579" s="143"/>
      <c r="T579" s="143"/>
      <c r="U579" s="143"/>
      <c r="V579" s="143"/>
      <c r="W579" s="143"/>
      <c r="X579" s="143"/>
      <c r="Y579" s="143"/>
      <c r="Z579" s="143"/>
      <c r="AA579" s="143"/>
      <c r="AB579" s="143"/>
      <c r="AC579" s="143"/>
      <c r="AD579" s="143"/>
    </row>
    <row r="580">
      <c r="A580" s="25"/>
      <c r="B580" s="25"/>
      <c r="C580" s="25"/>
      <c r="D580" s="25"/>
      <c r="E580" s="50"/>
      <c r="F580" s="167"/>
      <c r="G580" s="168"/>
      <c r="H580" s="169"/>
      <c r="I580" s="141"/>
      <c r="J580" s="141"/>
      <c r="K580" s="141"/>
      <c r="L580" s="25"/>
      <c r="M580" s="25"/>
      <c r="N580" s="25"/>
      <c r="O580" s="143"/>
      <c r="P580" s="143"/>
      <c r="Q580" s="143"/>
      <c r="R580" s="143"/>
      <c r="S580" s="143"/>
      <c r="T580" s="143"/>
      <c r="U580" s="143"/>
      <c r="V580" s="143"/>
      <c r="W580" s="143"/>
      <c r="X580" s="143"/>
      <c r="Y580" s="143"/>
      <c r="Z580" s="143"/>
      <c r="AA580" s="143"/>
      <c r="AB580" s="143"/>
      <c r="AC580" s="143"/>
      <c r="AD580" s="143"/>
    </row>
    <row r="581">
      <c r="A581" s="25"/>
      <c r="B581" s="25"/>
      <c r="C581" s="25"/>
      <c r="D581" s="25"/>
      <c r="E581" s="50"/>
      <c r="F581" s="167"/>
      <c r="G581" s="168"/>
      <c r="H581" s="169"/>
      <c r="I581" s="141"/>
      <c r="J581" s="141"/>
      <c r="K581" s="141"/>
      <c r="L581" s="25"/>
      <c r="M581" s="25"/>
      <c r="N581" s="25"/>
      <c r="O581" s="143"/>
      <c r="P581" s="143"/>
      <c r="Q581" s="143"/>
      <c r="R581" s="143"/>
      <c r="S581" s="143"/>
      <c r="T581" s="143"/>
      <c r="U581" s="143"/>
      <c r="V581" s="143"/>
      <c r="W581" s="143"/>
      <c r="X581" s="143"/>
      <c r="Y581" s="143"/>
      <c r="Z581" s="143"/>
      <c r="AA581" s="143"/>
      <c r="AB581" s="143"/>
      <c r="AC581" s="143"/>
      <c r="AD581" s="143"/>
    </row>
    <row r="582">
      <c r="A582" s="25"/>
      <c r="B582" s="25"/>
      <c r="C582" s="25"/>
      <c r="D582" s="25"/>
      <c r="E582" s="50"/>
      <c r="F582" s="167"/>
      <c r="G582" s="168"/>
      <c r="H582" s="169"/>
      <c r="I582" s="141"/>
      <c r="J582" s="141"/>
      <c r="K582" s="141"/>
      <c r="L582" s="25"/>
      <c r="M582" s="25"/>
      <c r="N582" s="25"/>
      <c r="O582" s="143"/>
      <c r="P582" s="143"/>
      <c r="Q582" s="143"/>
      <c r="R582" s="143"/>
      <c r="S582" s="143"/>
      <c r="T582" s="143"/>
      <c r="U582" s="143"/>
      <c r="V582" s="143"/>
      <c r="W582" s="143"/>
      <c r="X582" s="143"/>
      <c r="Y582" s="143"/>
      <c r="Z582" s="143"/>
      <c r="AA582" s="143"/>
      <c r="AB582" s="143"/>
      <c r="AC582" s="143"/>
      <c r="AD582" s="143"/>
    </row>
    <row r="583">
      <c r="A583" s="25"/>
      <c r="B583" s="25"/>
      <c r="C583" s="25"/>
      <c r="D583" s="25"/>
      <c r="E583" s="50"/>
      <c r="F583" s="167"/>
      <c r="G583" s="168"/>
      <c r="H583" s="169"/>
      <c r="I583" s="141"/>
      <c r="J583" s="141"/>
      <c r="K583" s="141"/>
      <c r="L583" s="25"/>
      <c r="M583" s="25"/>
      <c r="N583" s="25"/>
      <c r="O583" s="143"/>
      <c r="P583" s="143"/>
      <c r="Q583" s="143"/>
      <c r="R583" s="143"/>
      <c r="S583" s="143"/>
      <c r="T583" s="143"/>
      <c r="U583" s="143"/>
      <c r="V583" s="143"/>
      <c r="W583" s="143"/>
      <c r="X583" s="143"/>
      <c r="Y583" s="143"/>
      <c r="Z583" s="143"/>
      <c r="AA583" s="143"/>
      <c r="AB583" s="143"/>
      <c r="AC583" s="143"/>
      <c r="AD583" s="143"/>
    </row>
    <row r="584">
      <c r="A584" s="25"/>
      <c r="B584" s="25"/>
      <c r="C584" s="25"/>
      <c r="D584" s="25"/>
      <c r="E584" s="50"/>
      <c r="F584" s="167"/>
      <c r="G584" s="168"/>
      <c r="H584" s="169"/>
      <c r="I584" s="141"/>
      <c r="J584" s="141"/>
      <c r="K584" s="141"/>
      <c r="L584" s="25"/>
      <c r="M584" s="25"/>
      <c r="N584" s="25"/>
      <c r="O584" s="143"/>
      <c r="P584" s="143"/>
      <c r="Q584" s="143"/>
      <c r="R584" s="143"/>
      <c r="S584" s="143"/>
      <c r="T584" s="143"/>
      <c r="U584" s="143"/>
      <c r="V584" s="143"/>
      <c r="W584" s="143"/>
      <c r="X584" s="143"/>
      <c r="Y584" s="143"/>
      <c r="Z584" s="143"/>
      <c r="AA584" s="143"/>
      <c r="AB584" s="143"/>
      <c r="AC584" s="143"/>
      <c r="AD584" s="143"/>
    </row>
    <row r="585">
      <c r="A585" s="25"/>
      <c r="B585" s="25"/>
      <c r="C585" s="25"/>
      <c r="D585" s="25"/>
      <c r="E585" s="50"/>
      <c r="F585" s="167"/>
      <c r="G585" s="168"/>
      <c r="H585" s="169"/>
      <c r="I585" s="141"/>
      <c r="J585" s="141"/>
      <c r="K585" s="141"/>
      <c r="L585" s="25"/>
      <c r="M585" s="25"/>
      <c r="N585" s="25"/>
      <c r="O585" s="143"/>
      <c r="P585" s="143"/>
      <c r="Q585" s="143"/>
      <c r="R585" s="143"/>
      <c r="S585" s="143"/>
      <c r="T585" s="143"/>
      <c r="U585" s="143"/>
      <c r="V585" s="143"/>
      <c r="W585" s="143"/>
      <c r="X585" s="143"/>
      <c r="Y585" s="143"/>
      <c r="Z585" s="143"/>
      <c r="AA585" s="143"/>
      <c r="AB585" s="143"/>
      <c r="AC585" s="143"/>
      <c r="AD585" s="143"/>
    </row>
    <row r="586">
      <c r="A586" s="25"/>
      <c r="B586" s="25"/>
      <c r="C586" s="25"/>
      <c r="D586" s="25"/>
      <c r="E586" s="50"/>
      <c r="F586" s="167"/>
      <c r="G586" s="168"/>
      <c r="H586" s="169"/>
      <c r="I586" s="141"/>
      <c r="J586" s="141"/>
      <c r="K586" s="141"/>
      <c r="L586" s="25"/>
      <c r="M586" s="25"/>
      <c r="N586" s="25"/>
      <c r="O586" s="143"/>
      <c r="P586" s="143"/>
      <c r="Q586" s="143"/>
      <c r="R586" s="143"/>
      <c r="S586" s="143"/>
      <c r="T586" s="143"/>
      <c r="U586" s="143"/>
      <c r="V586" s="143"/>
      <c r="W586" s="143"/>
      <c r="X586" s="143"/>
      <c r="Y586" s="143"/>
      <c r="Z586" s="143"/>
      <c r="AA586" s="143"/>
      <c r="AB586" s="143"/>
      <c r="AC586" s="143"/>
      <c r="AD586" s="143"/>
    </row>
    <row r="587">
      <c r="A587" s="25"/>
      <c r="B587" s="25"/>
      <c r="C587" s="25"/>
      <c r="D587" s="25"/>
      <c r="E587" s="50"/>
      <c r="F587" s="167"/>
      <c r="G587" s="168"/>
      <c r="H587" s="169"/>
      <c r="I587" s="141"/>
      <c r="J587" s="141"/>
      <c r="K587" s="141"/>
      <c r="L587" s="25"/>
      <c r="M587" s="25"/>
      <c r="N587" s="25"/>
      <c r="O587" s="143"/>
      <c r="P587" s="143"/>
      <c r="Q587" s="143"/>
      <c r="R587" s="143"/>
      <c r="S587" s="143"/>
      <c r="T587" s="143"/>
      <c r="U587" s="143"/>
      <c r="V587" s="143"/>
      <c r="W587" s="143"/>
      <c r="X587" s="143"/>
      <c r="Y587" s="143"/>
      <c r="Z587" s="143"/>
      <c r="AA587" s="143"/>
      <c r="AB587" s="143"/>
      <c r="AC587" s="143"/>
      <c r="AD587" s="143"/>
    </row>
    <row r="588">
      <c r="A588" s="25"/>
      <c r="B588" s="25"/>
      <c r="C588" s="25"/>
      <c r="D588" s="25"/>
      <c r="E588" s="50"/>
      <c r="F588" s="167"/>
      <c r="G588" s="168"/>
      <c r="H588" s="169"/>
      <c r="I588" s="141"/>
      <c r="J588" s="141"/>
      <c r="K588" s="141"/>
      <c r="L588" s="25"/>
      <c r="M588" s="25"/>
      <c r="N588" s="25"/>
      <c r="O588" s="143"/>
      <c r="P588" s="143"/>
      <c r="Q588" s="143"/>
      <c r="R588" s="143"/>
      <c r="S588" s="143"/>
      <c r="T588" s="143"/>
      <c r="U588" s="143"/>
      <c r="V588" s="143"/>
      <c r="W588" s="143"/>
      <c r="X588" s="143"/>
      <c r="Y588" s="143"/>
      <c r="Z588" s="143"/>
      <c r="AA588" s="143"/>
      <c r="AB588" s="143"/>
      <c r="AC588" s="143"/>
      <c r="AD588" s="143"/>
    </row>
    <row r="589">
      <c r="A589" s="25"/>
      <c r="B589" s="25"/>
      <c r="C589" s="25"/>
      <c r="D589" s="25"/>
      <c r="E589" s="50"/>
      <c r="F589" s="167"/>
      <c r="G589" s="168"/>
      <c r="H589" s="169"/>
      <c r="I589" s="141"/>
      <c r="J589" s="141"/>
      <c r="K589" s="141"/>
      <c r="L589" s="25"/>
      <c r="M589" s="25"/>
      <c r="N589" s="25"/>
      <c r="O589" s="143"/>
      <c r="P589" s="143"/>
      <c r="Q589" s="143"/>
      <c r="R589" s="143"/>
      <c r="S589" s="143"/>
      <c r="T589" s="143"/>
      <c r="U589" s="143"/>
      <c r="V589" s="143"/>
      <c r="W589" s="143"/>
      <c r="X589" s="143"/>
      <c r="Y589" s="143"/>
      <c r="Z589" s="143"/>
      <c r="AA589" s="143"/>
      <c r="AB589" s="143"/>
      <c r="AC589" s="143"/>
      <c r="AD589" s="143"/>
    </row>
    <row r="590">
      <c r="A590" s="25"/>
      <c r="B590" s="25"/>
      <c r="C590" s="25"/>
      <c r="D590" s="25"/>
      <c r="E590" s="50"/>
      <c r="F590" s="167"/>
      <c r="G590" s="168"/>
      <c r="H590" s="169"/>
      <c r="I590" s="141"/>
      <c r="J590" s="141"/>
      <c r="K590" s="141"/>
      <c r="L590" s="25"/>
      <c r="M590" s="25"/>
      <c r="N590" s="25"/>
      <c r="O590" s="143"/>
      <c r="P590" s="143"/>
      <c r="Q590" s="143"/>
      <c r="R590" s="143"/>
      <c r="S590" s="143"/>
      <c r="T590" s="143"/>
      <c r="U590" s="143"/>
      <c r="V590" s="143"/>
      <c r="W590" s="143"/>
      <c r="X590" s="143"/>
      <c r="Y590" s="143"/>
      <c r="Z590" s="143"/>
      <c r="AA590" s="143"/>
      <c r="AB590" s="143"/>
      <c r="AC590" s="143"/>
      <c r="AD590" s="143"/>
    </row>
    <row r="591">
      <c r="A591" s="25"/>
      <c r="B591" s="25"/>
      <c r="C591" s="25"/>
      <c r="D591" s="25"/>
      <c r="E591" s="50"/>
      <c r="F591" s="167"/>
      <c r="G591" s="168"/>
      <c r="H591" s="169"/>
      <c r="I591" s="141"/>
      <c r="J591" s="141"/>
      <c r="K591" s="141"/>
      <c r="L591" s="25"/>
      <c r="M591" s="25"/>
      <c r="N591" s="25"/>
      <c r="O591" s="143"/>
      <c r="P591" s="143"/>
      <c r="Q591" s="143"/>
      <c r="R591" s="143"/>
      <c r="S591" s="143"/>
      <c r="T591" s="143"/>
      <c r="U591" s="143"/>
      <c r="V591" s="143"/>
      <c r="W591" s="143"/>
      <c r="X591" s="143"/>
      <c r="Y591" s="143"/>
      <c r="Z591" s="143"/>
      <c r="AA591" s="143"/>
      <c r="AB591" s="143"/>
      <c r="AC591" s="143"/>
      <c r="AD591" s="143"/>
    </row>
    <row r="592">
      <c r="A592" s="25"/>
      <c r="B592" s="25"/>
      <c r="C592" s="25"/>
      <c r="D592" s="25"/>
      <c r="E592" s="50"/>
      <c r="F592" s="167"/>
      <c r="G592" s="168"/>
      <c r="H592" s="169"/>
      <c r="I592" s="141"/>
      <c r="J592" s="141"/>
      <c r="K592" s="141"/>
      <c r="L592" s="25"/>
      <c r="M592" s="25"/>
      <c r="N592" s="25"/>
      <c r="O592" s="143"/>
      <c r="P592" s="143"/>
      <c r="Q592" s="143"/>
      <c r="R592" s="143"/>
      <c r="S592" s="143"/>
      <c r="T592" s="143"/>
      <c r="U592" s="143"/>
      <c r="V592" s="143"/>
      <c r="W592" s="143"/>
      <c r="X592" s="143"/>
      <c r="Y592" s="143"/>
      <c r="Z592" s="143"/>
      <c r="AA592" s="143"/>
      <c r="AB592" s="143"/>
      <c r="AC592" s="143"/>
      <c r="AD592" s="143"/>
    </row>
    <row r="593">
      <c r="A593" s="25"/>
      <c r="B593" s="25"/>
      <c r="C593" s="25"/>
      <c r="D593" s="25"/>
      <c r="E593" s="50"/>
      <c r="F593" s="167"/>
      <c r="G593" s="168"/>
      <c r="H593" s="169"/>
      <c r="I593" s="141"/>
      <c r="J593" s="141"/>
      <c r="K593" s="141"/>
      <c r="L593" s="25"/>
      <c r="M593" s="25"/>
      <c r="N593" s="25"/>
      <c r="O593" s="143"/>
      <c r="P593" s="143"/>
      <c r="Q593" s="143"/>
      <c r="R593" s="143"/>
      <c r="S593" s="143"/>
      <c r="T593" s="143"/>
      <c r="U593" s="143"/>
      <c r="V593" s="143"/>
      <c r="W593" s="143"/>
      <c r="X593" s="143"/>
      <c r="Y593" s="143"/>
      <c r="Z593" s="143"/>
      <c r="AA593" s="143"/>
      <c r="AB593" s="143"/>
      <c r="AC593" s="143"/>
      <c r="AD593" s="143"/>
    </row>
    <row r="594">
      <c r="A594" s="25"/>
      <c r="B594" s="25"/>
      <c r="C594" s="25"/>
      <c r="D594" s="25"/>
      <c r="E594" s="50"/>
      <c r="F594" s="167"/>
      <c r="G594" s="168"/>
      <c r="H594" s="169"/>
      <c r="I594" s="141"/>
      <c r="J594" s="141"/>
      <c r="K594" s="141"/>
      <c r="L594" s="25"/>
      <c r="M594" s="25"/>
      <c r="N594" s="25"/>
      <c r="O594" s="143"/>
      <c r="P594" s="143"/>
      <c r="Q594" s="143"/>
      <c r="R594" s="143"/>
      <c r="S594" s="143"/>
      <c r="T594" s="143"/>
      <c r="U594" s="143"/>
      <c r="V594" s="143"/>
      <c r="W594" s="143"/>
      <c r="X594" s="143"/>
      <c r="Y594" s="143"/>
      <c r="Z594" s="143"/>
      <c r="AA594" s="143"/>
      <c r="AB594" s="143"/>
      <c r="AC594" s="143"/>
      <c r="AD594" s="143"/>
    </row>
    <row r="595">
      <c r="A595" s="25"/>
      <c r="B595" s="25"/>
      <c r="C595" s="25"/>
      <c r="D595" s="25"/>
      <c r="E595" s="50"/>
      <c r="F595" s="167"/>
      <c r="G595" s="168"/>
      <c r="H595" s="169"/>
      <c r="I595" s="141"/>
      <c r="J595" s="141"/>
      <c r="K595" s="141"/>
      <c r="L595" s="25"/>
      <c r="M595" s="25"/>
      <c r="N595" s="25"/>
      <c r="O595" s="143"/>
      <c r="P595" s="143"/>
      <c r="Q595" s="143"/>
      <c r="R595" s="143"/>
      <c r="S595" s="143"/>
      <c r="T595" s="143"/>
      <c r="U595" s="143"/>
      <c r="V595" s="143"/>
      <c r="W595" s="143"/>
      <c r="X595" s="143"/>
      <c r="Y595" s="143"/>
      <c r="Z595" s="143"/>
      <c r="AA595" s="143"/>
      <c r="AB595" s="143"/>
      <c r="AC595" s="143"/>
      <c r="AD595" s="143"/>
    </row>
    <row r="596">
      <c r="A596" s="25"/>
      <c r="B596" s="25"/>
      <c r="C596" s="25"/>
      <c r="D596" s="25"/>
      <c r="E596" s="50"/>
      <c r="F596" s="167"/>
      <c r="G596" s="168"/>
      <c r="H596" s="169"/>
      <c r="I596" s="141"/>
      <c r="J596" s="141"/>
      <c r="K596" s="141"/>
      <c r="L596" s="25"/>
      <c r="M596" s="25"/>
      <c r="N596" s="25"/>
      <c r="O596" s="143"/>
      <c r="P596" s="143"/>
      <c r="Q596" s="143"/>
      <c r="R596" s="143"/>
      <c r="S596" s="143"/>
      <c r="T596" s="143"/>
      <c r="U596" s="143"/>
      <c r="V596" s="143"/>
      <c r="W596" s="143"/>
      <c r="X596" s="143"/>
      <c r="Y596" s="143"/>
      <c r="Z596" s="143"/>
      <c r="AA596" s="143"/>
      <c r="AB596" s="143"/>
      <c r="AC596" s="143"/>
      <c r="AD596" s="143"/>
    </row>
    <row r="597">
      <c r="A597" s="25"/>
      <c r="B597" s="25"/>
      <c r="C597" s="25"/>
      <c r="D597" s="25"/>
      <c r="E597" s="50"/>
      <c r="F597" s="167"/>
      <c r="G597" s="168"/>
      <c r="H597" s="169"/>
      <c r="I597" s="141"/>
      <c r="J597" s="141"/>
      <c r="K597" s="141"/>
      <c r="L597" s="25"/>
      <c r="M597" s="25"/>
      <c r="N597" s="25"/>
      <c r="O597" s="143"/>
      <c r="P597" s="143"/>
      <c r="Q597" s="143"/>
      <c r="R597" s="143"/>
      <c r="S597" s="143"/>
      <c r="T597" s="143"/>
      <c r="U597" s="143"/>
      <c r="V597" s="143"/>
      <c r="W597" s="143"/>
      <c r="X597" s="143"/>
      <c r="Y597" s="143"/>
      <c r="Z597" s="143"/>
      <c r="AA597" s="143"/>
      <c r="AB597" s="143"/>
      <c r="AC597" s="143"/>
      <c r="AD597" s="143"/>
    </row>
    <row r="598">
      <c r="A598" s="25"/>
      <c r="B598" s="25"/>
      <c r="C598" s="25"/>
      <c r="D598" s="25"/>
      <c r="E598" s="50"/>
      <c r="F598" s="167"/>
      <c r="G598" s="168"/>
      <c r="H598" s="169"/>
      <c r="I598" s="141"/>
      <c r="J598" s="141"/>
      <c r="K598" s="141"/>
      <c r="L598" s="25"/>
      <c r="M598" s="25"/>
      <c r="N598" s="25"/>
      <c r="O598" s="143"/>
      <c r="P598" s="143"/>
      <c r="Q598" s="143"/>
      <c r="R598" s="143"/>
      <c r="S598" s="143"/>
      <c r="T598" s="143"/>
      <c r="U598" s="143"/>
      <c r="V598" s="143"/>
      <c r="W598" s="143"/>
      <c r="X598" s="143"/>
      <c r="Y598" s="143"/>
      <c r="Z598" s="143"/>
      <c r="AA598" s="143"/>
      <c r="AB598" s="143"/>
      <c r="AC598" s="143"/>
      <c r="AD598" s="143"/>
    </row>
    <row r="599">
      <c r="A599" s="25"/>
      <c r="B599" s="25"/>
      <c r="C599" s="25"/>
      <c r="D599" s="25"/>
      <c r="E599" s="50"/>
      <c r="F599" s="167"/>
      <c r="G599" s="168"/>
      <c r="H599" s="169"/>
      <c r="I599" s="141"/>
      <c r="J599" s="141"/>
      <c r="K599" s="141"/>
      <c r="L599" s="25"/>
      <c r="M599" s="25"/>
      <c r="N599" s="25"/>
      <c r="O599" s="143"/>
      <c r="P599" s="143"/>
      <c r="Q599" s="143"/>
      <c r="R599" s="143"/>
      <c r="S599" s="143"/>
      <c r="T599" s="143"/>
      <c r="U599" s="143"/>
      <c r="V599" s="143"/>
      <c r="W599" s="143"/>
      <c r="X599" s="143"/>
      <c r="Y599" s="143"/>
      <c r="Z599" s="143"/>
      <c r="AA599" s="143"/>
      <c r="AB599" s="143"/>
      <c r="AC599" s="143"/>
      <c r="AD599" s="143"/>
    </row>
    <row r="600">
      <c r="A600" s="25"/>
      <c r="B600" s="25"/>
      <c r="C600" s="25"/>
      <c r="D600" s="25"/>
      <c r="E600" s="50"/>
      <c r="F600" s="167"/>
      <c r="G600" s="168"/>
      <c r="H600" s="169"/>
      <c r="I600" s="141"/>
      <c r="J600" s="141"/>
      <c r="K600" s="141"/>
      <c r="L600" s="25"/>
      <c r="M600" s="25"/>
      <c r="N600" s="25"/>
      <c r="O600" s="143"/>
      <c r="P600" s="143"/>
      <c r="Q600" s="143"/>
      <c r="R600" s="143"/>
      <c r="S600" s="143"/>
      <c r="T600" s="143"/>
      <c r="U600" s="143"/>
      <c r="V600" s="143"/>
      <c r="W600" s="143"/>
      <c r="X600" s="143"/>
      <c r="Y600" s="143"/>
      <c r="Z600" s="143"/>
      <c r="AA600" s="143"/>
      <c r="AB600" s="143"/>
      <c r="AC600" s="143"/>
      <c r="AD600" s="143"/>
    </row>
    <row r="601">
      <c r="A601" s="25"/>
      <c r="B601" s="25"/>
      <c r="C601" s="25"/>
      <c r="D601" s="25"/>
      <c r="E601" s="50"/>
      <c r="F601" s="167"/>
      <c r="G601" s="168"/>
      <c r="H601" s="169"/>
      <c r="I601" s="141"/>
      <c r="J601" s="141"/>
      <c r="K601" s="141"/>
      <c r="L601" s="25"/>
      <c r="M601" s="25"/>
      <c r="N601" s="25"/>
      <c r="O601" s="143"/>
      <c r="P601" s="143"/>
      <c r="Q601" s="143"/>
      <c r="R601" s="143"/>
      <c r="S601" s="143"/>
      <c r="T601" s="143"/>
      <c r="U601" s="143"/>
      <c r="V601" s="143"/>
      <c r="W601" s="143"/>
      <c r="X601" s="143"/>
      <c r="Y601" s="143"/>
      <c r="Z601" s="143"/>
      <c r="AA601" s="143"/>
      <c r="AB601" s="143"/>
      <c r="AC601" s="143"/>
      <c r="AD601" s="143"/>
    </row>
    <row r="602">
      <c r="A602" s="25"/>
      <c r="B602" s="25"/>
      <c r="C602" s="25"/>
      <c r="D602" s="25"/>
      <c r="E602" s="50"/>
      <c r="F602" s="167"/>
      <c r="G602" s="168"/>
      <c r="H602" s="169"/>
      <c r="I602" s="141"/>
      <c r="J602" s="141"/>
      <c r="K602" s="141"/>
      <c r="L602" s="25"/>
      <c r="M602" s="25"/>
      <c r="N602" s="25"/>
      <c r="O602" s="143"/>
      <c r="P602" s="143"/>
      <c r="Q602" s="143"/>
      <c r="R602" s="143"/>
      <c r="S602" s="143"/>
      <c r="T602" s="143"/>
      <c r="U602" s="143"/>
      <c r="V602" s="143"/>
      <c r="W602" s="143"/>
      <c r="X602" s="143"/>
      <c r="Y602" s="143"/>
      <c r="Z602" s="143"/>
      <c r="AA602" s="143"/>
      <c r="AB602" s="143"/>
      <c r="AC602" s="143"/>
      <c r="AD602" s="143"/>
    </row>
    <row r="603">
      <c r="A603" s="25"/>
      <c r="B603" s="25"/>
      <c r="C603" s="25"/>
      <c r="D603" s="25"/>
      <c r="E603" s="50"/>
      <c r="F603" s="167"/>
      <c r="G603" s="168"/>
      <c r="H603" s="169"/>
      <c r="I603" s="141"/>
      <c r="J603" s="141"/>
      <c r="K603" s="141"/>
      <c r="L603" s="25"/>
      <c r="M603" s="25"/>
      <c r="N603" s="25"/>
      <c r="O603" s="143"/>
      <c r="P603" s="143"/>
      <c r="Q603" s="143"/>
      <c r="R603" s="143"/>
      <c r="S603" s="143"/>
      <c r="T603" s="143"/>
      <c r="U603" s="143"/>
      <c r="V603" s="143"/>
      <c r="W603" s="143"/>
      <c r="X603" s="143"/>
      <c r="Y603" s="143"/>
      <c r="Z603" s="143"/>
      <c r="AA603" s="143"/>
      <c r="AB603" s="143"/>
      <c r="AC603" s="143"/>
      <c r="AD603" s="143"/>
    </row>
    <row r="604">
      <c r="A604" s="25"/>
      <c r="B604" s="25"/>
      <c r="C604" s="25"/>
      <c r="D604" s="25"/>
      <c r="E604" s="50"/>
      <c r="F604" s="167"/>
      <c r="G604" s="168"/>
      <c r="H604" s="169"/>
      <c r="I604" s="141"/>
      <c r="J604" s="141"/>
      <c r="K604" s="141"/>
      <c r="L604" s="25"/>
      <c r="M604" s="25"/>
      <c r="N604" s="25"/>
      <c r="O604" s="143"/>
      <c r="P604" s="143"/>
      <c r="Q604" s="143"/>
      <c r="R604" s="143"/>
      <c r="S604" s="143"/>
      <c r="T604" s="143"/>
      <c r="U604" s="143"/>
      <c r="V604" s="143"/>
      <c r="W604" s="143"/>
      <c r="X604" s="143"/>
      <c r="Y604" s="143"/>
      <c r="Z604" s="143"/>
      <c r="AA604" s="143"/>
      <c r="AB604" s="143"/>
      <c r="AC604" s="143"/>
      <c r="AD604" s="143"/>
    </row>
    <row r="605">
      <c r="A605" s="25"/>
      <c r="B605" s="25"/>
      <c r="C605" s="25"/>
      <c r="D605" s="25"/>
      <c r="E605" s="50"/>
      <c r="F605" s="167"/>
      <c r="G605" s="168"/>
      <c r="H605" s="169"/>
      <c r="I605" s="141"/>
      <c r="J605" s="141"/>
      <c r="K605" s="141"/>
      <c r="L605" s="25"/>
      <c r="M605" s="25"/>
      <c r="N605" s="25"/>
      <c r="O605" s="143"/>
      <c r="P605" s="143"/>
      <c r="Q605" s="143"/>
      <c r="R605" s="143"/>
      <c r="S605" s="143"/>
      <c r="T605" s="143"/>
      <c r="U605" s="143"/>
      <c r="V605" s="143"/>
      <c r="W605" s="143"/>
      <c r="X605" s="143"/>
      <c r="Y605" s="143"/>
      <c r="Z605" s="143"/>
      <c r="AA605" s="143"/>
      <c r="AB605" s="143"/>
      <c r="AC605" s="143"/>
      <c r="AD605" s="143"/>
    </row>
    <row r="606">
      <c r="A606" s="25"/>
      <c r="B606" s="25"/>
      <c r="C606" s="25"/>
      <c r="D606" s="25"/>
      <c r="E606" s="50"/>
      <c r="F606" s="167"/>
      <c r="G606" s="168"/>
      <c r="H606" s="169"/>
      <c r="I606" s="141"/>
      <c r="J606" s="141"/>
      <c r="K606" s="141"/>
      <c r="L606" s="25"/>
      <c r="M606" s="25"/>
      <c r="N606" s="25"/>
      <c r="O606" s="143"/>
      <c r="P606" s="143"/>
      <c r="Q606" s="143"/>
      <c r="R606" s="143"/>
      <c r="S606" s="143"/>
      <c r="T606" s="143"/>
      <c r="U606" s="143"/>
      <c r="V606" s="143"/>
      <c r="W606" s="143"/>
      <c r="X606" s="143"/>
      <c r="Y606" s="143"/>
      <c r="Z606" s="143"/>
      <c r="AA606" s="143"/>
      <c r="AB606" s="143"/>
      <c r="AC606" s="143"/>
      <c r="AD606" s="143"/>
    </row>
    <row r="607">
      <c r="A607" s="25"/>
      <c r="B607" s="25"/>
      <c r="C607" s="25"/>
      <c r="D607" s="25"/>
      <c r="E607" s="50"/>
      <c r="F607" s="167"/>
      <c r="G607" s="168"/>
      <c r="H607" s="169"/>
      <c r="I607" s="141"/>
      <c r="J607" s="141"/>
      <c r="K607" s="141"/>
      <c r="L607" s="25"/>
      <c r="M607" s="25"/>
      <c r="N607" s="25"/>
      <c r="O607" s="143"/>
      <c r="P607" s="143"/>
      <c r="Q607" s="143"/>
      <c r="R607" s="143"/>
      <c r="S607" s="143"/>
      <c r="T607" s="143"/>
      <c r="U607" s="143"/>
      <c r="V607" s="143"/>
      <c r="W607" s="143"/>
      <c r="X607" s="143"/>
      <c r="Y607" s="143"/>
      <c r="Z607" s="143"/>
      <c r="AA607" s="143"/>
      <c r="AB607" s="143"/>
      <c r="AC607" s="143"/>
      <c r="AD607" s="143"/>
    </row>
    <row r="608">
      <c r="A608" s="25"/>
      <c r="B608" s="25"/>
      <c r="C608" s="25"/>
      <c r="D608" s="25"/>
      <c r="E608" s="50"/>
      <c r="F608" s="167"/>
      <c r="G608" s="168"/>
      <c r="H608" s="169"/>
      <c r="I608" s="141"/>
      <c r="J608" s="141"/>
      <c r="K608" s="141"/>
      <c r="L608" s="25"/>
      <c r="M608" s="25"/>
      <c r="N608" s="25"/>
      <c r="O608" s="143"/>
      <c r="P608" s="143"/>
      <c r="Q608" s="143"/>
      <c r="R608" s="143"/>
      <c r="S608" s="143"/>
      <c r="T608" s="143"/>
      <c r="U608" s="143"/>
      <c r="V608" s="143"/>
      <c r="W608" s="143"/>
      <c r="X608" s="143"/>
      <c r="Y608" s="143"/>
      <c r="Z608" s="143"/>
      <c r="AA608" s="143"/>
      <c r="AB608" s="143"/>
      <c r="AC608" s="143"/>
      <c r="AD608" s="143"/>
    </row>
    <row r="609">
      <c r="A609" s="25"/>
      <c r="B609" s="25"/>
      <c r="C609" s="25"/>
      <c r="D609" s="25"/>
      <c r="E609" s="50"/>
      <c r="F609" s="167"/>
      <c r="G609" s="168"/>
      <c r="H609" s="169"/>
      <c r="I609" s="141"/>
      <c r="J609" s="141"/>
      <c r="K609" s="141"/>
      <c r="L609" s="25"/>
      <c r="M609" s="25"/>
      <c r="N609" s="25"/>
      <c r="O609" s="143"/>
      <c r="P609" s="143"/>
      <c r="Q609" s="143"/>
      <c r="R609" s="143"/>
      <c r="S609" s="143"/>
      <c r="T609" s="143"/>
      <c r="U609" s="143"/>
      <c r="V609" s="143"/>
      <c r="W609" s="143"/>
      <c r="X609" s="143"/>
      <c r="Y609" s="143"/>
      <c r="Z609" s="143"/>
      <c r="AA609" s="143"/>
      <c r="AB609" s="143"/>
      <c r="AC609" s="143"/>
      <c r="AD609" s="143"/>
    </row>
    <row r="610">
      <c r="A610" s="25"/>
      <c r="B610" s="25"/>
      <c r="C610" s="25"/>
      <c r="D610" s="25"/>
      <c r="E610" s="50"/>
      <c r="F610" s="167"/>
      <c r="G610" s="168"/>
      <c r="H610" s="169"/>
      <c r="I610" s="141"/>
      <c r="J610" s="141"/>
      <c r="K610" s="141"/>
      <c r="L610" s="25"/>
      <c r="M610" s="25"/>
      <c r="N610" s="25"/>
      <c r="O610" s="143"/>
      <c r="P610" s="143"/>
      <c r="Q610" s="143"/>
      <c r="R610" s="143"/>
      <c r="S610" s="143"/>
      <c r="T610" s="143"/>
      <c r="U610" s="143"/>
      <c r="V610" s="143"/>
      <c r="W610" s="143"/>
      <c r="X610" s="143"/>
      <c r="Y610" s="143"/>
      <c r="Z610" s="143"/>
      <c r="AA610" s="143"/>
      <c r="AB610" s="143"/>
      <c r="AC610" s="143"/>
      <c r="AD610" s="143"/>
    </row>
    <row r="611">
      <c r="A611" s="25"/>
      <c r="B611" s="25"/>
      <c r="C611" s="25"/>
      <c r="D611" s="25"/>
      <c r="E611" s="50"/>
      <c r="F611" s="167"/>
      <c r="G611" s="168"/>
      <c r="H611" s="169"/>
      <c r="I611" s="141"/>
      <c r="J611" s="141"/>
      <c r="K611" s="141"/>
      <c r="L611" s="25"/>
      <c r="M611" s="25"/>
      <c r="N611" s="25"/>
      <c r="O611" s="143"/>
      <c r="P611" s="143"/>
      <c r="Q611" s="143"/>
      <c r="R611" s="143"/>
      <c r="S611" s="143"/>
      <c r="T611" s="143"/>
      <c r="U611" s="143"/>
      <c r="V611" s="143"/>
      <c r="W611" s="143"/>
      <c r="X611" s="143"/>
      <c r="Y611" s="143"/>
      <c r="Z611" s="143"/>
      <c r="AA611" s="143"/>
      <c r="AB611" s="143"/>
      <c r="AC611" s="143"/>
      <c r="AD611" s="143"/>
    </row>
    <row r="612">
      <c r="A612" s="25"/>
      <c r="B612" s="25"/>
      <c r="C612" s="25"/>
      <c r="D612" s="25"/>
      <c r="E612" s="50"/>
      <c r="F612" s="167"/>
      <c r="G612" s="168"/>
      <c r="H612" s="169"/>
      <c r="I612" s="141"/>
      <c r="J612" s="141"/>
      <c r="K612" s="141"/>
      <c r="L612" s="25"/>
      <c r="M612" s="25"/>
      <c r="N612" s="25"/>
      <c r="O612" s="143"/>
      <c r="P612" s="143"/>
      <c r="Q612" s="143"/>
      <c r="R612" s="143"/>
      <c r="S612" s="143"/>
      <c r="T612" s="143"/>
      <c r="U612" s="143"/>
      <c r="V612" s="143"/>
      <c r="W612" s="143"/>
      <c r="X612" s="143"/>
      <c r="Y612" s="143"/>
      <c r="Z612" s="143"/>
      <c r="AA612" s="143"/>
      <c r="AB612" s="143"/>
      <c r="AC612" s="143"/>
      <c r="AD612" s="143"/>
    </row>
    <row r="613">
      <c r="A613" s="25"/>
      <c r="B613" s="25"/>
      <c r="C613" s="25"/>
      <c r="D613" s="25"/>
      <c r="E613" s="50"/>
      <c r="F613" s="167"/>
      <c r="G613" s="168"/>
      <c r="H613" s="169"/>
      <c r="I613" s="141"/>
      <c r="J613" s="141"/>
      <c r="K613" s="141"/>
      <c r="L613" s="25"/>
      <c r="M613" s="25"/>
      <c r="N613" s="25"/>
      <c r="O613" s="143"/>
      <c r="P613" s="143"/>
      <c r="Q613" s="143"/>
      <c r="R613" s="143"/>
      <c r="S613" s="143"/>
      <c r="T613" s="143"/>
      <c r="U613" s="143"/>
      <c r="V613" s="143"/>
      <c r="W613" s="143"/>
      <c r="X613" s="143"/>
      <c r="Y613" s="143"/>
      <c r="Z613" s="143"/>
      <c r="AA613" s="143"/>
      <c r="AB613" s="143"/>
      <c r="AC613" s="143"/>
      <c r="AD613" s="143"/>
    </row>
    <row r="614">
      <c r="A614" s="25"/>
      <c r="B614" s="25"/>
      <c r="C614" s="25"/>
      <c r="D614" s="25"/>
      <c r="E614" s="50"/>
      <c r="F614" s="167"/>
      <c r="G614" s="168"/>
      <c r="H614" s="169"/>
      <c r="I614" s="141"/>
      <c r="J614" s="141"/>
      <c r="K614" s="141"/>
      <c r="L614" s="25"/>
      <c r="M614" s="25"/>
      <c r="N614" s="25"/>
      <c r="O614" s="143"/>
      <c r="P614" s="143"/>
      <c r="Q614" s="143"/>
      <c r="R614" s="143"/>
      <c r="S614" s="143"/>
      <c r="T614" s="143"/>
      <c r="U614" s="143"/>
      <c r="V614" s="143"/>
      <c r="W614" s="143"/>
      <c r="X614" s="143"/>
      <c r="Y614" s="143"/>
      <c r="Z614" s="143"/>
      <c r="AA614" s="143"/>
      <c r="AB614" s="143"/>
      <c r="AC614" s="143"/>
      <c r="AD614" s="143"/>
    </row>
    <row r="615">
      <c r="A615" s="25"/>
      <c r="B615" s="25"/>
      <c r="C615" s="25"/>
      <c r="D615" s="25"/>
      <c r="E615" s="50"/>
      <c r="F615" s="167"/>
      <c r="G615" s="168"/>
      <c r="H615" s="169"/>
      <c r="I615" s="141"/>
      <c r="J615" s="141"/>
      <c r="K615" s="141"/>
      <c r="L615" s="25"/>
      <c r="M615" s="25"/>
      <c r="N615" s="25"/>
      <c r="O615" s="143"/>
      <c r="P615" s="143"/>
      <c r="Q615" s="143"/>
      <c r="R615" s="143"/>
      <c r="S615" s="143"/>
      <c r="T615" s="143"/>
      <c r="U615" s="143"/>
      <c r="V615" s="143"/>
      <c r="W615" s="143"/>
      <c r="X615" s="143"/>
      <c r="Y615" s="143"/>
      <c r="Z615" s="143"/>
      <c r="AA615" s="143"/>
      <c r="AB615" s="143"/>
      <c r="AC615" s="143"/>
      <c r="AD615" s="143"/>
    </row>
    <row r="616">
      <c r="A616" s="25"/>
      <c r="B616" s="25"/>
      <c r="C616" s="25"/>
      <c r="D616" s="25"/>
      <c r="E616" s="50"/>
      <c r="F616" s="167"/>
      <c r="G616" s="168"/>
      <c r="H616" s="169"/>
      <c r="I616" s="141"/>
      <c r="J616" s="141"/>
      <c r="K616" s="141"/>
      <c r="L616" s="25"/>
      <c r="M616" s="25"/>
      <c r="N616" s="25"/>
      <c r="O616" s="143"/>
      <c r="P616" s="143"/>
      <c r="Q616" s="143"/>
      <c r="R616" s="143"/>
      <c r="S616" s="143"/>
      <c r="T616" s="143"/>
      <c r="U616" s="143"/>
      <c r="V616" s="143"/>
      <c r="W616" s="143"/>
      <c r="X616" s="143"/>
      <c r="Y616" s="143"/>
      <c r="Z616" s="143"/>
      <c r="AA616" s="143"/>
      <c r="AB616" s="143"/>
      <c r="AC616" s="143"/>
      <c r="AD616" s="143"/>
    </row>
    <row r="617">
      <c r="A617" s="25"/>
      <c r="B617" s="25"/>
      <c r="C617" s="25"/>
      <c r="D617" s="25"/>
      <c r="E617" s="50"/>
      <c r="F617" s="167"/>
      <c r="G617" s="168"/>
      <c r="H617" s="169"/>
      <c r="I617" s="141"/>
      <c r="J617" s="141"/>
      <c r="K617" s="141"/>
      <c r="L617" s="25"/>
      <c r="M617" s="25"/>
      <c r="N617" s="25"/>
      <c r="O617" s="143"/>
      <c r="P617" s="143"/>
      <c r="Q617" s="143"/>
      <c r="R617" s="143"/>
      <c r="S617" s="143"/>
      <c r="T617" s="143"/>
      <c r="U617" s="143"/>
      <c r="V617" s="143"/>
      <c r="W617" s="143"/>
      <c r="X617" s="143"/>
      <c r="Y617" s="143"/>
      <c r="Z617" s="143"/>
      <c r="AA617" s="143"/>
      <c r="AB617" s="143"/>
      <c r="AC617" s="143"/>
      <c r="AD617" s="143"/>
    </row>
    <row r="618">
      <c r="A618" s="25"/>
      <c r="B618" s="25"/>
      <c r="C618" s="25"/>
      <c r="D618" s="25"/>
      <c r="E618" s="50"/>
      <c r="F618" s="167"/>
      <c r="G618" s="168"/>
      <c r="H618" s="169"/>
      <c r="I618" s="141"/>
      <c r="J618" s="141"/>
      <c r="K618" s="141"/>
      <c r="L618" s="25"/>
      <c r="M618" s="25"/>
      <c r="N618" s="25"/>
      <c r="O618" s="143"/>
      <c r="P618" s="143"/>
      <c r="Q618" s="143"/>
      <c r="R618" s="143"/>
      <c r="S618" s="143"/>
      <c r="T618" s="143"/>
      <c r="U618" s="143"/>
      <c r="V618" s="143"/>
      <c r="W618" s="143"/>
      <c r="X618" s="143"/>
      <c r="Y618" s="143"/>
      <c r="Z618" s="143"/>
      <c r="AA618" s="143"/>
      <c r="AB618" s="143"/>
      <c r="AC618" s="143"/>
      <c r="AD618" s="143"/>
    </row>
    <row r="619">
      <c r="A619" s="25"/>
      <c r="B619" s="25"/>
      <c r="C619" s="25"/>
      <c r="D619" s="25"/>
      <c r="E619" s="50"/>
      <c r="F619" s="167"/>
      <c r="G619" s="168"/>
      <c r="H619" s="169"/>
      <c r="I619" s="141"/>
      <c r="J619" s="141"/>
      <c r="K619" s="141"/>
      <c r="L619" s="25"/>
      <c r="M619" s="25"/>
      <c r="N619" s="25"/>
      <c r="O619" s="143"/>
      <c r="P619" s="143"/>
      <c r="Q619" s="143"/>
      <c r="R619" s="143"/>
      <c r="S619" s="143"/>
      <c r="T619" s="143"/>
      <c r="U619" s="143"/>
      <c r="V619" s="143"/>
      <c r="W619" s="143"/>
      <c r="X619" s="143"/>
      <c r="Y619" s="143"/>
      <c r="Z619" s="143"/>
      <c r="AA619" s="143"/>
      <c r="AB619" s="143"/>
      <c r="AC619" s="143"/>
      <c r="AD619" s="143"/>
    </row>
    <row r="620">
      <c r="A620" s="25"/>
      <c r="B620" s="25"/>
      <c r="C620" s="25"/>
      <c r="D620" s="25"/>
      <c r="E620" s="50"/>
      <c r="F620" s="167"/>
      <c r="G620" s="168"/>
      <c r="H620" s="169"/>
      <c r="I620" s="141"/>
      <c r="J620" s="141"/>
      <c r="K620" s="141"/>
      <c r="L620" s="25"/>
      <c r="M620" s="25"/>
      <c r="N620" s="25"/>
      <c r="O620" s="143"/>
      <c r="P620" s="143"/>
      <c r="Q620" s="143"/>
      <c r="R620" s="143"/>
      <c r="S620" s="143"/>
      <c r="T620" s="143"/>
      <c r="U620" s="143"/>
      <c r="V620" s="143"/>
      <c r="W620" s="143"/>
      <c r="X620" s="143"/>
      <c r="Y620" s="143"/>
      <c r="Z620" s="143"/>
      <c r="AA620" s="143"/>
      <c r="AB620" s="143"/>
      <c r="AC620" s="143"/>
      <c r="AD620" s="143"/>
    </row>
    <row r="621">
      <c r="A621" s="25"/>
      <c r="B621" s="25"/>
      <c r="C621" s="25"/>
      <c r="D621" s="25"/>
      <c r="E621" s="50"/>
      <c r="F621" s="167"/>
      <c r="G621" s="168"/>
      <c r="H621" s="169"/>
      <c r="I621" s="141"/>
      <c r="J621" s="141"/>
      <c r="K621" s="141"/>
      <c r="L621" s="25"/>
      <c r="M621" s="25"/>
      <c r="N621" s="25"/>
      <c r="O621" s="143"/>
      <c r="P621" s="143"/>
      <c r="Q621" s="143"/>
      <c r="R621" s="143"/>
      <c r="S621" s="143"/>
      <c r="T621" s="143"/>
      <c r="U621" s="143"/>
      <c r="V621" s="143"/>
      <c r="W621" s="143"/>
      <c r="X621" s="143"/>
      <c r="Y621" s="143"/>
      <c r="Z621" s="143"/>
      <c r="AA621" s="143"/>
      <c r="AB621" s="143"/>
      <c r="AC621" s="143"/>
      <c r="AD621" s="143"/>
    </row>
    <row r="622">
      <c r="A622" s="25"/>
      <c r="B622" s="25"/>
      <c r="C622" s="25"/>
      <c r="D622" s="25"/>
      <c r="E622" s="50"/>
      <c r="F622" s="167"/>
      <c r="G622" s="168"/>
      <c r="H622" s="169"/>
      <c r="I622" s="141"/>
      <c r="J622" s="141"/>
      <c r="K622" s="141"/>
      <c r="L622" s="25"/>
      <c r="M622" s="25"/>
      <c r="N622" s="25"/>
      <c r="O622" s="143"/>
      <c r="P622" s="143"/>
      <c r="Q622" s="143"/>
      <c r="R622" s="143"/>
      <c r="S622" s="143"/>
      <c r="T622" s="143"/>
      <c r="U622" s="143"/>
      <c r="V622" s="143"/>
      <c r="W622" s="143"/>
      <c r="X622" s="143"/>
      <c r="Y622" s="143"/>
      <c r="Z622" s="143"/>
      <c r="AA622" s="143"/>
      <c r="AB622" s="143"/>
      <c r="AC622" s="143"/>
      <c r="AD622" s="143"/>
    </row>
    <row r="623">
      <c r="A623" s="25"/>
      <c r="B623" s="25"/>
      <c r="C623" s="25"/>
      <c r="D623" s="25"/>
      <c r="E623" s="50"/>
      <c r="F623" s="167"/>
      <c r="G623" s="168"/>
      <c r="H623" s="169"/>
      <c r="I623" s="141"/>
      <c r="J623" s="141"/>
      <c r="K623" s="141"/>
      <c r="L623" s="25"/>
      <c r="M623" s="25"/>
      <c r="N623" s="25"/>
      <c r="O623" s="143"/>
      <c r="P623" s="143"/>
      <c r="Q623" s="143"/>
      <c r="R623" s="143"/>
      <c r="S623" s="143"/>
      <c r="T623" s="143"/>
      <c r="U623" s="143"/>
      <c r="V623" s="143"/>
      <c r="W623" s="143"/>
      <c r="X623" s="143"/>
      <c r="Y623" s="143"/>
      <c r="Z623" s="143"/>
      <c r="AA623" s="143"/>
      <c r="AB623" s="143"/>
      <c r="AC623" s="143"/>
      <c r="AD623" s="143"/>
    </row>
    <row r="624">
      <c r="A624" s="25"/>
      <c r="B624" s="25"/>
      <c r="C624" s="25"/>
      <c r="D624" s="25"/>
      <c r="E624" s="50"/>
      <c r="F624" s="167"/>
      <c r="G624" s="168"/>
      <c r="H624" s="169"/>
      <c r="I624" s="141"/>
      <c r="J624" s="141"/>
      <c r="K624" s="141"/>
      <c r="L624" s="25"/>
      <c r="M624" s="25"/>
      <c r="N624" s="25"/>
      <c r="O624" s="143"/>
      <c r="P624" s="143"/>
      <c r="Q624" s="143"/>
      <c r="R624" s="143"/>
      <c r="S624" s="143"/>
      <c r="T624" s="143"/>
      <c r="U624" s="143"/>
      <c r="V624" s="143"/>
      <c r="W624" s="143"/>
      <c r="X624" s="143"/>
      <c r="Y624" s="143"/>
      <c r="Z624" s="143"/>
      <c r="AA624" s="143"/>
      <c r="AB624" s="143"/>
      <c r="AC624" s="143"/>
      <c r="AD624" s="143"/>
    </row>
    <row r="625">
      <c r="A625" s="25"/>
      <c r="B625" s="25"/>
      <c r="C625" s="25"/>
      <c r="D625" s="25"/>
      <c r="E625" s="50"/>
      <c r="F625" s="167"/>
      <c r="G625" s="168"/>
      <c r="H625" s="169"/>
      <c r="I625" s="141"/>
      <c r="J625" s="141"/>
      <c r="K625" s="141"/>
      <c r="L625" s="25"/>
      <c r="M625" s="25"/>
      <c r="N625" s="25"/>
      <c r="O625" s="143"/>
      <c r="P625" s="143"/>
      <c r="Q625" s="143"/>
      <c r="R625" s="143"/>
      <c r="S625" s="143"/>
      <c r="T625" s="143"/>
      <c r="U625" s="143"/>
      <c r="V625" s="143"/>
      <c r="W625" s="143"/>
      <c r="X625" s="143"/>
      <c r="Y625" s="143"/>
      <c r="Z625" s="143"/>
      <c r="AA625" s="143"/>
      <c r="AB625" s="143"/>
      <c r="AC625" s="143"/>
      <c r="AD625" s="143"/>
    </row>
    <row r="626">
      <c r="A626" s="25"/>
      <c r="B626" s="25"/>
      <c r="C626" s="25"/>
      <c r="D626" s="25"/>
      <c r="E626" s="50"/>
      <c r="F626" s="167"/>
      <c r="G626" s="168"/>
      <c r="H626" s="169"/>
      <c r="I626" s="141"/>
      <c r="J626" s="141"/>
      <c r="K626" s="141"/>
      <c r="L626" s="25"/>
      <c r="M626" s="25"/>
      <c r="N626" s="25"/>
      <c r="O626" s="143"/>
      <c r="P626" s="143"/>
      <c r="Q626" s="143"/>
      <c r="R626" s="143"/>
      <c r="S626" s="143"/>
      <c r="T626" s="143"/>
      <c r="U626" s="143"/>
      <c r="V626" s="143"/>
      <c r="W626" s="143"/>
      <c r="X626" s="143"/>
      <c r="Y626" s="143"/>
      <c r="Z626" s="143"/>
      <c r="AA626" s="143"/>
      <c r="AB626" s="143"/>
      <c r="AC626" s="143"/>
      <c r="AD626" s="143"/>
    </row>
    <row r="627">
      <c r="A627" s="25"/>
      <c r="B627" s="25"/>
      <c r="C627" s="25"/>
      <c r="D627" s="25"/>
      <c r="E627" s="50"/>
      <c r="F627" s="167"/>
      <c r="G627" s="168"/>
      <c r="H627" s="169"/>
      <c r="I627" s="141"/>
      <c r="J627" s="141"/>
      <c r="K627" s="141"/>
      <c r="L627" s="25"/>
      <c r="M627" s="25"/>
      <c r="N627" s="25"/>
      <c r="O627" s="143"/>
      <c r="P627" s="143"/>
      <c r="Q627" s="143"/>
      <c r="R627" s="143"/>
      <c r="S627" s="143"/>
      <c r="T627" s="143"/>
      <c r="U627" s="143"/>
      <c r="V627" s="143"/>
      <c r="W627" s="143"/>
      <c r="X627" s="143"/>
      <c r="Y627" s="143"/>
      <c r="Z627" s="143"/>
      <c r="AA627" s="143"/>
      <c r="AB627" s="143"/>
      <c r="AC627" s="143"/>
      <c r="AD627" s="143"/>
    </row>
    <row r="628">
      <c r="A628" s="25"/>
      <c r="B628" s="25"/>
      <c r="C628" s="25"/>
      <c r="D628" s="25"/>
      <c r="E628" s="50"/>
      <c r="F628" s="167"/>
      <c r="G628" s="168"/>
      <c r="H628" s="169"/>
      <c r="I628" s="141"/>
      <c r="J628" s="141"/>
      <c r="K628" s="141"/>
      <c r="L628" s="25"/>
      <c r="M628" s="25"/>
      <c r="N628" s="25"/>
      <c r="O628" s="143"/>
      <c r="P628" s="143"/>
      <c r="Q628" s="143"/>
      <c r="R628" s="143"/>
      <c r="S628" s="143"/>
      <c r="T628" s="143"/>
      <c r="U628" s="143"/>
      <c r="V628" s="143"/>
      <c r="W628" s="143"/>
      <c r="X628" s="143"/>
      <c r="Y628" s="143"/>
      <c r="Z628" s="143"/>
      <c r="AA628" s="143"/>
      <c r="AB628" s="143"/>
      <c r="AC628" s="143"/>
      <c r="AD628" s="143"/>
    </row>
    <row r="629">
      <c r="A629" s="25"/>
      <c r="B629" s="25"/>
      <c r="C629" s="25"/>
      <c r="D629" s="25"/>
      <c r="E629" s="50"/>
      <c r="F629" s="167"/>
      <c r="G629" s="168"/>
      <c r="H629" s="169"/>
      <c r="I629" s="141"/>
      <c r="J629" s="141"/>
      <c r="K629" s="141"/>
      <c r="L629" s="25"/>
      <c r="M629" s="25"/>
      <c r="N629" s="25"/>
      <c r="O629" s="143"/>
      <c r="P629" s="143"/>
      <c r="Q629" s="143"/>
      <c r="R629" s="143"/>
      <c r="S629" s="143"/>
      <c r="T629" s="143"/>
      <c r="U629" s="143"/>
      <c r="V629" s="143"/>
      <c r="W629" s="143"/>
      <c r="X629" s="143"/>
      <c r="Y629" s="143"/>
      <c r="Z629" s="143"/>
      <c r="AA629" s="143"/>
      <c r="AB629" s="143"/>
      <c r="AC629" s="143"/>
      <c r="AD629" s="143"/>
    </row>
    <row r="630">
      <c r="A630" s="25"/>
      <c r="B630" s="25"/>
      <c r="C630" s="25"/>
      <c r="D630" s="25"/>
      <c r="E630" s="50"/>
      <c r="F630" s="167"/>
      <c r="G630" s="168"/>
      <c r="H630" s="169"/>
      <c r="I630" s="141"/>
      <c r="J630" s="141"/>
      <c r="K630" s="141"/>
      <c r="L630" s="25"/>
      <c r="M630" s="25"/>
      <c r="N630" s="25"/>
      <c r="O630" s="143"/>
      <c r="P630" s="143"/>
      <c r="Q630" s="143"/>
      <c r="R630" s="143"/>
      <c r="S630" s="143"/>
      <c r="T630" s="143"/>
      <c r="U630" s="143"/>
      <c r="V630" s="143"/>
      <c r="W630" s="143"/>
      <c r="X630" s="143"/>
      <c r="Y630" s="143"/>
      <c r="Z630" s="143"/>
      <c r="AA630" s="143"/>
      <c r="AB630" s="143"/>
      <c r="AC630" s="143"/>
      <c r="AD630" s="143"/>
    </row>
    <row r="631">
      <c r="A631" s="25"/>
      <c r="B631" s="25"/>
      <c r="C631" s="25"/>
      <c r="D631" s="25"/>
      <c r="E631" s="50"/>
      <c r="F631" s="167"/>
      <c r="G631" s="168"/>
      <c r="H631" s="169"/>
      <c r="I631" s="141"/>
      <c r="J631" s="141"/>
      <c r="K631" s="141"/>
      <c r="L631" s="25"/>
      <c r="M631" s="25"/>
      <c r="N631" s="25"/>
      <c r="O631" s="143"/>
      <c r="P631" s="143"/>
      <c r="Q631" s="143"/>
      <c r="R631" s="143"/>
      <c r="S631" s="143"/>
      <c r="T631" s="143"/>
      <c r="U631" s="143"/>
      <c r="V631" s="143"/>
      <c r="W631" s="143"/>
      <c r="X631" s="143"/>
      <c r="Y631" s="143"/>
      <c r="Z631" s="143"/>
      <c r="AA631" s="143"/>
      <c r="AB631" s="143"/>
      <c r="AC631" s="143"/>
      <c r="AD631" s="143"/>
    </row>
    <row r="632">
      <c r="A632" s="25"/>
      <c r="B632" s="25"/>
      <c r="C632" s="25"/>
      <c r="D632" s="25"/>
      <c r="E632" s="50"/>
      <c r="F632" s="167"/>
      <c r="G632" s="168"/>
      <c r="H632" s="169"/>
      <c r="I632" s="141"/>
      <c r="J632" s="141"/>
      <c r="K632" s="141"/>
      <c r="L632" s="25"/>
      <c r="M632" s="25"/>
      <c r="N632" s="25"/>
      <c r="O632" s="143"/>
      <c r="P632" s="143"/>
      <c r="Q632" s="143"/>
      <c r="R632" s="143"/>
      <c r="S632" s="143"/>
      <c r="T632" s="143"/>
      <c r="U632" s="143"/>
      <c r="V632" s="143"/>
      <c r="W632" s="143"/>
      <c r="X632" s="143"/>
      <c r="Y632" s="143"/>
      <c r="Z632" s="143"/>
      <c r="AA632" s="143"/>
      <c r="AB632" s="143"/>
      <c r="AC632" s="143"/>
      <c r="AD632" s="143"/>
    </row>
    <row r="633">
      <c r="A633" s="25"/>
      <c r="B633" s="25"/>
      <c r="C633" s="25"/>
      <c r="D633" s="25"/>
      <c r="E633" s="50"/>
      <c r="F633" s="167"/>
      <c r="G633" s="168"/>
      <c r="H633" s="169"/>
      <c r="I633" s="141"/>
      <c r="J633" s="141"/>
      <c r="K633" s="141"/>
      <c r="L633" s="25"/>
      <c r="M633" s="25"/>
      <c r="N633" s="25"/>
      <c r="O633" s="143"/>
      <c r="P633" s="143"/>
      <c r="Q633" s="143"/>
      <c r="R633" s="143"/>
      <c r="S633" s="143"/>
      <c r="T633" s="143"/>
      <c r="U633" s="143"/>
      <c r="V633" s="143"/>
      <c r="W633" s="143"/>
      <c r="X633" s="143"/>
      <c r="Y633" s="143"/>
      <c r="Z633" s="143"/>
      <c r="AA633" s="143"/>
      <c r="AB633" s="143"/>
      <c r="AC633" s="143"/>
      <c r="AD633" s="143"/>
    </row>
    <row r="634">
      <c r="A634" s="25"/>
      <c r="B634" s="25"/>
      <c r="C634" s="25"/>
      <c r="D634" s="25"/>
      <c r="E634" s="50"/>
      <c r="F634" s="167"/>
      <c r="G634" s="168"/>
      <c r="H634" s="169"/>
      <c r="I634" s="141"/>
      <c r="J634" s="141"/>
      <c r="K634" s="141"/>
      <c r="L634" s="25"/>
      <c r="M634" s="25"/>
      <c r="N634" s="25"/>
      <c r="O634" s="143"/>
      <c r="P634" s="143"/>
      <c r="Q634" s="143"/>
      <c r="R634" s="143"/>
      <c r="S634" s="143"/>
      <c r="T634" s="143"/>
      <c r="U634" s="143"/>
      <c r="V634" s="143"/>
      <c r="W634" s="143"/>
      <c r="X634" s="143"/>
      <c r="Y634" s="143"/>
      <c r="Z634" s="143"/>
      <c r="AA634" s="143"/>
      <c r="AB634" s="143"/>
      <c r="AC634" s="143"/>
      <c r="AD634" s="143"/>
    </row>
    <row r="635">
      <c r="A635" s="25"/>
      <c r="B635" s="25"/>
      <c r="C635" s="25"/>
      <c r="D635" s="25"/>
      <c r="E635" s="50"/>
      <c r="F635" s="167"/>
      <c r="G635" s="168"/>
      <c r="H635" s="169"/>
      <c r="I635" s="141"/>
      <c r="J635" s="141"/>
      <c r="K635" s="141"/>
      <c r="L635" s="25"/>
      <c r="M635" s="25"/>
      <c r="N635" s="25"/>
      <c r="O635" s="143"/>
      <c r="P635" s="143"/>
      <c r="Q635" s="143"/>
      <c r="R635" s="143"/>
      <c r="S635" s="143"/>
      <c r="T635" s="143"/>
      <c r="U635" s="143"/>
      <c r="V635" s="143"/>
      <c r="W635" s="143"/>
      <c r="X635" s="143"/>
      <c r="Y635" s="143"/>
      <c r="Z635" s="143"/>
      <c r="AA635" s="143"/>
      <c r="AB635" s="143"/>
      <c r="AC635" s="143"/>
      <c r="AD635" s="143"/>
    </row>
    <row r="636">
      <c r="A636" s="25"/>
      <c r="B636" s="25"/>
      <c r="C636" s="25"/>
      <c r="D636" s="25"/>
      <c r="E636" s="50"/>
      <c r="F636" s="167"/>
      <c r="G636" s="168"/>
      <c r="H636" s="169"/>
      <c r="I636" s="141"/>
      <c r="J636" s="141"/>
      <c r="K636" s="141"/>
      <c r="L636" s="25"/>
      <c r="M636" s="25"/>
      <c r="N636" s="25"/>
      <c r="O636" s="143"/>
      <c r="P636" s="143"/>
      <c r="Q636" s="143"/>
      <c r="R636" s="143"/>
      <c r="S636" s="143"/>
      <c r="T636" s="143"/>
      <c r="U636" s="143"/>
      <c r="V636" s="143"/>
      <c r="W636" s="143"/>
      <c r="X636" s="143"/>
      <c r="Y636" s="143"/>
      <c r="Z636" s="143"/>
      <c r="AA636" s="143"/>
      <c r="AB636" s="143"/>
      <c r="AC636" s="143"/>
      <c r="AD636" s="143"/>
    </row>
    <row r="637">
      <c r="A637" s="25"/>
      <c r="B637" s="25"/>
      <c r="C637" s="25"/>
      <c r="D637" s="25"/>
      <c r="E637" s="50"/>
      <c r="F637" s="167"/>
      <c r="G637" s="168"/>
      <c r="H637" s="169"/>
      <c r="I637" s="141"/>
      <c r="J637" s="141"/>
      <c r="K637" s="141"/>
      <c r="L637" s="25"/>
      <c r="M637" s="25"/>
      <c r="N637" s="25"/>
      <c r="O637" s="143"/>
      <c r="P637" s="143"/>
      <c r="Q637" s="143"/>
      <c r="R637" s="143"/>
      <c r="S637" s="143"/>
      <c r="T637" s="143"/>
      <c r="U637" s="143"/>
      <c r="V637" s="143"/>
      <c r="W637" s="143"/>
      <c r="X637" s="143"/>
      <c r="Y637" s="143"/>
      <c r="Z637" s="143"/>
      <c r="AA637" s="143"/>
      <c r="AB637" s="143"/>
      <c r="AC637" s="143"/>
      <c r="AD637" s="143"/>
    </row>
    <row r="638">
      <c r="A638" s="25"/>
      <c r="B638" s="25"/>
      <c r="C638" s="25"/>
      <c r="D638" s="25"/>
      <c r="E638" s="50"/>
      <c r="F638" s="167"/>
      <c r="G638" s="168"/>
      <c r="H638" s="169"/>
      <c r="I638" s="141"/>
      <c r="J638" s="141"/>
      <c r="K638" s="141"/>
      <c r="L638" s="25"/>
      <c r="M638" s="25"/>
      <c r="N638" s="25"/>
      <c r="O638" s="143"/>
      <c r="P638" s="143"/>
      <c r="Q638" s="143"/>
      <c r="R638" s="143"/>
      <c r="S638" s="143"/>
      <c r="T638" s="143"/>
      <c r="U638" s="143"/>
      <c r="V638" s="143"/>
      <c r="W638" s="143"/>
      <c r="X638" s="143"/>
      <c r="Y638" s="143"/>
      <c r="Z638" s="143"/>
      <c r="AA638" s="143"/>
      <c r="AB638" s="143"/>
      <c r="AC638" s="143"/>
      <c r="AD638" s="143"/>
    </row>
    <row r="639">
      <c r="A639" s="25"/>
      <c r="B639" s="25"/>
      <c r="C639" s="25"/>
      <c r="D639" s="25"/>
      <c r="E639" s="50"/>
      <c r="F639" s="167"/>
      <c r="G639" s="168"/>
      <c r="H639" s="169"/>
      <c r="I639" s="141"/>
      <c r="J639" s="141"/>
      <c r="K639" s="141"/>
      <c r="L639" s="25"/>
      <c r="M639" s="25"/>
      <c r="N639" s="25"/>
      <c r="O639" s="143"/>
      <c r="P639" s="143"/>
      <c r="Q639" s="143"/>
      <c r="R639" s="143"/>
      <c r="S639" s="143"/>
      <c r="T639" s="143"/>
      <c r="U639" s="143"/>
      <c r="V639" s="143"/>
      <c r="W639" s="143"/>
      <c r="X639" s="143"/>
      <c r="Y639" s="143"/>
      <c r="Z639" s="143"/>
      <c r="AA639" s="143"/>
      <c r="AB639" s="143"/>
      <c r="AC639" s="143"/>
      <c r="AD639" s="143"/>
    </row>
    <row r="640">
      <c r="A640" s="25"/>
      <c r="B640" s="25"/>
      <c r="C640" s="25"/>
      <c r="D640" s="25"/>
      <c r="E640" s="50"/>
      <c r="F640" s="167"/>
      <c r="G640" s="168"/>
      <c r="H640" s="169"/>
      <c r="I640" s="141"/>
      <c r="J640" s="141"/>
      <c r="K640" s="141"/>
      <c r="L640" s="25"/>
      <c r="M640" s="25"/>
      <c r="N640" s="25"/>
      <c r="O640" s="143"/>
      <c r="P640" s="143"/>
      <c r="Q640" s="143"/>
      <c r="R640" s="143"/>
      <c r="S640" s="143"/>
      <c r="T640" s="143"/>
      <c r="U640" s="143"/>
      <c r="V640" s="143"/>
      <c r="W640" s="143"/>
      <c r="X640" s="143"/>
      <c r="Y640" s="143"/>
      <c r="Z640" s="143"/>
      <c r="AA640" s="143"/>
      <c r="AB640" s="143"/>
      <c r="AC640" s="143"/>
      <c r="AD640" s="143"/>
    </row>
    <row r="641">
      <c r="A641" s="25"/>
      <c r="B641" s="25"/>
      <c r="C641" s="25"/>
      <c r="D641" s="25"/>
      <c r="E641" s="50"/>
      <c r="F641" s="167"/>
      <c r="G641" s="168"/>
      <c r="H641" s="169"/>
      <c r="I641" s="141"/>
      <c r="J641" s="141"/>
      <c r="K641" s="141"/>
      <c r="L641" s="25"/>
      <c r="M641" s="25"/>
      <c r="N641" s="25"/>
      <c r="O641" s="143"/>
      <c r="P641" s="143"/>
      <c r="Q641" s="143"/>
      <c r="R641" s="143"/>
      <c r="S641" s="143"/>
      <c r="T641" s="143"/>
      <c r="U641" s="143"/>
      <c r="V641" s="143"/>
      <c r="W641" s="143"/>
      <c r="X641" s="143"/>
      <c r="Y641" s="143"/>
      <c r="Z641" s="143"/>
      <c r="AA641" s="143"/>
      <c r="AB641" s="143"/>
      <c r="AC641" s="143"/>
      <c r="AD641" s="143"/>
    </row>
    <row r="642">
      <c r="A642" s="25"/>
      <c r="B642" s="25"/>
      <c r="C642" s="25"/>
      <c r="D642" s="25"/>
      <c r="E642" s="50"/>
      <c r="F642" s="167"/>
      <c r="G642" s="168"/>
      <c r="H642" s="169"/>
      <c r="I642" s="141"/>
      <c r="J642" s="141"/>
      <c r="K642" s="141"/>
      <c r="L642" s="25"/>
      <c r="M642" s="25"/>
      <c r="N642" s="25"/>
      <c r="O642" s="143"/>
      <c r="P642" s="143"/>
      <c r="Q642" s="143"/>
      <c r="R642" s="143"/>
      <c r="S642" s="143"/>
      <c r="T642" s="143"/>
      <c r="U642" s="143"/>
      <c r="V642" s="143"/>
      <c r="W642" s="143"/>
      <c r="X642" s="143"/>
      <c r="Y642" s="143"/>
      <c r="Z642" s="143"/>
      <c r="AA642" s="143"/>
      <c r="AB642" s="143"/>
      <c r="AC642" s="143"/>
      <c r="AD642" s="143"/>
    </row>
    <row r="643">
      <c r="A643" s="25"/>
      <c r="B643" s="25"/>
      <c r="C643" s="25"/>
      <c r="D643" s="25"/>
      <c r="E643" s="50"/>
      <c r="F643" s="167"/>
      <c r="G643" s="168"/>
      <c r="H643" s="169"/>
      <c r="I643" s="141"/>
      <c r="J643" s="141"/>
      <c r="K643" s="141"/>
      <c r="L643" s="25"/>
      <c r="M643" s="25"/>
      <c r="N643" s="25"/>
      <c r="O643" s="143"/>
      <c r="P643" s="143"/>
      <c r="Q643" s="143"/>
      <c r="R643" s="143"/>
      <c r="S643" s="143"/>
      <c r="T643" s="143"/>
      <c r="U643" s="143"/>
      <c r="V643" s="143"/>
      <c r="W643" s="143"/>
      <c r="X643" s="143"/>
      <c r="Y643" s="143"/>
      <c r="Z643" s="143"/>
      <c r="AA643" s="143"/>
      <c r="AB643" s="143"/>
      <c r="AC643" s="143"/>
      <c r="AD643" s="143"/>
    </row>
    <row r="644">
      <c r="A644" s="25"/>
      <c r="B644" s="25"/>
      <c r="C644" s="25"/>
      <c r="D644" s="25"/>
      <c r="E644" s="50"/>
      <c r="F644" s="167"/>
      <c r="G644" s="168"/>
      <c r="H644" s="169"/>
      <c r="I644" s="141"/>
      <c r="J644" s="141"/>
      <c r="K644" s="141"/>
      <c r="L644" s="25"/>
      <c r="M644" s="25"/>
      <c r="N644" s="25"/>
      <c r="O644" s="143"/>
      <c r="P644" s="143"/>
      <c r="Q644" s="143"/>
      <c r="R644" s="143"/>
      <c r="S644" s="143"/>
      <c r="T644" s="143"/>
      <c r="U644" s="143"/>
      <c r="V644" s="143"/>
      <c r="W644" s="143"/>
      <c r="X644" s="143"/>
      <c r="Y644" s="143"/>
      <c r="Z644" s="143"/>
      <c r="AA644" s="143"/>
      <c r="AB644" s="143"/>
      <c r="AC644" s="143"/>
      <c r="AD644" s="143"/>
    </row>
    <row r="645">
      <c r="A645" s="25"/>
      <c r="B645" s="25"/>
      <c r="C645" s="25"/>
      <c r="D645" s="25"/>
      <c r="E645" s="50"/>
      <c r="F645" s="167"/>
      <c r="G645" s="168"/>
      <c r="H645" s="169"/>
      <c r="I645" s="141"/>
      <c r="J645" s="141"/>
      <c r="K645" s="141"/>
      <c r="L645" s="25"/>
      <c r="M645" s="25"/>
      <c r="N645" s="25"/>
      <c r="O645" s="143"/>
      <c r="P645" s="143"/>
      <c r="Q645" s="143"/>
      <c r="R645" s="143"/>
      <c r="S645" s="143"/>
      <c r="T645" s="143"/>
      <c r="U645" s="143"/>
      <c r="V645" s="143"/>
      <c r="W645" s="143"/>
      <c r="X645" s="143"/>
      <c r="Y645" s="143"/>
      <c r="Z645" s="143"/>
      <c r="AA645" s="143"/>
      <c r="AB645" s="143"/>
      <c r="AC645" s="143"/>
      <c r="AD645" s="143"/>
    </row>
    <row r="646">
      <c r="A646" s="25"/>
      <c r="B646" s="25"/>
      <c r="C646" s="25"/>
      <c r="D646" s="25"/>
      <c r="E646" s="50"/>
      <c r="F646" s="167"/>
      <c r="G646" s="168"/>
      <c r="H646" s="169"/>
      <c r="I646" s="141"/>
      <c r="J646" s="141"/>
      <c r="K646" s="141"/>
      <c r="L646" s="25"/>
      <c r="M646" s="25"/>
      <c r="N646" s="25"/>
      <c r="O646" s="143"/>
      <c r="P646" s="143"/>
      <c r="Q646" s="143"/>
      <c r="R646" s="143"/>
      <c r="S646" s="143"/>
      <c r="T646" s="143"/>
      <c r="U646" s="143"/>
      <c r="V646" s="143"/>
      <c r="W646" s="143"/>
      <c r="X646" s="143"/>
      <c r="Y646" s="143"/>
      <c r="Z646" s="143"/>
      <c r="AA646" s="143"/>
      <c r="AB646" s="143"/>
      <c r="AC646" s="143"/>
      <c r="AD646" s="143"/>
    </row>
    <row r="647">
      <c r="A647" s="25"/>
      <c r="B647" s="25"/>
      <c r="C647" s="25"/>
      <c r="D647" s="25"/>
      <c r="E647" s="50"/>
      <c r="F647" s="167"/>
      <c r="G647" s="168"/>
      <c r="H647" s="169"/>
      <c r="I647" s="141"/>
      <c r="J647" s="141"/>
      <c r="K647" s="141"/>
      <c r="L647" s="25"/>
      <c r="M647" s="25"/>
      <c r="N647" s="25"/>
      <c r="O647" s="143"/>
      <c r="P647" s="143"/>
      <c r="Q647" s="143"/>
      <c r="R647" s="143"/>
      <c r="S647" s="143"/>
      <c r="T647" s="143"/>
      <c r="U647" s="143"/>
      <c r="V647" s="143"/>
      <c r="W647" s="143"/>
      <c r="X647" s="143"/>
      <c r="Y647" s="143"/>
      <c r="Z647" s="143"/>
      <c r="AA647" s="143"/>
      <c r="AB647" s="143"/>
      <c r="AC647" s="143"/>
      <c r="AD647" s="143"/>
    </row>
    <row r="648">
      <c r="A648" s="25"/>
      <c r="B648" s="25"/>
      <c r="C648" s="25"/>
      <c r="D648" s="25"/>
      <c r="E648" s="50"/>
      <c r="F648" s="167"/>
      <c r="G648" s="168"/>
      <c r="H648" s="169"/>
      <c r="I648" s="141"/>
      <c r="J648" s="141"/>
      <c r="K648" s="141"/>
      <c r="L648" s="25"/>
      <c r="M648" s="25"/>
      <c r="N648" s="25"/>
      <c r="O648" s="143"/>
      <c r="P648" s="143"/>
      <c r="Q648" s="143"/>
      <c r="R648" s="143"/>
      <c r="S648" s="143"/>
      <c r="T648" s="143"/>
      <c r="U648" s="143"/>
      <c r="V648" s="143"/>
      <c r="W648" s="143"/>
      <c r="X648" s="143"/>
      <c r="Y648" s="143"/>
      <c r="Z648" s="143"/>
      <c r="AA648" s="143"/>
      <c r="AB648" s="143"/>
      <c r="AC648" s="143"/>
      <c r="AD648" s="143"/>
    </row>
    <row r="649">
      <c r="A649" s="25"/>
      <c r="B649" s="25"/>
      <c r="C649" s="25"/>
      <c r="D649" s="25"/>
      <c r="E649" s="50"/>
      <c r="F649" s="167"/>
      <c r="G649" s="168"/>
      <c r="H649" s="169"/>
      <c r="I649" s="141"/>
      <c r="J649" s="141"/>
      <c r="K649" s="141"/>
      <c r="L649" s="25"/>
      <c r="M649" s="25"/>
      <c r="N649" s="25"/>
      <c r="O649" s="143"/>
      <c r="P649" s="143"/>
      <c r="Q649" s="143"/>
      <c r="R649" s="143"/>
      <c r="S649" s="143"/>
      <c r="T649" s="143"/>
      <c r="U649" s="143"/>
      <c r="V649" s="143"/>
      <c r="W649" s="143"/>
      <c r="X649" s="143"/>
      <c r="Y649" s="143"/>
      <c r="Z649" s="143"/>
      <c r="AA649" s="143"/>
      <c r="AB649" s="143"/>
      <c r="AC649" s="143"/>
      <c r="AD649" s="143"/>
    </row>
    <row r="650">
      <c r="A650" s="25"/>
      <c r="B650" s="25"/>
      <c r="C650" s="25"/>
      <c r="D650" s="25"/>
      <c r="E650" s="50"/>
      <c r="F650" s="167"/>
      <c r="G650" s="168"/>
      <c r="H650" s="169"/>
      <c r="I650" s="141"/>
      <c r="J650" s="141"/>
      <c r="K650" s="141"/>
      <c r="L650" s="25"/>
      <c r="M650" s="25"/>
      <c r="N650" s="25"/>
      <c r="O650" s="143"/>
      <c r="P650" s="143"/>
      <c r="Q650" s="143"/>
      <c r="R650" s="143"/>
      <c r="S650" s="143"/>
      <c r="T650" s="143"/>
      <c r="U650" s="143"/>
      <c r="V650" s="143"/>
      <c r="W650" s="143"/>
      <c r="X650" s="143"/>
      <c r="Y650" s="143"/>
      <c r="Z650" s="143"/>
      <c r="AA650" s="143"/>
      <c r="AB650" s="143"/>
      <c r="AC650" s="143"/>
      <c r="AD650" s="143"/>
    </row>
    <row r="651">
      <c r="A651" s="25"/>
      <c r="B651" s="25"/>
      <c r="C651" s="25"/>
      <c r="D651" s="25"/>
      <c r="E651" s="50"/>
      <c r="F651" s="167"/>
      <c r="G651" s="168"/>
      <c r="H651" s="169"/>
      <c r="I651" s="141"/>
      <c r="J651" s="141"/>
      <c r="K651" s="141"/>
      <c r="L651" s="25"/>
      <c r="M651" s="25"/>
      <c r="N651" s="25"/>
      <c r="O651" s="143"/>
      <c r="P651" s="143"/>
      <c r="Q651" s="143"/>
      <c r="R651" s="143"/>
      <c r="S651" s="143"/>
      <c r="T651" s="143"/>
      <c r="U651" s="143"/>
      <c r="V651" s="143"/>
      <c r="W651" s="143"/>
      <c r="X651" s="143"/>
      <c r="Y651" s="143"/>
      <c r="Z651" s="143"/>
      <c r="AA651" s="143"/>
      <c r="AB651" s="143"/>
      <c r="AC651" s="143"/>
      <c r="AD651" s="143"/>
    </row>
    <row r="652">
      <c r="A652" s="25"/>
      <c r="B652" s="25"/>
      <c r="C652" s="25"/>
      <c r="D652" s="25"/>
      <c r="E652" s="50"/>
      <c r="F652" s="167"/>
      <c r="G652" s="168"/>
      <c r="H652" s="169"/>
      <c r="I652" s="141"/>
      <c r="J652" s="141"/>
      <c r="K652" s="141"/>
      <c r="L652" s="25"/>
      <c r="M652" s="25"/>
      <c r="N652" s="25"/>
      <c r="O652" s="143"/>
      <c r="P652" s="143"/>
      <c r="Q652" s="143"/>
      <c r="R652" s="143"/>
      <c r="S652" s="143"/>
      <c r="T652" s="143"/>
      <c r="U652" s="143"/>
      <c r="V652" s="143"/>
      <c r="W652" s="143"/>
      <c r="X652" s="143"/>
      <c r="Y652" s="143"/>
      <c r="Z652" s="143"/>
      <c r="AA652" s="143"/>
      <c r="AB652" s="143"/>
      <c r="AC652" s="143"/>
      <c r="AD652" s="143"/>
    </row>
    <row r="653">
      <c r="A653" s="25"/>
      <c r="B653" s="25"/>
      <c r="C653" s="25"/>
      <c r="D653" s="25"/>
      <c r="E653" s="50"/>
      <c r="F653" s="167"/>
      <c r="G653" s="168"/>
      <c r="H653" s="169"/>
      <c r="I653" s="141"/>
      <c r="J653" s="141"/>
      <c r="K653" s="141"/>
      <c r="L653" s="25"/>
      <c r="M653" s="25"/>
      <c r="N653" s="25"/>
      <c r="O653" s="143"/>
      <c r="P653" s="143"/>
      <c r="Q653" s="143"/>
      <c r="R653" s="143"/>
      <c r="S653" s="143"/>
      <c r="T653" s="143"/>
      <c r="U653" s="143"/>
      <c r="V653" s="143"/>
      <c r="W653" s="143"/>
      <c r="X653" s="143"/>
      <c r="Y653" s="143"/>
      <c r="Z653" s="143"/>
      <c r="AA653" s="143"/>
      <c r="AB653" s="143"/>
      <c r="AC653" s="143"/>
      <c r="AD653" s="143"/>
    </row>
    <row r="654">
      <c r="A654" s="25"/>
      <c r="B654" s="25"/>
      <c r="C654" s="25"/>
      <c r="D654" s="25"/>
      <c r="E654" s="50"/>
      <c r="F654" s="167"/>
      <c r="G654" s="168"/>
      <c r="H654" s="169"/>
      <c r="I654" s="141"/>
      <c r="J654" s="141"/>
      <c r="K654" s="141"/>
      <c r="L654" s="25"/>
      <c r="M654" s="25"/>
      <c r="N654" s="25"/>
      <c r="O654" s="143"/>
      <c r="P654" s="143"/>
      <c r="Q654" s="143"/>
      <c r="R654" s="143"/>
      <c r="S654" s="143"/>
      <c r="T654" s="143"/>
      <c r="U654" s="143"/>
      <c r="V654" s="143"/>
      <c r="W654" s="143"/>
      <c r="X654" s="143"/>
      <c r="Y654" s="143"/>
      <c r="Z654" s="143"/>
      <c r="AA654" s="143"/>
      <c r="AB654" s="143"/>
      <c r="AC654" s="143"/>
      <c r="AD654" s="143"/>
    </row>
    <row r="655">
      <c r="A655" s="25"/>
      <c r="B655" s="25"/>
      <c r="C655" s="25"/>
      <c r="D655" s="25"/>
      <c r="E655" s="50"/>
      <c r="F655" s="167"/>
      <c r="G655" s="168"/>
      <c r="H655" s="169"/>
      <c r="I655" s="141"/>
      <c r="J655" s="141"/>
      <c r="K655" s="141"/>
      <c r="L655" s="25"/>
      <c r="M655" s="25"/>
      <c r="N655" s="25"/>
      <c r="O655" s="143"/>
      <c r="P655" s="143"/>
      <c r="Q655" s="143"/>
      <c r="R655" s="143"/>
      <c r="S655" s="143"/>
      <c r="T655" s="143"/>
      <c r="U655" s="143"/>
      <c r="V655" s="143"/>
      <c r="W655" s="143"/>
      <c r="X655" s="143"/>
      <c r="Y655" s="143"/>
      <c r="Z655" s="143"/>
      <c r="AA655" s="143"/>
      <c r="AB655" s="143"/>
      <c r="AC655" s="143"/>
      <c r="AD655" s="143"/>
    </row>
    <row r="656">
      <c r="A656" s="25"/>
      <c r="B656" s="25"/>
      <c r="C656" s="25"/>
      <c r="D656" s="25"/>
      <c r="E656" s="50"/>
      <c r="F656" s="167"/>
      <c r="G656" s="168"/>
      <c r="H656" s="169"/>
      <c r="I656" s="141"/>
      <c r="J656" s="141"/>
      <c r="K656" s="141"/>
      <c r="L656" s="25"/>
      <c r="M656" s="25"/>
      <c r="N656" s="25"/>
      <c r="O656" s="143"/>
      <c r="P656" s="143"/>
      <c r="Q656" s="143"/>
      <c r="R656" s="143"/>
      <c r="S656" s="143"/>
      <c r="T656" s="143"/>
      <c r="U656" s="143"/>
      <c r="V656" s="143"/>
      <c r="W656" s="143"/>
      <c r="X656" s="143"/>
      <c r="Y656" s="143"/>
      <c r="Z656" s="143"/>
      <c r="AA656" s="143"/>
      <c r="AB656" s="143"/>
      <c r="AC656" s="143"/>
      <c r="AD656" s="143"/>
    </row>
    <row r="657">
      <c r="A657" s="25"/>
      <c r="B657" s="25"/>
      <c r="C657" s="25"/>
      <c r="D657" s="25"/>
      <c r="E657" s="50"/>
      <c r="F657" s="167"/>
      <c r="G657" s="168"/>
      <c r="H657" s="169"/>
      <c r="I657" s="141"/>
      <c r="J657" s="141"/>
      <c r="K657" s="141"/>
      <c r="L657" s="25"/>
      <c r="M657" s="25"/>
      <c r="N657" s="25"/>
      <c r="O657" s="143"/>
      <c r="P657" s="143"/>
      <c r="Q657" s="143"/>
      <c r="R657" s="143"/>
      <c r="S657" s="143"/>
      <c r="T657" s="143"/>
      <c r="U657" s="143"/>
      <c r="V657" s="143"/>
      <c r="W657" s="143"/>
      <c r="X657" s="143"/>
      <c r="Y657" s="143"/>
      <c r="Z657" s="143"/>
      <c r="AA657" s="143"/>
      <c r="AB657" s="143"/>
      <c r="AC657" s="143"/>
      <c r="AD657" s="143"/>
    </row>
    <row r="658">
      <c r="A658" s="25"/>
      <c r="B658" s="25"/>
      <c r="C658" s="25"/>
      <c r="D658" s="25"/>
      <c r="E658" s="50"/>
      <c r="F658" s="167"/>
      <c r="G658" s="168"/>
      <c r="H658" s="169"/>
      <c r="I658" s="141"/>
      <c r="J658" s="141"/>
      <c r="K658" s="141"/>
      <c r="L658" s="25"/>
      <c r="M658" s="25"/>
      <c r="N658" s="25"/>
      <c r="O658" s="143"/>
      <c r="P658" s="143"/>
      <c r="Q658" s="143"/>
      <c r="R658" s="143"/>
      <c r="S658" s="143"/>
      <c r="T658" s="143"/>
      <c r="U658" s="143"/>
      <c r="V658" s="143"/>
      <c r="W658" s="143"/>
      <c r="X658" s="143"/>
      <c r="Y658" s="143"/>
      <c r="Z658" s="143"/>
      <c r="AA658" s="143"/>
      <c r="AB658" s="143"/>
      <c r="AC658" s="143"/>
      <c r="AD658" s="143"/>
    </row>
    <row r="659">
      <c r="A659" s="25"/>
      <c r="B659" s="25"/>
      <c r="C659" s="25"/>
      <c r="D659" s="25"/>
      <c r="E659" s="50"/>
      <c r="F659" s="167"/>
      <c r="G659" s="168"/>
      <c r="H659" s="169"/>
      <c r="I659" s="141"/>
      <c r="J659" s="141"/>
      <c r="K659" s="141"/>
      <c r="L659" s="25"/>
      <c r="M659" s="25"/>
      <c r="N659" s="25"/>
      <c r="O659" s="143"/>
      <c r="P659" s="143"/>
      <c r="Q659" s="143"/>
      <c r="R659" s="143"/>
      <c r="S659" s="143"/>
      <c r="T659" s="143"/>
      <c r="U659" s="143"/>
      <c r="V659" s="143"/>
      <c r="W659" s="143"/>
      <c r="X659" s="143"/>
      <c r="Y659" s="143"/>
      <c r="Z659" s="143"/>
      <c r="AA659" s="143"/>
      <c r="AB659" s="143"/>
      <c r="AC659" s="143"/>
      <c r="AD659" s="143"/>
    </row>
    <row r="660">
      <c r="A660" s="25"/>
      <c r="B660" s="25"/>
      <c r="C660" s="25"/>
      <c r="D660" s="25"/>
      <c r="E660" s="50"/>
      <c r="F660" s="167"/>
      <c r="G660" s="168"/>
      <c r="H660" s="169"/>
      <c r="I660" s="141"/>
      <c r="J660" s="141"/>
      <c r="K660" s="141"/>
      <c r="L660" s="25"/>
      <c r="M660" s="25"/>
      <c r="N660" s="25"/>
      <c r="O660" s="143"/>
      <c r="P660" s="143"/>
      <c r="Q660" s="143"/>
      <c r="R660" s="143"/>
      <c r="S660" s="143"/>
      <c r="T660" s="143"/>
      <c r="U660" s="143"/>
      <c r="V660" s="143"/>
      <c r="W660" s="143"/>
      <c r="X660" s="143"/>
      <c r="Y660" s="143"/>
      <c r="Z660" s="143"/>
      <c r="AA660" s="143"/>
      <c r="AB660" s="143"/>
      <c r="AC660" s="143"/>
      <c r="AD660" s="143"/>
    </row>
    <row r="661">
      <c r="A661" s="25"/>
      <c r="B661" s="25"/>
      <c r="C661" s="25"/>
      <c r="D661" s="25"/>
      <c r="E661" s="50"/>
      <c r="F661" s="167"/>
      <c r="G661" s="168"/>
      <c r="H661" s="169"/>
      <c r="I661" s="141"/>
      <c r="J661" s="141"/>
      <c r="K661" s="141"/>
      <c r="L661" s="25"/>
      <c r="M661" s="25"/>
      <c r="N661" s="25"/>
      <c r="O661" s="143"/>
      <c r="P661" s="143"/>
      <c r="Q661" s="143"/>
      <c r="R661" s="143"/>
      <c r="S661" s="143"/>
      <c r="T661" s="143"/>
      <c r="U661" s="143"/>
      <c r="V661" s="143"/>
      <c r="W661" s="143"/>
      <c r="X661" s="143"/>
      <c r="Y661" s="143"/>
      <c r="Z661" s="143"/>
      <c r="AA661" s="143"/>
      <c r="AB661" s="143"/>
      <c r="AC661" s="143"/>
      <c r="AD661" s="143"/>
    </row>
    <row r="662">
      <c r="A662" s="25"/>
      <c r="B662" s="25"/>
      <c r="C662" s="25"/>
      <c r="D662" s="25"/>
      <c r="E662" s="50"/>
      <c r="F662" s="167"/>
      <c r="G662" s="168"/>
      <c r="H662" s="169"/>
      <c r="I662" s="141"/>
      <c r="J662" s="141"/>
      <c r="K662" s="141"/>
      <c r="L662" s="25"/>
      <c r="M662" s="25"/>
      <c r="N662" s="25"/>
      <c r="O662" s="143"/>
      <c r="P662" s="143"/>
      <c r="Q662" s="143"/>
      <c r="R662" s="143"/>
      <c r="S662" s="143"/>
      <c r="T662" s="143"/>
      <c r="U662" s="143"/>
      <c r="V662" s="143"/>
      <c r="W662" s="143"/>
      <c r="X662" s="143"/>
      <c r="Y662" s="143"/>
      <c r="Z662" s="143"/>
      <c r="AA662" s="143"/>
      <c r="AB662" s="143"/>
      <c r="AC662" s="143"/>
      <c r="AD662" s="143"/>
    </row>
    <row r="663">
      <c r="A663" s="25"/>
      <c r="B663" s="25"/>
      <c r="C663" s="25"/>
      <c r="D663" s="25"/>
      <c r="E663" s="50"/>
      <c r="F663" s="167"/>
      <c r="G663" s="168"/>
      <c r="H663" s="169"/>
      <c r="I663" s="141"/>
      <c r="J663" s="141"/>
      <c r="K663" s="141"/>
      <c r="L663" s="25"/>
      <c r="M663" s="25"/>
      <c r="N663" s="25"/>
      <c r="O663" s="143"/>
      <c r="P663" s="143"/>
      <c r="Q663" s="143"/>
      <c r="R663" s="143"/>
      <c r="S663" s="143"/>
      <c r="T663" s="143"/>
      <c r="U663" s="143"/>
      <c r="V663" s="143"/>
      <c r="W663" s="143"/>
      <c r="X663" s="143"/>
      <c r="Y663" s="143"/>
      <c r="Z663" s="143"/>
      <c r="AA663" s="143"/>
      <c r="AB663" s="143"/>
      <c r="AC663" s="143"/>
      <c r="AD663" s="143"/>
    </row>
    <row r="664">
      <c r="A664" s="25"/>
      <c r="B664" s="25"/>
      <c r="C664" s="25"/>
      <c r="D664" s="25"/>
      <c r="E664" s="50"/>
      <c r="F664" s="167"/>
      <c r="G664" s="168"/>
      <c r="H664" s="169"/>
      <c r="I664" s="141"/>
      <c r="J664" s="141"/>
      <c r="K664" s="141"/>
      <c r="L664" s="25"/>
      <c r="M664" s="25"/>
      <c r="N664" s="25"/>
      <c r="O664" s="143"/>
      <c r="P664" s="143"/>
      <c r="Q664" s="143"/>
      <c r="R664" s="143"/>
      <c r="S664" s="143"/>
      <c r="T664" s="143"/>
      <c r="U664" s="143"/>
      <c r="V664" s="143"/>
      <c r="W664" s="143"/>
      <c r="X664" s="143"/>
      <c r="Y664" s="143"/>
      <c r="Z664" s="143"/>
      <c r="AA664" s="143"/>
      <c r="AB664" s="143"/>
      <c r="AC664" s="143"/>
      <c r="AD664" s="143"/>
    </row>
    <row r="665">
      <c r="A665" s="25"/>
      <c r="B665" s="25"/>
      <c r="C665" s="25"/>
      <c r="D665" s="25"/>
      <c r="E665" s="50"/>
      <c r="F665" s="167"/>
      <c r="G665" s="168"/>
      <c r="H665" s="169"/>
      <c r="I665" s="141"/>
      <c r="J665" s="141"/>
      <c r="K665" s="141"/>
      <c r="L665" s="25"/>
      <c r="M665" s="25"/>
      <c r="N665" s="25"/>
      <c r="O665" s="143"/>
      <c r="P665" s="143"/>
      <c r="Q665" s="143"/>
      <c r="R665" s="143"/>
      <c r="S665" s="143"/>
      <c r="T665" s="143"/>
      <c r="U665" s="143"/>
      <c r="V665" s="143"/>
      <c r="W665" s="143"/>
      <c r="X665" s="143"/>
      <c r="Y665" s="143"/>
      <c r="Z665" s="143"/>
      <c r="AA665" s="143"/>
      <c r="AB665" s="143"/>
      <c r="AC665" s="143"/>
      <c r="AD665" s="143"/>
    </row>
    <row r="666">
      <c r="A666" s="25"/>
      <c r="B666" s="25"/>
      <c r="C666" s="25"/>
      <c r="D666" s="25"/>
      <c r="E666" s="50"/>
      <c r="F666" s="167"/>
      <c r="G666" s="168"/>
      <c r="H666" s="169"/>
      <c r="I666" s="141"/>
      <c r="J666" s="141"/>
      <c r="K666" s="141"/>
      <c r="L666" s="25"/>
      <c r="M666" s="25"/>
      <c r="N666" s="25"/>
      <c r="O666" s="143"/>
      <c r="P666" s="143"/>
      <c r="Q666" s="143"/>
      <c r="R666" s="143"/>
      <c r="S666" s="143"/>
      <c r="T666" s="143"/>
      <c r="U666" s="143"/>
      <c r="V666" s="143"/>
      <c r="W666" s="143"/>
      <c r="X666" s="143"/>
      <c r="Y666" s="143"/>
      <c r="Z666" s="143"/>
      <c r="AA666" s="143"/>
      <c r="AB666" s="143"/>
      <c r="AC666" s="143"/>
      <c r="AD666" s="143"/>
    </row>
    <row r="667">
      <c r="A667" s="25"/>
      <c r="B667" s="25"/>
      <c r="C667" s="25"/>
      <c r="D667" s="25"/>
      <c r="E667" s="50"/>
      <c r="F667" s="167"/>
      <c r="G667" s="168"/>
      <c r="H667" s="169"/>
      <c r="I667" s="141"/>
      <c r="J667" s="141"/>
      <c r="K667" s="141"/>
      <c r="L667" s="25"/>
      <c r="M667" s="25"/>
      <c r="N667" s="25"/>
      <c r="O667" s="143"/>
      <c r="P667" s="143"/>
      <c r="Q667" s="143"/>
      <c r="R667" s="143"/>
      <c r="S667" s="143"/>
      <c r="T667" s="143"/>
      <c r="U667" s="143"/>
      <c r="V667" s="143"/>
      <c r="W667" s="143"/>
      <c r="X667" s="143"/>
      <c r="Y667" s="143"/>
      <c r="Z667" s="143"/>
      <c r="AA667" s="143"/>
      <c r="AB667" s="143"/>
      <c r="AC667" s="143"/>
      <c r="AD667" s="143"/>
    </row>
    <row r="668">
      <c r="A668" s="25"/>
      <c r="B668" s="25"/>
      <c r="C668" s="25"/>
      <c r="D668" s="25"/>
      <c r="E668" s="50"/>
      <c r="F668" s="167"/>
      <c r="G668" s="168"/>
      <c r="H668" s="169"/>
      <c r="I668" s="141"/>
      <c r="J668" s="141"/>
      <c r="K668" s="141"/>
      <c r="L668" s="25"/>
      <c r="M668" s="25"/>
      <c r="N668" s="25"/>
      <c r="O668" s="143"/>
      <c r="P668" s="143"/>
      <c r="Q668" s="143"/>
      <c r="R668" s="143"/>
      <c r="S668" s="143"/>
      <c r="T668" s="143"/>
      <c r="U668" s="143"/>
      <c r="V668" s="143"/>
      <c r="W668" s="143"/>
      <c r="X668" s="143"/>
      <c r="Y668" s="143"/>
      <c r="Z668" s="143"/>
      <c r="AA668" s="143"/>
      <c r="AB668" s="143"/>
      <c r="AC668" s="143"/>
      <c r="AD668" s="143"/>
    </row>
    <row r="669">
      <c r="A669" s="25"/>
      <c r="B669" s="25"/>
      <c r="C669" s="25"/>
      <c r="D669" s="25"/>
      <c r="E669" s="50"/>
      <c r="F669" s="167"/>
      <c r="G669" s="168"/>
      <c r="H669" s="169"/>
      <c r="I669" s="141"/>
      <c r="J669" s="141"/>
      <c r="K669" s="141"/>
      <c r="L669" s="25"/>
      <c r="M669" s="25"/>
      <c r="N669" s="25"/>
      <c r="O669" s="143"/>
      <c r="P669" s="143"/>
      <c r="Q669" s="143"/>
      <c r="R669" s="143"/>
      <c r="S669" s="143"/>
      <c r="T669" s="143"/>
      <c r="U669" s="143"/>
      <c r="V669" s="143"/>
      <c r="W669" s="143"/>
      <c r="X669" s="143"/>
      <c r="Y669" s="143"/>
      <c r="Z669" s="143"/>
      <c r="AA669" s="143"/>
      <c r="AB669" s="143"/>
      <c r="AC669" s="143"/>
      <c r="AD669" s="143"/>
    </row>
    <row r="670">
      <c r="A670" s="25"/>
      <c r="B670" s="25"/>
      <c r="C670" s="25"/>
      <c r="D670" s="25"/>
      <c r="E670" s="50"/>
      <c r="F670" s="167"/>
      <c r="G670" s="168"/>
      <c r="H670" s="169"/>
      <c r="I670" s="141"/>
      <c r="J670" s="141"/>
      <c r="K670" s="141"/>
      <c r="L670" s="25"/>
      <c r="M670" s="25"/>
      <c r="N670" s="25"/>
      <c r="O670" s="143"/>
      <c r="P670" s="143"/>
      <c r="Q670" s="143"/>
      <c r="R670" s="143"/>
      <c r="S670" s="143"/>
      <c r="T670" s="143"/>
      <c r="U670" s="143"/>
      <c r="V670" s="143"/>
      <c r="W670" s="143"/>
      <c r="X670" s="143"/>
      <c r="Y670" s="143"/>
      <c r="Z670" s="143"/>
      <c r="AA670" s="143"/>
      <c r="AB670" s="143"/>
      <c r="AC670" s="143"/>
      <c r="AD670" s="143"/>
    </row>
    <row r="671">
      <c r="A671" s="25"/>
      <c r="B671" s="25"/>
      <c r="C671" s="25"/>
      <c r="D671" s="25"/>
      <c r="E671" s="50"/>
      <c r="F671" s="167"/>
      <c r="G671" s="168"/>
      <c r="H671" s="169"/>
      <c r="I671" s="141"/>
      <c r="J671" s="141"/>
      <c r="K671" s="141"/>
      <c r="L671" s="25"/>
      <c r="M671" s="25"/>
      <c r="N671" s="25"/>
      <c r="O671" s="143"/>
      <c r="P671" s="143"/>
      <c r="Q671" s="143"/>
      <c r="R671" s="143"/>
      <c r="S671" s="143"/>
      <c r="T671" s="143"/>
      <c r="U671" s="143"/>
      <c r="V671" s="143"/>
      <c r="W671" s="143"/>
      <c r="X671" s="143"/>
      <c r="Y671" s="143"/>
      <c r="Z671" s="143"/>
      <c r="AA671" s="143"/>
      <c r="AB671" s="143"/>
      <c r="AC671" s="143"/>
      <c r="AD671" s="143"/>
    </row>
    <row r="672">
      <c r="A672" s="25"/>
      <c r="B672" s="25"/>
      <c r="C672" s="25"/>
      <c r="D672" s="25"/>
      <c r="E672" s="50"/>
      <c r="F672" s="167"/>
      <c r="G672" s="168"/>
      <c r="H672" s="169"/>
      <c r="I672" s="141"/>
      <c r="J672" s="141"/>
      <c r="K672" s="141"/>
      <c r="L672" s="25"/>
      <c r="M672" s="25"/>
      <c r="N672" s="25"/>
      <c r="O672" s="143"/>
      <c r="P672" s="143"/>
      <c r="Q672" s="143"/>
      <c r="R672" s="143"/>
      <c r="S672" s="143"/>
      <c r="T672" s="143"/>
      <c r="U672" s="143"/>
      <c r="V672" s="143"/>
      <c r="W672" s="143"/>
      <c r="X672" s="143"/>
      <c r="Y672" s="143"/>
      <c r="Z672" s="143"/>
      <c r="AA672" s="143"/>
      <c r="AB672" s="143"/>
      <c r="AC672" s="143"/>
      <c r="AD672" s="143"/>
    </row>
    <row r="673">
      <c r="A673" s="25"/>
      <c r="B673" s="25"/>
      <c r="C673" s="25"/>
      <c r="D673" s="25"/>
      <c r="E673" s="50"/>
      <c r="F673" s="167"/>
      <c r="G673" s="168"/>
      <c r="H673" s="169"/>
      <c r="I673" s="141"/>
      <c r="J673" s="141"/>
      <c r="K673" s="141"/>
      <c r="L673" s="25"/>
      <c r="M673" s="25"/>
      <c r="N673" s="25"/>
      <c r="O673" s="143"/>
      <c r="P673" s="143"/>
      <c r="Q673" s="143"/>
      <c r="R673" s="143"/>
      <c r="S673" s="143"/>
      <c r="T673" s="143"/>
      <c r="U673" s="143"/>
      <c r="V673" s="143"/>
      <c r="W673" s="143"/>
      <c r="X673" s="143"/>
      <c r="Y673" s="143"/>
      <c r="Z673" s="143"/>
      <c r="AA673" s="143"/>
      <c r="AB673" s="143"/>
      <c r="AC673" s="143"/>
      <c r="AD673" s="143"/>
    </row>
    <row r="674">
      <c r="A674" s="25"/>
      <c r="B674" s="25"/>
      <c r="C674" s="25"/>
      <c r="D674" s="25"/>
      <c r="E674" s="50"/>
      <c r="F674" s="167"/>
      <c r="G674" s="168"/>
      <c r="H674" s="169"/>
      <c r="I674" s="141"/>
      <c r="J674" s="141"/>
      <c r="K674" s="141"/>
      <c r="L674" s="25"/>
      <c r="M674" s="25"/>
      <c r="N674" s="25"/>
      <c r="O674" s="143"/>
      <c r="P674" s="143"/>
      <c r="Q674" s="143"/>
      <c r="R674" s="143"/>
      <c r="S674" s="143"/>
      <c r="T674" s="143"/>
      <c r="U674" s="143"/>
      <c r="V674" s="143"/>
      <c r="W674" s="143"/>
      <c r="X674" s="143"/>
      <c r="Y674" s="143"/>
      <c r="Z674" s="143"/>
      <c r="AA674" s="143"/>
      <c r="AB674" s="143"/>
      <c r="AC674" s="143"/>
      <c r="AD674" s="143"/>
    </row>
    <row r="675">
      <c r="A675" s="25"/>
      <c r="B675" s="25"/>
      <c r="C675" s="25"/>
      <c r="D675" s="25"/>
      <c r="E675" s="50"/>
      <c r="F675" s="167"/>
      <c r="G675" s="168"/>
      <c r="H675" s="169"/>
      <c r="I675" s="141"/>
      <c r="J675" s="141"/>
      <c r="K675" s="141"/>
      <c r="L675" s="25"/>
      <c r="M675" s="25"/>
      <c r="N675" s="25"/>
      <c r="O675" s="143"/>
      <c r="P675" s="143"/>
      <c r="Q675" s="143"/>
      <c r="R675" s="143"/>
      <c r="S675" s="143"/>
      <c r="T675" s="143"/>
      <c r="U675" s="143"/>
      <c r="V675" s="143"/>
      <c r="W675" s="143"/>
      <c r="X675" s="143"/>
      <c r="Y675" s="143"/>
      <c r="Z675" s="143"/>
      <c r="AA675" s="143"/>
      <c r="AB675" s="143"/>
      <c r="AC675" s="143"/>
      <c r="AD675" s="143"/>
    </row>
    <row r="676">
      <c r="A676" s="25"/>
      <c r="B676" s="25"/>
      <c r="C676" s="25"/>
      <c r="D676" s="25"/>
      <c r="E676" s="50"/>
      <c r="F676" s="167"/>
      <c r="G676" s="168"/>
      <c r="H676" s="169"/>
      <c r="I676" s="141"/>
      <c r="J676" s="141"/>
      <c r="K676" s="141"/>
      <c r="L676" s="25"/>
      <c r="M676" s="25"/>
      <c r="N676" s="25"/>
      <c r="O676" s="143"/>
      <c r="P676" s="143"/>
      <c r="Q676" s="143"/>
      <c r="R676" s="143"/>
      <c r="S676" s="143"/>
      <c r="T676" s="143"/>
      <c r="U676" s="143"/>
      <c r="V676" s="143"/>
      <c r="W676" s="143"/>
      <c r="X676" s="143"/>
      <c r="Y676" s="143"/>
      <c r="Z676" s="143"/>
      <c r="AA676" s="143"/>
      <c r="AB676" s="143"/>
      <c r="AC676" s="143"/>
      <c r="AD676" s="143"/>
    </row>
    <row r="677">
      <c r="A677" s="25"/>
      <c r="B677" s="25"/>
      <c r="C677" s="25"/>
      <c r="D677" s="25"/>
      <c r="E677" s="50"/>
      <c r="F677" s="167"/>
      <c r="G677" s="168"/>
      <c r="H677" s="169"/>
      <c r="I677" s="141"/>
      <c r="J677" s="141"/>
      <c r="K677" s="141"/>
      <c r="L677" s="25"/>
      <c r="M677" s="25"/>
      <c r="N677" s="25"/>
      <c r="O677" s="143"/>
      <c r="P677" s="143"/>
      <c r="Q677" s="143"/>
      <c r="R677" s="143"/>
      <c r="S677" s="143"/>
      <c r="T677" s="143"/>
      <c r="U677" s="143"/>
      <c r="V677" s="143"/>
      <c r="W677" s="143"/>
      <c r="X677" s="143"/>
      <c r="Y677" s="143"/>
      <c r="Z677" s="143"/>
      <c r="AA677" s="143"/>
      <c r="AB677" s="143"/>
      <c r="AC677" s="143"/>
      <c r="AD677" s="143"/>
    </row>
    <row r="678">
      <c r="A678" s="25"/>
      <c r="B678" s="25"/>
      <c r="C678" s="25"/>
      <c r="D678" s="25"/>
      <c r="E678" s="50"/>
      <c r="F678" s="167"/>
      <c r="G678" s="168"/>
      <c r="H678" s="169"/>
      <c r="I678" s="141"/>
      <c r="J678" s="141"/>
      <c r="K678" s="141"/>
      <c r="L678" s="25"/>
      <c r="M678" s="25"/>
      <c r="N678" s="25"/>
      <c r="O678" s="143"/>
      <c r="P678" s="143"/>
      <c r="Q678" s="143"/>
      <c r="R678" s="143"/>
      <c r="S678" s="143"/>
      <c r="T678" s="143"/>
      <c r="U678" s="143"/>
      <c r="V678" s="143"/>
      <c r="W678" s="143"/>
      <c r="X678" s="143"/>
      <c r="Y678" s="143"/>
      <c r="Z678" s="143"/>
      <c r="AA678" s="143"/>
      <c r="AB678" s="143"/>
      <c r="AC678" s="143"/>
      <c r="AD678" s="143"/>
    </row>
    <row r="679">
      <c r="A679" s="25"/>
      <c r="B679" s="25"/>
      <c r="C679" s="25"/>
      <c r="D679" s="25"/>
      <c r="E679" s="50"/>
      <c r="F679" s="167"/>
      <c r="G679" s="168"/>
      <c r="H679" s="169"/>
      <c r="I679" s="141"/>
      <c r="J679" s="141"/>
      <c r="K679" s="141"/>
      <c r="L679" s="25"/>
      <c r="M679" s="25"/>
      <c r="N679" s="25"/>
      <c r="O679" s="143"/>
      <c r="P679" s="143"/>
      <c r="Q679" s="143"/>
      <c r="R679" s="143"/>
      <c r="S679" s="143"/>
      <c r="T679" s="143"/>
      <c r="U679" s="143"/>
      <c r="V679" s="143"/>
      <c r="W679" s="143"/>
      <c r="X679" s="143"/>
      <c r="Y679" s="143"/>
      <c r="Z679" s="143"/>
      <c r="AA679" s="143"/>
      <c r="AB679" s="143"/>
      <c r="AC679" s="143"/>
      <c r="AD679" s="143"/>
    </row>
    <row r="680">
      <c r="A680" s="25"/>
      <c r="B680" s="25"/>
      <c r="C680" s="25"/>
      <c r="D680" s="25"/>
      <c r="E680" s="50"/>
      <c r="F680" s="167"/>
      <c r="G680" s="168"/>
      <c r="H680" s="169"/>
      <c r="I680" s="141"/>
      <c r="J680" s="141"/>
      <c r="K680" s="141"/>
      <c r="L680" s="25"/>
      <c r="M680" s="25"/>
      <c r="N680" s="25"/>
      <c r="O680" s="143"/>
      <c r="P680" s="143"/>
      <c r="Q680" s="143"/>
      <c r="R680" s="143"/>
      <c r="S680" s="143"/>
      <c r="T680" s="143"/>
      <c r="U680" s="143"/>
      <c r="V680" s="143"/>
      <c r="W680" s="143"/>
      <c r="X680" s="143"/>
      <c r="Y680" s="143"/>
      <c r="Z680" s="143"/>
      <c r="AA680" s="143"/>
      <c r="AB680" s="143"/>
      <c r="AC680" s="143"/>
      <c r="AD680" s="143"/>
    </row>
    <row r="681">
      <c r="A681" s="25"/>
      <c r="B681" s="25"/>
      <c r="C681" s="25"/>
      <c r="D681" s="25"/>
      <c r="E681" s="50"/>
      <c r="F681" s="167"/>
      <c r="G681" s="168"/>
      <c r="H681" s="169"/>
      <c r="I681" s="141"/>
      <c r="J681" s="141"/>
      <c r="K681" s="141"/>
      <c r="L681" s="25"/>
      <c r="M681" s="25"/>
      <c r="N681" s="25"/>
      <c r="O681" s="143"/>
      <c r="P681" s="143"/>
      <c r="Q681" s="143"/>
      <c r="R681" s="143"/>
      <c r="S681" s="143"/>
      <c r="T681" s="143"/>
      <c r="U681" s="143"/>
      <c r="V681" s="143"/>
      <c r="W681" s="143"/>
      <c r="X681" s="143"/>
      <c r="Y681" s="143"/>
      <c r="Z681" s="143"/>
      <c r="AA681" s="143"/>
      <c r="AB681" s="143"/>
      <c r="AC681" s="143"/>
      <c r="AD681" s="143"/>
    </row>
    <row r="682">
      <c r="A682" s="25"/>
      <c r="B682" s="25"/>
      <c r="C682" s="25"/>
      <c r="D682" s="25"/>
      <c r="E682" s="50"/>
      <c r="F682" s="167"/>
      <c r="G682" s="168"/>
      <c r="H682" s="169"/>
      <c r="I682" s="141"/>
      <c r="J682" s="141"/>
      <c r="K682" s="141"/>
      <c r="L682" s="25"/>
      <c r="M682" s="25"/>
      <c r="N682" s="25"/>
      <c r="O682" s="143"/>
      <c r="P682" s="143"/>
      <c r="Q682" s="143"/>
      <c r="R682" s="143"/>
      <c r="S682" s="143"/>
      <c r="T682" s="143"/>
      <c r="U682" s="143"/>
      <c r="V682" s="143"/>
      <c r="W682" s="143"/>
      <c r="X682" s="143"/>
      <c r="Y682" s="143"/>
      <c r="Z682" s="143"/>
      <c r="AA682" s="143"/>
      <c r="AB682" s="143"/>
      <c r="AC682" s="143"/>
      <c r="AD682" s="143"/>
    </row>
    <row r="683">
      <c r="A683" s="25"/>
      <c r="B683" s="25"/>
      <c r="C683" s="25"/>
      <c r="D683" s="25"/>
      <c r="E683" s="50"/>
      <c r="F683" s="167"/>
      <c r="G683" s="168"/>
      <c r="H683" s="169"/>
      <c r="I683" s="141"/>
      <c r="J683" s="141"/>
      <c r="K683" s="141"/>
      <c r="L683" s="25"/>
      <c r="M683" s="25"/>
      <c r="N683" s="25"/>
      <c r="O683" s="143"/>
      <c r="P683" s="143"/>
      <c r="Q683" s="143"/>
      <c r="R683" s="143"/>
      <c r="S683" s="143"/>
      <c r="T683" s="143"/>
      <c r="U683" s="143"/>
      <c r="V683" s="143"/>
      <c r="W683" s="143"/>
      <c r="X683" s="143"/>
      <c r="Y683" s="143"/>
      <c r="Z683" s="143"/>
      <c r="AA683" s="143"/>
      <c r="AB683" s="143"/>
      <c r="AC683" s="143"/>
      <c r="AD683" s="143"/>
    </row>
    <row r="684">
      <c r="A684" s="25"/>
      <c r="B684" s="25"/>
      <c r="C684" s="25"/>
      <c r="D684" s="25"/>
      <c r="E684" s="50"/>
      <c r="F684" s="167"/>
      <c r="G684" s="168"/>
      <c r="H684" s="169"/>
      <c r="I684" s="141"/>
      <c r="J684" s="141"/>
      <c r="K684" s="141"/>
      <c r="L684" s="25"/>
      <c r="M684" s="25"/>
      <c r="N684" s="25"/>
      <c r="O684" s="143"/>
      <c r="P684" s="143"/>
      <c r="Q684" s="143"/>
      <c r="R684" s="143"/>
      <c r="S684" s="143"/>
      <c r="T684" s="143"/>
      <c r="U684" s="143"/>
      <c r="V684" s="143"/>
      <c r="W684" s="143"/>
      <c r="X684" s="143"/>
      <c r="Y684" s="143"/>
      <c r="Z684" s="143"/>
      <c r="AA684" s="143"/>
      <c r="AB684" s="143"/>
      <c r="AC684" s="143"/>
      <c r="AD684" s="143"/>
    </row>
    <row r="685">
      <c r="A685" s="25"/>
      <c r="B685" s="25"/>
      <c r="C685" s="25"/>
      <c r="D685" s="25"/>
      <c r="E685" s="50"/>
      <c r="F685" s="167"/>
      <c r="G685" s="168"/>
      <c r="H685" s="169"/>
      <c r="I685" s="141"/>
      <c r="J685" s="141"/>
      <c r="K685" s="141"/>
      <c r="L685" s="25"/>
      <c r="M685" s="25"/>
      <c r="N685" s="25"/>
      <c r="O685" s="143"/>
      <c r="P685" s="143"/>
      <c r="Q685" s="143"/>
      <c r="R685" s="143"/>
      <c r="S685" s="143"/>
      <c r="T685" s="143"/>
      <c r="U685" s="143"/>
      <c r="V685" s="143"/>
      <c r="W685" s="143"/>
      <c r="X685" s="143"/>
      <c r="Y685" s="143"/>
      <c r="Z685" s="143"/>
      <c r="AA685" s="143"/>
      <c r="AB685" s="143"/>
      <c r="AC685" s="143"/>
      <c r="AD685" s="143"/>
    </row>
    <row r="686">
      <c r="A686" s="25"/>
      <c r="B686" s="25"/>
      <c r="C686" s="25"/>
      <c r="D686" s="25"/>
      <c r="E686" s="50"/>
      <c r="F686" s="167"/>
      <c r="G686" s="168"/>
      <c r="H686" s="169"/>
      <c r="I686" s="141"/>
      <c r="J686" s="141"/>
      <c r="K686" s="141"/>
      <c r="L686" s="25"/>
      <c r="M686" s="25"/>
      <c r="N686" s="25"/>
      <c r="O686" s="143"/>
      <c r="P686" s="143"/>
      <c r="Q686" s="143"/>
      <c r="R686" s="143"/>
      <c r="S686" s="143"/>
      <c r="T686" s="143"/>
      <c r="U686" s="143"/>
      <c r="V686" s="143"/>
      <c r="W686" s="143"/>
      <c r="X686" s="143"/>
      <c r="Y686" s="143"/>
      <c r="Z686" s="143"/>
      <c r="AA686" s="143"/>
      <c r="AB686" s="143"/>
      <c r="AC686" s="143"/>
      <c r="AD686" s="143"/>
    </row>
    <row r="687">
      <c r="A687" s="25"/>
      <c r="B687" s="25"/>
      <c r="C687" s="25"/>
      <c r="D687" s="25"/>
      <c r="E687" s="50"/>
      <c r="F687" s="167"/>
      <c r="G687" s="168"/>
      <c r="H687" s="169"/>
      <c r="I687" s="141"/>
      <c r="J687" s="141"/>
      <c r="K687" s="141"/>
      <c r="L687" s="25"/>
      <c r="M687" s="25"/>
      <c r="N687" s="25"/>
      <c r="O687" s="143"/>
      <c r="P687" s="143"/>
      <c r="Q687" s="143"/>
      <c r="R687" s="143"/>
      <c r="S687" s="143"/>
      <c r="T687" s="143"/>
      <c r="U687" s="143"/>
      <c r="V687" s="143"/>
      <c r="W687" s="143"/>
      <c r="X687" s="143"/>
      <c r="Y687" s="143"/>
      <c r="Z687" s="143"/>
      <c r="AA687" s="143"/>
      <c r="AB687" s="143"/>
      <c r="AC687" s="143"/>
      <c r="AD687" s="143"/>
    </row>
    <row r="688">
      <c r="A688" s="25"/>
      <c r="B688" s="25"/>
      <c r="C688" s="25"/>
      <c r="D688" s="25"/>
      <c r="E688" s="50"/>
      <c r="F688" s="167"/>
      <c r="G688" s="168"/>
      <c r="H688" s="169"/>
      <c r="I688" s="141"/>
      <c r="J688" s="141"/>
      <c r="K688" s="141"/>
      <c r="L688" s="25"/>
      <c r="M688" s="25"/>
      <c r="N688" s="25"/>
      <c r="O688" s="143"/>
      <c r="P688" s="143"/>
      <c r="Q688" s="143"/>
      <c r="R688" s="143"/>
      <c r="S688" s="143"/>
      <c r="T688" s="143"/>
      <c r="U688" s="143"/>
      <c r="V688" s="143"/>
      <c r="W688" s="143"/>
      <c r="X688" s="143"/>
      <c r="Y688" s="143"/>
      <c r="Z688" s="143"/>
      <c r="AA688" s="143"/>
      <c r="AB688" s="143"/>
      <c r="AC688" s="143"/>
      <c r="AD688" s="143"/>
    </row>
    <row r="689">
      <c r="A689" s="25"/>
      <c r="B689" s="25"/>
      <c r="C689" s="25"/>
      <c r="D689" s="25"/>
      <c r="E689" s="50"/>
      <c r="F689" s="167"/>
      <c r="G689" s="168"/>
      <c r="H689" s="169"/>
      <c r="I689" s="141"/>
      <c r="J689" s="141"/>
      <c r="K689" s="141"/>
      <c r="L689" s="25"/>
      <c r="M689" s="25"/>
      <c r="N689" s="25"/>
      <c r="O689" s="143"/>
      <c r="P689" s="143"/>
      <c r="Q689" s="143"/>
      <c r="R689" s="143"/>
      <c r="S689" s="143"/>
      <c r="T689" s="143"/>
      <c r="U689" s="143"/>
      <c r="V689" s="143"/>
      <c r="W689" s="143"/>
      <c r="X689" s="143"/>
      <c r="Y689" s="143"/>
      <c r="Z689" s="143"/>
      <c r="AA689" s="143"/>
      <c r="AB689" s="143"/>
      <c r="AC689" s="143"/>
      <c r="AD689" s="143"/>
    </row>
    <row r="690">
      <c r="A690" s="25"/>
      <c r="B690" s="25"/>
      <c r="C690" s="25"/>
      <c r="D690" s="25"/>
      <c r="E690" s="50"/>
      <c r="F690" s="167"/>
      <c r="G690" s="168"/>
      <c r="H690" s="169"/>
      <c r="I690" s="141"/>
      <c r="J690" s="141"/>
      <c r="K690" s="141"/>
      <c r="L690" s="25"/>
      <c r="M690" s="25"/>
      <c r="N690" s="25"/>
      <c r="O690" s="143"/>
      <c r="P690" s="143"/>
      <c r="Q690" s="143"/>
      <c r="R690" s="143"/>
      <c r="S690" s="143"/>
      <c r="T690" s="143"/>
      <c r="U690" s="143"/>
      <c r="V690" s="143"/>
      <c r="W690" s="143"/>
      <c r="X690" s="143"/>
      <c r="Y690" s="143"/>
      <c r="Z690" s="143"/>
      <c r="AA690" s="143"/>
      <c r="AB690" s="143"/>
      <c r="AC690" s="143"/>
      <c r="AD690" s="143"/>
    </row>
    <row r="691">
      <c r="A691" s="25"/>
      <c r="B691" s="25"/>
      <c r="C691" s="25"/>
      <c r="D691" s="25"/>
      <c r="E691" s="50"/>
      <c r="F691" s="167"/>
      <c r="G691" s="168"/>
      <c r="H691" s="169"/>
      <c r="I691" s="141"/>
      <c r="J691" s="141"/>
      <c r="K691" s="141"/>
      <c r="L691" s="25"/>
      <c r="M691" s="25"/>
      <c r="N691" s="25"/>
      <c r="O691" s="143"/>
      <c r="P691" s="143"/>
      <c r="Q691" s="143"/>
      <c r="R691" s="143"/>
      <c r="S691" s="143"/>
      <c r="T691" s="143"/>
      <c r="U691" s="143"/>
      <c r="V691" s="143"/>
      <c r="W691" s="143"/>
      <c r="X691" s="143"/>
      <c r="Y691" s="143"/>
      <c r="Z691" s="143"/>
      <c r="AA691" s="143"/>
      <c r="AB691" s="143"/>
      <c r="AC691" s="143"/>
      <c r="AD691" s="143"/>
    </row>
    <row r="692">
      <c r="A692" s="25"/>
      <c r="B692" s="25"/>
      <c r="C692" s="25"/>
      <c r="D692" s="25"/>
      <c r="E692" s="50"/>
      <c r="F692" s="167"/>
      <c r="G692" s="168"/>
      <c r="H692" s="169"/>
      <c r="I692" s="141"/>
      <c r="J692" s="141"/>
      <c r="K692" s="141"/>
      <c r="L692" s="25"/>
      <c r="M692" s="25"/>
      <c r="N692" s="25"/>
      <c r="O692" s="143"/>
      <c r="P692" s="143"/>
      <c r="Q692" s="143"/>
      <c r="R692" s="143"/>
      <c r="S692" s="143"/>
      <c r="T692" s="143"/>
      <c r="U692" s="143"/>
      <c r="V692" s="143"/>
      <c r="W692" s="143"/>
      <c r="X692" s="143"/>
      <c r="Y692" s="143"/>
      <c r="Z692" s="143"/>
      <c r="AA692" s="143"/>
      <c r="AB692" s="143"/>
      <c r="AC692" s="143"/>
      <c r="AD692" s="143"/>
    </row>
    <row r="693">
      <c r="A693" s="25"/>
      <c r="B693" s="25"/>
      <c r="C693" s="25"/>
      <c r="D693" s="25"/>
      <c r="E693" s="50"/>
      <c r="F693" s="167"/>
      <c r="G693" s="168"/>
      <c r="H693" s="169"/>
      <c r="I693" s="141"/>
      <c r="J693" s="141"/>
      <c r="K693" s="141"/>
      <c r="L693" s="25"/>
      <c r="M693" s="25"/>
      <c r="N693" s="25"/>
      <c r="O693" s="143"/>
      <c r="P693" s="143"/>
      <c r="Q693" s="143"/>
      <c r="R693" s="143"/>
      <c r="S693" s="143"/>
      <c r="T693" s="143"/>
      <c r="U693" s="143"/>
      <c r="V693" s="143"/>
      <c r="W693" s="143"/>
      <c r="X693" s="143"/>
      <c r="Y693" s="143"/>
      <c r="Z693" s="143"/>
      <c r="AA693" s="143"/>
      <c r="AB693" s="143"/>
      <c r="AC693" s="143"/>
      <c r="AD693" s="143"/>
    </row>
    <row r="694">
      <c r="A694" s="25"/>
      <c r="B694" s="25"/>
      <c r="C694" s="25"/>
      <c r="D694" s="25"/>
      <c r="E694" s="50"/>
      <c r="F694" s="167"/>
      <c r="G694" s="168"/>
      <c r="H694" s="169"/>
      <c r="I694" s="141"/>
      <c r="J694" s="141"/>
      <c r="K694" s="141"/>
      <c r="L694" s="25"/>
      <c r="M694" s="25"/>
      <c r="N694" s="25"/>
      <c r="O694" s="143"/>
      <c r="P694" s="143"/>
      <c r="Q694" s="143"/>
      <c r="R694" s="143"/>
      <c r="S694" s="143"/>
      <c r="T694" s="143"/>
      <c r="U694" s="143"/>
      <c r="V694" s="143"/>
      <c r="W694" s="143"/>
      <c r="X694" s="143"/>
      <c r="Y694" s="143"/>
      <c r="Z694" s="143"/>
      <c r="AA694" s="143"/>
      <c r="AB694" s="143"/>
      <c r="AC694" s="143"/>
      <c r="AD694" s="143"/>
    </row>
    <row r="695">
      <c r="A695" s="25"/>
      <c r="B695" s="25"/>
      <c r="C695" s="25"/>
      <c r="D695" s="25"/>
      <c r="E695" s="50"/>
      <c r="F695" s="167"/>
      <c r="G695" s="168"/>
      <c r="H695" s="169"/>
      <c r="I695" s="141"/>
      <c r="J695" s="141"/>
      <c r="K695" s="141"/>
      <c r="L695" s="25"/>
      <c r="M695" s="25"/>
      <c r="N695" s="25"/>
      <c r="O695" s="143"/>
      <c r="P695" s="143"/>
      <c r="Q695" s="143"/>
      <c r="R695" s="143"/>
      <c r="S695" s="143"/>
      <c r="T695" s="143"/>
      <c r="U695" s="143"/>
      <c r="V695" s="143"/>
      <c r="W695" s="143"/>
      <c r="X695" s="143"/>
      <c r="Y695" s="143"/>
      <c r="Z695" s="143"/>
      <c r="AA695" s="143"/>
      <c r="AB695" s="143"/>
      <c r="AC695" s="143"/>
      <c r="AD695" s="143"/>
    </row>
    <row r="696">
      <c r="A696" s="25"/>
      <c r="B696" s="25"/>
      <c r="C696" s="25"/>
      <c r="D696" s="25"/>
      <c r="E696" s="50"/>
      <c r="F696" s="167"/>
      <c r="G696" s="168"/>
      <c r="H696" s="169"/>
      <c r="I696" s="141"/>
      <c r="J696" s="141"/>
      <c r="K696" s="141"/>
      <c r="L696" s="25"/>
      <c r="M696" s="25"/>
      <c r="N696" s="25"/>
      <c r="O696" s="143"/>
      <c r="P696" s="143"/>
      <c r="Q696" s="143"/>
      <c r="R696" s="143"/>
      <c r="S696" s="143"/>
      <c r="T696" s="143"/>
      <c r="U696" s="143"/>
      <c r="V696" s="143"/>
      <c r="W696" s="143"/>
      <c r="X696" s="143"/>
      <c r="Y696" s="143"/>
      <c r="Z696" s="143"/>
      <c r="AA696" s="143"/>
      <c r="AB696" s="143"/>
      <c r="AC696" s="143"/>
      <c r="AD696" s="143"/>
    </row>
    <row r="697">
      <c r="A697" s="25"/>
      <c r="B697" s="25"/>
      <c r="C697" s="25"/>
      <c r="D697" s="25"/>
      <c r="E697" s="50"/>
      <c r="F697" s="167"/>
      <c r="G697" s="168"/>
      <c r="H697" s="169"/>
      <c r="I697" s="141"/>
      <c r="J697" s="141"/>
      <c r="K697" s="141"/>
      <c r="L697" s="25"/>
      <c r="M697" s="25"/>
      <c r="N697" s="25"/>
      <c r="O697" s="143"/>
      <c r="P697" s="143"/>
      <c r="Q697" s="143"/>
      <c r="R697" s="143"/>
      <c r="S697" s="143"/>
      <c r="T697" s="143"/>
      <c r="U697" s="143"/>
      <c r="V697" s="143"/>
      <c r="W697" s="143"/>
      <c r="X697" s="143"/>
      <c r="Y697" s="143"/>
      <c r="Z697" s="143"/>
      <c r="AA697" s="143"/>
      <c r="AB697" s="143"/>
      <c r="AC697" s="143"/>
      <c r="AD697" s="143"/>
    </row>
    <row r="698">
      <c r="A698" s="25"/>
      <c r="B698" s="25"/>
      <c r="C698" s="25"/>
      <c r="D698" s="25"/>
      <c r="E698" s="50"/>
      <c r="F698" s="167"/>
      <c r="G698" s="168"/>
      <c r="H698" s="169"/>
      <c r="I698" s="141"/>
      <c r="J698" s="141"/>
      <c r="K698" s="141"/>
      <c r="L698" s="25"/>
      <c r="M698" s="25"/>
      <c r="N698" s="25"/>
      <c r="O698" s="143"/>
      <c r="P698" s="143"/>
      <c r="Q698" s="143"/>
      <c r="R698" s="143"/>
      <c r="S698" s="143"/>
      <c r="T698" s="143"/>
      <c r="U698" s="143"/>
      <c r="V698" s="143"/>
      <c r="W698" s="143"/>
      <c r="X698" s="143"/>
      <c r="Y698" s="143"/>
      <c r="Z698" s="143"/>
      <c r="AA698" s="143"/>
      <c r="AB698" s="143"/>
      <c r="AC698" s="143"/>
      <c r="AD698" s="143"/>
    </row>
    <row r="699">
      <c r="A699" s="25"/>
      <c r="B699" s="25"/>
      <c r="C699" s="25"/>
      <c r="D699" s="25"/>
      <c r="E699" s="50"/>
      <c r="F699" s="167"/>
      <c r="G699" s="168"/>
      <c r="H699" s="169"/>
      <c r="I699" s="141"/>
      <c r="J699" s="141"/>
      <c r="K699" s="141"/>
      <c r="L699" s="25"/>
      <c r="M699" s="25"/>
      <c r="N699" s="25"/>
      <c r="O699" s="143"/>
      <c r="P699" s="143"/>
      <c r="Q699" s="143"/>
      <c r="R699" s="143"/>
      <c r="S699" s="143"/>
      <c r="T699" s="143"/>
      <c r="U699" s="143"/>
      <c r="V699" s="143"/>
      <c r="W699" s="143"/>
      <c r="X699" s="143"/>
      <c r="Y699" s="143"/>
      <c r="Z699" s="143"/>
      <c r="AA699" s="143"/>
      <c r="AB699" s="143"/>
      <c r="AC699" s="143"/>
      <c r="AD699" s="143"/>
    </row>
    <row r="700">
      <c r="A700" s="25"/>
      <c r="B700" s="25"/>
      <c r="C700" s="25"/>
      <c r="D700" s="25"/>
      <c r="E700" s="50"/>
      <c r="F700" s="167"/>
      <c r="G700" s="168"/>
      <c r="H700" s="169"/>
      <c r="I700" s="141"/>
      <c r="J700" s="141"/>
      <c r="K700" s="141"/>
      <c r="L700" s="25"/>
      <c r="M700" s="25"/>
      <c r="N700" s="25"/>
      <c r="O700" s="143"/>
      <c r="P700" s="143"/>
      <c r="Q700" s="143"/>
      <c r="R700" s="143"/>
      <c r="S700" s="143"/>
      <c r="T700" s="143"/>
      <c r="U700" s="143"/>
      <c r="V700" s="143"/>
      <c r="W700" s="143"/>
      <c r="X700" s="143"/>
      <c r="Y700" s="143"/>
      <c r="Z700" s="143"/>
      <c r="AA700" s="143"/>
      <c r="AB700" s="143"/>
      <c r="AC700" s="143"/>
      <c r="AD700" s="143"/>
    </row>
    <row r="701">
      <c r="A701" s="25"/>
      <c r="B701" s="25"/>
      <c r="C701" s="25"/>
      <c r="D701" s="25"/>
      <c r="E701" s="50"/>
      <c r="F701" s="167"/>
      <c r="G701" s="168"/>
      <c r="H701" s="169"/>
      <c r="I701" s="141"/>
      <c r="J701" s="141"/>
      <c r="K701" s="141"/>
      <c r="L701" s="25"/>
      <c r="M701" s="25"/>
      <c r="N701" s="25"/>
      <c r="O701" s="143"/>
      <c r="P701" s="143"/>
      <c r="Q701" s="143"/>
      <c r="R701" s="143"/>
      <c r="S701" s="143"/>
      <c r="T701" s="143"/>
      <c r="U701" s="143"/>
      <c r="V701" s="143"/>
      <c r="W701" s="143"/>
      <c r="X701" s="143"/>
      <c r="Y701" s="143"/>
      <c r="Z701" s="143"/>
      <c r="AA701" s="143"/>
      <c r="AB701" s="143"/>
      <c r="AC701" s="143"/>
      <c r="AD701" s="143"/>
    </row>
    <row r="702">
      <c r="A702" s="25"/>
      <c r="B702" s="25"/>
      <c r="C702" s="25"/>
      <c r="D702" s="25"/>
      <c r="E702" s="50"/>
      <c r="F702" s="167"/>
      <c r="G702" s="168"/>
      <c r="H702" s="169"/>
      <c r="I702" s="141"/>
      <c r="J702" s="141"/>
      <c r="K702" s="141"/>
      <c r="L702" s="25"/>
      <c r="M702" s="25"/>
      <c r="N702" s="25"/>
      <c r="O702" s="143"/>
      <c r="P702" s="143"/>
      <c r="Q702" s="143"/>
      <c r="R702" s="143"/>
      <c r="S702" s="143"/>
      <c r="T702" s="143"/>
      <c r="U702" s="143"/>
      <c r="V702" s="143"/>
      <c r="W702" s="143"/>
      <c r="X702" s="143"/>
      <c r="Y702" s="143"/>
      <c r="Z702" s="143"/>
      <c r="AA702" s="143"/>
      <c r="AB702" s="143"/>
      <c r="AC702" s="143"/>
      <c r="AD702" s="143"/>
    </row>
    <row r="703">
      <c r="A703" s="25"/>
      <c r="B703" s="25"/>
      <c r="C703" s="25"/>
      <c r="D703" s="25"/>
      <c r="E703" s="50"/>
      <c r="F703" s="167"/>
      <c r="G703" s="168"/>
      <c r="H703" s="169"/>
      <c r="I703" s="141"/>
      <c r="J703" s="141"/>
      <c r="K703" s="141"/>
      <c r="L703" s="25"/>
      <c r="M703" s="25"/>
      <c r="N703" s="25"/>
      <c r="O703" s="143"/>
      <c r="P703" s="143"/>
      <c r="Q703" s="143"/>
      <c r="R703" s="143"/>
      <c r="S703" s="143"/>
      <c r="T703" s="143"/>
      <c r="U703" s="143"/>
      <c r="V703" s="143"/>
      <c r="W703" s="143"/>
      <c r="X703" s="143"/>
      <c r="Y703" s="143"/>
      <c r="Z703" s="143"/>
      <c r="AA703" s="143"/>
      <c r="AB703" s="143"/>
      <c r="AC703" s="143"/>
      <c r="AD703" s="143"/>
    </row>
    <row r="704">
      <c r="A704" s="25"/>
      <c r="B704" s="25"/>
      <c r="C704" s="25"/>
      <c r="D704" s="25"/>
      <c r="E704" s="50"/>
      <c r="F704" s="167"/>
      <c r="G704" s="168"/>
      <c r="H704" s="169"/>
      <c r="I704" s="141"/>
      <c r="J704" s="141"/>
      <c r="K704" s="141"/>
      <c r="L704" s="25"/>
      <c r="M704" s="25"/>
      <c r="N704" s="25"/>
      <c r="O704" s="143"/>
      <c r="P704" s="143"/>
      <c r="Q704" s="143"/>
      <c r="R704" s="143"/>
      <c r="S704" s="143"/>
      <c r="T704" s="143"/>
      <c r="U704" s="143"/>
      <c r="V704" s="143"/>
      <c r="W704" s="143"/>
      <c r="X704" s="143"/>
      <c r="Y704" s="143"/>
      <c r="Z704" s="143"/>
      <c r="AA704" s="143"/>
      <c r="AB704" s="143"/>
      <c r="AC704" s="143"/>
      <c r="AD704" s="143"/>
    </row>
    <row r="705">
      <c r="A705" s="25"/>
      <c r="B705" s="25"/>
      <c r="C705" s="25"/>
      <c r="D705" s="25"/>
      <c r="E705" s="50"/>
      <c r="F705" s="167"/>
      <c r="G705" s="168"/>
      <c r="H705" s="169"/>
      <c r="I705" s="141"/>
      <c r="J705" s="141"/>
      <c r="K705" s="141"/>
      <c r="L705" s="25"/>
      <c r="M705" s="25"/>
      <c r="N705" s="25"/>
      <c r="O705" s="143"/>
      <c r="P705" s="143"/>
      <c r="Q705" s="143"/>
      <c r="R705" s="143"/>
      <c r="S705" s="143"/>
      <c r="T705" s="143"/>
      <c r="U705" s="143"/>
      <c r="V705" s="143"/>
      <c r="W705" s="143"/>
      <c r="X705" s="143"/>
      <c r="Y705" s="143"/>
      <c r="Z705" s="143"/>
      <c r="AA705" s="143"/>
      <c r="AB705" s="143"/>
      <c r="AC705" s="143"/>
      <c r="AD705" s="143"/>
    </row>
    <row r="706">
      <c r="A706" s="25"/>
      <c r="B706" s="25"/>
      <c r="C706" s="25"/>
      <c r="D706" s="25"/>
      <c r="E706" s="50"/>
      <c r="F706" s="167"/>
      <c r="G706" s="168"/>
      <c r="H706" s="169"/>
      <c r="I706" s="141"/>
      <c r="J706" s="141"/>
      <c r="K706" s="141"/>
      <c r="L706" s="25"/>
      <c r="M706" s="25"/>
      <c r="N706" s="25"/>
      <c r="O706" s="143"/>
      <c r="P706" s="143"/>
      <c r="Q706" s="143"/>
      <c r="R706" s="143"/>
      <c r="S706" s="143"/>
      <c r="T706" s="143"/>
      <c r="U706" s="143"/>
      <c r="V706" s="143"/>
      <c r="W706" s="143"/>
      <c r="X706" s="143"/>
      <c r="Y706" s="143"/>
      <c r="Z706" s="143"/>
      <c r="AA706" s="143"/>
      <c r="AB706" s="143"/>
      <c r="AC706" s="143"/>
      <c r="AD706" s="143"/>
    </row>
    <row r="707">
      <c r="A707" s="25"/>
      <c r="B707" s="25"/>
      <c r="C707" s="25"/>
      <c r="D707" s="25"/>
      <c r="E707" s="50"/>
      <c r="F707" s="167"/>
      <c r="G707" s="168"/>
      <c r="H707" s="169"/>
      <c r="I707" s="141"/>
      <c r="J707" s="141"/>
      <c r="K707" s="141"/>
      <c r="L707" s="25"/>
      <c r="M707" s="25"/>
      <c r="N707" s="25"/>
      <c r="O707" s="143"/>
      <c r="P707" s="143"/>
      <c r="Q707" s="143"/>
      <c r="R707" s="143"/>
      <c r="S707" s="143"/>
      <c r="T707" s="143"/>
      <c r="U707" s="143"/>
      <c r="V707" s="143"/>
      <c r="W707" s="143"/>
      <c r="X707" s="143"/>
      <c r="Y707" s="143"/>
      <c r="Z707" s="143"/>
      <c r="AA707" s="143"/>
      <c r="AB707" s="143"/>
      <c r="AC707" s="143"/>
      <c r="AD707" s="143"/>
    </row>
    <row r="708">
      <c r="A708" s="25"/>
      <c r="B708" s="25"/>
      <c r="C708" s="25"/>
      <c r="D708" s="25"/>
      <c r="E708" s="50"/>
      <c r="F708" s="167"/>
      <c r="G708" s="168"/>
      <c r="H708" s="169"/>
      <c r="I708" s="141"/>
      <c r="J708" s="141"/>
      <c r="K708" s="141"/>
      <c r="L708" s="25"/>
      <c r="M708" s="25"/>
      <c r="N708" s="25"/>
      <c r="O708" s="143"/>
      <c r="P708" s="143"/>
      <c r="Q708" s="143"/>
      <c r="R708" s="143"/>
      <c r="S708" s="143"/>
      <c r="T708" s="143"/>
      <c r="U708" s="143"/>
      <c r="V708" s="143"/>
      <c r="W708" s="143"/>
      <c r="X708" s="143"/>
      <c r="Y708" s="143"/>
      <c r="Z708" s="143"/>
      <c r="AA708" s="143"/>
      <c r="AB708" s="143"/>
      <c r="AC708" s="143"/>
      <c r="AD708" s="143"/>
    </row>
    <row r="709">
      <c r="A709" s="25"/>
      <c r="B709" s="25"/>
      <c r="C709" s="25"/>
      <c r="D709" s="25"/>
      <c r="E709" s="50"/>
      <c r="F709" s="167"/>
      <c r="G709" s="168"/>
      <c r="H709" s="169"/>
      <c r="I709" s="141"/>
      <c r="J709" s="141"/>
      <c r="K709" s="141"/>
      <c r="L709" s="25"/>
      <c r="M709" s="25"/>
      <c r="N709" s="25"/>
      <c r="O709" s="143"/>
      <c r="P709" s="143"/>
      <c r="Q709" s="143"/>
      <c r="R709" s="143"/>
      <c r="S709" s="143"/>
      <c r="T709" s="143"/>
      <c r="U709" s="143"/>
      <c r="V709" s="143"/>
      <c r="W709" s="143"/>
      <c r="X709" s="143"/>
      <c r="Y709" s="143"/>
      <c r="Z709" s="143"/>
      <c r="AA709" s="143"/>
      <c r="AB709" s="143"/>
      <c r="AC709" s="143"/>
      <c r="AD709" s="143"/>
    </row>
    <row r="710">
      <c r="A710" s="25"/>
      <c r="B710" s="25"/>
      <c r="C710" s="25"/>
      <c r="D710" s="25"/>
      <c r="E710" s="50"/>
      <c r="F710" s="167"/>
      <c r="G710" s="168"/>
      <c r="H710" s="169"/>
      <c r="I710" s="141"/>
      <c r="J710" s="141"/>
      <c r="K710" s="141"/>
      <c r="L710" s="25"/>
      <c r="M710" s="25"/>
      <c r="N710" s="25"/>
      <c r="O710" s="143"/>
      <c r="P710" s="143"/>
      <c r="Q710" s="143"/>
      <c r="R710" s="143"/>
      <c r="S710" s="143"/>
      <c r="T710" s="143"/>
      <c r="U710" s="143"/>
      <c r="V710" s="143"/>
      <c r="W710" s="143"/>
      <c r="X710" s="143"/>
      <c r="Y710" s="143"/>
      <c r="Z710" s="143"/>
      <c r="AA710" s="143"/>
      <c r="AB710" s="143"/>
      <c r="AC710" s="143"/>
      <c r="AD710" s="143"/>
    </row>
    <row r="711">
      <c r="A711" s="25"/>
      <c r="B711" s="25"/>
      <c r="C711" s="25"/>
      <c r="D711" s="25"/>
      <c r="E711" s="50"/>
      <c r="F711" s="167"/>
      <c r="G711" s="168"/>
      <c r="H711" s="169"/>
      <c r="I711" s="141"/>
      <c r="J711" s="141"/>
      <c r="K711" s="141"/>
      <c r="L711" s="25"/>
      <c r="M711" s="25"/>
      <c r="N711" s="25"/>
      <c r="O711" s="143"/>
      <c r="P711" s="143"/>
      <c r="Q711" s="143"/>
      <c r="R711" s="143"/>
      <c r="S711" s="143"/>
      <c r="T711" s="143"/>
      <c r="U711" s="143"/>
      <c r="V711" s="143"/>
      <c r="W711" s="143"/>
      <c r="X711" s="143"/>
      <c r="Y711" s="143"/>
      <c r="Z711" s="143"/>
      <c r="AA711" s="143"/>
      <c r="AB711" s="143"/>
      <c r="AC711" s="143"/>
      <c r="AD711" s="143"/>
    </row>
    <row r="712">
      <c r="A712" s="25"/>
      <c r="B712" s="25"/>
      <c r="C712" s="25"/>
      <c r="D712" s="25"/>
      <c r="E712" s="50"/>
      <c r="F712" s="167"/>
      <c r="G712" s="168"/>
      <c r="H712" s="169"/>
      <c r="I712" s="141"/>
      <c r="J712" s="141"/>
      <c r="K712" s="141"/>
      <c r="L712" s="25"/>
      <c r="M712" s="25"/>
      <c r="N712" s="25"/>
      <c r="O712" s="143"/>
      <c r="P712" s="143"/>
      <c r="Q712" s="143"/>
      <c r="R712" s="143"/>
      <c r="S712" s="143"/>
      <c r="T712" s="143"/>
      <c r="U712" s="143"/>
      <c r="V712" s="143"/>
      <c r="W712" s="143"/>
      <c r="X712" s="143"/>
      <c r="Y712" s="143"/>
      <c r="Z712" s="143"/>
      <c r="AA712" s="143"/>
      <c r="AB712" s="143"/>
      <c r="AC712" s="143"/>
      <c r="AD712" s="143"/>
    </row>
    <row r="713">
      <c r="A713" s="25"/>
      <c r="B713" s="25"/>
      <c r="C713" s="25"/>
      <c r="D713" s="25"/>
      <c r="E713" s="50"/>
      <c r="F713" s="167"/>
      <c r="G713" s="168"/>
      <c r="H713" s="169"/>
      <c r="I713" s="141"/>
      <c r="J713" s="141"/>
      <c r="K713" s="141"/>
      <c r="L713" s="25"/>
      <c r="M713" s="25"/>
      <c r="N713" s="25"/>
      <c r="O713" s="143"/>
      <c r="P713" s="143"/>
      <c r="Q713" s="143"/>
      <c r="R713" s="143"/>
      <c r="S713" s="143"/>
      <c r="T713" s="143"/>
      <c r="U713" s="143"/>
      <c r="V713" s="143"/>
      <c r="W713" s="143"/>
      <c r="X713" s="143"/>
      <c r="Y713" s="143"/>
      <c r="Z713" s="143"/>
      <c r="AA713" s="143"/>
      <c r="AB713" s="143"/>
      <c r="AC713" s="143"/>
      <c r="AD713" s="143"/>
    </row>
    <row r="714">
      <c r="A714" s="25"/>
      <c r="B714" s="25"/>
      <c r="C714" s="25"/>
      <c r="D714" s="25"/>
      <c r="E714" s="50"/>
      <c r="F714" s="167"/>
      <c r="G714" s="168"/>
      <c r="H714" s="169"/>
      <c r="I714" s="141"/>
      <c r="J714" s="141"/>
      <c r="K714" s="141"/>
      <c r="L714" s="25"/>
      <c r="M714" s="25"/>
      <c r="N714" s="25"/>
      <c r="O714" s="143"/>
      <c r="P714" s="143"/>
      <c r="Q714" s="143"/>
      <c r="R714" s="143"/>
      <c r="S714" s="143"/>
      <c r="T714" s="143"/>
      <c r="U714" s="143"/>
      <c r="V714" s="143"/>
      <c r="W714" s="143"/>
      <c r="X714" s="143"/>
      <c r="Y714" s="143"/>
      <c r="Z714" s="143"/>
      <c r="AA714" s="143"/>
      <c r="AB714" s="143"/>
      <c r="AC714" s="143"/>
      <c r="AD714" s="143"/>
    </row>
    <row r="715">
      <c r="A715" s="25"/>
      <c r="B715" s="25"/>
      <c r="C715" s="25"/>
      <c r="D715" s="25"/>
      <c r="E715" s="50"/>
      <c r="F715" s="167"/>
      <c r="G715" s="168"/>
      <c r="H715" s="169"/>
      <c r="I715" s="141"/>
      <c r="J715" s="141"/>
      <c r="K715" s="141"/>
      <c r="L715" s="25"/>
      <c r="M715" s="25"/>
      <c r="N715" s="25"/>
      <c r="O715" s="143"/>
      <c r="P715" s="143"/>
      <c r="Q715" s="143"/>
      <c r="R715" s="143"/>
      <c r="S715" s="143"/>
      <c r="T715" s="143"/>
      <c r="U715" s="143"/>
      <c r="V715" s="143"/>
      <c r="W715" s="143"/>
      <c r="X715" s="143"/>
      <c r="Y715" s="143"/>
      <c r="Z715" s="143"/>
      <c r="AA715" s="143"/>
      <c r="AB715" s="143"/>
      <c r="AC715" s="143"/>
      <c r="AD715" s="143"/>
    </row>
    <row r="716">
      <c r="A716" s="25"/>
      <c r="B716" s="25"/>
      <c r="C716" s="25"/>
      <c r="D716" s="25"/>
      <c r="E716" s="50"/>
      <c r="F716" s="167"/>
      <c r="G716" s="168"/>
      <c r="H716" s="169"/>
      <c r="I716" s="141"/>
      <c r="J716" s="141"/>
      <c r="K716" s="141"/>
      <c r="L716" s="25"/>
      <c r="M716" s="25"/>
      <c r="N716" s="25"/>
      <c r="O716" s="143"/>
      <c r="P716" s="143"/>
      <c r="Q716" s="143"/>
      <c r="R716" s="143"/>
      <c r="S716" s="143"/>
      <c r="T716" s="143"/>
      <c r="U716" s="143"/>
      <c r="V716" s="143"/>
      <c r="W716" s="143"/>
      <c r="X716" s="143"/>
      <c r="Y716" s="143"/>
      <c r="Z716" s="143"/>
      <c r="AA716" s="143"/>
      <c r="AB716" s="143"/>
      <c r="AC716" s="143"/>
      <c r="AD716" s="143"/>
    </row>
    <row r="717">
      <c r="A717" s="25"/>
      <c r="B717" s="25"/>
      <c r="C717" s="25"/>
      <c r="D717" s="25"/>
      <c r="E717" s="50"/>
      <c r="F717" s="167"/>
      <c r="G717" s="168"/>
      <c r="H717" s="169"/>
      <c r="I717" s="141"/>
      <c r="J717" s="141"/>
      <c r="K717" s="141"/>
      <c r="L717" s="25"/>
      <c r="M717" s="25"/>
      <c r="N717" s="25"/>
      <c r="O717" s="143"/>
      <c r="P717" s="143"/>
      <c r="Q717" s="143"/>
      <c r="R717" s="143"/>
      <c r="S717" s="143"/>
      <c r="T717" s="143"/>
      <c r="U717" s="143"/>
      <c r="V717" s="143"/>
      <c r="W717" s="143"/>
      <c r="X717" s="143"/>
      <c r="Y717" s="143"/>
      <c r="Z717" s="143"/>
      <c r="AA717" s="143"/>
      <c r="AB717" s="143"/>
      <c r="AC717" s="143"/>
      <c r="AD717" s="143"/>
    </row>
    <row r="718">
      <c r="A718" s="25"/>
      <c r="B718" s="25"/>
      <c r="C718" s="25"/>
      <c r="D718" s="25"/>
      <c r="E718" s="50"/>
      <c r="F718" s="167"/>
      <c r="G718" s="168"/>
      <c r="H718" s="169"/>
      <c r="I718" s="141"/>
      <c r="J718" s="141"/>
      <c r="K718" s="141"/>
      <c r="L718" s="25"/>
      <c r="M718" s="25"/>
      <c r="N718" s="25"/>
      <c r="O718" s="143"/>
      <c r="P718" s="143"/>
      <c r="Q718" s="143"/>
      <c r="R718" s="143"/>
      <c r="S718" s="143"/>
      <c r="T718" s="143"/>
      <c r="U718" s="143"/>
      <c r="V718" s="143"/>
      <c r="W718" s="143"/>
      <c r="X718" s="143"/>
      <c r="Y718" s="143"/>
      <c r="Z718" s="143"/>
      <c r="AA718" s="143"/>
      <c r="AB718" s="143"/>
      <c r="AC718" s="143"/>
      <c r="AD718" s="143"/>
    </row>
    <row r="719">
      <c r="A719" s="25"/>
      <c r="B719" s="25"/>
      <c r="C719" s="25"/>
      <c r="D719" s="25"/>
      <c r="E719" s="50"/>
      <c r="F719" s="167"/>
      <c r="G719" s="168"/>
      <c r="H719" s="169"/>
      <c r="I719" s="141"/>
      <c r="J719" s="141"/>
      <c r="K719" s="141"/>
      <c r="L719" s="25"/>
      <c r="M719" s="25"/>
      <c r="N719" s="25"/>
      <c r="O719" s="143"/>
      <c r="P719" s="143"/>
      <c r="Q719" s="143"/>
      <c r="R719" s="143"/>
      <c r="S719" s="143"/>
      <c r="T719" s="143"/>
      <c r="U719" s="143"/>
      <c r="V719" s="143"/>
      <c r="W719" s="143"/>
      <c r="X719" s="143"/>
      <c r="Y719" s="143"/>
      <c r="Z719" s="143"/>
      <c r="AA719" s="143"/>
      <c r="AB719" s="143"/>
      <c r="AC719" s="143"/>
      <c r="AD719" s="143"/>
    </row>
    <row r="720">
      <c r="A720" s="25"/>
      <c r="B720" s="25"/>
      <c r="C720" s="25"/>
      <c r="D720" s="25"/>
      <c r="E720" s="50"/>
      <c r="F720" s="167"/>
      <c r="G720" s="168"/>
      <c r="H720" s="169"/>
      <c r="I720" s="141"/>
      <c r="J720" s="141"/>
      <c r="K720" s="141"/>
      <c r="L720" s="25"/>
      <c r="M720" s="25"/>
      <c r="N720" s="25"/>
      <c r="O720" s="143"/>
      <c r="P720" s="143"/>
      <c r="Q720" s="143"/>
      <c r="R720" s="143"/>
      <c r="S720" s="143"/>
      <c r="T720" s="143"/>
      <c r="U720" s="143"/>
      <c r="V720" s="143"/>
      <c r="W720" s="143"/>
      <c r="X720" s="143"/>
      <c r="Y720" s="143"/>
      <c r="Z720" s="143"/>
      <c r="AA720" s="143"/>
      <c r="AB720" s="143"/>
      <c r="AC720" s="143"/>
      <c r="AD720" s="143"/>
    </row>
    <row r="721">
      <c r="A721" s="25"/>
      <c r="B721" s="25"/>
      <c r="C721" s="25"/>
      <c r="D721" s="25"/>
      <c r="E721" s="50"/>
      <c r="F721" s="167"/>
      <c r="G721" s="168"/>
      <c r="H721" s="169"/>
      <c r="I721" s="141"/>
      <c r="J721" s="141"/>
      <c r="K721" s="141"/>
      <c r="L721" s="25"/>
      <c r="M721" s="25"/>
      <c r="N721" s="25"/>
      <c r="O721" s="143"/>
      <c r="P721" s="143"/>
      <c r="Q721" s="143"/>
      <c r="R721" s="143"/>
      <c r="S721" s="143"/>
      <c r="T721" s="143"/>
      <c r="U721" s="143"/>
      <c r="V721" s="143"/>
      <c r="W721" s="143"/>
      <c r="X721" s="143"/>
      <c r="Y721" s="143"/>
      <c r="Z721" s="143"/>
      <c r="AA721" s="143"/>
      <c r="AB721" s="143"/>
      <c r="AC721" s="143"/>
      <c r="AD721" s="143"/>
    </row>
    <row r="722">
      <c r="A722" s="25"/>
      <c r="B722" s="25"/>
      <c r="C722" s="25"/>
      <c r="D722" s="25"/>
      <c r="E722" s="50"/>
      <c r="F722" s="167"/>
      <c r="G722" s="168"/>
      <c r="H722" s="169"/>
      <c r="I722" s="141"/>
      <c r="J722" s="141"/>
      <c r="K722" s="141"/>
      <c r="L722" s="25"/>
      <c r="M722" s="25"/>
      <c r="N722" s="25"/>
      <c r="O722" s="143"/>
      <c r="P722" s="143"/>
      <c r="Q722" s="143"/>
      <c r="R722" s="143"/>
      <c r="S722" s="143"/>
      <c r="T722" s="143"/>
      <c r="U722" s="143"/>
      <c r="V722" s="143"/>
      <c r="W722" s="143"/>
      <c r="X722" s="143"/>
      <c r="Y722" s="143"/>
      <c r="Z722" s="143"/>
      <c r="AA722" s="143"/>
      <c r="AB722" s="143"/>
      <c r="AC722" s="143"/>
      <c r="AD722" s="143"/>
    </row>
    <row r="723">
      <c r="A723" s="25"/>
      <c r="B723" s="25"/>
      <c r="C723" s="25"/>
      <c r="D723" s="25"/>
      <c r="E723" s="50"/>
      <c r="F723" s="167"/>
      <c r="G723" s="168"/>
      <c r="H723" s="169"/>
      <c r="I723" s="141"/>
      <c r="J723" s="141"/>
      <c r="K723" s="141"/>
      <c r="L723" s="25"/>
      <c r="M723" s="25"/>
      <c r="N723" s="25"/>
      <c r="O723" s="143"/>
      <c r="P723" s="143"/>
      <c r="Q723" s="143"/>
      <c r="R723" s="143"/>
      <c r="S723" s="143"/>
      <c r="T723" s="143"/>
      <c r="U723" s="143"/>
      <c r="V723" s="143"/>
      <c r="W723" s="143"/>
      <c r="X723" s="143"/>
      <c r="Y723" s="143"/>
      <c r="Z723" s="143"/>
      <c r="AA723" s="143"/>
      <c r="AB723" s="143"/>
      <c r="AC723" s="143"/>
      <c r="AD723" s="143"/>
    </row>
    <row r="724">
      <c r="A724" s="25"/>
      <c r="B724" s="25"/>
      <c r="C724" s="25"/>
      <c r="D724" s="25"/>
      <c r="E724" s="50"/>
      <c r="F724" s="167"/>
      <c r="G724" s="168"/>
      <c r="H724" s="169"/>
      <c r="I724" s="141"/>
      <c r="J724" s="141"/>
      <c r="K724" s="141"/>
      <c r="L724" s="25"/>
      <c r="M724" s="25"/>
      <c r="N724" s="25"/>
      <c r="O724" s="143"/>
      <c r="P724" s="143"/>
      <c r="Q724" s="143"/>
      <c r="R724" s="143"/>
      <c r="S724" s="143"/>
      <c r="T724" s="143"/>
      <c r="U724" s="143"/>
      <c r="V724" s="143"/>
      <c r="W724" s="143"/>
      <c r="X724" s="143"/>
      <c r="Y724" s="143"/>
      <c r="Z724" s="143"/>
      <c r="AA724" s="143"/>
      <c r="AB724" s="143"/>
      <c r="AC724" s="143"/>
      <c r="AD724" s="143"/>
    </row>
    <row r="725">
      <c r="A725" s="25"/>
      <c r="B725" s="25"/>
      <c r="C725" s="25"/>
      <c r="D725" s="25"/>
      <c r="E725" s="50"/>
      <c r="F725" s="167"/>
      <c r="G725" s="168"/>
      <c r="H725" s="169"/>
      <c r="I725" s="141"/>
      <c r="J725" s="141"/>
      <c r="K725" s="141"/>
      <c r="L725" s="25"/>
      <c r="M725" s="25"/>
      <c r="N725" s="25"/>
      <c r="O725" s="143"/>
      <c r="P725" s="143"/>
      <c r="Q725" s="143"/>
      <c r="R725" s="143"/>
      <c r="S725" s="143"/>
      <c r="T725" s="143"/>
      <c r="U725" s="143"/>
      <c r="V725" s="143"/>
      <c r="W725" s="143"/>
      <c r="X725" s="143"/>
      <c r="Y725" s="143"/>
      <c r="Z725" s="143"/>
      <c r="AA725" s="143"/>
      <c r="AB725" s="143"/>
      <c r="AC725" s="143"/>
      <c r="AD725" s="143"/>
    </row>
    <row r="726">
      <c r="A726" s="25"/>
      <c r="B726" s="25"/>
      <c r="C726" s="25"/>
      <c r="D726" s="25"/>
      <c r="E726" s="50"/>
      <c r="F726" s="167"/>
      <c r="G726" s="168"/>
      <c r="H726" s="169"/>
      <c r="I726" s="141"/>
      <c r="J726" s="141"/>
      <c r="K726" s="141"/>
      <c r="L726" s="25"/>
      <c r="M726" s="25"/>
      <c r="N726" s="25"/>
      <c r="O726" s="143"/>
      <c r="P726" s="143"/>
      <c r="Q726" s="143"/>
      <c r="R726" s="143"/>
      <c r="S726" s="143"/>
      <c r="T726" s="143"/>
      <c r="U726" s="143"/>
      <c r="V726" s="143"/>
      <c r="W726" s="143"/>
      <c r="X726" s="143"/>
      <c r="Y726" s="143"/>
      <c r="Z726" s="143"/>
      <c r="AA726" s="143"/>
      <c r="AB726" s="143"/>
      <c r="AC726" s="143"/>
      <c r="AD726" s="143"/>
    </row>
    <row r="727">
      <c r="A727" s="25"/>
      <c r="B727" s="25"/>
      <c r="C727" s="25"/>
      <c r="D727" s="25"/>
      <c r="E727" s="50"/>
      <c r="F727" s="167"/>
      <c r="G727" s="168"/>
      <c r="H727" s="169"/>
      <c r="I727" s="141"/>
      <c r="J727" s="141"/>
      <c r="K727" s="141"/>
      <c r="L727" s="25"/>
      <c r="M727" s="25"/>
      <c r="N727" s="25"/>
      <c r="O727" s="143"/>
      <c r="P727" s="143"/>
      <c r="Q727" s="143"/>
      <c r="R727" s="143"/>
      <c r="S727" s="143"/>
      <c r="T727" s="143"/>
      <c r="U727" s="143"/>
      <c r="V727" s="143"/>
      <c r="W727" s="143"/>
      <c r="X727" s="143"/>
      <c r="Y727" s="143"/>
      <c r="Z727" s="143"/>
      <c r="AA727" s="143"/>
      <c r="AB727" s="143"/>
      <c r="AC727" s="143"/>
      <c r="AD727" s="143"/>
    </row>
    <row r="728">
      <c r="A728" s="25"/>
      <c r="B728" s="25"/>
      <c r="C728" s="25"/>
      <c r="D728" s="25"/>
      <c r="E728" s="50"/>
      <c r="F728" s="167"/>
      <c r="G728" s="168"/>
      <c r="H728" s="169"/>
      <c r="I728" s="141"/>
      <c r="J728" s="141"/>
      <c r="K728" s="141"/>
      <c r="L728" s="25"/>
      <c r="M728" s="25"/>
      <c r="N728" s="25"/>
      <c r="O728" s="143"/>
      <c r="P728" s="143"/>
      <c r="Q728" s="143"/>
      <c r="R728" s="143"/>
      <c r="S728" s="143"/>
      <c r="T728" s="143"/>
      <c r="U728" s="143"/>
      <c r="V728" s="143"/>
      <c r="W728" s="143"/>
      <c r="X728" s="143"/>
      <c r="Y728" s="143"/>
      <c r="Z728" s="143"/>
      <c r="AA728" s="143"/>
      <c r="AB728" s="143"/>
      <c r="AC728" s="143"/>
      <c r="AD728" s="143"/>
    </row>
    <row r="729">
      <c r="A729" s="25"/>
      <c r="B729" s="25"/>
      <c r="C729" s="25"/>
      <c r="D729" s="25"/>
      <c r="E729" s="50"/>
      <c r="F729" s="167"/>
      <c r="G729" s="168"/>
      <c r="H729" s="169"/>
      <c r="I729" s="141"/>
      <c r="J729" s="141"/>
      <c r="K729" s="141"/>
      <c r="L729" s="25"/>
      <c r="M729" s="25"/>
      <c r="N729" s="25"/>
      <c r="O729" s="143"/>
      <c r="P729" s="143"/>
      <c r="Q729" s="143"/>
      <c r="R729" s="143"/>
      <c r="S729" s="143"/>
      <c r="T729" s="143"/>
      <c r="U729" s="143"/>
      <c r="V729" s="143"/>
      <c r="W729" s="143"/>
      <c r="X729" s="143"/>
      <c r="Y729" s="143"/>
      <c r="Z729" s="143"/>
      <c r="AA729" s="143"/>
      <c r="AB729" s="143"/>
      <c r="AC729" s="143"/>
      <c r="AD729" s="143"/>
    </row>
    <row r="730">
      <c r="A730" s="25"/>
      <c r="B730" s="25"/>
      <c r="C730" s="25"/>
      <c r="D730" s="25"/>
      <c r="E730" s="50"/>
      <c r="F730" s="167"/>
      <c r="G730" s="168"/>
      <c r="H730" s="169"/>
      <c r="I730" s="141"/>
      <c r="J730" s="141"/>
      <c r="K730" s="141"/>
      <c r="L730" s="25"/>
      <c r="M730" s="25"/>
      <c r="N730" s="25"/>
      <c r="O730" s="143"/>
      <c r="P730" s="143"/>
      <c r="Q730" s="143"/>
      <c r="R730" s="143"/>
      <c r="S730" s="143"/>
      <c r="T730" s="143"/>
      <c r="U730" s="143"/>
      <c r="V730" s="143"/>
      <c r="W730" s="143"/>
      <c r="X730" s="143"/>
      <c r="Y730" s="143"/>
      <c r="Z730" s="143"/>
      <c r="AA730" s="143"/>
      <c r="AB730" s="143"/>
      <c r="AC730" s="143"/>
      <c r="AD730" s="143"/>
    </row>
    <row r="731">
      <c r="A731" s="25"/>
      <c r="B731" s="25"/>
      <c r="C731" s="25"/>
      <c r="D731" s="25"/>
      <c r="E731" s="50"/>
      <c r="F731" s="167"/>
      <c r="G731" s="168"/>
      <c r="H731" s="169"/>
      <c r="I731" s="141"/>
      <c r="J731" s="141"/>
      <c r="K731" s="141"/>
      <c r="L731" s="25"/>
      <c r="M731" s="25"/>
      <c r="N731" s="25"/>
      <c r="O731" s="143"/>
      <c r="P731" s="143"/>
      <c r="Q731" s="143"/>
      <c r="R731" s="143"/>
      <c r="S731" s="143"/>
      <c r="T731" s="143"/>
      <c r="U731" s="143"/>
      <c r="V731" s="143"/>
      <c r="W731" s="143"/>
      <c r="X731" s="143"/>
      <c r="Y731" s="143"/>
      <c r="Z731" s="143"/>
      <c r="AA731" s="143"/>
      <c r="AB731" s="143"/>
      <c r="AC731" s="143"/>
      <c r="AD731" s="143"/>
    </row>
    <row r="732">
      <c r="A732" s="25"/>
      <c r="B732" s="25"/>
      <c r="C732" s="25"/>
      <c r="D732" s="25"/>
      <c r="E732" s="50"/>
      <c r="F732" s="167"/>
      <c r="G732" s="168"/>
      <c r="H732" s="169"/>
      <c r="I732" s="141"/>
      <c r="J732" s="141"/>
      <c r="K732" s="141"/>
      <c r="L732" s="25"/>
      <c r="M732" s="25"/>
      <c r="N732" s="25"/>
      <c r="O732" s="143"/>
      <c r="P732" s="143"/>
      <c r="Q732" s="143"/>
      <c r="R732" s="143"/>
      <c r="S732" s="143"/>
      <c r="T732" s="143"/>
      <c r="U732" s="143"/>
      <c r="V732" s="143"/>
      <c r="W732" s="143"/>
      <c r="X732" s="143"/>
      <c r="Y732" s="143"/>
      <c r="Z732" s="143"/>
      <c r="AA732" s="143"/>
      <c r="AB732" s="143"/>
      <c r="AC732" s="143"/>
      <c r="AD732" s="143"/>
    </row>
    <row r="733">
      <c r="A733" s="25"/>
      <c r="B733" s="25"/>
      <c r="C733" s="25"/>
      <c r="D733" s="25"/>
      <c r="E733" s="50"/>
      <c r="F733" s="167"/>
      <c r="G733" s="168"/>
      <c r="H733" s="169"/>
      <c r="I733" s="141"/>
      <c r="J733" s="141"/>
      <c r="K733" s="141"/>
      <c r="L733" s="25"/>
      <c r="M733" s="25"/>
      <c r="N733" s="25"/>
      <c r="O733" s="143"/>
      <c r="P733" s="143"/>
      <c r="Q733" s="143"/>
      <c r="R733" s="143"/>
      <c r="S733" s="143"/>
      <c r="T733" s="143"/>
      <c r="U733" s="143"/>
      <c r="V733" s="143"/>
      <c r="W733" s="143"/>
      <c r="X733" s="143"/>
      <c r="Y733" s="143"/>
      <c r="Z733" s="143"/>
      <c r="AA733" s="143"/>
      <c r="AB733" s="143"/>
      <c r="AC733" s="143"/>
      <c r="AD733" s="143"/>
    </row>
    <row r="734">
      <c r="A734" s="25"/>
      <c r="B734" s="25"/>
      <c r="C734" s="25"/>
      <c r="D734" s="25"/>
      <c r="E734" s="50"/>
      <c r="F734" s="167"/>
      <c r="G734" s="168"/>
      <c r="H734" s="169"/>
      <c r="I734" s="141"/>
      <c r="J734" s="141"/>
      <c r="K734" s="141"/>
      <c r="L734" s="25"/>
      <c r="M734" s="25"/>
      <c r="N734" s="25"/>
      <c r="O734" s="143"/>
      <c r="P734" s="143"/>
      <c r="Q734" s="143"/>
      <c r="R734" s="143"/>
      <c r="S734" s="143"/>
      <c r="T734" s="143"/>
      <c r="U734" s="143"/>
      <c r="V734" s="143"/>
      <c r="W734" s="143"/>
      <c r="X734" s="143"/>
      <c r="Y734" s="143"/>
      <c r="Z734" s="143"/>
      <c r="AA734" s="143"/>
      <c r="AB734" s="143"/>
      <c r="AC734" s="143"/>
      <c r="AD734" s="143"/>
    </row>
    <row r="735">
      <c r="A735" s="25"/>
      <c r="B735" s="25"/>
      <c r="C735" s="25"/>
      <c r="D735" s="25"/>
      <c r="E735" s="50"/>
      <c r="F735" s="167"/>
      <c r="G735" s="168"/>
      <c r="H735" s="169"/>
      <c r="I735" s="141"/>
      <c r="J735" s="141"/>
      <c r="K735" s="141"/>
      <c r="L735" s="25"/>
      <c r="M735" s="25"/>
      <c r="N735" s="25"/>
      <c r="O735" s="143"/>
      <c r="P735" s="143"/>
      <c r="Q735" s="143"/>
      <c r="R735" s="143"/>
      <c r="S735" s="143"/>
      <c r="T735" s="143"/>
      <c r="U735" s="143"/>
      <c r="V735" s="143"/>
      <c r="W735" s="143"/>
      <c r="X735" s="143"/>
      <c r="Y735" s="143"/>
      <c r="Z735" s="143"/>
      <c r="AA735" s="143"/>
      <c r="AB735" s="143"/>
      <c r="AC735" s="143"/>
      <c r="AD735" s="143"/>
    </row>
    <row r="736">
      <c r="A736" s="25"/>
      <c r="B736" s="25"/>
      <c r="C736" s="25"/>
      <c r="D736" s="25"/>
      <c r="E736" s="50"/>
      <c r="F736" s="167"/>
      <c r="G736" s="168"/>
      <c r="H736" s="169"/>
      <c r="I736" s="141"/>
      <c r="J736" s="141"/>
      <c r="K736" s="141"/>
      <c r="L736" s="25"/>
      <c r="M736" s="25"/>
      <c r="N736" s="25"/>
      <c r="O736" s="143"/>
      <c r="P736" s="143"/>
      <c r="Q736" s="143"/>
      <c r="R736" s="143"/>
      <c r="S736" s="143"/>
      <c r="T736" s="143"/>
      <c r="U736" s="143"/>
      <c r="V736" s="143"/>
      <c r="W736" s="143"/>
      <c r="X736" s="143"/>
      <c r="Y736" s="143"/>
      <c r="Z736" s="143"/>
      <c r="AA736" s="143"/>
      <c r="AB736" s="143"/>
      <c r="AC736" s="143"/>
      <c r="AD736" s="143"/>
    </row>
    <row r="737">
      <c r="A737" s="25"/>
      <c r="B737" s="25"/>
      <c r="C737" s="25"/>
      <c r="D737" s="25"/>
      <c r="E737" s="50"/>
      <c r="F737" s="167"/>
      <c r="G737" s="168"/>
      <c r="H737" s="169"/>
      <c r="I737" s="141"/>
      <c r="J737" s="141"/>
      <c r="K737" s="141"/>
      <c r="L737" s="25"/>
      <c r="M737" s="25"/>
      <c r="N737" s="25"/>
      <c r="O737" s="143"/>
      <c r="P737" s="143"/>
      <c r="Q737" s="143"/>
      <c r="R737" s="143"/>
      <c r="S737" s="143"/>
      <c r="T737" s="143"/>
      <c r="U737" s="143"/>
      <c r="V737" s="143"/>
      <c r="W737" s="143"/>
      <c r="X737" s="143"/>
      <c r="Y737" s="143"/>
      <c r="Z737" s="143"/>
      <c r="AA737" s="143"/>
      <c r="AB737" s="143"/>
      <c r="AC737" s="143"/>
      <c r="AD737" s="143"/>
    </row>
    <row r="738">
      <c r="A738" s="25"/>
      <c r="B738" s="25"/>
      <c r="C738" s="25"/>
      <c r="D738" s="25"/>
      <c r="E738" s="50"/>
      <c r="F738" s="167"/>
      <c r="G738" s="168"/>
      <c r="H738" s="169"/>
      <c r="I738" s="141"/>
      <c r="J738" s="141"/>
      <c r="K738" s="141"/>
      <c r="L738" s="25"/>
      <c r="M738" s="25"/>
      <c r="N738" s="25"/>
      <c r="O738" s="143"/>
      <c r="P738" s="143"/>
      <c r="Q738" s="143"/>
      <c r="R738" s="143"/>
      <c r="S738" s="143"/>
      <c r="T738" s="143"/>
      <c r="U738" s="143"/>
      <c r="V738" s="143"/>
      <c r="W738" s="143"/>
      <c r="X738" s="143"/>
      <c r="Y738" s="143"/>
      <c r="Z738" s="143"/>
      <c r="AA738" s="143"/>
      <c r="AB738" s="143"/>
      <c r="AC738" s="143"/>
      <c r="AD738" s="143"/>
    </row>
    <row r="739">
      <c r="A739" s="25"/>
      <c r="B739" s="25"/>
      <c r="C739" s="25"/>
      <c r="D739" s="25"/>
      <c r="E739" s="50"/>
      <c r="F739" s="167"/>
      <c r="G739" s="168"/>
      <c r="H739" s="169"/>
      <c r="I739" s="141"/>
      <c r="J739" s="141"/>
      <c r="K739" s="141"/>
      <c r="L739" s="25"/>
      <c r="M739" s="25"/>
      <c r="N739" s="25"/>
      <c r="O739" s="143"/>
      <c r="P739" s="143"/>
      <c r="Q739" s="143"/>
      <c r="R739" s="143"/>
      <c r="S739" s="143"/>
      <c r="T739" s="143"/>
      <c r="U739" s="143"/>
      <c r="V739" s="143"/>
      <c r="W739" s="143"/>
      <c r="X739" s="143"/>
      <c r="Y739" s="143"/>
      <c r="Z739" s="143"/>
      <c r="AA739" s="143"/>
      <c r="AB739" s="143"/>
      <c r="AC739" s="143"/>
      <c r="AD739" s="143"/>
    </row>
    <row r="740">
      <c r="A740" s="25"/>
      <c r="B740" s="25"/>
      <c r="C740" s="25"/>
      <c r="D740" s="25"/>
      <c r="E740" s="50"/>
      <c r="F740" s="167"/>
      <c r="G740" s="168"/>
      <c r="H740" s="169"/>
      <c r="I740" s="141"/>
      <c r="J740" s="141"/>
      <c r="K740" s="141"/>
      <c r="L740" s="25"/>
      <c r="M740" s="25"/>
      <c r="N740" s="25"/>
      <c r="O740" s="143"/>
      <c r="P740" s="143"/>
      <c r="Q740" s="143"/>
      <c r="R740" s="143"/>
      <c r="S740" s="143"/>
      <c r="T740" s="143"/>
      <c r="U740" s="143"/>
      <c r="V740" s="143"/>
      <c r="W740" s="143"/>
      <c r="X740" s="143"/>
      <c r="Y740" s="143"/>
      <c r="Z740" s="143"/>
      <c r="AA740" s="143"/>
      <c r="AB740" s="143"/>
      <c r="AC740" s="143"/>
      <c r="AD740" s="143"/>
    </row>
    <row r="741">
      <c r="A741" s="25"/>
      <c r="B741" s="25"/>
      <c r="C741" s="25"/>
      <c r="D741" s="25"/>
      <c r="E741" s="50"/>
      <c r="F741" s="167"/>
      <c r="G741" s="168"/>
      <c r="H741" s="169"/>
      <c r="I741" s="141"/>
      <c r="J741" s="141"/>
      <c r="K741" s="141"/>
      <c r="L741" s="25"/>
      <c r="M741" s="25"/>
      <c r="N741" s="25"/>
      <c r="O741" s="143"/>
      <c r="P741" s="143"/>
      <c r="Q741" s="143"/>
      <c r="R741" s="143"/>
      <c r="S741" s="143"/>
      <c r="T741" s="143"/>
      <c r="U741" s="143"/>
      <c r="V741" s="143"/>
      <c r="W741" s="143"/>
      <c r="X741" s="143"/>
      <c r="Y741" s="143"/>
      <c r="Z741" s="143"/>
      <c r="AA741" s="143"/>
      <c r="AB741" s="143"/>
      <c r="AC741" s="143"/>
      <c r="AD741" s="143"/>
    </row>
    <row r="742">
      <c r="A742" s="25"/>
      <c r="B742" s="25"/>
      <c r="C742" s="25"/>
      <c r="D742" s="25"/>
      <c r="E742" s="50"/>
      <c r="F742" s="167"/>
      <c r="G742" s="168"/>
      <c r="H742" s="169"/>
      <c r="I742" s="141"/>
      <c r="J742" s="141"/>
      <c r="K742" s="141"/>
      <c r="L742" s="25"/>
      <c r="M742" s="25"/>
      <c r="N742" s="25"/>
      <c r="O742" s="143"/>
      <c r="P742" s="143"/>
      <c r="Q742" s="143"/>
      <c r="R742" s="143"/>
      <c r="S742" s="143"/>
      <c r="T742" s="143"/>
      <c r="U742" s="143"/>
      <c r="V742" s="143"/>
      <c r="W742" s="143"/>
      <c r="X742" s="143"/>
      <c r="Y742" s="143"/>
      <c r="Z742" s="143"/>
      <c r="AA742" s="143"/>
      <c r="AB742" s="143"/>
      <c r="AC742" s="143"/>
      <c r="AD742" s="143"/>
    </row>
    <row r="743">
      <c r="A743" s="25"/>
      <c r="B743" s="25"/>
      <c r="C743" s="25"/>
      <c r="D743" s="25"/>
      <c r="E743" s="50"/>
      <c r="F743" s="167"/>
      <c r="G743" s="168"/>
      <c r="H743" s="169"/>
      <c r="I743" s="141"/>
      <c r="J743" s="141"/>
      <c r="K743" s="141"/>
      <c r="L743" s="25"/>
      <c r="M743" s="25"/>
      <c r="N743" s="25"/>
      <c r="O743" s="143"/>
      <c r="P743" s="143"/>
      <c r="Q743" s="143"/>
      <c r="R743" s="143"/>
      <c r="S743" s="143"/>
      <c r="T743" s="143"/>
      <c r="U743" s="143"/>
      <c r="V743" s="143"/>
      <c r="W743" s="143"/>
      <c r="X743" s="143"/>
      <c r="Y743" s="143"/>
      <c r="Z743" s="143"/>
      <c r="AA743" s="143"/>
      <c r="AB743" s="143"/>
      <c r="AC743" s="143"/>
      <c r="AD743" s="143"/>
    </row>
    <row r="744">
      <c r="A744" s="25"/>
      <c r="B744" s="25"/>
      <c r="C744" s="25"/>
      <c r="D744" s="25"/>
      <c r="E744" s="50"/>
      <c r="F744" s="167"/>
      <c r="G744" s="168"/>
      <c r="H744" s="169"/>
      <c r="I744" s="141"/>
      <c r="J744" s="141"/>
      <c r="K744" s="141"/>
      <c r="L744" s="25"/>
      <c r="M744" s="25"/>
      <c r="N744" s="25"/>
      <c r="O744" s="143"/>
      <c r="P744" s="143"/>
      <c r="Q744" s="143"/>
      <c r="R744" s="143"/>
      <c r="S744" s="143"/>
      <c r="T744" s="143"/>
      <c r="U744" s="143"/>
      <c r="V744" s="143"/>
      <c r="W744" s="143"/>
      <c r="X744" s="143"/>
      <c r="Y744" s="143"/>
      <c r="Z744" s="143"/>
      <c r="AA744" s="143"/>
      <c r="AB744" s="143"/>
      <c r="AC744" s="143"/>
      <c r="AD744" s="143"/>
    </row>
    <row r="745">
      <c r="A745" s="25"/>
      <c r="B745" s="25"/>
      <c r="C745" s="25"/>
      <c r="D745" s="25"/>
      <c r="E745" s="50"/>
      <c r="F745" s="167"/>
      <c r="G745" s="168"/>
      <c r="H745" s="169"/>
      <c r="I745" s="141"/>
      <c r="J745" s="141"/>
      <c r="K745" s="141"/>
      <c r="L745" s="25"/>
      <c r="M745" s="25"/>
      <c r="N745" s="25"/>
      <c r="O745" s="143"/>
      <c r="P745" s="143"/>
      <c r="Q745" s="143"/>
      <c r="R745" s="143"/>
      <c r="S745" s="143"/>
      <c r="T745" s="143"/>
      <c r="U745" s="143"/>
      <c r="V745" s="143"/>
      <c r="W745" s="143"/>
      <c r="X745" s="143"/>
      <c r="Y745" s="143"/>
      <c r="Z745" s="143"/>
      <c r="AA745" s="143"/>
      <c r="AB745" s="143"/>
      <c r="AC745" s="143"/>
      <c r="AD745" s="143"/>
    </row>
    <row r="746">
      <c r="A746" s="25"/>
      <c r="B746" s="25"/>
      <c r="C746" s="25"/>
      <c r="D746" s="25"/>
      <c r="E746" s="50"/>
      <c r="F746" s="167"/>
      <c r="G746" s="168"/>
      <c r="H746" s="169"/>
      <c r="I746" s="141"/>
      <c r="J746" s="141"/>
      <c r="K746" s="141"/>
      <c r="L746" s="25"/>
      <c r="M746" s="25"/>
      <c r="N746" s="25"/>
      <c r="O746" s="143"/>
      <c r="P746" s="143"/>
      <c r="Q746" s="143"/>
      <c r="R746" s="143"/>
      <c r="S746" s="143"/>
      <c r="T746" s="143"/>
      <c r="U746" s="143"/>
      <c r="V746" s="143"/>
      <c r="W746" s="143"/>
      <c r="X746" s="143"/>
      <c r="Y746" s="143"/>
      <c r="Z746" s="143"/>
      <c r="AA746" s="143"/>
      <c r="AB746" s="143"/>
      <c r="AC746" s="143"/>
      <c r="AD746" s="143"/>
    </row>
    <row r="747">
      <c r="A747" s="25"/>
      <c r="B747" s="25"/>
      <c r="C747" s="25"/>
      <c r="D747" s="25"/>
      <c r="E747" s="50"/>
      <c r="F747" s="167"/>
      <c r="G747" s="168"/>
      <c r="H747" s="169"/>
      <c r="I747" s="141"/>
      <c r="J747" s="141"/>
      <c r="K747" s="141"/>
      <c r="L747" s="25"/>
      <c r="M747" s="25"/>
      <c r="N747" s="25"/>
      <c r="O747" s="143"/>
      <c r="P747" s="143"/>
      <c r="Q747" s="143"/>
      <c r="R747" s="143"/>
      <c r="S747" s="143"/>
      <c r="T747" s="143"/>
      <c r="U747" s="143"/>
      <c r="V747" s="143"/>
      <c r="W747" s="143"/>
      <c r="X747" s="143"/>
      <c r="Y747" s="143"/>
      <c r="Z747" s="143"/>
      <c r="AA747" s="143"/>
      <c r="AB747" s="143"/>
      <c r="AC747" s="143"/>
      <c r="AD747" s="143"/>
    </row>
    <row r="748">
      <c r="A748" s="25"/>
      <c r="B748" s="25"/>
      <c r="C748" s="25"/>
      <c r="D748" s="25"/>
      <c r="E748" s="50"/>
      <c r="F748" s="167"/>
      <c r="G748" s="168"/>
      <c r="H748" s="169"/>
      <c r="I748" s="141"/>
      <c r="J748" s="141"/>
      <c r="K748" s="141"/>
      <c r="L748" s="25"/>
      <c r="M748" s="25"/>
      <c r="N748" s="25"/>
      <c r="O748" s="143"/>
      <c r="P748" s="143"/>
      <c r="Q748" s="143"/>
      <c r="R748" s="143"/>
      <c r="S748" s="143"/>
      <c r="T748" s="143"/>
      <c r="U748" s="143"/>
      <c r="V748" s="143"/>
      <c r="W748" s="143"/>
      <c r="X748" s="143"/>
      <c r="Y748" s="143"/>
      <c r="Z748" s="143"/>
      <c r="AA748" s="143"/>
      <c r="AB748" s="143"/>
      <c r="AC748" s="143"/>
      <c r="AD748" s="143"/>
    </row>
    <row r="749">
      <c r="A749" s="25"/>
      <c r="B749" s="25"/>
      <c r="C749" s="25"/>
      <c r="D749" s="25"/>
      <c r="E749" s="50"/>
      <c r="F749" s="167"/>
      <c r="G749" s="168"/>
      <c r="H749" s="169"/>
      <c r="I749" s="141"/>
      <c r="J749" s="141"/>
      <c r="K749" s="141"/>
      <c r="L749" s="25"/>
      <c r="M749" s="25"/>
      <c r="N749" s="25"/>
      <c r="O749" s="143"/>
      <c r="P749" s="143"/>
      <c r="Q749" s="143"/>
      <c r="R749" s="143"/>
      <c r="S749" s="143"/>
      <c r="T749" s="143"/>
      <c r="U749" s="143"/>
      <c r="V749" s="143"/>
      <c r="W749" s="143"/>
      <c r="X749" s="143"/>
      <c r="Y749" s="143"/>
      <c r="Z749" s="143"/>
      <c r="AA749" s="143"/>
      <c r="AB749" s="143"/>
      <c r="AC749" s="143"/>
      <c r="AD749" s="143"/>
    </row>
    <row r="750">
      <c r="A750" s="25"/>
      <c r="B750" s="25"/>
      <c r="C750" s="25"/>
      <c r="D750" s="25"/>
      <c r="E750" s="50"/>
      <c r="F750" s="167"/>
      <c r="G750" s="168"/>
      <c r="H750" s="169"/>
      <c r="I750" s="141"/>
      <c r="J750" s="141"/>
      <c r="K750" s="141"/>
      <c r="L750" s="25"/>
      <c r="M750" s="25"/>
      <c r="N750" s="25"/>
      <c r="O750" s="143"/>
      <c r="P750" s="143"/>
      <c r="Q750" s="143"/>
      <c r="R750" s="143"/>
      <c r="S750" s="143"/>
      <c r="T750" s="143"/>
      <c r="U750" s="143"/>
      <c r="V750" s="143"/>
      <c r="W750" s="143"/>
      <c r="X750" s="143"/>
      <c r="Y750" s="143"/>
      <c r="Z750" s="143"/>
      <c r="AA750" s="143"/>
      <c r="AB750" s="143"/>
      <c r="AC750" s="143"/>
      <c r="AD750" s="143"/>
    </row>
    <row r="751">
      <c r="A751" s="25"/>
      <c r="B751" s="25"/>
      <c r="C751" s="25"/>
      <c r="D751" s="25"/>
      <c r="E751" s="50"/>
      <c r="F751" s="167"/>
      <c r="G751" s="168"/>
      <c r="H751" s="169"/>
      <c r="I751" s="141"/>
      <c r="J751" s="141"/>
      <c r="K751" s="141"/>
      <c r="L751" s="25"/>
      <c r="M751" s="25"/>
      <c r="N751" s="25"/>
      <c r="O751" s="143"/>
      <c r="P751" s="143"/>
      <c r="Q751" s="143"/>
      <c r="R751" s="143"/>
      <c r="S751" s="143"/>
      <c r="T751" s="143"/>
      <c r="U751" s="143"/>
      <c r="V751" s="143"/>
      <c r="W751" s="143"/>
      <c r="X751" s="143"/>
      <c r="Y751" s="143"/>
      <c r="Z751" s="143"/>
      <c r="AA751" s="143"/>
      <c r="AB751" s="143"/>
      <c r="AC751" s="143"/>
      <c r="AD751" s="143"/>
    </row>
    <row r="752">
      <c r="A752" s="25"/>
      <c r="B752" s="25"/>
      <c r="C752" s="25"/>
      <c r="D752" s="25"/>
      <c r="E752" s="50"/>
      <c r="F752" s="167"/>
      <c r="G752" s="168"/>
      <c r="H752" s="169"/>
      <c r="I752" s="141"/>
      <c r="J752" s="141"/>
      <c r="K752" s="141"/>
      <c r="L752" s="25"/>
      <c r="M752" s="25"/>
      <c r="N752" s="25"/>
      <c r="O752" s="143"/>
      <c r="P752" s="143"/>
      <c r="Q752" s="143"/>
      <c r="R752" s="143"/>
      <c r="S752" s="143"/>
      <c r="T752" s="143"/>
      <c r="U752" s="143"/>
      <c r="V752" s="143"/>
      <c r="W752" s="143"/>
      <c r="X752" s="143"/>
      <c r="Y752" s="143"/>
      <c r="Z752" s="143"/>
      <c r="AA752" s="143"/>
      <c r="AB752" s="143"/>
      <c r="AC752" s="143"/>
      <c r="AD752" s="143"/>
    </row>
    <row r="753">
      <c r="A753" s="25"/>
      <c r="B753" s="25"/>
      <c r="C753" s="25"/>
      <c r="D753" s="25"/>
      <c r="E753" s="50"/>
      <c r="F753" s="167"/>
      <c r="G753" s="168"/>
      <c r="H753" s="169"/>
      <c r="I753" s="141"/>
      <c r="J753" s="141"/>
      <c r="K753" s="141"/>
      <c r="L753" s="25"/>
      <c r="M753" s="25"/>
      <c r="N753" s="25"/>
      <c r="O753" s="143"/>
      <c r="P753" s="143"/>
      <c r="Q753" s="143"/>
      <c r="R753" s="143"/>
      <c r="S753" s="143"/>
      <c r="T753" s="143"/>
      <c r="U753" s="143"/>
      <c r="V753" s="143"/>
      <c r="W753" s="143"/>
      <c r="X753" s="143"/>
      <c r="Y753" s="143"/>
      <c r="Z753" s="143"/>
      <c r="AA753" s="143"/>
      <c r="AB753" s="143"/>
      <c r="AC753" s="143"/>
      <c r="AD753" s="143"/>
    </row>
    <row r="754">
      <c r="A754" s="25"/>
      <c r="B754" s="25"/>
      <c r="C754" s="25"/>
      <c r="D754" s="25"/>
      <c r="E754" s="50"/>
      <c r="F754" s="167"/>
      <c r="G754" s="168"/>
      <c r="H754" s="169"/>
      <c r="I754" s="141"/>
      <c r="J754" s="141"/>
      <c r="K754" s="141"/>
      <c r="L754" s="25"/>
      <c r="M754" s="25"/>
      <c r="N754" s="25"/>
      <c r="O754" s="143"/>
      <c r="P754" s="143"/>
      <c r="Q754" s="143"/>
      <c r="R754" s="143"/>
      <c r="S754" s="143"/>
      <c r="T754" s="143"/>
      <c r="U754" s="143"/>
      <c r="V754" s="143"/>
      <c r="W754" s="143"/>
      <c r="X754" s="143"/>
      <c r="Y754" s="143"/>
      <c r="Z754" s="143"/>
      <c r="AA754" s="143"/>
      <c r="AB754" s="143"/>
      <c r="AC754" s="143"/>
      <c r="AD754" s="143"/>
    </row>
    <row r="755">
      <c r="A755" s="25"/>
      <c r="B755" s="25"/>
      <c r="C755" s="25"/>
      <c r="D755" s="25"/>
      <c r="E755" s="50"/>
      <c r="F755" s="167"/>
      <c r="G755" s="168"/>
      <c r="H755" s="169"/>
      <c r="I755" s="141"/>
      <c r="J755" s="141"/>
      <c r="K755" s="141"/>
      <c r="L755" s="25"/>
      <c r="M755" s="25"/>
      <c r="N755" s="25"/>
      <c r="O755" s="143"/>
      <c r="P755" s="143"/>
      <c r="Q755" s="143"/>
      <c r="R755" s="143"/>
      <c r="S755" s="143"/>
      <c r="T755" s="143"/>
      <c r="U755" s="143"/>
      <c r="V755" s="143"/>
      <c r="W755" s="143"/>
      <c r="X755" s="143"/>
      <c r="Y755" s="143"/>
      <c r="Z755" s="143"/>
      <c r="AA755" s="143"/>
      <c r="AB755" s="143"/>
      <c r="AC755" s="143"/>
      <c r="AD755" s="143"/>
    </row>
    <row r="756">
      <c r="A756" s="25"/>
      <c r="B756" s="25"/>
      <c r="C756" s="25"/>
      <c r="D756" s="25"/>
      <c r="E756" s="50"/>
      <c r="F756" s="167"/>
      <c r="G756" s="168"/>
      <c r="H756" s="169"/>
      <c r="I756" s="141"/>
      <c r="J756" s="141"/>
      <c r="K756" s="141"/>
      <c r="L756" s="25"/>
      <c r="M756" s="25"/>
      <c r="N756" s="25"/>
      <c r="O756" s="143"/>
      <c r="P756" s="143"/>
      <c r="Q756" s="143"/>
      <c r="R756" s="143"/>
      <c r="S756" s="143"/>
      <c r="T756" s="143"/>
      <c r="U756" s="143"/>
      <c r="V756" s="143"/>
      <c r="W756" s="143"/>
      <c r="X756" s="143"/>
      <c r="Y756" s="143"/>
      <c r="Z756" s="143"/>
      <c r="AA756" s="143"/>
      <c r="AB756" s="143"/>
      <c r="AC756" s="143"/>
      <c r="AD756" s="143"/>
    </row>
    <row r="757">
      <c r="A757" s="25"/>
      <c r="B757" s="25"/>
      <c r="C757" s="25"/>
      <c r="D757" s="25"/>
      <c r="E757" s="50"/>
      <c r="F757" s="167"/>
      <c r="G757" s="168"/>
      <c r="H757" s="169"/>
      <c r="I757" s="141"/>
      <c r="J757" s="141"/>
      <c r="K757" s="141"/>
      <c r="L757" s="25"/>
      <c r="M757" s="25"/>
      <c r="N757" s="25"/>
      <c r="O757" s="143"/>
      <c r="P757" s="143"/>
      <c r="Q757" s="143"/>
      <c r="R757" s="143"/>
      <c r="S757" s="143"/>
      <c r="T757" s="143"/>
      <c r="U757" s="143"/>
      <c r="V757" s="143"/>
      <c r="W757" s="143"/>
      <c r="X757" s="143"/>
      <c r="Y757" s="143"/>
      <c r="Z757" s="143"/>
      <c r="AA757" s="143"/>
      <c r="AB757" s="143"/>
      <c r="AC757" s="143"/>
      <c r="AD757" s="143"/>
    </row>
    <row r="758">
      <c r="A758" s="25"/>
      <c r="B758" s="25"/>
      <c r="C758" s="25"/>
      <c r="D758" s="25"/>
      <c r="E758" s="50"/>
      <c r="F758" s="167"/>
      <c r="G758" s="168"/>
      <c r="H758" s="169"/>
      <c r="I758" s="141"/>
      <c r="J758" s="141"/>
      <c r="K758" s="141"/>
      <c r="L758" s="25"/>
      <c r="M758" s="25"/>
      <c r="N758" s="25"/>
      <c r="O758" s="143"/>
      <c r="P758" s="143"/>
      <c r="Q758" s="143"/>
      <c r="R758" s="143"/>
      <c r="S758" s="143"/>
      <c r="T758" s="143"/>
      <c r="U758" s="143"/>
      <c r="V758" s="143"/>
      <c r="W758" s="143"/>
      <c r="X758" s="143"/>
      <c r="Y758" s="143"/>
      <c r="Z758" s="143"/>
      <c r="AA758" s="143"/>
      <c r="AB758" s="143"/>
      <c r="AC758" s="143"/>
      <c r="AD758" s="143"/>
    </row>
    <row r="759">
      <c r="A759" s="25"/>
      <c r="B759" s="25"/>
      <c r="C759" s="25"/>
      <c r="D759" s="25"/>
      <c r="E759" s="50"/>
      <c r="F759" s="167"/>
      <c r="G759" s="168"/>
      <c r="H759" s="169"/>
      <c r="I759" s="141"/>
      <c r="J759" s="141"/>
      <c r="K759" s="141"/>
      <c r="L759" s="25"/>
      <c r="M759" s="25"/>
      <c r="N759" s="25"/>
      <c r="O759" s="143"/>
      <c r="P759" s="143"/>
      <c r="Q759" s="143"/>
      <c r="R759" s="143"/>
      <c r="S759" s="143"/>
      <c r="T759" s="143"/>
      <c r="U759" s="143"/>
      <c r="V759" s="143"/>
      <c r="W759" s="143"/>
      <c r="X759" s="143"/>
      <c r="Y759" s="143"/>
      <c r="Z759" s="143"/>
      <c r="AA759" s="143"/>
      <c r="AB759" s="143"/>
      <c r="AC759" s="143"/>
      <c r="AD759" s="143"/>
    </row>
    <row r="760">
      <c r="A760" s="25"/>
      <c r="B760" s="25"/>
      <c r="C760" s="25"/>
      <c r="D760" s="25"/>
      <c r="E760" s="50"/>
      <c r="F760" s="167"/>
      <c r="G760" s="168"/>
      <c r="H760" s="169"/>
      <c r="I760" s="141"/>
      <c r="J760" s="141"/>
      <c r="K760" s="141"/>
      <c r="L760" s="25"/>
      <c r="M760" s="25"/>
      <c r="N760" s="25"/>
      <c r="O760" s="143"/>
      <c r="P760" s="143"/>
      <c r="Q760" s="143"/>
      <c r="R760" s="143"/>
      <c r="S760" s="143"/>
      <c r="T760" s="143"/>
      <c r="U760" s="143"/>
      <c r="V760" s="143"/>
      <c r="W760" s="143"/>
      <c r="X760" s="143"/>
      <c r="Y760" s="143"/>
      <c r="Z760" s="143"/>
      <c r="AA760" s="143"/>
      <c r="AB760" s="143"/>
      <c r="AC760" s="143"/>
      <c r="AD760" s="143"/>
    </row>
    <row r="761">
      <c r="A761" s="25"/>
      <c r="B761" s="25"/>
      <c r="C761" s="25"/>
      <c r="D761" s="25"/>
      <c r="E761" s="50"/>
      <c r="F761" s="167"/>
      <c r="G761" s="168"/>
      <c r="H761" s="169"/>
      <c r="I761" s="141"/>
      <c r="J761" s="141"/>
      <c r="K761" s="141"/>
      <c r="L761" s="25"/>
      <c r="M761" s="25"/>
      <c r="N761" s="25"/>
      <c r="O761" s="143"/>
      <c r="P761" s="143"/>
      <c r="Q761" s="143"/>
      <c r="R761" s="143"/>
      <c r="S761" s="143"/>
      <c r="T761" s="143"/>
      <c r="U761" s="143"/>
      <c r="V761" s="143"/>
      <c r="W761" s="143"/>
      <c r="X761" s="143"/>
      <c r="Y761" s="143"/>
      <c r="Z761" s="143"/>
      <c r="AA761" s="143"/>
      <c r="AB761" s="143"/>
      <c r="AC761" s="143"/>
      <c r="AD761" s="143"/>
    </row>
    <row r="762">
      <c r="A762" s="25"/>
      <c r="B762" s="25"/>
      <c r="C762" s="25"/>
      <c r="D762" s="25"/>
      <c r="E762" s="50"/>
      <c r="F762" s="167"/>
      <c r="G762" s="168"/>
      <c r="H762" s="169"/>
      <c r="I762" s="141"/>
      <c r="J762" s="141"/>
      <c r="K762" s="141"/>
      <c r="L762" s="25"/>
      <c r="M762" s="25"/>
      <c r="N762" s="25"/>
      <c r="O762" s="143"/>
      <c r="P762" s="143"/>
      <c r="Q762" s="143"/>
      <c r="R762" s="143"/>
      <c r="S762" s="143"/>
      <c r="T762" s="143"/>
      <c r="U762" s="143"/>
      <c r="V762" s="143"/>
      <c r="W762" s="143"/>
      <c r="X762" s="143"/>
      <c r="Y762" s="143"/>
      <c r="Z762" s="143"/>
      <c r="AA762" s="143"/>
      <c r="AB762" s="143"/>
      <c r="AC762" s="143"/>
      <c r="AD762" s="143"/>
    </row>
    <row r="763">
      <c r="A763" s="25"/>
      <c r="B763" s="25"/>
      <c r="C763" s="25"/>
      <c r="D763" s="25"/>
      <c r="E763" s="50"/>
      <c r="F763" s="167"/>
      <c r="G763" s="168"/>
      <c r="H763" s="169"/>
      <c r="I763" s="141"/>
      <c r="J763" s="141"/>
      <c r="K763" s="141"/>
      <c r="L763" s="25"/>
      <c r="M763" s="25"/>
      <c r="N763" s="25"/>
      <c r="O763" s="143"/>
      <c r="P763" s="143"/>
      <c r="Q763" s="143"/>
      <c r="R763" s="143"/>
      <c r="S763" s="143"/>
      <c r="T763" s="143"/>
      <c r="U763" s="143"/>
      <c r="V763" s="143"/>
      <c r="W763" s="143"/>
      <c r="X763" s="143"/>
      <c r="Y763" s="143"/>
      <c r="Z763" s="143"/>
      <c r="AA763" s="143"/>
      <c r="AB763" s="143"/>
      <c r="AC763" s="143"/>
      <c r="AD763" s="143"/>
    </row>
    <row r="764">
      <c r="A764" s="25"/>
      <c r="B764" s="25"/>
      <c r="C764" s="25"/>
      <c r="D764" s="25"/>
      <c r="E764" s="50"/>
      <c r="F764" s="167"/>
      <c r="G764" s="168"/>
      <c r="H764" s="169"/>
      <c r="I764" s="141"/>
      <c r="J764" s="141"/>
      <c r="K764" s="141"/>
      <c r="L764" s="25"/>
      <c r="M764" s="25"/>
      <c r="N764" s="25"/>
      <c r="O764" s="143"/>
      <c r="P764" s="143"/>
      <c r="Q764" s="143"/>
      <c r="R764" s="143"/>
      <c r="S764" s="143"/>
      <c r="T764" s="143"/>
      <c r="U764" s="143"/>
      <c r="V764" s="143"/>
      <c r="W764" s="143"/>
      <c r="X764" s="143"/>
      <c r="Y764" s="143"/>
      <c r="Z764" s="143"/>
      <c r="AA764" s="143"/>
      <c r="AB764" s="143"/>
      <c r="AC764" s="143"/>
      <c r="AD764" s="143"/>
    </row>
    <row r="765">
      <c r="A765" s="25"/>
      <c r="B765" s="25"/>
      <c r="C765" s="25"/>
      <c r="D765" s="25"/>
      <c r="E765" s="50"/>
      <c r="F765" s="167"/>
      <c r="G765" s="168"/>
      <c r="H765" s="169"/>
      <c r="I765" s="141"/>
      <c r="J765" s="141"/>
      <c r="K765" s="141"/>
      <c r="L765" s="25"/>
      <c r="M765" s="25"/>
      <c r="N765" s="25"/>
      <c r="O765" s="143"/>
      <c r="P765" s="143"/>
      <c r="Q765" s="143"/>
      <c r="R765" s="143"/>
      <c r="S765" s="143"/>
      <c r="T765" s="143"/>
      <c r="U765" s="143"/>
      <c r="V765" s="143"/>
      <c r="W765" s="143"/>
      <c r="X765" s="143"/>
      <c r="Y765" s="143"/>
      <c r="Z765" s="143"/>
      <c r="AA765" s="143"/>
      <c r="AB765" s="143"/>
      <c r="AC765" s="143"/>
      <c r="AD765" s="143"/>
    </row>
    <row r="766">
      <c r="A766" s="25"/>
      <c r="B766" s="25"/>
      <c r="C766" s="25"/>
      <c r="D766" s="25"/>
      <c r="E766" s="50"/>
      <c r="F766" s="167"/>
      <c r="G766" s="168"/>
      <c r="H766" s="169"/>
      <c r="I766" s="141"/>
      <c r="J766" s="141"/>
      <c r="K766" s="141"/>
      <c r="L766" s="25"/>
      <c r="M766" s="25"/>
      <c r="N766" s="25"/>
      <c r="O766" s="143"/>
      <c r="P766" s="143"/>
      <c r="Q766" s="143"/>
      <c r="R766" s="143"/>
      <c r="S766" s="143"/>
      <c r="T766" s="143"/>
      <c r="U766" s="143"/>
      <c r="V766" s="143"/>
      <c r="W766" s="143"/>
      <c r="X766" s="143"/>
      <c r="Y766" s="143"/>
      <c r="Z766" s="143"/>
      <c r="AA766" s="143"/>
      <c r="AB766" s="143"/>
      <c r="AC766" s="143"/>
      <c r="AD766" s="143"/>
    </row>
    <row r="767">
      <c r="A767" s="25"/>
      <c r="B767" s="25"/>
      <c r="C767" s="25"/>
      <c r="D767" s="25"/>
      <c r="E767" s="50"/>
      <c r="F767" s="167"/>
      <c r="G767" s="168"/>
      <c r="H767" s="169"/>
      <c r="I767" s="141"/>
      <c r="J767" s="141"/>
      <c r="K767" s="141"/>
      <c r="L767" s="25"/>
      <c r="M767" s="25"/>
      <c r="N767" s="25"/>
      <c r="O767" s="143"/>
      <c r="P767" s="143"/>
      <c r="Q767" s="143"/>
      <c r="R767" s="143"/>
      <c r="S767" s="143"/>
      <c r="T767" s="143"/>
      <c r="U767" s="143"/>
      <c r="V767" s="143"/>
      <c r="W767" s="143"/>
      <c r="X767" s="143"/>
      <c r="Y767" s="143"/>
      <c r="Z767" s="143"/>
      <c r="AA767" s="143"/>
      <c r="AB767" s="143"/>
      <c r="AC767" s="143"/>
      <c r="AD767" s="143"/>
    </row>
    <row r="768">
      <c r="A768" s="25"/>
      <c r="B768" s="25"/>
      <c r="C768" s="25"/>
      <c r="D768" s="25"/>
      <c r="E768" s="50"/>
      <c r="F768" s="167"/>
      <c r="G768" s="168"/>
      <c r="H768" s="169"/>
      <c r="I768" s="141"/>
      <c r="J768" s="141"/>
      <c r="K768" s="141"/>
      <c r="L768" s="25"/>
      <c r="M768" s="25"/>
      <c r="N768" s="25"/>
      <c r="O768" s="143"/>
      <c r="P768" s="143"/>
      <c r="Q768" s="143"/>
      <c r="R768" s="143"/>
      <c r="S768" s="143"/>
      <c r="T768" s="143"/>
      <c r="U768" s="143"/>
      <c r="V768" s="143"/>
      <c r="W768" s="143"/>
      <c r="X768" s="143"/>
      <c r="Y768" s="143"/>
      <c r="Z768" s="143"/>
      <c r="AA768" s="143"/>
      <c r="AB768" s="143"/>
      <c r="AC768" s="143"/>
      <c r="AD768" s="143"/>
    </row>
    <row r="769">
      <c r="A769" s="25"/>
      <c r="B769" s="25"/>
      <c r="C769" s="25"/>
      <c r="D769" s="25"/>
      <c r="E769" s="50"/>
      <c r="F769" s="167"/>
      <c r="G769" s="168"/>
      <c r="H769" s="169"/>
      <c r="I769" s="141"/>
      <c r="J769" s="141"/>
      <c r="K769" s="141"/>
      <c r="L769" s="25"/>
      <c r="M769" s="25"/>
      <c r="N769" s="25"/>
      <c r="O769" s="143"/>
      <c r="P769" s="143"/>
      <c r="Q769" s="143"/>
      <c r="R769" s="143"/>
      <c r="S769" s="143"/>
      <c r="T769" s="143"/>
      <c r="U769" s="143"/>
      <c r="V769" s="143"/>
      <c r="W769" s="143"/>
      <c r="X769" s="143"/>
      <c r="Y769" s="143"/>
      <c r="Z769" s="143"/>
      <c r="AA769" s="143"/>
      <c r="AB769" s="143"/>
      <c r="AC769" s="143"/>
      <c r="AD769" s="143"/>
    </row>
    <row r="770">
      <c r="A770" s="25"/>
      <c r="B770" s="25"/>
      <c r="C770" s="25"/>
      <c r="D770" s="25"/>
      <c r="E770" s="50"/>
      <c r="F770" s="167"/>
      <c r="G770" s="168"/>
      <c r="H770" s="169"/>
      <c r="I770" s="141"/>
      <c r="J770" s="141"/>
      <c r="K770" s="141"/>
      <c r="L770" s="25"/>
      <c r="M770" s="25"/>
      <c r="N770" s="25"/>
      <c r="O770" s="143"/>
      <c r="P770" s="143"/>
      <c r="Q770" s="143"/>
      <c r="R770" s="143"/>
      <c r="S770" s="143"/>
      <c r="T770" s="143"/>
      <c r="U770" s="143"/>
      <c r="V770" s="143"/>
      <c r="W770" s="143"/>
      <c r="X770" s="143"/>
      <c r="Y770" s="143"/>
      <c r="Z770" s="143"/>
      <c r="AA770" s="143"/>
      <c r="AB770" s="143"/>
      <c r="AC770" s="143"/>
      <c r="AD770" s="143"/>
    </row>
    <row r="771">
      <c r="A771" s="25"/>
      <c r="B771" s="25"/>
      <c r="C771" s="25"/>
      <c r="D771" s="25"/>
      <c r="E771" s="50"/>
      <c r="F771" s="167"/>
      <c r="G771" s="168"/>
      <c r="H771" s="169"/>
      <c r="I771" s="141"/>
      <c r="J771" s="141"/>
      <c r="K771" s="141"/>
      <c r="L771" s="25"/>
      <c r="M771" s="25"/>
      <c r="N771" s="25"/>
      <c r="O771" s="143"/>
      <c r="P771" s="143"/>
      <c r="Q771" s="143"/>
      <c r="R771" s="143"/>
      <c r="S771" s="143"/>
      <c r="T771" s="143"/>
      <c r="U771" s="143"/>
      <c r="V771" s="143"/>
      <c r="W771" s="143"/>
      <c r="X771" s="143"/>
      <c r="Y771" s="143"/>
      <c r="Z771" s="143"/>
      <c r="AA771" s="143"/>
      <c r="AB771" s="143"/>
      <c r="AC771" s="143"/>
      <c r="AD771" s="143"/>
    </row>
    <row r="772">
      <c r="A772" s="25"/>
      <c r="B772" s="25"/>
      <c r="C772" s="25"/>
      <c r="D772" s="25"/>
      <c r="E772" s="50"/>
      <c r="F772" s="167"/>
      <c r="G772" s="168"/>
      <c r="H772" s="169"/>
      <c r="I772" s="141"/>
      <c r="J772" s="141"/>
      <c r="K772" s="141"/>
      <c r="L772" s="25"/>
      <c r="M772" s="25"/>
      <c r="N772" s="25"/>
      <c r="O772" s="143"/>
      <c r="P772" s="143"/>
      <c r="Q772" s="143"/>
      <c r="R772" s="143"/>
      <c r="S772" s="143"/>
      <c r="T772" s="143"/>
      <c r="U772" s="143"/>
      <c r="V772" s="143"/>
      <c r="W772" s="143"/>
      <c r="X772" s="143"/>
      <c r="Y772" s="143"/>
      <c r="Z772" s="143"/>
      <c r="AA772" s="143"/>
      <c r="AB772" s="143"/>
      <c r="AC772" s="143"/>
      <c r="AD772" s="143"/>
    </row>
    <row r="773">
      <c r="A773" s="25"/>
      <c r="B773" s="25"/>
      <c r="C773" s="25"/>
      <c r="D773" s="25"/>
      <c r="E773" s="50"/>
      <c r="F773" s="167"/>
      <c r="G773" s="168"/>
      <c r="H773" s="169"/>
      <c r="I773" s="141"/>
      <c r="J773" s="141"/>
      <c r="K773" s="141"/>
      <c r="L773" s="25"/>
      <c r="M773" s="25"/>
      <c r="N773" s="25"/>
      <c r="O773" s="143"/>
      <c r="P773" s="143"/>
      <c r="Q773" s="143"/>
      <c r="R773" s="143"/>
      <c r="S773" s="143"/>
      <c r="T773" s="143"/>
      <c r="U773" s="143"/>
      <c r="V773" s="143"/>
      <c r="W773" s="143"/>
      <c r="X773" s="143"/>
      <c r="Y773" s="143"/>
      <c r="Z773" s="143"/>
      <c r="AA773" s="143"/>
      <c r="AB773" s="143"/>
      <c r="AC773" s="143"/>
      <c r="AD773" s="143"/>
    </row>
    <row r="774">
      <c r="A774" s="25"/>
      <c r="B774" s="25"/>
      <c r="C774" s="25"/>
      <c r="D774" s="25"/>
      <c r="E774" s="50"/>
      <c r="F774" s="167"/>
      <c r="G774" s="168"/>
      <c r="H774" s="169"/>
      <c r="I774" s="141"/>
      <c r="J774" s="141"/>
      <c r="K774" s="141"/>
      <c r="L774" s="25"/>
      <c r="M774" s="25"/>
      <c r="N774" s="25"/>
      <c r="O774" s="143"/>
      <c r="P774" s="143"/>
      <c r="Q774" s="143"/>
      <c r="R774" s="143"/>
      <c r="S774" s="143"/>
      <c r="T774" s="143"/>
      <c r="U774" s="143"/>
      <c r="V774" s="143"/>
      <c r="W774" s="143"/>
      <c r="X774" s="143"/>
      <c r="Y774" s="143"/>
      <c r="Z774" s="143"/>
      <c r="AA774" s="143"/>
      <c r="AB774" s="143"/>
      <c r="AC774" s="143"/>
      <c r="AD774" s="143"/>
    </row>
    <row r="775">
      <c r="A775" s="25"/>
      <c r="B775" s="25"/>
      <c r="C775" s="25"/>
      <c r="D775" s="25"/>
      <c r="E775" s="50"/>
      <c r="F775" s="167"/>
      <c r="G775" s="168"/>
      <c r="H775" s="169"/>
      <c r="I775" s="141"/>
      <c r="J775" s="141"/>
      <c r="K775" s="141"/>
      <c r="L775" s="25"/>
      <c r="M775" s="25"/>
      <c r="N775" s="25"/>
      <c r="O775" s="143"/>
      <c r="P775" s="143"/>
      <c r="Q775" s="143"/>
      <c r="R775" s="143"/>
      <c r="S775" s="143"/>
      <c r="T775" s="143"/>
      <c r="U775" s="143"/>
      <c r="V775" s="143"/>
      <c r="W775" s="143"/>
      <c r="X775" s="143"/>
      <c r="Y775" s="143"/>
      <c r="Z775" s="143"/>
      <c r="AA775" s="143"/>
      <c r="AB775" s="143"/>
      <c r="AC775" s="143"/>
      <c r="AD775" s="143"/>
    </row>
    <row r="776">
      <c r="A776" s="25"/>
      <c r="B776" s="25"/>
      <c r="C776" s="25"/>
      <c r="D776" s="25"/>
      <c r="E776" s="50"/>
      <c r="F776" s="167"/>
      <c r="G776" s="168"/>
      <c r="H776" s="169"/>
      <c r="I776" s="141"/>
      <c r="J776" s="141"/>
      <c r="K776" s="141"/>
      <c r="L776" s="25"/>
      <c r="M776" s="25"/>
      <c r="N776" s="25"/>
      <c r="O776" s="143"/>
      <c r="P776" s="143"/>
      <c r="Q776" s="143"/>
      <c r="R776" s="143"/>
      <c r="S776" s="143"/>
      <c r="T776" s="143"/>
      <c r="U776" s="143"/>
      <c r="V776" s="143"/>
      <c r="W776" s="143"/>
      <c r="X776" s="143"/>
      <c r="Y776" s="143"/>
      <c r="Z776" s="143"/>
      <c r="AA776" s="143"/>
      <c r="AB776" s="143"/>
      <c r="AC776" s="143"/>
      <c r="AD776" s="143"/>
    </row>
    <row r="777">
      <c r="A777" s="25"/>
      <c r="B777" s="25"/>
      <c r="C777" s="25"/>
      <c r="D777" s="25"/>
      <c r="E777" s="50"/>
      <c r="F777" s="167"/>
      <c r="G777" s="168"/>
      <c r="H777" s="169"/>
      <c r="I777" s="141"/>
      <c r="J777" s="141"/>
      <c r="K777" s="141"/>
      <c r="L777" s="25"/>
      <c r="M777" s="25"/>
      <c r="N777" s="25"/>
      <c r="O777" s="143"/>
      <c r="P777" s="143"/>
      <c r="Q777" s="143"/>
      <c r="R777" s="143"/>
      <c r="S777" s="143"/>
      <c r="T777" s="143"/>
      <c r="U777" s="143"/>
      <c r="V777" s="143"/>
      <c r="W777" s="143"/>
      <c r="X777" s="143"/>
      <c r="Y777" s="143"/>
      <c r="Z777" s="143"/>
      <c r="AA777" s="143"/>
      <c r="AB777" s="143"/>
      <c r="AC777" s="143"/>
      <c r="AD777" s="143"/>
    </row>
    <row r="778">
      <c r="A778" s="25"/>
      <c r="B778" s="25"/>
      <c r="C778" s="25"/>
      <c r="D778" s="25"/>
      <c r="E778" s="50"/>
      <c r="F778" s="167"/>
      <c r="G778" s="168"/>
      <c r="H778" s="169"/>
      <c r="I778" s="141"/>
      <c r="J778" s="141"/>
      <c r="K778" s="141"/>
      <c r="L778" s="25"/>
      <c r="M778" s="25"/>
      <c r="N778" s="25"/>
      <c r="O778" s="143"/>
      <c r="P778" s="143"/>
      <c r="Q778" s="143"/>
      <c r="R778" s="143"/>
      <c r="S778" s="143"/>
      <c r="T778" s="143"/>
      <c r="U778" s="143"/>
      <c r="V778" s="143"/>
      <c r="W778" s="143"/>
      <c r="X778" s="143"/>
      <c r="Y778" s="143"/>
      <c r="Z778" s="143"/>
      <c r="AA778" s="143"/>
      <c r="AB778" s="143"/>
      <c r="AC778" s="143"/>
      <c r="AD778" s="143"/>
    </row>
    <row r="779">
      <c r="A779" s="25"/>
      <c r="B779" s="25"/>
      <c r="C779" s="25"/>
      <c r="D779" s="25"/>
      <c r="E779" s="50"/>
      <c r="F779" s="167"/>
      <c r="G779" s="168"/>
      <c r="H779" s="169"/>
      <c r="I779" s="141"/>
      <c r="J779" s="141"/>
      <c r="K779" s="141"/>
      <c r="L779" s="25"/>
      <c r="M779" s="25"/>
      <c r="N779" s="25"/>
      <c r="O779" s="143"/>
      <c r="P779" s="143"/>
      <c r="Q779" s="143"/>
      <c r="R779" s="143"/>
      <c r="S779" s="143"/>
      <c r="T779" s="143"/>
      <c r="U779" s="143"/>
      <c r="V779" s="143"/>
      <c r="W779" s="143"/>
      <c r="X779" s="143"/>
      <c r="Y779" s="143"/>
      <c r="Z779" s="143"/>
      <c r="AA779" s="143"/>
      <c r="AB779" s="143"/>
      <c r="AC779" s="143"/>
      <c r="AD779" s="143"/>
    </row>
    <row r="780">
      <c r="A780" s="25"/>
      <c r="B780" s="25"/>
      <c r="C780" s="25"/>
      <c r="D780" s="25"/>
      <c r="E780" s="50"/>
      <c r="F780" s="167"/>
      <c r="G780" s="168"/>
      <c r="H780" s="169"/>
      <c r="I780" s="141"/>
      <c r="J780" s="141"/>
      <c r="K780" s="141"/>
      <c r="L780" s="25"/>
      <c r="M780" s="25"/>
      <c r="N780" s="25"/>
      <c r="O780" s="143"/>
      <c r="P780" s="143"/>
      <c r="Q780" s="143"/>
      <c r="R780" s="143"/>
      <c r="S780" s="143"/>
      <c r="T780" s="143"/>
      <c r="U780" s="143"/>
      <c r="V780" s="143"/>
      <c r="W780" s="143"/>
      <c r="X780" s="143"/>
      <c r="Y780" s="143"/>
      <c r="Z780" s="143"/>
      <c r="AA780" s="143"/>
      <c r="AB780" s="143"/>
      <c r="AC780" s="143"/>
      <c r="AD780" s="143"/>
    </row>
    <row r="781">
      <c r="A781" s="25"/>
      <c r="B781" s="25"/>
      <c r="C781" s="25"/>
      <c r="D781" s="25"/>
      <c r="E781" s="50"/>
      <c r="F781" s="167"/>
      <c r="G781" s="168"/>
      <c r="H781" s="169"/>
      <c r="I781" s="141"/>
      <c r="J781" s="141"/>
      <c r="K781" s="141"/>
      <c r="L781" s="25"/>
      <c r="M781" s="25"/>
      <c r="N781" s="25"/>
      <c r="O781" s="143"/>
      <c r="P781" s="143"/>
      <c r="Q781" s="143"/>
      <c r="R781" s="143"/>
      <c r="S781" s="143"/>
      <c r="T781" s="143"/>
      <c r="U781" s="143"/>
      <c r="V781" s="143"/>
      <c r="W781" s="143"/>
      <c r="X781" s="143"/>
      <c r="Y781" s="143"/>
      <c r="Z781" s="143"/>
      <c r="AA781" s="143"/>
      <c r="AB781" s="143"/>
      <c r="AC781" s="143"/>
      <c r="AD781" s="143"/>
    </row>
    <row r="782">
      <c r="A782" s="25"/>
      <c r="B782" s="25"/>
      <c r="C782" s="25"/>
      <c r="D782" s="25"/>
      <c r="E782" s="50"/>
      <c r="F782" s="167"/>
      <c r="G782" s="168"/>
      <c r="H782" s="169"/>
      <c r="I782" s="141"/>
      <c r="J782" s="141"/>
      <c r="K782" s="141"/>
      <c r="L782" s="25"/>
      <c r="M782" s="25"/>
      <c r="N782" s="25"/>
      <c r="O782" s="143"/>
      <c r="P782" s="143"/>
      <c r="Q782" s="143"/>
      <c r="R782" s="143"/>
      <c r="S782" s="143"/>
      <c r="T782" s="143"/>
      <c r="U782" s="143"/>
      <c r="V782" s="143"/>
      <c r="W782" s="143"/>
      <c r="X782" s="143"/>
      <c r="Y782" s="143"/>
      <c r="Z782" s="143"/>
      <c r="AA782" s="143"/>
      <c r="AB782" s="143"/>
      <c r="AC782" s="143"/>
      <c r="AD782" s="143"/>
    </row>
    <row r="783">
      <c r="A783" s="25"/>
      <c r="B783" s="25"/>
      <c r="C783" s="25"/>
      <c r="D783" s="25"/>
      <c r="E783" s="50"/>
      <c r="F783" s="167"/>
      <c r="G783" s="168"/>
      <c r="H783" s="169"/>
      <c r="I783" s="141"/>
      <c r="J783" s="141"/>
      <c r="K783" s="141"/>
      <c r="L783" s="25"/>
      <c r="M783" s="25"/>
      <c r="N783" s="25"/>
      <c r="O783" s="143"/>
      <c r="P783" s="143"/>
      <c r="Q783" s="143"/>
      <c r="R783" s="143"/>
      <c r="S783" s="143"/>
      <c r="T783" s="143"/>
      <c r="U783" s="143"/>
      <c r="V783" s="143"/>
      <c r="W783" s="143"/>
      <c r="X783" s="143"/>
      <c r="Y783" s="143"/>
      <c r="Z783" s="143"/>
      <c r="AA783" s="143"/>
      <c r="AB783" s="143"/>
      <c r="AC783" s="143"/>
      <c r="AD783" s="143"/>
    </row>
    <row r="784">
      <c r="A784" s="25"/>
      <c r="B784" s="25"/>
      <c r="C784" s="25"/>
      <c r="D784" s="25"/>
      <c r="E784" s="50"/>
      <c r="F784" s="167"/>
      <c r="G784" s="168"/>
      <c r="H784" s="169"/>
      <c r="I784" s="141"/>
      <c r="J784" s="141"/>
      <c r="K784" s="141"/>
      <c r="L784" s="25"/>
      <c r="M784" s="25"/>
      <c r="N784" s="25"/>
      <c r="O784" s="143"/>
      <c r="P784" s="143"/>
      <c r="Q784" s="143"/>
      <c r="R784" s="143"/>
      <c r="S784" s="143"/>
      <c r="T784" s="143"/>
      <c r="U784" s="143"/>
      <c r="V784" s="143"/>
      <c r="W784" s="143"/>
      <c r="X784" s="143"/>
      <c r="Y784" s="143"/>
      <c r="Z784" s="143"/>
      <c r="AA784" s="143"/>
      <c r="AB784" s="143"/>
      <c r="AC784" s="143"/>
      <c r="AD784" s="143"/>
    </row>
    <row r="785">
      <c r="A785" s="25"/>
      <c r="B785" s="25"/>
      <c r="C785" s="25"/>
      <c r="D785" s="25"/>
      <c r="E785" s="50"/>
      <c r="F785" s="167"/>
      <c r="G785" s="168"/>
      <c r="H785" s="169"/>
      <c r="I785" s="141"/>
      <c r="J785" s="141"/>
      <c r="K785" s="141"/>
      <c r="L785" s="25"/>
      <c r="M785" s="25"/>
      <c r="N785" s="25"/>
      <c r="O785" s="143"/>
      <c r="P785" s="143"/>
      <c r="Q785" s="143"/>
      <c r="R785" s="143"/>
      <c r="S785" s="143"/>
      <c r="T785" s="143"/>
      <c r="U785" s="143"/>
      <c r="V785" s="143"/>
      <c r="W785" s="143"/>
      <c r="X785" s="143"/>
      <c r="Y785" s="143"/>
      <c r="Z785" s="143"/>
      <c r="AA785" s="143"/>
      <c r="AB785" s="143"/>
      <c r="AC785" s="143"/>
      <c r="AD785" s="143"/>
    </row>
    <row r="786">
      <c r="A786" s="25"/>
      <c r="B786" s="25"/>
      <c r="C786" s="25"/>
      <c r="D786" s="25"/>
      <c r="E786" s="50"/>
      <c r="F786" s="167"/>
      <c r="G786" s="168"/>
      <c r="H786" s="169"/>
      <c r="I786" s="141"/>
      <c r="J786" s="141"/>
      <c r="K786" s="141"/>
      <c r="L786" s="25"/>
      <c r="M786" s="25"/>
      <c r="N786" s="25"/>
      <c r="O786" s="143"/>
      <c r="P786" s="143"/>
      <c r="Q786" s="143"/>
      <c r="R786" s="143"/>
      <c r="S786" s="143"/>
      <c r="T786" s="143"/>
      <c r="U786" s="143"/>
      <c r="V786" s="143"/>
      <c r="W786" s="143"/>
      <c r="X786" s="143"/>
      <c r="Y786" s="143"/>
      <c r="Z786" s="143"/>
      <c r="AA786" s="143"/>
      <c r="AB786" s="143"/>
      <c r="AC786" s="143"/>
      <c r="AD786" s="143"/>
    </row>
    <row r="787">
      <c r="A787" s="25"/>
      <c r="B787" s="25"/>
      <c r="C787" s="25"/>
      <c r="D787" s="25"/>
      <c r="E787" s="50"/>
      <c r="F787" s="167"/>
      <c r="G787" s="168"/>
      <c r="H787" s="169"/>
      <c r="I787" s="141"/>
      <c r="J787" s="141"/>
      <c r="K787" s="141"/>
      <c r="L787" s="25"/>
      <c r="M787" s="25"/>
      <c r="N787" s="25"/>
      <c r="O787" s="143"/>
      <c r="P787" s="143"/>
      <c r="Q787" s="143"/>
      <c r="R787" s="143"/>
      <c r="S787" s="143"/>
      <c r="T787" s="143"/>
      <c r="U787" s="143"/>
      <c r="V787" s="143"/>
      <c r="W787" s="143"/>
      <c r="X787" s="143"/>
      <c r="Y787" s="143"/>
      <c r="Z787" s="143"/>
      <c r="AA787" s="143"/>
      <c r="AB787" s="143"/>
      <c r="AC787" s="143"/>
      <c r="AD787" s="143"/>
    </row>
    <row r="788">
      <c r="A788" s="25"/>
      <c r="B788" s="25"/>
      <c r="C788" s="25"/>
      <c r="D788" s="25"/>
      <c r="E788" s="50"/>
      <c r="F788" s="167"/>
      <c r="G788" s="168"/>
      <c r="H788" s="169"/>
      <c r="I788" s="141"/>
      <c r="J788" s="141"/>
      <c r="K788" s="141"/>
      <c r="L788" s="25"/>
      <c r="M788" s="25"/>
      <c r="N788" s="25"/>
      <c r="O788" s="143"/>
      <c r="P788" s="143"/>
      <c r="Q788" s="143"/>
      <c r="R788" s="143"/>
      <c r="S788" s="143"/>
      <c r="T788" s="143"/>
      <c r="U788" s="143"/>
      <c r="V788" s="143"/>
      <c r="W788" s="143"/>
      <c r="X788" s="143"/>
      <c r="Y788" s="143"/>
      <c r="Z788" s="143"/>
      <c r="AA788" s="143"/>
      <c r="AB788" s="143"/>
      <c r="AC788" s="143"/>
      <c r="AD788" s="143"/>
    </row>
    <row r="789">
      <c r="A789" s="25"/>
      <c r="B789" s="25"/>
      <c r="C789" s="25"/>
      <c r="D789" s="25"/>
      <c r="E789" s="50"/>
      <c r="F789" s="167"/>
      <c r="G789" s="168"/>
      <c r="H789" s="169"/>
      <c r="I789" s="141"/>
      <c r="J789" s="141"/>
      <c r="K789" s="141"/>
      <c r="L789" s="25"/>
      <c r="M789" s="25"/>
      <c r="N789" s="25"/>
      <c r="O789" s="143"/>
      <c r="P789" s="143"/>
      <c r="Q789" s="143"/>
      <c r="R789" s="143"/>
      <c r="S789" s="143"/>
      <c r="T789" s="143"/>
      <c r="U789" s="143"/>
      <c r="V789" s="143"/>
      <c r="W789" s="143"/>
      <c r="X789" s="143"/>
      <c r="Y789" s="143"/>
      <c r="Z789" s="143"/>
      <c r="AA789" s="143"/>
      <c r="AB789" s="143"/>
      <c r="AC789" s="143"/>
      <c r="AD789" s="143"/>
    </row>
    <row r="790">
      <c r="A790" s="25"/>
      <c r="B790" s="25"/>
      <c r="C790" s="25"/>
      <c r="D790" s="25"/>
      <c r="E790" s="50"/>
      <c r="F790" s="167"/>
      <c r="G790" s="168"/>
      <c r="H790" s="169"/>
      <c r="I790" s="141"/>
      <c r="J790" s="141"/>
      <c r="K790" s="141"/>
      <c r="L790" s="25"/>
      <c r="M790" s="25"/>
      <c r="N790" s="25"/>
      <c r="O790" s="143"/>
      <c r="P790" s="143"/>
      <c r="Q790" s="143"/>
      <c r="R790" s="143"/>
      <c r="S790" s="143"/>
      <c r="T790" s="143"/>
      <c r="U790" s="143"/>
      <c r="V790" s="143"/>
      <c r="W790" s="143"/>
      <c r="X790" s="143"/>
      <c r="Y790" s="143"/>
      <c r="Z790" s="143"/>
      <c r="AA790" s="143"/>
      <c r="AB790" s="143"/>
      <c r="AC790" s="143"/>
      <c r="AD790" s="143"/>
    </row>
    <row r="791">
      <c r="A791" s="25"/>
      <c r="B791" s="25"/>
      <c r="C791" s="25"/>
      <c r="D791" s="25"/>
      <c r="E791" s="50"/>
      <c r="F791" s="167"/>
      <c r="G791" s="168"/>
      <c r="H791" s="169"/>
      <c r="I791" s="141"/>
      <c r="J791" s="141"/>
      <c r="K791" s="141"/>
      <c r="L791" s="25"/>
      <c r="M791" s="25"/>
      <c r="N791" s="25"/>
      <c r="O791" s="143"/>
      <c r="P791" s="143"/>
      <c r="Q791" s="143"/>
      <c r="R791" s="143"/>
      <c r="S791" s="143"/>
      <c r="T791" s="143"/>
      <c r="U791" s="143"/>
      <c r="V791" s="143"/>
      <c r="W791" s="143"/>
      <c r="X791" s="143"/>
      <c r="Y791" s="143"/>
      <c r="Z791" s="143"/>
      <c r="AA791" s="143"/>
      <c r="AB791" s="143"/>
      <c r="AC791" s="143"/>
      <c r="AD791" s="143"/>
    </row>
    <row r="792">
      <c r="A792" s="25"/>
      <c r="B792" s="25"/>
      <c r="C792" s="25"/>
      <c r="D792" s="25"/>
      <c r="E792" s="50"/>
      <c r="F792" s="167"/>
      <c r="G792" s="168"/>
      <c r="H792" s="169"/>
      <c r="I792" s="141"/>
      <c r="J792" s="141"/>
      <c r="K792" s="141"/>
      <c r="L792" s="25"/>
      <c r="M792" s="25"/>
      <c r="N792" s="25"/>
      <c r="O792" s="143"/>
      <c r="P792" s="143"/>
      <c r="Q792" s="143"/>
      <c r="R792" s="143"/>
      <c r="S792" s="143"/>
      <c r="T792" s="143"/>
      <c r="U792" s="143"/>
      <c r="V792" s="143"/>
      <c r="W792" s="143"/>
      <c r="X792" s="143"/>
      <c r="Y792" s="143"/>
      <c r="Z792" s="143"/>
      <c r="AA792" s="143"/>
      <c r="AB792" s="143"/>
      <c r="AC792" s="143"/>
      <c r="AD792" s="143"/>
    </row>
    <row r="793">
      <c r="A793" s="25"/>
      <c r="B793" s="25"/>
      <c r="C793" s="25"/>
      <c r="D793" s="25"/>
      <c r="E793" s="50"/>
      <c r="F793" s="167"/>
      <c r="G793" s="168"/>
      <c r="H793" s="169"/>
      <c r="I793" s="141"/>
      <c r="J793" s="141"/>
      <c r="K793" s="141"/>
      <c r="L793" s="25"/>
      <c r="M793" s="25"/>
      <c r="N793" s="25"/>
      <c r="O793" s="143"/>
      <c r="P793" s="143"/>
      <c r="Q793" s="143"/>
      <c r="R793" s="143"/>
      <c r="S793" s="143"/>
      <c r="T793" s="143"/>
      <c r="U793" s="143"/>
      <c r="V793" s="143"/>
      <c r="W793" s="143"/>
      <c r="X793" s="143"/>
      <c r="Y793" s="143"/>
      <c r="Z793" s="143"/>
      <c r="AA793" s="143"/>
      <c r="AB793" s="143"/>
      <c r="AC793" s="143"/>
      <c r="AD793" s="143"/>
    </row>
    <row r="794">
      <c r="A794" s="25"/>
      <c r="B794" s="25"/>
      <c r="C794" s="25"/>
      <c r="D794" s="25"/>
      <c r="E794" s="50"/>
      <c r="F794" s="167"/>
      <c r="G794" s="168"/>
      <c r="H794" s="169"/>
      <c r="I794" s="141"/>
      <c r="J794" s="141"/>
      <c r="K794" s="141"/>
      <c r="L794" s="25"/>
      <c r="M794" s="25"/>
      <c r="N794" s="25"/>
      <c r="O794" s="143"/>
      <c r="P794" s="143"/>
      <c r="Q794" s="143"/>
      <c r="R794" s="143"/>
      <c r="S794" s="143"/>
      <c r="T794" s="143"/>
      <c r="U794" s="143"/>
      <c r="V794" s="143"/>
      <c r="W794" s="143"/>
      <c r="X794" s="143"/>
      <c r="Y794" s="143"/>
      <c r="Z794" s="143"/>
      <c r="AA794" s="143"/>
      <c r="AB794" s="143"/>
      <c r="AC794" s="143"/>
      <c r="AD794" s="143"/>
    </row>
    <row r="795">
      <c r="A795" s="25"/>
      <c r="B795" s="25"/>
      <c r="C795" s="25"/>
      <c r="D795" s="25"/>
      <c r="E795" s="50"/>
      <c r="F795" s="167"/>
      <c r="G795" s="168"/>
      <c r="H795" s="169"/>
      <c r="I795" s="141"/>
      <c r="J795" s="141"/>
      <c r="K795" s="141"/>
      <c r="L795" s="25"/>
      <c r="M795" s="25"/>
      <c r="N795" s="25"/>
      <c r="O795" s="143"/>
      <c r="P795" s="143"/>
      <c r="Q795" s="143"/>
      <c r="R795" s="143"/>
      <c r="S795" s="143"/>
      <c r="T795" s="143"/>
      <c r="U795" s="143"/>
      <c r="V795" s="143"/>
      <c r="W795" s="143"/>
      <c r="X795" s="143"/>
      <c r="Y795" s="143"/>
      <c r="Z795" s="143"/>
      <c r="AA795" s="143"/>
      <c r="AB795" s="143"/>
      <c r="AC795" s="143"/>
      <c r="AD795" s="143"/>
    </row>
    <row r="796">
      <c r="A796" s="25"/>
      <c r="B796" s="25"/>
      <c r="C796" s="25"/>
      <c r="D796" s="25"/>
      <c r="E796" s="50"/>
      <c r="F796" s="167"/>
      <c r="G796" s="168"/>
      <c r="H796" s="169"/>
      <c r="I796" s="141"/>
      <c r="J796" s="141"/>
      <c r="K796" s="141"/>
      <c r="L796" s="25"/>
      <c r="M796" s="25"/>
      <c r="N796" s="25"/>
      <c r="O796" s="143"/>
      <c r="P796" s="143"/>
      <c r="Q796" s="143"/>
      <c r="R796" s="143"/>
      <c r="S796" s="143"/>
      <c r="T796" s="143"/>
      <c r="U796" s="143"/>
      <c r="V796" s="143"/>
      <c r="W796" s="143"/>
      <c r="X796" s="143"/>
      <c r="Y796" s="143"/>
      <c r="Z796" s="143"/>
      <c r="AA796" s="143"/>
      <c r="AB796" s="143"/>
      <c r="AC796" s="143"/>
      <c r="AD796" s="143"/>
    </row>
    <row r="797">
      <c r="A797" s="25"/>
      <c r="B797" s="25"/>
      <c r="C797" s="25"/>
      <c r="D797" s="25"/>
      <c r="E797" s="50"/>
      <c r="F797" s="167"/>
      <c r="G797" s="168"/>
      <c r="H797" s="169"/>
      <c r="I797" s="141"/>
      <c r="J797" s="141"/>
      <c r="K797" s="141"/>
      <c r="L797" s="25"/>
      <c r="M797" s="25"/>
      <c r="N797" s="25"/>
      <c r="O797" s="143"/>
      <c r="P797" s="143"/>
      <c r="Q797" s="143"/>
      <c r="R797" s="143"/>
      <c r="S797" s="143"/>
      <c r="T797" s="143"/>
      <c r="U797" s="143"/>
      <c r="V797" s="143"/>
      <c r="W797" s="143"/>
      <c r="X797" s="143"/>
      <c r="Y797" s="143"/>
      <c r="Z797" s="143"/>
      <c r="AA797" s="143"/>
      <c r="AB797" s="143"/>
      <c r="AC797" s="143"/>
      <c r="AD797" s="143"/>
    </row>
    <row r="798">
      <c r="A798" s="25"/>
      <c r="B798" s="25"/>
      <c r="C798" s="25"/>
      <c r="D798" s="25"/>
      <c r="E798" s="50"/>
      <c r="F798" s="167"/>
      <c r="G798" s="168"/>
      <c r="H798" s="169"/>
      <c r="I798" s="141"/>
      <c r="J798" s="141"/>
      <c r="K798" s="141"/>
      <c r="L798" s="25"/>
      <c r="M798" s="25"/>
      <c r="N798" s="25"/>
      <c r="O798" s="143"/>
      <c r="P798" s="143"/>
      <c r="Q798" s="143"/>
      <c r="R798" s="143"/>
      <c r="S798" s="143"/>
      <c r="T798" s="143"/>
      <c r="U798" s="143"/>
      <c r="V798" s="143"/>
      <c r="W798" s="143"/>
      <c r="X798" s="143"/>
      <c r="Y798" s="143"/>
      <c r="Z798" s="143"/>
      <c r="AA798" s="143"/>
      <c r="AB798" s="143"/>
      <c r="AC798" s="143"/>
      <c r="AD798" s="143"/>
    </row>
    <row r="799">
      <c r="A799" s="25"/>
      <c r="B799" s="25"/>
      <c r="C799" s="25"/>
      <c r="D799" s="25"/>
      <c r="E799" s="50"/>
      <c r="F799" s="167"/>
      <c r="G799" s="168"/>
      <c r="H799" s="169"/>
      <c r="I799" s="141"/>
      <c r="J799" s="141"/>
      <c r="K799" s="141"/>
      <c r="L799" s="25"/>
      <c r="M799" s="25"/>
      <c r="N799" s="25"/>
      <c r="O799" s="143"/>
      <c r="P799" s="143"/>
      <c r="Q799" s="143"/>
      <c r="R799" s="143"/>
      <c r="S799" s="143"/>
      <c r="T799" s="143"/>
      <c r="U799" s="143"/>
      <c r="V799" s="143"/>
      <c r="W799" s="143"/>
      <c r="X799" s="143"/>
      <c r="Y799" s="143"/>
      <c r="Z799" s="143"/>
      <c r="AA799" s="143"/>
      <c r="AB799" s="143"/>
      <c r="AC799" s="143"/>
      <c r="AD799" s="143"/>
    </row>
    <row r="800">
      <c r="A800" s="25"/>
      <c r="B800" s="25"/>
      <c r="C800" s="25"/>
      <c r="D800" s="25"/>
      <c r="E800" s="50"/>
      <c r="F800" s="167"/>
      <c r="G800" s="168"/>
      <c r="H800" s="169"/>
      <c r="I800" s="141"/>
      <c r="J800" s="141"/>
      <c r="K800" s="141"/>
      <c r="L800" s="25"/>
      <c r="M800" s="25"/>
      <c r="N800" s="25"/>
      <c r="O800" s="143"/>
      <c r="P800" s="143"/>
      <c r="Q800" s="143"/>
      <c r="R800" s="143"/>
      <c r="S800" s="143"/>
      <c r="T800" s="143"/>
      <c r="U800" s="143"/>
      <c r="V800" s="143"/>
      <c r="W800" s="143"/>
      <c r="X800" s="143"/>
      <c r="Y800" s="143"/>
      <c r="Z800" s="143"/>
      <c r="AA800" s="143"/>
      <c r="AB800" s="143"/>
      <c r="AC800" s="143"/>
      <c r="AD800" s="143"/>
    </row>
    <row r="801">
      <c r="A801" s="25"/>
      <c r="B801" s="25"/>
      <c r="C801" s="25"/>
      <c r="D801" s="25"/>
      <c r="E801" s="50"/>
      <c r="F801" s="167"/>
      <c r="G801" s="168"/>
      <c r="H801" s="169"/>
      <c r="I801" s="141"/>
      <c r="J801" s="141"/>
      <c r="K801" s="141"/>
      <c r="L801" s="25"/>
      <c r="M801" s="25"/>
      <c r="N801" s="25"/>
      <c r="O801" s="143"/>
      <c r="P801" s="143"/>
      <c r="Q801" s="143"/>
      <c r="R801" s="143"/>
      <c r="S801" s="143"/>
      <c r="T801" s="143"/>
      <c r="U801" s="143"/>
      <c r="V801" s="143"/>
      <c r="W801" s="143"/>
      <c r="X801" s="143"/>
      <c r="Y801" s="143"/>
      <c r="Z801" s="143"/>
      <c r="AA801" s="143"/>
      <c r="AB801" s="143"/>
      <c r="AC801" s="143"/>
      <c r="AD801" s="143"/>
    </row>
    <row r="802">
      <c r="A802" s="25"/>
      <c r="B802" s="25"/>
      <c r="C802" s="25"/>
      <c r="D802" s="25"/>
      <c r="E802" s="50"/>
      <c r="F802" s="167"/>
      <c r="G802" s="168"/>
      <c r="H802" s="169"/>
      <c r="I802" s="141"/>
      <c r="J802" s="141"/>
      <c r="K802" s="141"/>
      <c r="L802" s="25"/>
      <c r="M802" s="25"/>
      <c r="N802" s="25"/>
      <c r="O802" s="143"/>
      <c r="P802" s="143"/>
      <c r="Q802" s="143"/>
      <c r="R802" s="143"/>
      <c r="S802" s="143"/>
      <c r="T802" s="143"/>
      <c r="U802" s="143"/>
      <c r="V802" s="143"/>
      <c r="W802" s="143"/>
      <c r="X802" s="143"/>
      <c r="Y802" s="143"/>
      <c r="Z802" s="143"/>
      <c r="AA802" s="143"/>
      <c r="AB802" s="143"/>
      <c r="AC802" s="143"/>
      <c r="AD802" s="143"/>
    </row>
    <row r="803">
      <c r="A803" s="25"/>
      <c r="B803" s="25"/>
      <c r="C803" s="25"/>
      <c r="D803" s="25"/>
      <c r="E803" s="50"/>
      <c r="F803" s="167"/>
      <c r="G803" s="168"/>
      <c r="H803" s="169"/>
      <c r="I803" s="141"/>
      <c r="J803" s="141"/>
      <c r="K803" s="141"/>
      <c r="L803" s="25"/>
      <c r="M803" s="25"/>
      <c r="N803" s="25"/>
      <c r="O803" s="143"/>
      <c r="P803" s="143"/>
      <c r="Q803" s="143"/>
      <c r="R803" s="143"/>
      <c r="S803" s="143"/>
      <c r="T803" s="143"/>
      <c r="U803" s="143"/>
      <c r="V803" s="143"/>
      <c r="W803" s="143"/>
      <c r="X803" s="143"/>
      <c r="Y803" s="143"/>
      <c r="Z803" s="143"/>
      <c r="AA803" s="143"/>
      <c r="AB803" s="143"/>
      <c r="AC803" s="143"/>
      <c r="AD803" s="143"/>
    </row>
    <row r="804">
      <c r="A804" s="25"/>
      <c r="B804" s="25"/>
      <c r="C804" s="25"/>
      <c r="D804" s="25"/>
      <c r="E804" s="50"/>
      <c r="F804" s="167"/>
      <c r="G804" s="168"/>
      <c r="H804" s="169"/>
      <c r="I804" s="141"/>
      <c r="J804" s="141"/>
      <c r="K804" s="141"/>
      <c r="L804" s="25"/>
      <c r="M804" s="25"/>
      <c r="N804" s="25"/>
      <c r="O804" s="143"/>
      <c r="P804" s="143"/>
      <c r="Q804" s="143"/>
      <c r="R804" s="143"/>
      <c r="S804" s="143"/>
      <c r="T804" s="143"/>
      <c r="U804" s="143"/>
      <c r="V804" s="143"/>
      <c r="W804" s="143"/>
      <c r="X804" s="143"/>
      <c r="Y804" s="143"/>
      <c r="Z804" s="143"/>
      <c r="AA804" s="143"/>
      <c r="AB804" s="143"/>
      <c r="AC804" s="143"/>
      <c r="AD804" s="143"/>
    </row>
    <row r="805">
      <c r="A805" s="25"/>
      <c r="B805" s="25"/>
      <c r="C805" s="25"/>
      <c r="D805" s="25"/>
      <c r="E805" s="50"/>
      <c r="F805" s="167"/>
      <c r="G805" s="168"/>
      <c r="H805" s="169"/>
      <c r="I805" s="141"/>
      <c r="J805" s="141"/>
      <c r="K805" s="141"/>
      <c r="L805" s="25"/>
      <c r="M805" s="25"/>
      <c r="N805" s="25"/>
      <c r="O805" s="143"/>
      <c r="P805" s="143"/>
      <c r="Q805" s="143"/>
      <c r="R805" s="143"/>
      <c r="S805" s="143"/>
      <c r="T805" s="143"/>
      <c r="U805" s="143"/>
      <c r="V805" s="143"/>
      <c r="W805" s="143"/>
      <c r="X805" s="143"/>
      <c r="Y805" s="143"/>
      <c r="Z805" s="143"/>
      <c r="AA805" s="143"/>
      <c r="AB805" s="143"/>
      <c r="AC805" s="143"/>
      <c r="AD805" s="143"/>
    </row>
    <row r="806">
      <c r="A806" s="25"/>
      <c r="B806" s="25"/>
      <c r="C806" s="25"/>
      <c r="D806" s="25"/>
      <c r="E806" s="50"/>
      <c r="F806" s="167"/>
      <c r="G806" s="168"/>
      <c r="H806" s="169"/>
      <c r="I806" s="141"/>
      <c r="J806" s="141"/>
      <c r="K806" s="141"/>
      <c r="L806" s="25"/>
      <c r="M806" s="25"/>
      <c r="N806" s="25"/>
      <c r="O806" s="143"/>
      <c r="P806" s="143"/>
      <c r="Q806" s="143"/>
      <c r="R806" s="143"/>
      <c r="S806" s="143"/>
      <c r="T806" s="143"/>
      <c r="U806" s="143"/>
      <c r="V806" s="143"/>
      <c r="W806" s="143"/>
      <c r="X806" s="143"/>
      <c r="Y806" s="143"/>
      <c r="Z806" s="143"/>
      <c r="AA806" s="143"/>
      <c r="AB806" s="143"/>
      <c r="AC806" s="143"/>
      <c r="AD806" s="143"/>
    </row>
    <row r="807">
      <c r="A807" s="25"/>
      <c r="B807" s="25"/>
      <c r="C807" s="25"/>
      <c r="D807" s="25"/>
      <c r="E807" s="50"/>
      <c r="F807" s="167"/>
      <c r="G807" s="168"/>
      <c r="H807" s="169"/>
      <c r="I807" s="141"/>
      <c r="J807" s="141"/>
      <c r="K807" s="141"/>
      <c r="L807" s="25"/>
      <c r="M807" s="25"/>
      <c r="N807" s="25"/>
      <c r="O807" s="143"/>
      <c r="P807" s="143"/>
      <c r="Q807" s="143"/>
      <c r="R807" s="143"/>
      <c r="S807" s="143"/>
      <c r="T807" s="143"/>
      <c r="U807" s="143"/>
      <c r="V807" s="143"/>
      <c r="W807" s="143"/>
      <c r="X807" s="143"/>
      <c r="Y807" s="143"/>
      <c r="Z807" s="143"/>
      <c r="AA807" s="143"/>
      <c r="AB807" s="143"/>
      <c r="AC807" s="143"/>
      <c r="AD807" s="143"/>
    </row>
    <row r="808">
      <c r="A808" s="25"/>
      <c r="B808" s="25"/>
      <c r="C808" s="25"/>
      <c r="D808" s="25"/>
      <c r="E808" s="50"/>
      <c r="F808" s="167"/>
      <c r="G808" s="168"/>
      <c r="H808" s="169"/>
      <c r="I808" s="141"/>
      <c r="J808" s="141"/>
      <c r="K808" s="141"/>
      <c r="L808" s="25"/>
      <c r="M808" s="25"/>
      <c r="N808" s="25"/>
      <c r="O808" s="143"/>
      <c r="P808" s="143"/>
      <c r="Q808" s="143"/>
      <c r="R808" s="143"/>
      <c r="S808" s="143"/>
      <c r="T808" s="143"/>
      <c r="U808" s="143"/>
      <c r="V808" s="143"/>
      <c r="W808" s="143"/>
      <c r="X808" s="143"/>
      <c r="Y808" s="143"/>
      <c r="Z808" s="143"/>
      <c r="AA808" s="143"/>
      <c r="AB808" s="143"/>
      <c r="AC808" s="143"/>
      <c r="AD808" s="143"/>
    </row>
    <row r="809">
      <c r="A809" s="25"/>
      <c r="B809" s="25"/>
      <c r="C809" s="25"/>
      <c r="D809" s="25"/>
      <c r="E809" s="50"/>
      <c r="F809" s="167"/>
      <c r="G809" s="168"/>
      <c r="H809" s="169"/>
      <c r="I809" s="141"/>
      <c r="J809" s="141"/>
      <c r="K809" s="141"/>
      <c r="L809" s="25"/>
      <c r="M809" s="25"/>
      <c r="N809" s="25"/>
      <c r="O809" s="143"/>
      <c r="P809" s="143"/>
      <c r="Q809" s="143"/>
      <c r="R809" s="143"/>
      <c r="S809" s="143"/>
      <c r="T809" s="143"/>
      <c r="U809" s="143"/>
      <c r="V809" s="143"/>
      <c r="W809" s="143"/>
      <c r="X809" s="143"/>
      <c r="Y809" s="143"/>
      <c r="Z809" s="143"/>
      <c r="AA809" s="143"/>
      <c r="AB809" s="143"/>
      <c r="AC809" s="143"/>
      <c r="AD809" s="143"/>
    </row>
    <row r="810">
      <c r="A810" s="25"/>
      <c r="B810" s="25"/>
      <c r="C810" s="25"/>
      <c r="D810" s="25"/>
      <c r="E810" s="50"/>
      <c r="F810" s="167"/>
      <c r="G810" s="168"/>
      <c r="H810" s="169"/>
      <c r="I810" s="141"/>
      <c r="J810" s="141"/>
      <c r="K810" s="141"/>
      <c r="L810" s="25"/>
      <c r="M810" s="25"/>
      <c r="N810" s="25"/>
      <c r="O810" s="143"/>
      <c r="P810" s="143"/>
      <c r="Q810" s="143"/>
      <c r="R810" s="143"/>
      <c r="S810" s="143"/>
      <c r="T810" s="143"/>
      <c r="U810" s="143"/>
      <c r="V810" s="143"/>
      <c r="W810" s="143"/>
      <c r="X810" s="143"/>
      <c r="Y810" s="143"/>
      <c r="Z810" s="143"/>
      <c r="AA810" s="143"/>
      <c r="AB810" s="143"/>
      <c r="AC810" s="143"/>
      <c r="AD810" s="143"/>
    </row>
    <row r="811">
      <c r="A811" s="25"/>
      <c r="B811" s="25"/>
      <c r="C811" s="25"/>
      <c r="D811" s="25"/>
      <c r="E811" s="50"/>
      <c r="F811" s="167"/>
      <c r="G811" s="168"/>
      <c r="H811" s="169"/>
      <c r="I811" s="141"/>
      <c r="J811" s="141"/>
      <c r="K811" s="141"/>
      <c r="L811" s="25"/>
      <c r="M811" s="25"/>
      <c r="N811" s="25"/>
      <c r="O811" s="143"/>
      <c r="P811" s="143"/>
      <c r="Q811" s="143"/>
      <c r="R811" s="143"/>
      <c r="S811" s="143"/>
      <c r="T811" s="143"/>
      <c r="U811" s="143"/>
      <c r="V811" s="143"/>
      <c r="W811" s="143"/>
      <c r="X811" s="143"/>
      <c r="Y811" s="143"/>
      <c r="Z811" s="143"/>
      <c r="AA811" s="143"/>
      <c r="AB811" s="143"/>
      <c r="AC811" s="143"/>
      <c r="AD811" s="143"/>
    </row>
    <row r="812">
      <c r="A812" s="25"/>
      <c r="B812" s="25"/>
      <c r="C812" s="25"/>
      <c r="D812" s="25"/>
      <c r="E812" s="50"/>
      <c r="F812" s="167"/>
      <c r="G812" s="168"/>
      <c r="H812" s="169"/>
      <c r="I812" s="141"/>
      <c r="J812" s="141"/>
      <c r="K812" s="141"/>
      <c r="L812" s="25"/>
      <c r="M812" s="25"/>
      <c r="N812" s="25"/>
      <c r="O812" s="143"/>
      <c r="P812" s="143"/>
      <c r="Q812" s="143"/>
      <c r="R812" s="143"/>
      <c r="S812" s="143"/>
      <c r="T812" s="143"/>
      <c r="U812" s="143"/>
      <c r="V812" s="143"/>
      <c r="W812" s="143"/>
      <c r="X812" s="143"/>
      <c r="Y812" s="143"/>
      <c r="Z812" s="143"/>
      <c r="AA812" s="143"/>
      <c r="AB812" s="143"/>
      <c r="AC812" s="143"/>
      <c r="AD812" s="143"/>
    </row>
    <row r="813">
      <c r="A813" s="25"/>
      <c r="B813" s="25"/>
      <c r="C813" s="25"/>
      <c r="D813" s="25"/>
      <c r="E813" s="50"/>
      <c r="F813" s="167"/>
      <c r="G813" s="168"/>
      <c r="H813" s="169"/>
      <c r="I813" s="141"/>
      <c r="J813" s="141"/>
      <c r="K813" s="141"/>
      <c r="L813" s="25"/>
      <c r="M813" s="25"/>
      <c r="N813" s="25"/>
      <c r="O813" s="143"/>
      <c r="P813" s="143"/>
      <c r="Q813" s="143"/>
      <c r="R813" s="143"/>
      <c r="S813" s="143"/>
      <c r="T813" s="143"/>
      <c r="U813" s="143"/>
      <c r="V813" s="143"/>
      <c r="W813" s="143"/>
      <c r="X813" s="143"/>
      <c r="Y813" s="143"/>
      <c r="Z813" s="143"/>
      <c r="AA813" s="143"/>
      <c r="AB813" s="143"/>
      <c r="AC813" s="143"/>
      <c r="AD813" s="143"/>
    </row>
    <row r="814">
      <c r="A814" s="25"/>
      <c r="B814" s="25"/>
      <c r="C814" s="25"/>
      <c r="D814" s="25"/>
      <c r="E814" s="50"/>
      <c r="F814" s="167"/>
      <c r="G814" s="168"/>
      <c r="H814" s="169"/>
      <c r="I814" s="141"/>
      <c r="J814" s="141"/>
      <c r="K814" s="141"/>
      <c r="L814" s="25"/>
      <c r="M814" s="25"/>
      <c r="N814" s="25"/>
      <c r="O814" s="143"/>
      <c r="P814" s="143"/>
      <c r="Q814" s="143"/>
      <c r="R814" s="143"/>
      <c r="S814" s="143"/>
      <c r="T814" s="143"/>
      <c r="U814" s="143"/>
      <c r="V814" s="143"/>
      <c r="W814" s="143"/>
      <c r="X814" s="143"/>
      <c r="Y814" s="143"/>
      <c r="Z814" s="143"/>
      <c r="AA814" s="143"/>
      <c r="AB814" s="143"/>
      <c r="AC814" s="143"/>
      <c r="AD814" s="143"/>
    </row>
    <row r="815">
      <c r="A815" s="25"/>
      <c r="B815" s="25"/>
      <c r="C815" s="25"/>
      <c r="D815" s="25"/>
      <c r="E815" s="50"/>
      <c r="F815" s="167"/>
      <c r="G815" s="168"/>
      <c r="H815" s="169"/>
      <c r="I815" s="141"/>
      <c r="J815" s="141"/>
      <c r="K815" s="141"/>
      <c r="L815" s="25"/>
      <c r="M815" s="25"/>
      <c r="N815" s="25"/>
      <c r="O815" s="143"/>
      <c r="P815" s="143"/>
      <c r="Q815" s="143"/>
      <c r="R815" s="143"/>
      <c r="S815" s="143"/>
      <c r="T815" s="143"/>
      <c r="U815" s="143"/>
      <c r="V815" s="143"/>
      <c r="W815" s="143"/>
      <c r="X815" s="143"/>
      <c r="Y815" s="143"/>
      <c r="Z815" s="143"/>
      <c r="AA815" s="143"/>
      <c r="AB815" s="143"/>
      <c r="AC815" s="143"/>
      <c r="AD815" s="143"/>
    </row>
    <row r="816">
      <c r="A816" s="25"/>
      <c r="B816" s="25"/>
      <c r="C816" s="25"/>
      <c r="D816" s="25"/>
      <c r="E816" s="50"/>
      <c r="F816" s="167"/>
      <c r="G816" s="168"/>
      <c r="H816" s="169"/>
      <c r="I816" s="141"/>
      <c r="J816" s="141"/>
      <c r="K816" s="141"/>
      <c r="L816" s="25"/>
      <c r="M816" s="25"/>
      <c r="N816" s="25"/>
      <c r="O816" s="143"/>
      <c r="P816" s="143"/>
      <c r="Q816" s="143"/>
      <c r="R816" s="143"/>
      <c r="S816" s="143"/>
      <c r="T816" s="143"/>
      <c r="U816" s="143"/>
      <c r="V816" s="143"/>
      <c r="W816" s="143"/>
      <c r="X816" s="143"/>
      <c r="Y816" s="143"/>
      <c r="Z816" s="143"/>
      <c r="AA816" s="143"/>
      <c r="AB816" s="143"/>
      <c r="AC816" s="143"/>
      <c r="AD816" s="143"/>
    </row>
    <row r="817">
      <c r="A817" s="25"/>
      <c r="B817" s="25"/>
      <c r="C817" s="25"/>
      <c r="D817" s="25"/>
      <c r="E817" s="50"/>
      <c r="F817" s="167"/>
      <c r="G817" s="168"/>
      <c r="H817" s="169"/>
      <c r="I817" s="141"/>
      <c r="J817" s="141"/>
      <c r="K817" s="141"/>
      <c r="L817" s="25"/>
      <c r="M817" s="25"/>
      <c r="N817" s="25"/>
      <c r="O817" s="143"/>
      <c r="P817" s="143"/>
      <c r="Q817" s="143"/>
      <c r="R817" s="143"/>
      <c r="S817" s="143"/>
      <c r="T817" s="143"/>
      <c r="U817" s="143"/>
      <c r="V817" s="143"/>
      <c r="W817" s="143"/>
      <c r="X817" s="143"/>
      <c r="Y817" s="143"/>
      <c r="Z817" s="143"/>
      <c r="AA817" s="143"/>
      <c r="AB817" s="143"/>
      <c r="AC817" s="143"/>
      <c r="AD817" s="143"/>
    </row>
    <row r="818">
      <c r="A818" s="25"/>
      <c r="B818" s="25"/>
      <c r="C818" s="25"/>
      <c r="D818" s="25"/>
      <c r="E818" s="50"/>
      <c r="F818" s="167"/>
      <c r="G818" s="168"/>
      <c r="H818" s="169"/>
      <c r="I818" s="141"/>
      <c r="J818" s="141"/>
      <c r="K818" s="141"/>
      <c r="L818" s="25"/>
      <c r="M818" s="25"/>
      <c r="N818" s="25"/>
      <c r="O818" s="143"/>
      <c r="P818" s="143"/>
      <c r="Q818" s="143"/>
      <c r="R818" s="143"/>
      <c r="S818" s="143"/>
      <c r="T818" s="143"/>
      <c r="U818" s="143"/>
      <c r="V818" s="143"/>
      <c r="W818" s="143"/>
      <c r="X818" s="143"/>
      <c r="Y818" s="143"/>
      <c r="Z818" s="143"/>
      <c r="AA818" s="143"/>
      <c r="AB818" s="143"/>
      <c r="AC818" s="143"/>
      <c r="AD818" s="143"/>
    </row>
    <row r="819">
      <c r="A819" s="25"/>
      <c r="B819" s="25"/>
      <c r="C819" s="25"/>
      <c r="D819" s="25"/>
      <c r="E819" s="50"/>
      <c r="F819" s="167"/>
      <c r="G819" s="168"/>
      <c r="H819" s="169"/>
      <c r="I819" s="141"/>
      <c r="J819" s="141"/>
      <c r="K819" s="141"/>
      <c r="L819" s="25"/>
      <c r="M819" s="25"/>
      <c r="N819" s="25"/>
      <c r="O819" s="143"/>
      <c r="P819" s="143"/>
      <c r="Q819" s="143"/>
      <c r="R819" s="143"/>
      <c r="S819" s="143"/>
      <c r="T819" s="143"/>
      <c r="U819" s="143"/>
      <c r="V819" s="143"/>
      <c r="W819" s="143"/>
      <c r="X819" s="143"/>
      <c r="Y819" s="143"/>
      <c r="Z819" s="143"/>
      <c r="AA819" s="143"/>
      <c r="AB819" s="143"/>
      <c r="AC819" s="143"/>
      <c r="AD819" s="143"/>
    </row>
    <row r="820">
      <c r="A820" s="25"/>
      <c r="B820" s="25"/>
      <c r="C820" s="25"/>
      <c r="D820" s="25"/>
      <c r="E820" s="50"/>
      <c r="F820" s="167"/>
      <c r="G820" s="168"/>
      <c r="H820" s="169"/>
      <c r="I820" s="141"/>
      <c r="J820" s="141"/>
      <c r="K820" s="141"/>
      <c r="L820" s="25"/>
      <c r="M820" s="25"/>
      <c r="N820" s="25"/>
      <c r="O820" s="143"/>
      <c r="P820" s="143"/>
      <c r="Q820" s="143"/>
      <c r="R820" s="143"/>
      <c r="S820" s="143"/>
      <c r="T820" s="143"/>
      <c r="U820" s="143"/>
      <c r="V820" s="143"/>
      <c r="W820" s="143"/>
      <c r="X820" s="143"/>
      <c r="Y820" s="143"/>
      <c r="Z820" s="143"/>
      <c r="AA820" s="143"/>
      <c r="AB820" s="143"/>
      <c r="AC820" s="143"/>
      <c r="AD820" s="143"/>
    </row>
    <row r="821">
      <c r="A821" s="25"/>
      <c r="B821" s="25"/>
      <c r="C821" s="25"/>
      <c r="D821" s="25"/>
      <c r="E821" s="50"/>
      <c r="F821" s="167"/>
      <c r="G821" s="168"/>
      <c r="H821" s="169"/>
      <c r="I821" s="141"/>
      <c r="J821" s="141"/>
      <c r="K821" s="141"/>
      <c r="L821" s="25"/>
      <c r="M821" s="25"/>
      <c r="N821" s="25"/>
      <c r="O821" s="143"/>
      <c r="P821" s="143"/>
      <c r="Q821" s="143"/>
      <c r="R821" s="143"/>
      <c r="S821" s="143"/>
      <c r="T821" s="143"/>
      <c r="U821" s="143"/>
      <c r="V821" s="143"/>
      <c r="W821" s="143"/>
      <c r="X821" s="143"/>
      <c r="Y821" s="143"/>
      <c r="Z821" s="143"/>
      <c r="AA821" s="143"/>
      <c r="AB821" s="143"/>
      <c r="AC821" s="143"/>
      <c r="AD821" s="143"/>
    </row>
    <row r="822">
      <c r="A822" s="25"/>
      <c r="B822" s="25"/>
      <c r="C822" s="25"/>
      <c r="D822" s="25"/>
      <c r="E822" s="50"/>
      <c r="F822" s="167"/>
      <c r="G822" s="168"/>
      <c r="H822" s="169"/>
      <c r="I822" s="141"/>
      <c r="J822" s="141"/>
      <c r="K822" s="141"/>
      <c r="L822" s="25"/>
      <c r="M822" s="25"/>
      <c r="N822" s="25"/>
      <c r="O822" s="143"/>
      <c r="P822" s="143"/>
      <c r="Q822" s="143"/>
      <c r="R822" s="143"/>
      <c r="S822" s="143"/>
      <c r="T822" s="143"/>
      <c r="U822" s="143"/>
      <c r="V822" s="143"/>
      <c r="W822" s="143"/>
      <c r="X822" s="143"/>
      <c r="Y822" s="143"/>
      <c r="Z822" s="143"/>
      <c r="AA822" s="143"/>
      <c r="AB822" s="143"/>
      <c r="AC822" s="143"/>
      <c r="AD822" s="143"/>
    </row>
    <row r="823">
      <c r="A823" s="25"/>
      <c r="B823" s="25"/>
      <c r="C823" s="25"/>
      <c r="D823" s="25"/>
      <c r="E823" s="50"/>
      <c r="F823" s="167"/>
      <c r="G823" s="168"/>
      <c r="H823" s="169"/>
      <c r="I823" s="141"/>
      <c r="J823" s="141"/>
      <c r="K823" s="141"/>
      <c r="L823" s="25"/>
      <c r="M823" s="25"/>
      <c r="N823" s="25"/>
      <c r="O823" s="143"/>
      <c r="P823" s="143"/>
      <c r="Q823" s="143"/>
      <c r="R823" s="143"/>
      <c r="S823" s="143"/>
      <c r="T823" s="143"/>
      <c r="U823" s="143"/>
      <c r="V823" s="143"/>
      <c r="W823" s="143"/>
      <c r="X823" s="143"/>
      <c r="Y823" s="143"/>
      <c r="Z823" s="143"/>
      <c r="AA823" s="143"/>
      <c r="AB823" s="143"/>
      <c r="AC823" s="143"/>
      <c r="AD823" s="143"/>
    </row>
    <row r="824">
      <c r="A824" s="25"/>
      <c r="B824" s="25"/>
      <c r="C824" s="25"/>
      <c r="D824" s="25"/>
      <c r="E824" s="50"/>
      <c r="F824" s="167"/>
      <c r="G824" s="168"/>
      <c r="H824" s="169"/>
      <c r="I824" s="141"/>
      <c r="J824" s="141"/>
      <c r="K824" s="141"/>
      <c r="L824" s="25"/>
      <c r="M824" s="25"/>
      <c r="N824" s="25"/>
      <c r="O824" s="143"/>
      <c r="P824" s="143"/>
      <c r="Q824" s="143"/>
      <c r="R824" s="143"/>
      <c r="S824" s="143"/>
      <c r="T824" s="143"/>
      <c r="U824" s="143"/>
      <c r="V824" s="143"/>
      <c r="W824" s="143"/>
      <c r="X824" s="143"/>
      <c r="Y824" s="143"/>
      <c r="Z824" s="143"/>
      <c r="AA824" s="143"/>
      <c r="AB824" s="143"/>
      <c r="AC824" s="143"/>
      <c r="AD824" s="143"/>
    </row>
    <row r="825">
      <c r="A825" s="25"/>
      <c r="B825" s="25"/>
      <c r="C825" s="25"/>
      <c r="D825" s="25"/>
      <c r="E825" s="50"/>
      <c r="F825" s="167"/>
      <c r="G825" s="168"/>
      <c r="H825" s="169"/>
      <c r="I825" s="141"/>
      <c r="J825" s="141"/>
      <c r="K825" s="141"/>
      <c r="L825" s="25"/>
      <c r="M825" s="25"/>
      <c r="N825" s="25"/>
      <c r="O825" s="143"/>
      <c r="P825" s="143"/>
      <c r="Q825" s="143"/>
      <c r="R825" s="143"/>
      <c r="S825" s="143"/>
      <c r="T825" s="143"/>
      <c r="U825" s="143"/>
      <c r="V825" s="143"/>
      <c r="W825" s="143"/>
      <c r="X825" s="143"/>
      <c r="Y825" s="143"/>
      <c r="Z825" s="143"/>
      <c r="AA825" s="143"/>
      <c r="AB825" s="143"/>
      <c r="AC825" s="143"/>
      <c r="AD825" s="143"/>
    </row>
    <row r="826">
      <c r="A826" s="25"/>
      <c r="B826" s="25"/>
      <c r="C826" s="25"/>
      <c r="D826" s="25"/>
      <c r="E826" s="50"/>
      <c r="F826" s="167"/>
      <c r="G826" s="168"/>
      <c r="H826" s="169"/>
      <c r="I826" s="141"/>
      <c r="J826" s="141"/>
      <c r="K826" s="141"/>
      <c r="L826" s="25"/>
      <c r="M826" s="25"/>
      <c r="N826" s="25"/>
      <c r="O826" s="143"/>
      <c r="P826" s="143"/>
      <c r="Q826" s="143"/>
      <c r="R826" s="143"/>
      <c r="S826" s="143"/>
      <c r="T826" s="143"/>
      <c r="U826" s="143"/>
      <c r="V826" s="143"/>
      <c r="W826" s="143"/>
      <c r="X826" s="143"/>
      <c r="Y826" s="143"/>
      <c r="Z826" s="143"/>
      <c r="AA826" s="143"/>
      <c r="AB826" s="143"/>
      <c r="AC826" s="143"/>
      <c r="AD826" s="143"/>
    </row>
    <row r="827">
      <c r="A827" s="25"/>
      <c r="B827" s="25"/>
      <c r="C827" s="25"/>
      <c r="D827" s="25"/>
      <c r="E827" s="50"/>
      <c r="F827" s="167"/>
      <c r="G827" s="168"/>
      <c r="H827" s="169"/>
      <c r="I827" s="141"/>
      <c r="J827" s="141"/>
      <c r="K827" s="141"/>
      <c r="L827" s="25"/>
      <c r="M827" s="25"/>
      <c r="N827" s="25"/>
      <c r="O827" s="143"/>
      <c r="P827" s="143"/>
      <c r="Q827" s="143"/>
      <c r="R827" s="143"/>
      <c r="S827" s="143"/>
      <c r="T827" s="143"/>
      <c r="U827" s="143"/>
      <c r="V827" s="143"/>
      <c r="W827" s="143"/>
      <c r="X827" s="143"/>
      <c r="Y827" s="143"/>
      <c r="Z827" s="143"/>
      <c r="AA827" s="143"/>
      <c r="AB827" s="143"/>
      <c r="AC827" s="143"/>
      <c r="AD827" s="143"/>
    </row>
    <row r="828">
      <c r="A828" s="25"/>
      <c r="B828" s="25"/>
      <c r="C828" s="25"/>
      <c r="D828" s="25"/>
      <c r="E828" s="50"/>
      <c r="F828" s="167"/>
      <c r="G828" s="168"/>
      <c r="H828" s="169"/>
      <c r="I828" s="141"/>
      <c r="J828" s="141"/>
      <c r="K828" s="141"/>
      <c r="L828" s="25"/>
      <c r="M828" s="25"/>
      <c r="N828" s="25"/>
      <c r="O828" s="143"/>
      <c r="P828" s="143"/>
      <c r="Q828" s="143"/>
      <c r="R828" s="143"/>
      <c r="S828" s="143"/>
      <c r="T828" s="143"/>
      <c r="U828" s="143"/>
      <c r="V828" s="143"/>
      <c r="W828" s="143"/>
      <c r="X828" s="143"/>
      <c r="Y828" s="143"/>
      <c r="Z828" s="143"/>
      <c r="AA828" s="143"/>
      <c r="AB828" s="143"/>
      <c r="AC828" s="143"/>
      <c r="AD828" s="143"/>
    </row>
    <row r="829">
      <c r="A829" s="25"/>
      <c r="B829" s="25"/>
      <c r="C829" s="25"/>
      <c r="D829" s="25"/>
      <c r="E829" s="50"/>
      <c r="F829" s="167"/>
      <c r="G829" s="168"/>
      <c r="H829" s="169"/>
      <c r="I829" s="141"/>
      <c r="J829" s="141"/>
      <c r="K829" s="141"/>
      <c r="L829" s="25"/>
      <c r="M829" s="25"/>
      <c r="N829" s="25"/>
      <c r="O829" s="143"/>
      <c r="P829" s="143"/>
      <c r="Q829" s="143"/>
      <c r="R829" s="143"/>
      <c r="S829" s="143"/>
      <c r="T829" s="143"/>
      <c r="U829" s="143"/>
      <c r="V829" s="143"/>
      <c r="W829" s="143"/>
      <c r="X829" s="143"/>
      <c r="Y829" s="143"/>
      <c r="Z829" s="143"/>
      <c r="AA829" s="143"/>
      <c r="AB829" s="143"/>
      <c r="AC829" s="143"/>
      <c r="AD829" s="143"/>
    </row>
    <row r="830">
      <c r="A830" s="25"/>
      <c r="B830" s="25"/>
      <c r="C830" s="25"/>
      <c r="D830" s="25"/>
      <c r="E830" s="50"/>
      <c r="F830" s="167"/>
      <c r="G830" s="168"/>
      <c r="H830" s="169"/>
      <c r="I830" s="141"/>
      <c r="J830" s="141"/>
      <c r="K830" s="141"/>
      <c r="L830" s="25"/>
      <c r="M830" s="25"/>
      <c r="N830" s="25"/>
      <c r="O830" s="143"/>
      <c r="P830" s="143"/>
      <c r="Q830" s="143"/>
      <c r="R830" s="143"/>
      <c r="S830" s="143"/>
      <c r="T830" s="143"/>
      <c r="U830" s="143"/>
      <c r="V830" s="143"/>
      <c r="W830" s="143"/>
      <c r="X830" s="143"/>
      <c r="Y830" s="143"/>
      <c r="Z830" s="143"/>
      <c r="AA830" s="143"/>
      <c r="AB830" s="143"/>
      <c r="AC830" s="143"/>
      <c r="AD830" s="143"/>
    </row>
    <row r="831">
      <c r="A831" s="25"/>
      <c r="B831" s="25"/>
      <c r="C831" s="25"/>
      <c r="D831" s="25"/>
      <c r="E831" s="50"/>
      <c r="F831" s="167"/>
      <c r="G831" s="168"/>
      <c r="H831" s="169"/>
      <c r="I831" s="141"/>
      <c r="J831" s="141"/>
      <c r="K831" s="141"/>
      <c r="L831" s="25"/>
      <c r="M831" s="25"/>
      <c r="N831" s="25"/>
      <c r="O831" s="143"/>
      <c r="P831" s="143"/>
      <c r="Q831" s="143"/>
      <c r="R831" s="143"/>
      <c r="S831" s="143"/>
      <c r="T831" s="143"/>
      <c r="U831" s="143"/>
      <c r="V831" s="143"/>
      <c r="W831" s="143"/>
      <c r="X831" s="143"/>
      <c r="Y831" s="143"/>
      <c r="Z831" s="143"/>
      <c r="AA831" s="143"/>
      <c r="AB831" s="143"/>
      <c r="AC831" s="143"/>
      <c r="AD831" s="143"/>
    </row>
    <row r="832">
      <c r="A832" s="25"/>
      <c r="B832" s="25"/>
      <c r="C832" s="25"/>
      <c r="D832" s="25"/>
      <c r="E832" s="50"/>
      <c r="F832" s="167"/>
      <c r="G832" s="168"/>
      <c r="H832" s="169"/>
      <c r="I832" s="141"/>
      <c r="J832" s="141"/>
      <c r="K832" s="141"/>
      <c r="L832" s="25"/>
      <c r="M832" s="25"/>
      <c r="N832" s="25"/>
      <c r="O832" s="143"/>
      <c r="P832" s="143"/>
      <c r="Q832" s="143"/>
      <c r="R832" s="143"/>
      <c r="S832" s="143"/>
      <c r="T832" s="143"/>
      <c r="U832" s="143"/>
      <c r="V832" s="143"/>
      <c r="W832" s="143"/>
      <c r="X832" s="143"/>
      <c r="Y832" s="143"/>
      <c r="Z832" s="143"/>
      <c r="AA832" s="143"/>
      <c r="AB832" s="143"/>
      <c r="AC832" s="143"/>
      <c r="AD832" s="143"/>
    </row>
    <row r="833">
      <c r="A833" s="25"/>
      <c r="B833" s="25"/>
      <c r="C833" s="25"/>
      <c r="D833" s="25"/>
      <c r="E833" s="50"/>
      <c r="F833" s="167"/>
      <c r="G833" s="168"/>
      <c r="H833" s="169"/>
      <c r="I833" s="141"/>
      <c r="J833" s="141"/>
      <c r="K833" s="141"/>
      <c r="L833" s="25"/>
      <c r="M833" s="25"/>
      <c r="N833" s="25"/>
      <c r="O833" s="143"/>
      <c r="P833" s="143"/>
      <c r="Q833" s="143"/>
      <c r="R833" s="143"/>
      <c r="S833" s="143"/>
      <c r="T833" s="143"/>
      <c r="U833" s="143"/>
      <c r="V833" s="143"/>
      <c r="W833" s="143"/>
      <c r="X833" s="143"/>
      <c r="Y833" s="143"/>
      <c r="Z833" s="143"/>
      <c r="AA833" s="143"/>
      <c r="AB833" s="143"/>
      <c r="AC833" s="143"/>
      <c r="AD833" s="143"/>
    </row>
    <row r="834">
      <c r="A834" s="25"/>
      <c r="B834" s="25"/>
      <c r="C834" s="25"/>
      <c r="D834" s="25"/>
      <c r="E834" s="50"/>
      <c r="F834" s="167"/>
      <c r="G834" s="168"/>
      <c r="H834" s="169"/>
      <c r="I834" s="141"/>
      <c r="J834" s="141"/>
      <c r="K834" s="141"/>
      <c r="L834" s="25"/>
      <c r="M834" s="25"/>
      <c r="N834" s="25"/>
      <c r="O834" s="143"/>
      <c r="P834" s="143"/>
      <c r="Q834" s="143"/>
      <c r="R834" s="143"/>
      <c r="S834" s="143"/>
      <c r="T834" s="143"/>
      <c r="U834" s="143"/>
      <c r="V834" s="143"/>
      <c r="W834" s="143"/>
      <c r="X834" s="143"/>
      <c r="Y834" s="143"/>
      <c r="Z834" s="143"/>
      <c r="AA834" s="143"/>
      <c r="AB834" s="143"/>
      <c r="AC834" s="143"/>
      <c r="AD834" s="143"/>
    </row>
    <row r="835">
      <c r="A835" s="25"/>
      <c r="B835" s="25"/>
      <c r="C835" s="25"/>
      <c r="D835" s="25"/>
      <c r="E835" s="50"/>
      <c r="F835" s="167"/>
      <c r="G835" s="168"/>
      <c r="H835" s="169"/>
      <c r="I835" s="141"/>
      <c r="J835" s="141"/>
      <c r="K835" s="141"/>
      <c r="L835" s="25"/>
      <c r="M835" s="25"/>
      <c r="N835" s="25"/>
      <c r="O835" s="143"/>
      <c r="P835" s="143"/>
      <c r="Q835" s="143"/>
      <c r="R835" s="143"/>
      <c r="S835" s="143"/>
      <c r="T835" s="143"/>
      <c r="U835" s="143"/>
      <c r="V835" s="143"/>
      <c r="W835" s="143"/>
      <c r="X835" s="143"/>
      <c r="Y835" s="143"/>
      <c r="Z835" s="143"/>
      <c r="AA835" s="143"/>
      <c r="AB835" s="143"/>
      <c r="AC835" s="143"/>
      <c r="AD835" s="143"/>
    </row>
    <row r="836">
      <c r="A836" s="25"/>
      <c r="B836" s="25"/>
      <c r="C836" s="25"/>
      <c r="D836" s="25"/>
      <c r="E836" s="50"/>
      <c r="F836" s="167"/>
      <c r="G836" s="168"/>
      <c r="H836" s="169"/>
      <c r="I836" s="141"/>
      <c r="J836" s="141"/>
      <c r="K836" s="141"/>
      <c r="L836" s="25"/>
      <c r="M836" s="25"/>
      <c r="N836" s="25"/>
      <c r="O836" s="143"/>
      <c r="P836" s="143"/>
      <c r="Q836" s="143"/>
      <c r="R836" s="143"/>
      <c r="S836" s="143"/>
      <c r="T836" s="143"/>
      <c r="U836" s="143"/>
      <c r="V836" s="143"/>
      <c r="W836" s="143"/>
      <c r="X836" s="143"/>
      <c r="Y836" s="143"/>
      <c r="Z836" s="143"/>
      <c r="AA836" s="143"/>
      <c r="AB836" s="143"/>
      <c r="AC836" s="143"/>
      <c r="AD836" s="143"/>
    </row>
    <row r="837">
      <c r="A837" s="25"/>
      <c r="B837" s="25"/>
      <c r="C837" s="25"/>
      <c r="D837" s="25"/>
      <c r="E837" s="50"/>
      <c r="F837" s="167"/>
      <c r="G837" s="168"/>
      <c r="H837" s="169"/>
      <c r="I837" s="141"/>
      <c r="J837" s="141"/>
      <c r="K837" s="141"/>
      <c r="L837" s="25"/>
      <c r="M837" s="25"/>
      <c r="N837" s="25"/>
      <c r="O837" s="143"/>
      <c r="P837" s="143"/>
      <c r="Q837" s="143"/>
      <c r="R837" s="143"/>
      <c r="S837" s="143"/>
      <c r="T837" s="143"/>
      <c r="U837" s="143"/>
      <c r="V837" s="143"/>
      <c r="W837" s="143"/>
      <c r="X837" s="143"/>
      <c r="Y837" s="143"/>
      <c r="Z837" s="143"/>
      <c r="AA837" s="143"/>
      <c r="AB837" s="143"/>
      <c r="AC837" s="143"/>
      <c r="AD837" s="143"/>
    </row>
    <row r="838">
      <c r="A838" s="25"/>
      <c r="B838" s="25"/>
      <c r="C838" s="25"/>
      <c r="D838" s="25"/>
      <c r="E838" s="50"/>
      <c r="F838" s="167"/>
      <c r="G838" s="168"/>
      <c r="H838" s="169"/>
      <c r="I838" s="141"/>
      <c r="J838" s="141"/>
      <c r="K838" s="141"/>
      <c r="L838" s="25"/>
      <c r="M838" s="25"/>
      <c r="N838" s="25"/>
      <c r="O838" s="143"/>
      <c r="P838" s="143"/>
      <c r="Q838" s="143"/>
      <c r="R838" s="143"/>
      <c r="S838" s="143"/>
      <c r="T838" s="143"/>
      <c r="U838" s="143"/>
      <c r="V838" s="143"/>
      <c r="W838" s="143"/>
      <c r="X838" s="143"/>
      <c r="Y838" s="143"/>
      <c r="Z838" s="143"/>
      <c r="AA838" s="143"/>
      <c r="AB838" s="143"/>
      <c r="AC838" s="143"/>
      <c r="AD838" s="143"/>
    </row>
    <row r="839">
      <c r="A839" s="25"/>
      <c r="B839" s="25"/>
      <c r="C839" s="25"/>
      <c r="D839" s="25"/>
      <c r="E839" s="50"/>
      <c r="F839" s="167"/>
      <c r="G839" s="168"/>
      <c r="H839" s="169"/>
      <c r="I839" s="141"/>
      <c r="J839" s="141"/>
      <c r="K839" s="141"/>
      <c r="L839" s="25"/>
      <c r="M839" s="25"/>
      <c r="N839" s="25"/>
      <c r="O839" s="143"/>
      <c r="P839" s="143"/>
      <c r="Q839" s="143"/>
      <c r="R839" s="143"/>
      <c r="S839" s="143"/>
      <c r="T839" s="143"/>
      <c r="U839" s="143"/>
      <c r="V839" s="143"/>
      <c r="W839" s="143"/>
      <c r="X839" s="143"/>
      <c r="Y839" s="143"/>
      <c r="Z839" s="143"/>
      <c r="AA839" s="143"/>
      <c r="AB839" s="143"/>
      <c r="AC839" s="143"/>
      <c r="AD839" s="143"/>
    </row>
    <row r="840">
      <c r="A840" s="25"/>
      <c r="B840" s="25"/>
      <c r="C840" s="25"/>
      <c r="D840" s="25"/>
      <c r="E840" s="50"/>
      <c r="F840" s="167"/>
      <c r="G840" s="168"/>
      <c r="H840" s="169"/>
      <c r="I840" s="141"/>
      <c r="J840" s="141"/>
      <c r="K840" s="141"/>
      <c r="L840" s="25"/>
      <c r="M840" s="25"/>
      <c r="N840" s="25"/>
      <c r="O840" s="143"/>
      <c r="P840" s="143"/>
      <c r="Q840" s="143"/>
      <c r="R840" s="143"/>
      <c r="S840" s="143"/>
      <c r="T840" s="143"/>
      <c r="U840" s="143"/>
      <c r="V840" s="143"/>
      <c r="W840" s="143"/>
      <c r="X840" s="143"/>
      <c r="Y840" s="143"/>
      <c r="Z840" s="143"/>
      <c r="AA840" s="143"/>
      <c r="AB840" s="143"/>
      <c r="AC840" s="143"/>
      <c r="AD840" s="143"/>
    </row>
    <row r="841">
      <c r="A841" s="25"/>
      <c r="B841" s="25"/>
      <c r="C841" s="25"/>
      <c r="D841" s="25"/>
      <c r="E841" s="50"/>
      <c r="F841" s="167"/>
      <c r="G841" s="168"/>
      <c r="H841" s="169"/>
      <c r="I841" s="141"/>
      <c r="J841" s="141"/>
      <c r="K841" s="141"/>
      <c r="L841" s="25"/>
      <c r="M841" s="25"/>
      <c r="N841" s="25"/>
      <c r="O841" s="143"/>
      <c r="P841" s="143"/>
      <c r="Q841" s="143"/>
      <c r="R841" s="143"/>
      <c r="S841" s="143"/>
      <c r="T841" s="143"/>
      <c r="U841" s="143"/>
      <c r="V841" s="143"/>
      <c r="W841" s="143"/>
      <c r="X841" s="143"/>
      <c r="Y841" s="143"/>
      <c r="Z841" s="143"/>
      <c r="AA841" s="143"/>
      <c r="AB841" s="143"/>
      <c r="AC841" s="143"/>
      <c r="AD841" s="143"/>
    </row>
    <row r="842">
      <c r="A842" s="25"/>
      <c r="B842" s="25"/>
      <c r="C842" s="25"/>
      <c r="D842" s="25"/>
      <c r="E842" s="50"/>
      <c r="F842" s="167"/>
      <c r="G842" s="168"/>
      <c r="H842" s="169"/>
      <c r="I842" s="141"/>
      <c r="J842" s="141"/>
      <c r="K842" s="141"/>
      <c r="L842" s="25"/>
      <c r="M842" s="25"/>
      <c r="N842" s="25"/>
      <c r="O842" s="143"/>
      <c r="P842" s="143"/>
      <c r="Q842" s="143"/>
      <c r="R842" s="143"/>
      <c r="S842" s="143"/>
      <c r="T842" s="143"/>
      <c r="U842" s="143"/>
      <c r="V842" s="143"/>
      <c r="W842" s="143"/>
      <c r="X842" s="143"/>
      <c r="Y842" s="143"/>
      <c r="Z842" s="143"/>
      <c r="AA842" s="143"/>
      <c r="AB842" s="143"/>
      <c r="AC842" s="143"/>
      <c r="AD842" s="143"/>
    </row>
    <row r="843">
      <c r="A843" s="25"/>
      <c r="B843" s="25"/>
      <c r="C843" s="25"/>
      <c r="D843" s="25"/>
      <c r="E843" s="50"/>
      <c r="F843" s="167"/>
      <c r="G843" s="168"/>
      <c r="H843" s="169"/>
      <c r="I843" s="141"/>
      <c r="J843" s="141"/>
      <c r="K843" s="141"/>
      <c r="L843" s="25"/>
      <c r="M843" s="25"/>
      <c r="N843" s="25"/>
      <c r="O843" s="143"/>
      <c r="P843" s="143"/>
      <c r="Q843" s="143"/>
      <c r="R843" s="143"/>
      <c r="S843" s="143"/>
      <c r="T843" s="143"/>
      <c r="U843" s="143"/>
      <c r="V843" s="143"/>
      <c r="W843" s="143"/>
      <c r="X843" s="143"/>
      <c r="Y843" s="143"/>
      <c r="Z843" s="143"/>
      <c r="AA843" s="143"/>
      <c r="AB843" s="143"/>
      <c r="AC843" s="143"/>
      <c r="AD843" s="143"/>
    </row>
    <row r="844">
      <c r="A844" s="25"/>
      <c r="B844" s="25"/>
      <c r="C844" s="25"/>
      <c r="D844" s="25"/>
      <c r="E844" s="50"/>
      <c r="F844" s="167"/>
      <c r="G844" s="168"/>
      <c r="H844" s="169"/>
      <c r="I844" s="141"/>
      <c r="J844" s="141"/>
      <c r="K844" s="141"/>
      <c r="L844" s="25"/>
      <c r="M844" s="25"/>
      <c r="N844" s="25"/>
      <c r="O844" s="143"/>
      <c r="P844" s="143"/>
      <c r="Q844" s="143"/>
      <c r="R844" s="143"/>
      <c r="S844" s="143"/>
      <c r="T844" s="143"/>
      <c r="U844" s="143"/>
      <c r="V844" s="143"/>
      <c r="W844" s="143"/>
      <c r="X844" s="143"/>
      <c r="Y844" s="143"/>
      <c r="Z844" s="143"/>
      <c r="AA844" s="143"/>
      <c r="AB844" s="143"/>
      <c r="AC844" s="143"/>
      <c r="AD844" s="143"/>
    </row>
    <row r="845">
      <c r="A845" s="25"/>
      <c r="B845" s="25"/>
      <c r="C845" s="25"/>
      <c r="D845" s="25"/>
      <c r="E845" s="50"/>
      <c r="F845" s="167"/>
      <c r="G845" s="168"/>
      <c r="H845" s="169"/>
      <c r="I845" s="141"/>
      <c r="J845" s="141"/>
      <c r="K845" s="141"/>
      <c r="L845" s="25"/>
      <c r="M845" s="25"/>
      <c r="N845" s="25"/>
      <c r="O845" s="143"/>
      <c r="P845" s="143"/>
      <c r="Q845" s="143"/>
      <c r="R845" s="143"/>
      <c r="S845" s="143"/>
      <c r="T845" s="143"/>
      <c r="U845" s="143"/>
      <c r="V845" s="143"/>
      <c r="W845" s="143"/>
      <c r="X845" s="143"/>
      <c r="Y845" s="143"/>
      <c r="Z845" s="143"/>
      <c r="AA845" s="143"/>
      <c r="AB845" s="143"/>
      <c r="AC845" s="143"/>
      <c r="AD845" s="143"/>
    </row>
    <row r="846">
      <c r="A846" s="25"/>
      <c r="B846" s="25"/>
      <c r="C846" s="25"/>
      <c r="D846" s="25"/>
      <c r="E846" s="50"/>
      <c r="F846" s="167"/>
      <c r="G846" s="168"/>
      <c r="H846" s="169"/>
      <c r="I846" s="141"/>
      <c r="J846" s="141"/>
      <c r="K846" s="141"/>
      <c r="L846" s="25"/>
      <c r="M846" s="25"/>
      <c r="N846" s="25"/>
      <c r="O846" s="143"/>
      <c r="P846" s="143"/>
      <c r="Q846" s="143"/>
      <c r="R846" s="143"/>
      <c r="S846" s="143"/>
      <c r="T846" s="143"/>
      <c r="U846" s="143"/>
      <c r="V846" s="143"/>
      <c r="W846" s="143"/>
      <c r="X846" s="143"/>
      <c r="Y846" s="143"/>
      <c r="Z846" s="143"/>
      <c r="AA846" s="143"/>
      <c r="AB846" s="143"/>
      <c r="AC846" s="143"/>
      <c r="AD846" s="143"/>
    </row>
    <row r="847">
      <c r="A847" s="25"/>
      <c r="B847" s="25"/>
      <c r="C847" s="25"/>
      <c r="D847" s="25"/>
      <c r="E847" s="50"/>
      <c r="F847" s="167"/>
      <c r="G847" s="168"/>
      <c r="H847" s="169"/>
      <c r="I847" s="141"/>
      <c r="J847" s="141"/>
      <c r="K847" s="141"/>
      <c r="L847" s="25"/>
      <c r="M847" s="25"/>
      <c r="N847" s="25"/>
      <c r="O847" s="143"/>
      <c r="P847" s="143"/>
      <c r="Q847" s="143"/>
      <c r="R847" s="143"/>
      <c r="S847" s="143"/>
      <c r="T847" s="143"/>
      <c r="U847" s="143"/>
      <c r="V847" s="143"/>
      <c r="W847" s="143"/>
      <c r="X847" s="143"/>
      <c r="Y847" s="143"/>
      <c r="Z847" s="143"/>
      <c r="AA847" s="143"/>
      <c r="AB847" s="143"/>
      <c r="AC847" s="143"/>
      <c r="AD847" s="143"/>
    </row>
    <row r="848">
      <c r="A848" s="25"/>
      <c r="B848" s="25"/>
      <c r="C848" s="25"/>
      <c r="D848" s="25"/>
      <c r="E848" s="50"/>
      <c r="F848" s="167"/>
      <c r="G848" s="168"/>
      <c r="H848" s="169"/>
      <c r="I848" s="141"/>
      <c r="J848" s="141"/>
      <c r="K848" s="141"/>
      <c r="L848" s="25"/>
      <c r="M848" s="25"/>
      <c r="N848" s="25"/>
      <c r="O848" s="143"/>
      <c r="P848" s="143"/>
      <c r="Q848" s="143"/>
      <c r="R848" s="143"/>
      <c r="S848" s="143"/>
      <c r="T848" s="143"/>
      <c r="U848" s="143"/>
      <c r="V848" s="143"/>
      <c r="W848" s="143"/>
      <c r="X848" s="143"/>
      <c r="Y848" s="143"/>
      <c r="Z848" s="143"/>
      <c r="AA848" s="143"/>
      <c r="AB848" s="143"/>
      <c r="AC848" s="143"/>
      <c r="AD848" s="143"/>
    </row>
    <row r="849">
      <c r="A849" s="25"/>
      <c r="B849" s="25"/>
      <c r="C849" s="25"/>
      <c r="D849" s="25"/>
      <c r="E849" s="50"/>
      <c r="F849" s="167"/>
      <c r="G849" s="168"/>
      <c r="H849" s="169"/>
      <c r="I849" s="141"/>
      <c r="J849" s="141"/>
      <c r="K849" s="141"/>
      <c r="L849" s="25"/>
      <c r="M849" s="25"/>
      <c r="N849" s="25"/>
      <c r="O849" s="143"/>
      <c r="P849" s="143"/>
      <c r="Q849" s="143"/>
      <c r="R849" s="143"/>
      <c r="S849" s="143"/>
      <c r="T849" s="143"/>
      <c r="U849" s="143"/>
      <c r="V849" s="143"/>
      <c r="W849" s="143"/>
      <c r="X849" s="143"/>
      <c r="Y849" s="143"/>
      <c r="Z849" s="143"/>
      <c r="AA849" s="143"/>
      <c r="AB849" s="143"/>
      <c r="AC849" s="143"/>
      <c r="AD849" s="143"/>
    </row>
    <row r="850">
      <c r="A850" s="25"/>
      <c r="B850" s="25"/>
      <c r="C850" s="25"/>
      <c r="D850" s="25"/>
      <c r="E850" s="50"/>
      <c r="F850" s="167"/>
      <c r="G850" s="168"/>
      <c r="H850" s="169"/>
      <c r="I850" s="141"/>
      <c r="J850" s="141"/>
      <c r="K850" s="141"/>
      <c r="L850" s="25"/>
      <c r="M850" s="25"/>
      <c r="N850" s="25"/>
      <c r="O850" s="143"/>
      <c r="P850" s="143"/>
      <c r="Q850" s="143"/>
      <c r="R850" s="143"/>
      <c r="S850" s="143"/>
      <c r="T850" s="143"/>
      <c r="U850" s="143"/>
      <c r="V850" s="143"/>
      <c r="W850" s="143"/>
      <c r="X850" s="143"/>
      <c r="Y850" s="143"/>
      <c r="Z850" s="143"/>
      <c r="AA850" s="143"/>
      <c r="AB850" s="143"/>
      <c r="AC850" s="143"/>
      <c r="AD850" s="143"/>
    </row>
    <row r="851">
      <c r="A851" s="25"/>
      <c r="B851" s="25"/>
      <c r="C851" s="25"/>
      <c r="D851" s="25"/>
      <c r="E851" s="50"/>
      <c r="F851" s="167"/>
      <c r="G851" s="168"/>
      <c r="H851" s="169"/>
      <c r="I851" s="141"/>
      <c r="J851" s="141"/>
      <c r="K851" s="141"/>
      <c r="L851" s="25"/>
      <c r="M851" s="25"/>
      <c r="N851" s="25"/>
      <c r="O851" s="143"/>
      <c r="P851" s="143"/>
      <c r="Q851" s="143"/>
      <c r="R851" s="143"/>
      <c r="S851" s="143"/>
      <c r="T851" s="143"/>
      <c r="U851" s="143"/>
      <c r="V851" s="143"/>
      <c r="W851" s="143"/>
      <c r="X851" s="143"/>
      <c r="Y851" s="143"/>
      <c r="Z851" s="143"/>
      <c r="AA851" s="143"/>
      <c r="AB851" s="143"/>
      <c r="AC851" s="143"/>
      <c r="AD851" s="143"/>
    </row>
    <row r="852">
      <c r="A852" s="25"/>
      <c r="B852" s="25"/>
      <c r="C852" s="25"/>
      <c r="D852" s="25"/>
      <c r="E852" s="50"/>
      <c r="F852" s="167"/>
      <c r="G852" s="168"/>
      <c r="H852" s="169"/>
      <c r="I852" s="141"/>
      <c r="J852" s="141"/>
      <c r="K852" s="141"/>
      <c r="L852" s="25"/>
      <c r="M852" s="25"/>
      <c r="N852" s="25"/>
      <c r="O852" s="143"/>
      <c r="P852" s="143"/>
      <c r="Q852" s="143"/>
      <c r="R852" s="143"/>
      <c r="S852" s="143"/>
      <c r="T852" s="143"/>
      <c r="U852" s="143"/>
      <c r="V852" s="143"/>
      <c r="W852" s="143"/>
      <c r="X852" s="143"/>
      <c r="Y852" s="143"/>
      <c r="Z852" s="143"/>
      <c r="AA852" s="143"/>
      <c r="AB852" s="143"/>
      <c r="AC852" s="143"/>
      <c r="AD852" s="143"/>
    </row>
    <row r="853">
      <c r="A853" s="25"/>
      <c r="B853" s="25"/>
      <c r="C853" s="25"/>
      <c r="D853" s="25"/>
      <c r="E853" s="50"/>
      <c r="F853" s="167"/>
      <c r="G853" s="168"/>
      <c r="H853" s="169"/>
      <c r="I853" s="141"/>
      <c r="J853" s="141"/>
      <c r="K853" s="141"/>
      <c r="L853" s="25"/>
      <c r="M853" s="25"/>
      <c r="N853" s="25"/>
      <c r="O853" s="143"/>
      <c r="P853" s="143"/>
      <c r="Q853" s="143"/>
      <c r="R853" s="143"/>
      <c r="S853" s="143"/>
      <c r="T853" s="143"/>
      <c r="U853" s="143"/>
      <c r="V853" s="143"/>
      <c r="W853" s="143"/>
      <c r="X853" s="143"/>
      <c r="Y853" s="143"/>
      <c r="Z853" s="143"/>
      <c r="AA853" s="143"/>
      <c r="AB853" s="143"/>
      <c r="AC853" s="143"/>
      <c r="AD853" s="143"/>
    </row>
    <row r="854">
      <c r="A854" s="25"/>
      <c r="B854" s="25"/>
      <c r="C854" s="25"/>
      <c r="D854" s="25"/>
      <c r="E854" s="50"/>
      <c r="F854" s="167"/>
      <c r="G854" s="168"/>
      <c r="H854" s="169"/>
      <c r="I854" s="141"/>
      <c r="J854" s="141"/>
      <c r="K854" s="141"/>
      <c r="L854" s="25"/>
      <c r="M854" s="25"/>
      <c r="N854" s="25"/>
      <c r="O854" s="143"/>
      <c r="P854" s="143"/>
      <c r="Q854" s="143"/>
      <c r="R854" s="143"/>
      <c r="S854" s="143"/>
      <c r="T854" s="143"/>
      <c r="U854" s="143"/>
      <c r="V854" s="143"/>
      <c r="W854" s="143"/>
      <c r="X854" s="143"/>
      <c r="Y854" s="143"/>
      <c r="Z854" s="143"/>
      <c r="AA854" s="143"/>
      <c r="AB854" s="143"/>
      <c r="AC854" s="143"/>
      <c r="AD854" s="143"/>
    </row>
    <row r="855">
      <c r="A855" s="25"/>
      <c r="B855" s="25"/>
      <c r="C855" s="25"/>
      <c r="D855" s="25"/>
      <c r="E855" s="50"/>
      <c r="F855" s="167"/>
      <c r="G855" s="168"/>
      <c r="H855" s="169"/>
      <c r="I855" s="141"/>
      <c r="J855" s="141"/>
      <c r="K855" s="141"/>
      <c r="L855" s="25"/>
      <c r="M855" s="25"/>
      <c r="N855" s="25"/>
      <c r="O855" s="143"/>
      <c r="P855" s="143"/>
      <c r="Q855" s="143"/>
      <c r="R855" s="143"/>
      <c r="S855" s="143"/>
      <c r="T855" s="143"/>
      <c r="U855" s="143"/>
      <c r="V855" s="143"/>
      <c r="W855" s="143"/>
      <c r="X855" s="143"/>
      <c r="Y855" s="143"/>
      <c r="Z855" s="143"/>
      <c r="AA855" s="143"/>
      <c r="AB855" s="143"/>
      <c r="AC855" s="143"/>
      <c r="AD855" s="143"/>
    </row>
    <row r="856">
      <c r="A856" s="25"/>
      <c r="B856" s="25"/>
      <c r="C856" s="25"/>
      <c r="D856" s="25"/>
      <c r="E856" s="50"/>
      <c r="F856" s="167"/>
      <c r="G856" s="168"/>
      <c r="H856" s="169"/>
      <c r="I856" s="141"/>
      <c r="J856" s="141"/>
      <c r="K856" s="141"/>
      <c r="L856" s="25"/>
      <c r="M856" s="25"/>
      <c r="N856" s="25"/>
      <c r="O856" s="143"/>
      <c r="P856" s="143"/>
      <c r="Q856" s="143"/>
      <c r="R856" s="143"/>
      <c r="S856" s="143"/>
      <c r="T856" s="143"/>
      <c r="U856" s="143"/>
      <c r="V856" s="143"/>
      <c r="W856" s="143"/>
      <c r="X856" s="143"/>
      <c r="Y856" s="143"/>
      <c r="Z856" s="143"/>
      <c r="AA856" s="143"/>
      <c r="AB856" s="143"/>
      <c r="AC856" s="143"/>
      <c r="AD856" s="143"/>
    </row>
    <row r="857">
      <c r="A857" s="25"/>
      <c r="B857" s="25"/>
      <c r="C857" s="25"/>
      <c r="D857" s="25"/>
      <c r="E857" s="50"/>
      <c r="F857" s="167"/>
      <c r="G857" s="168"/>
      <c r="H857" s="169"/>
      <c r="I857" s="141"/>
      <c r="J857" s="141"/>
      <c r="K857" s="141"/>
      <c r="L857" s="25"/>
      <c r="M857" s="25"/>
      <c r="N857" s="25"/>
      <c r="O857" s="143"/>
      <c r="P857" s="143"/>
      <c r="Q857" s="143"/>
      <c r="R857" s="143"/>
      <c r="S857" s="143"/>
      <c r="T857" s="143"/>
      <c r="U857" s="143"/>
      <c r="V857" s="143"/>
      <c r="W857" s="143"/>
      <c r="X857" s="143"/>
      <c r="Y857" s="143"/>
      <c r="Z857" s="143"/>
      <c r="AA857" s="143"/>
      <c r="AB857" s="143"/>
      <c r="AC857" s="143"/>
      <c r="AD857" s="143"/>
    </row>
    <row r="858">
      <c r="A858" s="25"/>
      <c r="B858" s="25"/>
      <c r="C858" s="25"/>
      <c r="D858" s="25"/>
      <c r="E858" s="50"/>
      <c r="F858" s="167"/>
      <c r="G858" s="168"/>
      <c r="H858" s="169"/>
      <c r="I858" s="141"/>
      <c r="J858" s="141"/>
      <c r="K858" s="141"/>
      <c r="L858" s="25"/>
      <c r="M858" s="25"/>
      <c r="N858" s="25"/>
      <c r="O858" s="143"/>
      <c r="P858" s="143"/>
      <c r="Q858" s="143"/>
      <c r="R858" s="143"/>
      <c r="S858" s="143"/>
      <c r="T858" s="143"/>
      <c r="U858" s="143"/>
      <c r="V858" s="143"/>
      <c r="W858" s="143"/>
      <c r="X858" s="143"/>
      <c r="Y858" s="143"/>
      <c r="Z858" s="143"/>
      <c r="AA858" s="143"/>
      <c r="AB858" s="143"/>
      <c r="AC858" s="143"/>
      <c r="AD858" s="143"/>
    </row>
    <row r="859">
      <c r="A859" s="25"/>
      <c r="B859" s="25"/>
      <c r="C859" s="25"/>
      <c r="D859" s="25"/>
      <c r="E859" s="50"/>
      <c r="F859" s="167"/>
      <c r="G859" s="168"/>
      <c r="H859" s="169"/>
      <c r="I859" s="141"/>
      <c r="J859" s="141"/>
      <c r="K859" s="141"/>
      <c r="L859" s="25"/>
      <c r="M859" s="25"/>
      <c r="N859" s="25"/>
      <c r="O859" s="143"/>
      <c r="P859" s="143"/>
      <c r="Q859" s="143"/>
      <c r="R859" s="143"/>
      <c r="S859" s="143"/>
      <c r="T859" s="143"/>
      <c r="U859" s="143"/>
      <c r="V859" s="143"/>
      <c r="W859" s="143"/>
      <c r="X859" s="143"/>
      <c r="Y859" s="143"/>
      <c r="Z859" s="143"/>
      <c r="AA859" s="143"/>
      <c r="AB859" s="143"/>
      <c r="AC859" s="143"/>
      <c r="AD859" s="143"/>
    </row>
    <row r="860">
      <c r="A860" s="25"/>
      <c r="B860" s="25"/>
      <c r="C860" s="25"/>
      <c r="D860" s="25"/>
      <c r="E860" s="50"/>
      <c r="F860" s="167"/>
      <c r="G860" s="168"/>
      <c r="H860" s="169"/>
      <c r="I860" s="141"/>
      <c r="J860" s="141"/>
      <c r="K860" s="141"/>
      <c r="L860" s="25"/>
      <c r="M860" s="25"/>
      <c r="N860" s="25"/>
      <c r="O860" s="143"/>
      <c r="P860" s="143"/>
      <c r="Q860" s="143"/>
      <c r="R860" s="143"/>
      <c r="S860" s="143"/>
      <c r="T860" s="143"/>
      <c r="U860" s="143"/>
      <c r="V860" s="143"/>
      <c r="W860" s="143"/>
      <c r="X860" s="143"/>
      <c r="Y860" s="143"/>
      <c r="Z860" s="143"/>
      <c r="AA860" s="143"/>
      <c r="AB860" s="143"/>
      <c r="AC860" s="143"/>
      <c r="AD860" s="143"/>
    </row>
    <row r="861">
      <c r="A861" s="25"/>
      <c r="B861" s="25"/>
      <c r="C861" s="25"/>
      <c r="D861" s="25"/>
      <c r="E861" s="50"/>
      <c r="F861" s="167"/>
      <c r="G861" s="168"/>
      <c r="H861" s="169"/>
      <c r="I861" s="141"/>
      <c r="J861" s="141"/>
      <c r="K861" s="141"/>
      <c r="L861" s="25"/>
      <c r="M861" s="25"/>
      <c r="N861" s="25"/>
      <c r="O861" s="143"/>
      <c r="P861" s="143"/>
      <c r="Q861" s="143"/>
      <c r="R861" s="143"/>
      <c r="S861" s="143"/>
      <c r="T861" s="143"/>
      <c r="U861" s="143"/>
      <c r="V861" s="143"/>
      <c r="W861" s="143"/>
      <c r="X861" s="143"/>
      <c r="Y861" s="143"/>
      <c r="Z861" s="143"/>
      <c r="AA861" s="143"/>
      <c r="AB861" s="143"/>
      <c r="AC861" s="143"/>
      <c r="AD861" s="143"/>
    </row>
    <row r="862">
      <c r="A862" s="25"/>
      <c r="B862" s="25"/>
      <c r="C862" s="25"/>
      <c r="D862" s="25"/>
      <c r="E862" s="50"/>
      <c r="F862" s="167"/>
      <c r="G862" s="168"/>
      <c r="H862" s="169"/>
      <c r="I862" s="141"/>
      <c r="J862" s="141"/>
      <c r="K862" s="141"/>
      <c r="L862" s="25"/>
      <c r="M862" s="25"/>
      <c r="N862" s="25"/>
      <c r="O862" s="143"/>
      <c r="P862" s="143"/>
      <c r="Q862" s="143"/>
      <c r="R862" s="143"/>
      <c r="S862" s="143"/>
      <c r="T862" s="143"/>
      <c r="U862" s="143"/>
      <c r="V862" s="143"/>
      <c r="W862" s="143"/>
      <c r="X862" s="143"/>
      <c r="Y862" s="143"/>
      <c r="Z862" s="143"/>
      <c r="AA862" s="143"/>
      <c r="AB862" s="143"/>
      <c r="AC862" s="143"/>
      <c r="AD862" s="143"/>
    </row>
    <row r="863">
      <c r="A863" s="25"/>
      <c r="B863" s="25"/>
      <c r="C863" s="25"/>
      <c r="D863" s="25"/>
      <c r="E863" s="50"/>
      <c r="F863" s="167"/>
      <c r="G863" s="168"/>
      <c r="H863" s="169"/>
      <c r="I863" s="141"/>
      <c r="J863" s="141"/>
      <c r="K863" s="141"/>
      <c r="L863" s="25"/>
      <c r="M863" s="25"/>
      <c r="N863" s="25"/>
      <c r="O863" s="143"/>
      <c r="P863" s="143"/>
      <c r="Q863" s="143"/>
      <c r="R863" s="143"/>
      <c r="S863" s="143"/>
      <c r="T863" s="143"/>
      <c r="U863" s="143"/>
      <c r="V863" s="143"/>
      <c r="W863" s="143"/>
      <c r="X863" s="143"/>
      <c r="Y863" s="143"/>
      <c r="Z863" s="143"/>
      <c r="AA863" s="143"/>
      <c r="AB863" s="143"/>
      <c r="AC863" s="143"/>
      <c r="AD863" s="143"/>
    </row>
    <row r="864">
      <c r="A864" s="25"/>
      <c r="B864" s="25"/>
      <c r="C864" s="25"/>
      <c r="D864" s="25"/>
      <c r="E864" s="50"/>
      <c r="F864" s="167"/>
      <c r="G864" s="168"/>
      <c r="H864" s="169"/>
      <c r="I864" s="141"/>
      <c r="J864" s="141"/>
      <c r="K864" s="141"/>
      <c r="L864" s="25"/>
      <c r="M864" s="25"/>
      <c r="N864" s="25"/>
      <c r="O864" s="143"/>
      <c r="P864" s="143"/>
      <c r="Q864" s="143"/>
      <c r="R864" s="143"/>
      <c r="S864" s="143"/>
      <c r="T864" s="143"/>
      <c r="U864" s="143"/>
      <c r="V864" s="143"/>
      <c r="W864" s="143"/>
      <c r="X864" s="143"/>
      <c r="Y864" s="143"/>
      <c r="Z864" s="143"/>
      <c r="AA864" s="143"/>
      <c r="AB864" s="143"/>
      <c r="AC864" s="143"/>
      <c r="AD864" s="143"/>
    </row>
    <row r="865">
      <c r="A865" s="25"/>
      <c r="B865" s="25"/>
      <c r="C865" s="25"/>
      <c r="D865" s="25"/>
      <c r="E865" s="50"/>
      <c r="F865" s="167"/>
      <c r="G865" s="168"/>
      <c r="H865" s="169"/>
      <c r="I865" s="141"/>
      <c r="J865" s="141"/>
      <c r="K865" s="141"/>
      <c r="L865" s="25"/>
      <c r="M865" s="25"/>
      <c r="N865" s="25"/>
      <c r="O865" s="143"/>
      <c r="P865" s="143"/>
      <c r="Q865" s="143"/>
      <c r="R865" s="143"/>
      <c r="S865" s="143"/>
      <c r="T865" s="143"/>
      <c r="U865" s="143"/>
      <c r="V865" s="143"/>
      <c r="W865" s="143"/>
      <c r="X865" s="143"/>
      <c r="Y865" s="143"/>
      <c r="Z865" s="143"/>
      <c r="AA865" s="143"/>
      <c r="AB865" s="143"/>
      <c r="AC865" s="143"/>
      <c r="AD865" s="143"/>
    </row>
    <row r="866">
      <c r="A866" s="25"/>
      <c r="B866" s="25"/>
      <c r="C866" s="25"/>
      <c r="D866" s="25"/>
      <c r="E866" s="50"/>
      <c r="F866" s="167"/>
      <c r="G866" s="168"/>
      <c r="H866" s="169"/>
      <c r="I866" s="141"/>
      <c r="J866" s="141"/>
      <c r="K866" s="141"/>
      <c r="L866" s="25"/>
      <c r="M866" s="25"/>
      <c r="N866" s="25"/>
      <c r="O866" s="143"/>
      <c r="P866" s="143"/>
      <c r="Q866" s="143"/>
      <c r="R866" s="143"/>
      <c r="S866" s="143"/>
      <c r="T866" s="143"/>
      <c r="U866" s="143"/>
      <c r="V866" s="143"/>
      <c r="W866" s="143"/>
      <c r="X866" s="143"/>
      <c r="Y866" s="143"/>
      <c r="Z866" s="143"/>
      <c r="AA866" s="143"/>
      <c r="AB866" s="143"/>
      <c r="AC866" s="143"/>
      <c r="AD866" s="143"/>
    </row>
    <row r="867">
      <c r="A867" s="25"/>
      <c r="B867" s="25"/>
      <c r="C867" s="25"/>
      <c r="D867" s="25"/>
      <c r="E867" s="50"/>
      <c r="F867" s="167"/>
      <c r="G867" s="168"/>
      <c r="H867" s="169"/>
      <c r="I867" s="141"/>
      <c r="J867" s="141"/>
      <c r="K867" s="141"/>
      <c r="L867" s="25"/>
      <c r="M867" s="25"/>
      <c r="N867" s="25"/>
      <c r="O867" s="143"/>
      <c r="P867" s="143"/>
      <c r="Q867" s="143"/>
      <c r="R867" s="143"/>
      <c r="S867" s="143"/>
      <c r="T867" s="143"/>
      <c r="U867" s="143"/>
      <c r="V867" s="143"/>
      <c r="W867" s="143"/>
      <c r="X867" s="143"/>
      <c r="Y867" s="143"/>
      <c r="Z867" s="143"/>
      <c r="AA867" s="143"/>
      <c r="AB867" s="143"/>
      <c r="AC867" s="143"/>
      <c r="AD867" s="143"/>
    </row>
    <row r="868">
      <c r="A868" s="25"/>
      <c r="B868" s="25"/>
      <c r="C868" s="25"/>
      <c r="D868" s="25"/>
      <c r="E868" s="50"/>
      <c r="F868" s="167"/>
      <c r="G868" s="168"/>
      <c r="H868" s="169"/>
      <c r="I868" s="141"/>
      <c r="J868" s="141"/>
      <c r="K868" s="141"/>
      <c r="L868" s="25"/>
      <c r="M868" s="25"/>
      <c r="N868" s="25"/>
      <c r="O868" s="143"/>
      <c r="P868" s="143"/>
      <c r="Q868" s="143"/>
      <c r="R868" s="143"/>
      <c r="S868" s="143"/>
      <c r="T868" s="143"/>
      <c r="U868" s="143"/>
      <c r="V868" s="143"/>
      <c r="W868" s="143"/>
      <c r="X868" s="143"/>
      <c r="Y868" s="143"/>
      <c r="Z868" s="143"/>
      <c r="AA868" s="143"/>
      <c r="AB868" s="143"/>
      <c r="AC868" s="143"/>
      <c r="AD868" s="143"/>
    </row>
    <row r="869">
      <c r="A869" s="25"/>
      <c r="B869" s="25"/>
      <c r="C869" s="25"/>
      <c r="D869" s="25"/>
      <c r="E869" s="50"/>
      <c r="F869" s="167"/>
      <c r="G869" s="168"/>
      <c r="H869" s="169"/>
      <c r="I869" s="141"/>
      <c r="J869" s="141"/>
      <c r="K869" s="141"/>
      <c r="L869" s="25"/>
      <c r="M869" s="25"/>
      <c r="N869" s="25"/>
      <c r="O869" s="143"/>
      <c r="P869" s="143"/>
      <c r="Q869" s="143"/>
      <c r="R869" s="143"/>
      <c r="S869" s="143"/>
      <c r="T869" s="143"/>
      <c r="U869" s="143"/>
      <c r="V869" s="143"/>
      <c r="W869" s="143"/>
      <c r="X869" s="143"/>
      <c r="Y869" s="143"/>
      <c r="Z869" s="143"/>
      <c r="AA869" s="143"/>
      <c r="AB869" s="143"/>
      <c r="AC869" s="143"/>
      <c r="AD869" s="143"/>
    </row>
    <row r="870">
      <c r="A870" s="25"/>
      <c r="B870" s="25"/>
      <c r="C870" s="25"/>
      <c r="D870" s="25"/>
      <c r="E870" s="50"/>
      <c r="F870" s="167"/>
      <c r="G870" s="168"/>
      <c r="H870" s="169"/>
      <c r="I870" s="141"/>
      <c r="J870" s="141"/>
      <c r="K870" s="141"/>
      <c r="L870" s="25"/>
      <c r="M870" s="25"/>
      <c r="N870" s="25"/>
      <c r="O870" s="143"/>
      <c r="P870" s="143"/>
      <c r="Q870" s="143"/>
      <c r="R870" s="143"/>
      <c r="S870" s="143"/>
      <c r="T870" s="143"/>
      <c r="U870" s="143"/>
      <c r="V870" s="143"/>
      <c r="W870" s="143"/>
      <c r="X870" s="143"/>
      <c r="Y870" s="143"/>
      <c r="Z870" s="143"/>
      <c r="AA870" s="143"/>
      <c r="AB870" s="143"/>
      <c r="AC870" s="143"/>
      <c r="AD870" s="143"/>
    </row>
    <row r="871">
      <c r="A871" s="25"/>
      <c r="B871" s="25"/>
      <c r="C871" s="25"/>
      <c r="D871" s="25"/>
      <c r="E871" s="50"/>
      <c r="F871" s="167"/>
      <c r="G871" s="168"/>
      <c r="H871" s="169"/>
      <c r="I871" s="141"/>
      <c r="J871" s="141"/>
      <c r="K871" s="141"/>
      <c r="L871" s="25"/>
      <c r="M871" s="25"/>
      <c r="N871" s="25"/>
      <c r="O871" s="143"/>
      <c r="P871" s="143"/>
      <c r="Q871" s="143"/>
      <c r="R871" s="143"/>
      <c r="S871" s="143"/>
      <c r="T871" s="143"/>
      <c r="U871" s="143"/>
      <c r="V871" s="143"/>
      <c r="W871" s="143"/>
      <c r="X871" s="143"/>
      <c r="Y871" s="143"/>
      <c r="Z871" s="143"/>
      <c r="AA871" s="143"/>
      <c r="AB871" s="143"/>
      <c r="AC871" s="143"/>
      <c r="AD871" s="143"/>
    </row>
    <row r="872">
      <c r="A872" s="25"/>
      <c r="B872" s="25"/>
      <c r="C872" s="25"/>
      <c r="D872" s="25"/>
      <c r="E872" s="50"/>
      <c r="F872" s="167"/>
      <c r="G872" s="168"/>
      <c r="H872" s="169"/>
      <c r="I872" s="141"/>
      <c r="J872" s="141"/>
      <c r="K872" s="141"/>
      <c r="L872" s="25"/>
      <c r="M872" s="25"/>
      <c r="N872" s="25"/>
      <c r="O872" s="143"/>
      <c r="P872" s="143"/>
      <c r="Q872" s="143"/>
      <c r="R872" s="143"/>
      <c r="S872" s="143"/>
      <c r="T872" s="143"/>
      <c r="U872" s="143"/>
      <c r="V872" s="143"/>
      <c r="W872" s="143"/>
      <c r="X872" s="143"/>
      <c r="Y872" s="143"/>
      <c r="Z872" s="143"/>
      <c r="AA872" s="143"/>
      <c r="AB872" s="143"/>
      <c r="AC872" s="143"/>
      <c r="AD872" s="143"/>
    </row>
    <row r="873">
      <c r="A873" s="25"/>
      <c r="B873" s="25"/>
      <c r="C873" s="25"/>
      <c r="D873" s="25"/>
      <c r="E873" s="50"/>
      <c r="F873" s="167"/>
      <c r="G873" s="168"/>
      <c r="H873" s="169"/>
      <c r="I873" s="141"/>
      <c r="J873" s="141"/>
      <c r="K873" s="141"/>
      <c r="L873" s="25"/>
      <c r="M873" s="25"/>
      <c r="N873" s="25"/>
      <c r="O873" s="143"/>
      <c r="P873" s="143"/>
      <c r="Q873" s="143"/>
      <c r="R873" s="143"/>
      <c r="S873" s="143"/>
      <c r="T873" s="143"/>
      <c r="U873" s="143"/>
      <c r="V873" s="143"/>
      <c r="W873" s="143"/>
      <c r="X873" s="143"/>
      <c r="Y873" s="143"/>
      <c r="Z873" s="143"/>
      <c r="AA873" s="143"/>
      <c r="AB873" s="143"/>
      <c r="AC873" s="143"/>
      <c r="AD873" s="143"/>
    </row>
    <row r="874">
      <c r="A874" s="25"/>
      <c r="B874" s="25"/>
      <c r="C874" s="25"/>
      <c r="D874" s="25"/>
      <c r="E874" s="50"/>
      <c r="F874" s="167"/>
      <c r="G874" s="168"/>
      <c r="H874" s="169"/>
      <c r="I874" s="141"/>
      <c r="J874" s="141"/>
      <c r="K874" s="141"/>
      <c r="L874" s="25"/>
      <c r="M874" s="25"/>
      <c r="N874" s="25"/>
      <c r="O874" s="143"/>
      <c r="P874" s="143"/>
      <c r="Q874" s="143"/>
      <c r="R874" s="143"/>
      <c r="S874" s="143"/>
      <c r="T874" s="143"/>
      <c r="U874" s="143"/>
      <c r="V874" s="143"/>
      <c r="W874" s="143"/>
      <c r="X874" s="143"/>
      <c r="Y874" s="143"/>
      <c r="Z874" s="143"/>
      <c r="AA874" s="143"/>
      <c r="AB874" s="143"/>
      <c r="AC874" s="143"/>
      <c r="AD874" s="143"/>
    </row>
    <row r="875">
      <c r="A875" s="25"/>
      <c r="B875" s="25"/>
      <c r="C875" s="25"/>
      <c r="D875" s="25"/>
      <c r="E875" s="50"/>
      <c r="F875" s="167"/>
      <c r="G875" s="168"/>
      <c r="H875" s="169"/>
      <c r="I875" s="141"/>
      <c r="J875" s="141"/>
      <c r="K875" s="141"/>
      <c r="L875" s="25"/>
      <c r="M875" s="25"/>
      <c r="N875" s="25"/>
      <c r="O875" s="143"/>
      <c r="P875" s="143"/>
      <c r="Q875" s="143"/>
      <c r="R875" s="143"/>
      <c r="S875" s="143"/>
      <c r="T875" s="143"/>
      <c r="U875" s="143"/>
      <c r="V875" s="143"/>
      <c r="W875" s="143"/>
      <c r="X875" s="143"/>
      <c r="Y875" s="143"/>
      <c r="Z875" s="143"/>
      <c r="AA875" s="143"/>
      <c r="AB875" s="143"/>
      <c r="AC875" s="143"/>
      <c r="AD875" s="143"/>
    </row>
    <row r="876">
      <c r="A876" s="25"/>
      <c r="B876" s="25"/>
      <c r="C876" s="25"/>
      <c r="D876" s="25"/>
      <c r="E876" s="50"/>
      <c r="F876" s="167"/>
      <c r="G876" s="168"/>
      <c r="H876" s="169"/>
      <c r="I876" s="141"/>
      <c r="J876" s="141"/>
      <c r="K876" s="141"/>
      <c r="L876" s="25"/>
      <c r="M876" s="25"/>
      <c r="N876" s="25"/>
      <c r="O876" s="143"/>
      <c r="P876" s="143"/>
      <c r="Q876" s="143"/>
      <c r="R876" s="143"/>
      <c r="S876" s="143"/>
      <c r="T876" s="143"/>
      <c r="U876" s="143"/>
      <c r="V876" s="143"/>
      <c r="W876" s="143"/>
      <c r="X876" s="143"/>
      <c r="Y876" s="143"/>
      <c r="Z876" s="143"/>
      <c r="AA876" s="143"/>
      <c r="AB876" s="143"/>
      <c r="AC876" s="143"/>
      <c r="AD876" s="143"/>
    </row>
    <row r="877">
      <c r="A877" s="25"/>
      <c r="B877" s="25"/>
      <c r="C877" s="25"/>
      <c r="D877" s="25"/>
      <c r="E877" s="50"/>
      <c r="F877" s="167"/>
      <c r="G877" s="168"/>
      <c r="H877" s="169"/>
      <c r="I877" s="141"/>
      <c r="J877" s="141"/>
      <c r="K877" s="141"/>
      <c r="L877" s="25"/>
      <c r="M877" s="25"/>
      <c r="N877" s="25"/>
      <c r="O877" s="143"/>
      <c r="P877" s="143"/>
      <c r="Q877" s="143"/>
      <c r="R877" s="143"/>
      <c r="S877" s="143"/>
      <c r="T877" s="143"/>
      <c r="U877" s="143"/>
      <c r="V877" s="143"/>
      <c r="W877" s="143"/>
      <c r="X877" s="143"/>
      <c r="Y877" s="143"/>
      <c r="Z877" s="143"/>
      <c r="AA877" s="143"/>
      <c r="AB877" s="143"/>
      <c r="AC877" s="143"/>
      <c r="AD877" s="143"/>
    </row>
    <row r="878">
      <c r="A878" s="25"/>
      <c r="B878" s="25"/>
      <c r="C878" s="25"/>
      <c r="D878" s="25"/>
      <c r="E878" s="50"/>
      <c r="F878" s="167"/>
      <c r="G878" s="168"/>
      <c r="H878" s="169"/>
      <c r="I878" s="141"/>
      <c r="J878" s="141"/>
      <c r="K878" s="141"/>
      <c r="L878" s="25"/>
      <c r="M878" s="25"/>
      <c r="N878" s="25"/>
      <c r="O878" s="143"/>
      <c r="P878" s="143"/>
      <c r="Q878" s="143"/>
      <c r="R878" s="143"/>
      <c r="S878" s="143"/>
      <c r="T878" s="143"/>
      <c r="U878" s="143"/>
      <c r="V878" s="143"/>
      <c r="W878" s="143"/>
      <c r="X878" s="143"/>
      <c r="Y878" s="143"/>
      <c r="Z878" s="143"/>
      <c r="AA878" s="143"/>
      <c r="AB878" s="143"/>
      <c r="AC878" s="143"/>
      <c r="AD878" s="143"/>
    </row>
    <row r="879">
      <c r="A879" s="25"/>
      <c r="B879" s="25"/>
      <c r="C879" s="25"/>
      <c r="D879" s="25"/>
      <c r="E879" s="50"/>
      <c r="F879" s="167"/>
      <c r="G879" s="168"/>
      <c r="H879" s="169"/>
      <c r="I879" s="141"/>
      <c r="J879" s="141"/>
      <c r="K879" s="141"/>
      <c r="L879" s="25"/>
      <c r="M879" s="25"/>
      <c r="N879" s="25"/>
      <c r="O879" s="143"/>
      <c r="P879" s="143"/>
      <c r="Q879" s="143"/>
      <c r="R879" s="143"/>
      <c r="S879" s="143"/>
      <c r="T879" s="143"/>
      <c r="U879" s="143"/>
      <c r="V879" s="143"/>
      <c r="W879" s="143"/>
      <c r="X879" s="143"/>
      <c r="Y879" s="143"/>
      <c r="Z879" s="143"/>
      <c r="AA879" s="143"/>
      <c r="AB879" s="143"/>
      <c r="AC879" s="143"/>
      <c r="AD879" s="143"/>
    </row>
    <row r="880">
      <c r="A880" s="25"/>
      <c r="B880" s="25"/>
      <c r="C880" s="25"/>
      <c r="D880" s="25"/>
      <c r="E880" s="50"/>
      <c r="F880" s="167"/>
      <c r="G880" s="168"/>
      <c r="H880" s="169"/>
      <c r="I880" s="141"/>
      <c r="J880" s="141"/>
      <c r="K880" s="141"/>
      <c r="L880" s="25"/>
      <c r="M880" s="25"/>
      <c r="N880" s="25"/>
      <c r="O880" s="143"/>
      <c r="P880" s="143"/>
      <c r="Q880" s="143"/>
      <c r="R880" s="143"/>
      <c r="S880" s="143"/>
      <c r="T880" s="143"/>
      <c r="U880" s="143"/>
      <c r="V880" s="143"/>
      <c r="W880" s="143"/>
      <c r="X880" s="143"/>
      <c r="Y880" s="143"/>
      <c r="Z880" s="143"/>
      <c r="AA880" s="143"/>
      <c r="AB880" s="143"/>
      <c r="AC880" s="143"/>
      <c r="AD880" s="143"/>
    </row>
    <row r="881">
      <c r="A881" s="25"/>
      <c r="B881" s="25"/>
      <c r="C881" s="25"/>
      <c r="D881" s="25"/>
      <c r="E881" s="50"/>
      <c r="F881" s="167"/>
      <c r="G881" s="168"/>
      <c r="H881" s="169"/>
      <c r="I881" s="141"/>
      <c r="J881" s="141"/>
      <c r="K881" s="141"/>
      <c r="L881" s="25"/>
      <c r="M881" s="25"/>
      <c r="N881" s="25"/>
      <c r="O881" s="143"/>
      <c r="P881" s="143"/>
      <c r="Q881" s="143"/>
      <c r="R881" s="143"/>
      <c r="S881" s="143"/>
      <c r="T881" s="143"/>
      <c r="U881" s="143"/>
      <c r="V881" s="143"/>
      <c r="W881" s="143"/>
      <c r="X881" s="143"/>
      <c r="Y881" s="143"/>
      <c r="Z881" s="143"/>
      <c r="AA881" s="143"/>
      <c r="AB881" s="143"/>
      <c r="AC881" s="143"/>
      <c r="AD881" s="143"/>
    </row>
    <row r="882">
      <c r="A882" s="25"/>
      <c r="B882" s="25"/>
      <c r="C882" s="25"/>
      <c r="D882" s="25"/>
      <c r="E882" s="50"/>
      <c r="F882" s="167"/>
      <c r="G882" s="168"/>
      <c r="H882" s="169"/>
      <c r="I882" s="141"/>
      <c r="J882" s="141"/>
      <c r="K882" s="141"/>
      <c r="L882" s="25"/>
      <c r="M882" s="25"/>
      <c r="N882" s="25"/>
      <c r="O882" s="143"/>
      <c r="P882" s="143"/>
      <c r="Q882" s="143"/>
      <c r="R882" s="143"/>
      <c r="S882" s="143"/>
      <c r="T882" s="143"/>
      <c r="U882" s="143"/>
      <c r="V882" s="143"/>
      <c r="W882" s="143"/>
      <c r="X882" s="143"/>
      <c r="Y882" s="143"/>
      <c r="Z882" s="143"/>
      <c r="AA882" s="143"/>
      <c r="AB882" s="143"/>
      <c r="AC882" s="143"/>
      <c r="AD882" s="143"/>
    </row>
    <row r="883">
      <c r="A883" s="25"/>
      <c r="B883" s="25"/>
      <c r="C883" s="25"/>
      <c r="D883" s="25"/>
      <c r="E883" s="50"/>
      <c r="F883" s="167"/>
      <c r="G883" s="168"/>
      <c r="H883" s="169"/>
      <c r="I883" s="141"/>
      <c r="J883" s="141"/>
      <c r="K883" s="141"/>
      <c r="L883" s="25"/>
      <c r="M883" s="25"/>
      <c r="N883" s="25"/>
      <c r="O883" s="143"/>
      <c r="P883" s="143"/>
      <c r="Q883" s="143"/>
      <c r="R883" s="143"/>
      <c r="S883" s="143"/>
      <c r="T883" s="143"/>
      <c r="U883" s="143"/>
      <c r="V883" s="143"/>
      <c r="W883" s="143"/>
      <c r="X883" s="143"/>
      <c r="Y883" s="143"/>
      <c r="Z883" s="143"/>
      <c r="AA883" s="143"/>
      <c r="AB883" s="143"/>
      <c r="AC883" s="143"/>
      <c r="AD883" s="143"/>
    </row>
    <row r="884">
      <c r="A884" s="25"/>
      <c r="B884" s="25"/>
      <c r="C884" s="25"/>
      <c r="D884" s="25"/>
      <c r="E884" s="50"/>
      <c r="F884" s="167"/>
      <c r="G884" s="168"/>
      <c r="H884" s="169"/>
      <c r="I884" s="141"/>
      <c r="J884" s="141"/>
      <c r="K884" s="141"/>
      <c r="L884" s="25"/>
      <c r="M884" s="25"/>
      <c r="N884" s="25"/>
      <c r="O884" s="143"/>
      <c r="P884" s="143"/>
      <c r="Q884" s="143"/>
      <c r="R884" s="143"/>
      <c r="S884" s="143"/>
      <c r="T884" s="143"/>
      <c r="U884" s="143"/>
      <c r="V884" s="143"/>
      <c r="W884" s="143"/>
      <c r="X884" s="143"/>
      <c r="Y884" s="143"/>
      <c r="Z884" s="143"/>
      <c r="AA884" s="143"/>
      <c r="AB884" s="143"/>
      <c r="AC884" s="143"/>
      <c r="AD884" s="143"/>
    </row>
    <row r="885">
      <c r="A885" s="25"/>
      <c r="B885" s="25"/>
      <c r="C885" s="25"/>
      <c r="D885" s="25"/>
      <c r="E885" s="50"/>
      <c r="F885" s="167"/>
      <c r="G885" s="168"/>
      <c r="H885" s="169"/>
      <c r="I885" s="141"/>
      <c r="J885" s="141"/>
      <c r="K885" s="141"/>
      <c r="L885" s="25"/>
      <c r="M885" s="25"/>
      <c r="N885" s="25"/>
      <c r="O885" s="143"/>
      <c r="P885" s="143"/>
      <c r="Q885" s="143"/>
      <c r="R885" s="143"/>
      <c r="S885" s="143"/>
      <c r="T885" s="143"/>
      <c r="U885" s="143"/>
      <c r="V885" s="143"/>
      <c r="W885" s="143"/>
      <c r="X885" s="143"/>
      <c r="Y885" s="143"/>
      <c r="Z885" s="143"/>
      <c r="AA885" s="143"/>
      <c r="AB885" s="143"/>
      <c r="AC885" s="143"/>
      <c r="AD885" s="143"/>
    </row>
    <row r="886">
      <c r="A886" s="25"/>
      <c r="B886" s="25"/>
      <c r="C886" s="25"/>
      <c r="D886" s="25"/>
      <c r="E886" s="50"/>
      <c r="F886" s="167"/>
      <c r="G886" s="168"/>
      <c r="H886" s="169"/>
      <c r="I886" s="141"/>
      <c r="J886" s="141"/>
      <c r="K886" s="141"/>
      <c r="L886" s="25"/>
      <c r="M886" s="25"/>
      <c r="N886" s="25"/>
      <c r="O886" s="143"/>
      <c r="P886" s="143"/>
      <c r="Q886" s="143"/>
      <c r="R886" s="143"/>
      <c r="S886" s="143"/>
      <c r="T886" s="143"/>
      <c r="U886" s="143"/>
      <c r="V886" s="143"/>
      <c r="W886" s="143"/>
      <c r="X886" s="143"/>
      <c r="Y886" s="143"/>
      <c r="Z886" s="143"/>
      <c r="AA886" s="143"/>
      <c r="AB886" s="143"/>
      <c r="AC886" s="143"/>
      <c r="AD886" s="143"/>
    </row>
    <row r="887">
      <c r="A887" s="25"/>
      <c r="B887" s="25"/>
      <c r="C887" s="25"/>
      <c r="D887" s="25"/>
      <c r="E887" s="50"/>
      <c r="F887" s="167"/>
      <c r="G887" s="168"/>
      <c r="H887" s="169"/>
      <c r="I887" s="141"/>
      <c r="J887" s="141"/>
      <c r="K887" s="141"/>
      <c r="L887" s="25"/>
      <c r="M887" s="25"/>
      <c r="N887" s="25"/>
      <c r="O887" s="143"/>
      <c r="P887" s="143"/>
      <c r="Q887" s="143"/>
      <c r="R887" s="143"/>
      <c r="S887" s="143"/>
      <c r="T887" s="143"/>
      <c r="U887" s="143"/>
      <c r="V887" s="143"/>
      <c r="W887" s="143"/>
      <c r="X887" s="143"/>
      <c r="Y887" s="143"/>
      <c r="Z887" s="143"/>
      <c r="AA887" s="143"/>
      <c r="AB887" s="143"/>
      <c r="AC887" s="143"/>
      <c r="AD887" s="143"/>
    </row>
    <row r="888">
      <c r="A888" s="25"/>
      <c r="B888" s="25"/>
      <c r="C888" s="25"/>
      <c r="D888" s="25"/>
      <c r="E888" s="50"/>
      <c r="F888" s="167"/>
      <c r="G888" s="168"/>
      <c r="H888" s="169"/>
      <c r="I888" s="141"/>
      <c r="J888" s="141"/>
      <c r="K888" s="141"/>
      <c r="L888" s="25"/>
      <c r="M888" s="25"/>
      <c r="N888" s="25"/>
      <c r="O888" s="143"/>
      <c r="P888" s="143"/>
      <c r="Q888" s="143"/>
      <c r="R888" s="143"/>
      <c r="S888" s="143"/>
      <c r="T888" s="143"/>
      <c r="U888" s="143"/>
      <c r="V888" s="143"/>
      <c r="W888" s="143"/>
      <c r="X888" s="143"/>
      <c r="Y888" s="143"/>
      <c r="Z888" s="143"/>
      <c r="AA888" s="143"/>
      <c r="AB888" s="143"/>
      <c r="AC888" s="143"/>
      <c r="AD888" s="143"/>
    </row>
    <row r="889">
      <c r="A889" s="25"/>
      <c r="B889" s="25"/>
      <c r="C889" s="25"/>
      <c r="D889" s="25"/>
      <c r="E889" s="50"/>
      <c r="F889" s="167"/>
      <c r="G889" s="168"/>
      <c r="H889" s="169"/>
      <c r="I889" s="141"/>
      <c r="J889" s="141"/>
      <c r="K889" s="141"/>
      <c r="L889" s="25"/>
      <c r="M889" s="25"/>
      <c r="N889" s="25"/>
      <c r="O889" s="143"/>
      <c r="P889" s="143"/>
      <c r="Q889" s="143"/>
      <c r="R889" s="143"/>
      <c r="S889" s="143"/>
      <c r="T889" s="143"/>
      <c r="U889" s="143"/>
      <c r="V889" s="143"/>
      <c r="W889" s="143"/>
      <c r="X889" s="143"/>
      <c r="Y889" s="143"/>
      <c r="Z889" s="143"/>
      <c r="AA889" s="143"/>
      <c r="AB889" s="143"/>
      <c r="AC889" s="143"/>
      <c r="AD889" s="143"/>
    </row>
    <row r="890">
      <c r="A890" s="25"/>
      <c r="B890" s="25"/>
      <c r="C890" s="25"/>
      <c r="D890" s="25"/>
      <c r="E890" s="50"/>
      <c r="F890" s="167"/>
      <c r="G890" s="168"/>
      <c r="H890" s="169"/>
      <c r="I890" s="141"/>
      <c r="J890" s="141"/>
      <c r="K890" s="141"/>
      <c r="L890" s="25"/>
      <c r="M890" s="25"/>
      <c r="N890" s="25"/>
      <c r="O890" s="143"/>
      <c r="P890" s="143"/>
      <c r="Q890" s="143"/>
      <c r="R890" s="143"/>
      <c r="S890" s="143"/>
      <c r="T890" s="143"/>
      <c r="U890" s="143"/>
      <c r="V890" s="143"/>
      <c r="W890" s="143"/>
      <c r="X890" s="143"/>
      <c r="Y890" s="143"/>
      <c r="Z890" s="143"/>
      <c r="AA890" s="143"/>
      <c r="AB890" s="143"/>
      <c r="AC890" s="143"/>
      <c r="AD890" s="143"/>
    </row>
    <row r="891">
      <c r="A891" s="25"/>
      <c r="B891" s="25"/>
      <c r="C891" s="25"/>
      <c r="D891" s="25"/>
      <c r="E891" s="50"/>
      <c r="F891" s="167"/>
      <c r="G891" s="168"/>
      <c r="H891" s="169"/>
      <c r="I891" s="141"/>
      <c r="J891" s="141"/>
      <c r="K891" s="141"/>
      <c r="L891" s="25"/>
      <c r="M891" s="25"/>
      <c r="N891" s="25"/>
      <c r="O891" s="143"/>
      <c r="P891" s="143"/>
      <c r="Q891" s="143"/>
      <c r="R891" s="143"/>
      <c r="S891" s="143"/>
      <c r="T891" s="143"/>
      <c r="U891" s="143"/>
      <c r="V891" s="143"/>
      <c r="W891" s="143"/>
      <c r="X891" s="143"/>
      <c r="Y891" s="143"/>
      <c r="Z891" s="143"/>
      <c r="AA891" s="143"/>
      <c r="AB891" s="143"/>
      <c r="AC891" s="143"/>
      <c r="AD891" s="143"/>
    </row>
    <row r="892">
      <c r="A892" s="25"/>
      <c r="B892" s="25"/>
      <c r="C892" s="25"/>
      <c r="D892" s="25"/>
      <c r="E892" s="50"/>
      <c r="F892" s="167"/>
      <c r="G892" s="168"/>
      <c r="H892" s="169"/>
      <c r="I892" s="141"/>
      <c r="J892" s="141"/>
      <c r="K892" s="141"/>
      <c r="L892" s="25"/>
      <c r="M892" s="25"/>
      <c r="N892" s="25"/>
      <c r="O892" s="143"/>
      <c r="P892" s="143"/>
      <c r="Q892" s="143"/>
      <c r="R892" s="143"/>
      <c r="S892" s="143"/>
      <c r="T892" s="143"/>
      <c r="U892" s="143"/>
      <c r="V892" s="143"/>
      <c r="W892" s="143"/>
      <c r="X892" s="143"/>
      <c r="Y892" s="143"/>
      <c r="Z892" s="143"/>
      <c r="AA892" s="143"/>
      <c r="AB892" s="143"/>
      <c r="AC892" s="143"/>
      <c r="AD892" s="143"/>
    </row>
    <row r="893">
      <c r="A893" s="25"/>
      <c r="B893" s="25"/>
      <c r="C893" s="25"/>
      <c r="D893" s="25"/>
      <c r="E893" s="50"/>
      <c r="F893" s="167"/>
      <c r="G893" s="168"/>
      <c r="H893" s="169"/>
      <c r="I893" s="141"/>
      <c r="J893" s="141"/>
      <c r="K893" s="141"/>
      <c r="L893" s="25"/>
      <c r="M893" s="25"/>
      <c r="N893" s="25"/>
      <c r="O893" s="143"/>
      <c r="P893" s="143"/>
      <c r="Q893" s="143"/>
      <c r="R893" s="143"/>
      <c r="S893" s="143"/>
      <c r="T893" s="143"/>
      <c r="U893" s="143"/>
      <c r="V893" s="143"/>
      <c r="W893" s="143"/>
      <c r="X893" s="143"/>
      <c r="Y893" s="143"/>
      <c r="Z893" s="143"/>
      <c r="AA893" s="143"/>
      <c r="AB893" s="143"/>
      <c r="AC893" s="143"/>
      <c r="AD893" s="143"/>
    </row>
    <row r="894">
      <c r="A894" s="25"/>
      <c r="B894" s="25"/>
      <c r="C894" s="25"/>
      <c r="D894" s="25"/>
      <c r="E894" s="50"/>
      <c r="F894" s="167"/>
      <c r="G894" s="168"/>
      <c r="H894" s="169"/>
      <c r="I894" s="141"/>
      <c r="J894" s="141"/>
      <c r="K894" s="141"/>
      <c r="L894" s="25"/>
      <c r="M894" s="25"/>
      <c r="N894" s="25"/>
      <c r="O894" s="143"/>
      <c r="P894" s="143"/>
      <c r="Q894" s="143"/>
      <c r="R894" s="143"/>
      <c r="S894" s="143"/>
      <c r="T894" s="143"/>
      <c r="U894" s="143"/>
      <c r="V894" s="143"/>
      <c r="W894" s="143"/>
      <c r="X894" s="143"/>
      <c r="Y894" s="143"/>
      <c r="Z894" s="143"/>
      <c r="AA894" s="143"/>
      <c r="AB894" s="143"/>
      <c r="AC894" s="143"/>
      <c r="AD894" s="143"/>
    </row>
    <row r="895">
      <c r="A895" s="25"/>
      <c r="B895" s="25"/>
      <c r="C895" s="25"/>
      <c r="D895" s="25"/>
      <c r="E895" s="50"/>
      <c r="F895" s="167"/>
      <c r="G895" s="168"/>
      <c r="H895" s="169"/>
      <c r="I895" s="141"/>
      <c r="J895" s="141"/>
      <c r="K895" s="141"/>
      <c r="L895" s="25"/>
      <c r="M895" s="25"/>
      <c r="N895" s="25"/>
      <c r="O895" s="143"/>
      <c r="P895" s="143"/>
      <c r="Q895" s="143"/>
      <c r="R895" s="143"/>
      <c r="S895" s="143"/>
      <c r="T895" s="143"/>
      <c r="U895" s="143"/>
      <c r="V895" s="143"/>
      <c r="W895" s="143"/>
      <c r="X895" s="143"/>
      <c r="Y895" s="143"/>
      <c r="Z895" s="143"/>
      <c r="AA895" s="143"/>
      <c r="AB895" s="143"/>
      <c r="AC895" s="143"/>
      <c r="AD895" s="143"/>
    </row>
    <row r="896">
      <c r="A896" s="25"/>
      <c r="B896" s="25"/>
      <c r="C896" s="25"/>
      <c r="D896" s="25"/>
      <c r="E896" s="50"/>
      <c r="F896" s="167"/>
      <c r="G896" s="168"/>
      <c r="H896" s="169"/>
      <c r="I896" s="141"/>
      <c r="J896" s="141"/>
      <c r="K896" s="141"/>
      <c r="L896" s="25"/>
      <c r="M896" s="25"/>
      <c r="N896" s="25"/>
      <c r="O896" s="143"/>
      <c r="P896" s="143"/>
      <c r="Q896" s="143"/>
      <c r="R896" s="143"/>
      <c r="S896" s="143"/>
      <c r="T896" s="143"/>
      <c r="U896" s="143"/>
      <c r="V896" s="143"/>
      <c r="W896" s="143"/>
      <c r="X896" s="143"/>
      <c r="Y896" s="143"/>
      <c r="Z896" s="143"/>
      <c r="AA896" s="143"/>
      <c r="AB896" s="143"/>
      <c r="AC896" s="143"/>
      <c r="AD896" s="143"/>
    </row>
    <row r="897">
      <c r="A897" s="25"/>
      <c r="B897" s="25"/>
      <c r="C897" s="25"/>
      <c r="D897" s="25"/>
      <c r="E897" s="50"/>
      <c r="F897" s="167"/>
      <c r="G897" s="168"/>
      <c r="H897" s="169"/>
      <c r="I897" s="141"/>
      <c r="J897" s="141"/>
      <c r="K897" s="141"/>
      <c r="L897" s="25"/>
      <c r="M897" s="25"/>
      <c r="N897" s="25"/>
      <c r="O897" s="143"/>
      <c r="P897" s="143"/>
      <c r="Q897" s="143"/>
      <c r="R897" s="143"/>
      <c r="S897" s="143"/>
      <c r="T897" s="143"/>
      <c r="U897" s="143"/>
      <c r="V897" s="143"/>
      <c r="W897" s="143"/>
      <c r="X897" s="143"/>
      <c r="Y897" s="143"/>
      <c r="Z897" s="143"/>
      <c r="AA897" s="143"/>
      <c r="AB897" s="143"/>
      <c r="AC897" s="143"/>
      <c r="AD897" s="143"/>
    </row>
    <row r="898">
      <c r="A898" s="25"/>
      <c r="B898" s="25"/>
      <c r="C898" s="25"/>
      <c r="D898" s="25"/>
      <c r="E898" s="50"/>
      <c r="F898" s="167"/>
      <c r="G898" s="168"/>
      <c r="H898" s="169"/>
      <c r="I898" s="141"/>
      <c r="J898" s="141"/>
      <c r="K898" s="141"/>
      <c r="L898" s="25"/>
      <c r="M898" s="25"/>
      <c r="N898" s="25"/>
      <c r="O898" s="143"/>
      <c r="P898" s="143"/>
      <c r="Q898" s="143"/>
      <c r="R898" s="143"/>
      <c r="S898" s="143"/>
      <c r="T898" s="143"/>
      <c r="U898" s="143"/>
      <c r="V898" s="143"/>
      <c r="W898" s="143"/>
      <c r="X898" s="143"/>
      <c r="Y898" s="143"/>
      <c r="Z898" s="143"/>
      <c r="AA898" s="143"/>
      <c r="AB898" s="143"/>
      <c r="AC898" s="143"/>
      <c r="AD898" s="143"/>
    </row>
    <row r="899">
      <c r="A899" s="25"/>
      <c r="B899" s="25"/>
      <c r="C899" s="25"/>
      <c r="D899" s="25"/>
      <c r="E899" s="50"/>
      <c r="F899" s="167"/>
      <c r="G899" s="168"/>
      <c r="H899" s="169"/>
      <c r="I899" s="141"/>
      <c r="J899" s="141"/>
      <c r="K899" s="141"/>
      <c r="L899" s="25"/>
      <c r="M899" s="25"/>
      <c r="N899" s="25"/>
      <c r="O899" s="143"/>
      <c r="P899" s="143"/>
      <c r="Q899" s="143"/>
      <c r="R899" s="143"/>
      <c r="S899" s="143"/>
      <c r="T899" s="143"/>
      <c r="U899" s="143"/>
      <c r="V899" s="143"/>
      <c r="W899" s="143"/>
      <c r="X899" s="143"/>
      <c r="Y899" s="143"/>
      <c r="Z899" s="143"/>
      <c r="AA899" s="143"/>
      <c r="AB899" s="143"/>
      <c r="AC899" s="143"/>
      <c r="AD899" s="143"/>
    </row>
    <row r="900">
      <c r="A900" s="25"/>
      <c r="B900" s="25"/>
      <c r="C900" s="25"/>
      <c r="D900" s="25"/>
      <c r="E900" s="50"/>
      <c r="F900" s="167"/>
      <c r="G900" s="168"/>
      <c r="H900" s="169"/>
      <c r="I900" s="141"/>
      <c r="J900" s="141"/>
      <c r="K900" s="141"/>
      <c r="L900" s="25"/>
      <c r="M900" s="25"/>
      <c r="N900" s="25"/>
      <c r="O900" s="143"/>
      <c r="P900" s="143"/>
      <c r="Q900" s="143"/>
      <c r="R900" s="143"/>
      <c r="S900" s="143"/>
      <c r="T900" s="143"/>
      <c r="U900" s="143"/>
      <c r="V900" s="143"/>
      <c r="W900" s="143"/>
      <c r="X900" s="143"/>
      <c r="Y900" s="143"/>
      <c r="Z900" s="143"/>
      <c r="AA900" s="143"/>
      <c r="AB900" s="143"/>
      <c r="AC900" s="143"/>
      <c r="AD900" s="143"/>
    </row>
    <row r="901">
      <c r="A901" s="25"/>
      <c r="B901" s="25"/>
      <c r="C901" s="25"/>
      <c r="D901" s="25"/>
      <c r="E901" s="50"/>
      <c r="F901" s="167"/>
      <c r="G901" s="168"/>
      <c r="H901" s="169"/>
      <c r="I901" s="141"/>
      <c r="J901" s="141"/>
      <c r="K901" s="141"/>
      <c r="L901" s="25"/>
      <c r="M901" s="25"/>
      <c r="N901" s="25"/>
      <c r="O901" s="143"/>
      <c r="P901" s="143"/>
      <c r="Q901" s="143"/>
      <c r="R901" s="143"/>
      <c r="S901" s="143"/>
      <c r="T901" s="143"/>
      <c r="U901" s="143"/>
      <c r="V901" s="143"/>
      <c r="W901" s="143"/>
      <c r="X901" s="143"/>
      <c r="Y901" s="143"/>
      <c r="Z901" s="143"/>
      <c r="AA901" s="143"/>
      <c r="AB901" s="143"/>
      <c r="AC901" s="143"/>
      <c r="AD901" s="143"/>
    </row>
    <row r="902">
      <c r="A902" s="25"/>
      <c r="B902" s="25"/>
      <c r="C902" s="25"/>
      <c r="D902" s="25"/>
      <c r="E902" s="50"/>
      <c r="F902" s="167"/>
      <c r="G902" s="168"/>
      <c r="H902" s="169"/>
      <c r="I902" s="141"/>
      <c r="J902" s="141"/>
      <c r="K902" s="141"/>
      <c r="L902" s="25"/>
      <c r="M902" s="25"/>
      <c r="N902" s="25"/>
      <c r="O902" s="143"/>
      <c r="P902" s="143"/>
      <c r="Q902" s="143"/>
      <c r="R902" s="143"/>
      <c r="S902" s="143"/>
      <c r="T902" s="143"/>
      <c r="U902" s="143"/>
      <c r="V902" s="143"/>
      <c r="W902" s="143"/>
      <c r="X902" s="143"/>
      <c r="Y902" s="143"/>
      <c r="Z902" s="143"/>
      <c r="AA902" s="143"/>
      <c r="AB902" s="143"/>
      <c r="AC902" s="143"/>
      <c r="AD902" s="143"/>
    </row>
    <row r="903">
      <c r="A903" s="25"/>
      <c r="B903" s="25"/>
      <c r="C903" s="25"/>
      <c r="D903" s="25"/>
      <c r="E903" s="50"/>
      <c r="F903" s="167"/>
      <c r="G903" s="168"/>
      <c r="H903" s="169"/>
      <c r="I903" s="141"/>
      <c r="J903" s="141"/>
      <c r="K903" s="141"/>
      <c r="L903" s="25"/>
      <c r="M903" s="25"/>
      <c r="N903" s="25"/>
      <c r="O903" s="143"/>
      <c r="P903" s="143"/>
      <c r="Q903" s="143"/>
      <c r="R903" s="143"/>
      <c r="S903" s="143"/>
      <c r="T903" s="143"/>
      <c r="U903" s="143"/>
      <c r="V903" s="143"/>
      <c r="W903" s="143"/>
      <c r="X903" s="143"/>
      <c r="Y903" s="143"/>
      <c r="Z903" s="143"/>
      <c r="AA903" s="143"/>
      <c r="AB903" s="143"/>
      <c r="AC903" s="143"/>
      <c r="AD903" s="143"/>
    </row>
    <row r="904">
      <c r="A904" s="25"/>
      <c r="B904" s="25"/>
      <c r="C904" s="25"/>
      <c r="D904" s="25"/>
      <c r="E904" s="50"/>
      <c r="F904" s="167"/>
      <c r="G904" s="168"/>
      <c r="H904" s="169"/>
      <c r="I904" s="141"/>
      <c r="J904" s="141"/>
      <c r="K904" s="141"/>
      <c r="L904" s="25"/>
      <c r="M904" s="25"/>
      <c r="N904" s="25"/>
      <c r="O904" s="143"/>
      <c r="P904" s="143"/>
      <c r="Q904" s="143"/>
      <c r="R904" s="143"/>
      <c r="S904" s="143"/>
      <c r="T904" s="143"/>
      <c r="U904" s="143"/>
      <c r="V904" s="143"/>
      <c r="W904" s="143"/>
      <c r="X904" s="143"/>
      <c r="Y904" s="143"/>
      <c r="Z904" s="143"/>
      <c r="AA904" s="143"/>
      <c r="AB904" s="143"/>
      <c r="AC904" s="143"/>
      <c r="AD904" s="143"/>
    </row>
    <row r="905">
      <c r="A905" s="25"/>
      <c r="B905" s="25"/>
      <c r="C905" s="25"/>
      <c r="D905" s="25"/>
      <c r="E905" s="50"/>
      <c r="F905" s="167"/>
      <c r="G905" s="168"/>
      <c r="H905" s="169"/>
      <c r="I905" s="141"/>
      <c r="J905" s="141"/>
      <c r="K905" s="141"/>
      <c r="L905" s="25"/>
      <c r="M905" s="25"/>
      <c r="N905" s="25"/>
      <c r="O905" s="143"/>
      <c r="P905" s="143"/>
      <c r="Q905" s="143"/>
      <c r="R905" s="143"/>
      <c r="S905" s="143"/>
      <c r="T905" s="143"/>
      <c r="U905" s="143"/>
      <c r="V905" s="143"/>
      <c r="W905" s="143"/>
      <c r="X905" s="143"/>
      <c r="Y905" s="143"/>
      <c r="Z905" s="143"/>
      <c r="AA905" s="143"/>
      <c r="AB905" s="143"/>
      <c r="AC905" s="143"/>
      <c r="AD905" s="143"/>
    </row>
    <row r="906">
      <c r="A906" s="25"/>
      <c r="B906" s="25"/>
      <c r="C906" s="25"/>
      <c r="D906" s="25"/>
      <c r="E906" s="50"/>
      <c r="F906" s="167"/>
      <c r="G906" s="168"/>
      <c r="H906" s="169"/>
      <c r="I906" s="141"/>
      <c r="J906" s="141"/>
      <c r="K906" s="141"/>
      <c r="L906" s="25"/>
      <c r="M906" s="25"/>
      <c r="N906" s="25"/>
      <c r="O906" s="143"/>
      <c r="P906" s="143"/>
      <c r="Q906" s="143"/>
      <c r="R906" s="143"/>
      <c r="S906" s="143"/>
      <c r="T906" s="143"/>
      <c r="U906" s="143"/>
      <c r="V906" s="143"/>
      <c r="W906" s="143"/>
      <c r="X906" s="143"/>
      <c r="Y906" s="143"/>
      <c r="Z906" s="143"/>
      <c r="AA906" s="143"/>
      <c r="AB906" s="143"/>
      <c r="AC906" s="143"/>
      <c r="AD906" s="143"/>
    </row>
    <row r="907">
      <c r="A907" s="25"/>
      <c r="B907" s="25"/>
      <c r="C907" s="25"/>
      <c r="D907" s="25"/>
      <c r="E907" s="50"/>
      <c r="F907" s="167"/>
      <c r="G907" s="168"/>
      <c r="H907" s="169"/>
      <c r="I907" s="141"/>
      <c r="J907" s="141"/>
      <c r="K907" s="141"/>
      <c r="L907" s="25"/>
      <c r="M907" s="25"/>
      <c r="N907" s="25"/>
      <c r="O907" s="143"/>
      <c r="P907" s="143"/>
      <c r="Q907" s="143"/>
      <c r="R907" s="143"/>
      <c r="S907" s="143"/>
      <c r="T907" s="143"/>
      <c r="U907" s="143"/>
      <c r="V907" s="143"/>
      <c r="W907" s="143"/>
      <c r="X907" s="143"/>
      <c r="Y907" s="143"/>
      <c r="Z907" s="143"/>
      <c r="AA907" s="143"/>
      <c r="AB907" s="143"/>
      <c r="AC907" s="143"/>
      <c r="AD907" s="143"/>
    </row>
    <row r="908">
      <c r="A908" s="25"/>
      <c r="B908" s="25"/>
      <c r="C908" s="25"/>
      <c r="D908" s="25"/>
      <c r="E908" s="50"/>
      <c r="F908" s="167"/>
      <c r="G908" s="168"/>
      <c r="H908" s="169"/>
      <c r="I908" s="141"/>
      <c r="J908" s="141"/>
      <c r="K908" s="141"/>
      <c r="L908" s="25"/>
      <c r="M908" s="25"/>
      <c r="N908" s="25"/>
      <c r="O908" s="143"/>
      <c r="P908" s="143"/>
      <c r="Q908" s="143"/>
      <c r="R908" s="143"/>
      <c r="S908" s="143"/>
      <c r="T908" s="143"/>
      <c r="U908" s="143"/>
      <c r="V908" s="143"/>
      <c r="W908" s="143"/>
      <c r="X908" s="143"/>
      <c r="Y908" s="143"/>
      <c r="Z908" s="143"/>
      <c r="AA908" s="143"/>
      <c r="AB908" s="143"/>
      <c r="AC908" s="143"/>
      <c r="AD908" s="143"/>
    </row>
    <row r="909">
      <c r="A909" s="25"/>
      <c r="B909" s="25"/>
      <c r="C909" s="25"/>
      <c r="D909" s="25"/>
      <c r="E909" s="50"/>
      <c r="F909" s="167"/>
      <c r="G909" s="168"/>
      <c r="H909" s="169"/>
      <c r="I909" s="141"/>
      <c r="J909" s="141"/>
      <c r="K909" s="141"/>
      <c r="L909" s="25"/>
      <c r="M909" s="25"/>
      <c r="N909" s="25"/>
      <c r="O909" s="143"/>
      <c r="P909" s="143"/>
      <c r="Q909" s="143"/>
      <c r="R909" s="143"/>
      <c r="S909" s="143"/>
      <c r="T909" s="143"/>
      <c r="U909" s="143"/>
      <c r="V909" s="143"/>
      <c r="W909" s="143"/>
      <c r="X909" s="143"/>
      <c r="Y909" s="143"/>
      <c r="Z909" s="143"/>
      <c r="AA909" s="143"/>
      <c r="AB909" s="143"/>
      <c r="AC909" s="143"/>
      <c r="AD909" s="143"/>
    </row>
    <row r="910">
      <c r="A910" s="25"/>
      <c r="B910" s="25"/>
      <c r="C910" s="25"/>
      <c r="D910" s="25"/>
      <c r="E910" s="50"/>
      <c r="F910" s="167"/>
      <c r="G910" s="168"/>
      <c r="H910" s="169"/>
      <c r="I910" s="141"/>
      <c r="J910" s="141"/>
      <c r="K910" s="141"/>
      <c r="L910" s="25"/>
      <c r="M910" s="25"/>
      <c r="N910" s="25"/>
      <c r="O910" s="143"/>
      <c r="P910" s="143"/>
      <c r="Q910" s="143"/>
      <c r="R910" s="143"/>
      <c r="S910" s="143"/>
      <c r="T910" s="143"/>
      <c r="U910" s="143"/>
      <c r="V910" s="143"/>
      <c r="W910" s="143"/>
      <c r="X910" s="143"/>
      <c r="Y910" s="143"/>
      <c r="Z910" s="143"/>
      <c r="AA910" s="143"/>
      <c r="AB910" s="143"/>
      <c r="AC910" s="143"/>
      <c r="AD910" s="143"/>
    </row>
    <row r="911">
      <c r="A911" s="25"/>
      <c r="B911" s="25"/>
      <c r="C911" s="25"/>
      <c r="D911" s="25"/>
      <c r="E911" s="50"/>
      <c r="F911" s="167"/>
      <c r="G911" s="168"/>
      <c r="H911" s="169"/>
      <c r="I911" s="141"/>
      <c r="J911" s="141"/>
      <c r="K911" s="141"/>
      <c r="L911" s="25"/>
      <c r="M911" s="25"/>
      <c r="N911" s="25"/>
      <c r="O911" s="143"/>
      <c r="P911" s="143"/>
      <c r="Q911" s="143"/>
      <c r="R911" s="143"/>
      <c r="S911" s="143"/>
      <c r="T911" s="143"/>
      <c r="U911" s="143"/>
      <c r="V911" s="143"/>
      <c r="W911" s="143"/>
      <c r="X911" s="143"/>
      <c r="Y911" s="143"/>
      <c r="Z911" s="143"/>
      <c r="AA911" s="143"/>
      <c r="AB911" s="143"/>
      <c r="AC911" s="143"/>
      <c r="AD911" s="143"/>
    </row>
    <row r="912">
      <c r="A912" s="25"/>
      <c r="B912" s="25"/>
      <c r="C912" s="25"/>
      <c r="D912" s="25"/>
      <c r="E912" s="50"/>
      <c r="F912" s="167"/>
      <c r="G912" s="168"/>
      <c r="H912" s="169"/>
      <c r="I912" s="141"/>
      <c r="J912" s="141"/>
      <c r="K912" s="141"/>
      <c r="L912" s="25"/>
      <c r="M912" s="25"/>
      <c r="N912" s="25"/>
      <c r="O912" s="143"/>
      <c r="P912" s="143"/>
      <c r="Q912" s="143"/>
      <c r="R912" s="143"/>
      <c r="S912" s="143"/>
      <c r="T912" s="143"/>
      <c r="U912" s="143"/>
      <c r="V912" s="143"/>
      <c r="W912" s="143"/>
      <c r="X912" s="143"/>
      <c r="Y912" s="143"/>
      <c r="Z912" s="143"/>
      <c r="AA912" s="143"/>
      <c r="AB912" s="143"/>
      <c r="AC912" s="143"/>
      <c r="AD912" s="143"/>
    </row>
    <row r="913">
      <c r="A913" s="25"/>
      <c r="B913" s="25"/>
      <c r="C913" s="25"/>
      <c r="D913" s="25"/>
      <c r="E913" s="50"/>
      <c r="F913" s="167"/>
      <c r="G913" s="168"/>
      <c r="H913" s="169"/>
      <c r="I913" s="141"/>
      <c r="J913" s="141"/>
      <c r="K913" s="141"/>
      <c r="L913" s="25"/>
      <c r="M913" s="25"/>
      <c r="N913" s="25"/>
      <c r="O913" s="143"/>
      <c r="P913" s="143"/>
      <c r="Q913" s="143"/>
      <c r="R913" s="143"/>
      <c r="S913" s="143"/>
      <c r="T913" s="143"/>
      <c r="U913" s="143"/>
      <c r="V913" s="143"/>
      <c r="W913" s="143"/>
      <c r="X913" s="143"/>
      <c r="Y913" s="143"/>
      <c r="Z913" s="143"/>
      <c r="AA913" s="143"/>
      <c r="AB913" s="143"/>
      <c r="AC913" s="143"/>
      <c r="AD913" s="143"/>
    </row>
    <row r="914">
      <c r="A914" s="25"/>
      <c r="B914" s="25"/>
      <c r="C914" s="25"/>
      <c r="D914" s="25"/>
      <c r="E914" s="50"/>
      <c r="F914" s="167"/>
      <c r="G914" s="168"/>
      <c r="H914" s="169"/>
      <c r="I914" s="141"/>
      <c r="J914" s="141"/>
      <c r="K914" s="141"/>
      <c r="L914" s="25"/>
      <c r="M914" s="25"/>
      <c r="N914" s="25"/>
      <c r="O914" s="143"/>
      <c r="P914" s="143"/>
      <c r="Q914" s="143"/>
      <c r="R914" s="143"/>
      <c r="S914" s="143"/>
      <c r="T914" s="143"/>
      <c r="U914" s="143"/>
      <c r="V914" s="143"/>
      <c r="W914" s="143"/>
      <c r="X914" s="143"/>
      <c r="Y914" s="143"/>
      <c r="Z914" s="143"/>
      <c r="AA914" s="143"/>
      <c r="AB914" s="143"/>
      <c r="AC914" s="143"/>
      <c r="AD914" s="143"/>
    </row>
    <row r="915">
      <c r="A915" s="25"/>
      <c r="B915" s="25"/>
      <c r="C915" s="25"/>
      <c r="D915" s="25"/>
      <c r="E915" s="50"/>
      <c r="F915" s="167"/>
      <c r="G915" s="168"/>
      <c r="H915" s="169"/>
      <c r="I915" s="141"/>
      <c r="J915" s="141"/>
      <c r="K915" s="141"/>
      <c r="L915" s="25"/>
      <c r="M915" s="25"/>
      <c r="N915" s="25"/>
      <c r="O915" s="143"/>
      <c r="P915" s="143"/>
      <c r="Q915" s="143"/>
      <c r="R915" s="143"/>
      <c r="S915" s="143"/>
      <c r="T915" s="143"/>
      <c r="U915" s="143"/>
      <c r="V915" s="143"/>
      <c r="W915" s="143"/>
      <c r="X915" s="143"/>
      <c r="Y915" s="143"/>
      <c r="Z915" s="143"/>
      <c r="AA915" s="143"/>
      <c r="AB915" s="143"/>
      <c r="AC915" s="143"/>
      <c r="AD915" s="143"/>
    </row>
    <row r="916">
      <c r="A916" s="25"/>
      <c r="B916" s="25"/>
      <c r="C916" s="25"/>
      <c r="D916" s="25"/>
      <c r="E916" s="50"/>
      <c r="F916" s="167"/>
      <c r="G916" s="168"/>
      <c r="H916" s="169"/>
      <c r="I916" s="141"/>
      <c r="J916" s="141"/>
      <c r="K916" s="141"/>
      <c r="L916" s="25"/>
      <c r="M916" s="25"/>
      <c r="N916" s="25"/>
      <c r="O916" s="143"/>
      <c r="P916" s="143"/>
      <c r="Q916" s="143"/>
      <c r="R916" s="143"/>
      <c r="S916" s="143"/>
      <c r="T916" s="143"/>
      <c r="U916" s="143"/>
      <c r="V916" s="143"/>
      <c r="W916" s="143"/>
      <c r="X916" s="143"/>
      <c r="Y916" s="143"/>
      <c r="Z916" s="143"/>
      <c r="AA916" s="143"/>
      <c r="AB916" s="143"/>
      <c r="AC916" s="143"/>
      <c r="AD916" s="143"/>
    </row>
    <row r="917">
      <c r="A917" s="25"/>
      <c r="B917" s="25"/>
      <c r="C917" s="25"/>
      <c r="D917" s="25"/>
      <c r="E917" s="50"/>
      <c r="F917" s="167"/>
      <c r="G917" s="168"/>
      <c r="H917" s="169"/>
      <c r="I917" s="141"/>
      <c r="J917" s="141"/>
      <c r="K917" s="141"/>
      <c r="L917" s="25"/>
      <c r="M917" s="25"/>
      <c r="N917" s="25"/>
      <c r="O917" s="143"/>
      <c r="P917" s="143"/>
      <c r="Q917" s="143"/>
      <c r="R917" s="143"/>
      <c r="S917" s="143"/>
      <c r="T917" s="143"/>
      <c r="U917" s="143"/>
      <c r="V917" s="143"/>
      <c r="W917" s="143"/>
      <c r="X917" s="143"/>
      <c r="Y917" s="143"/>
      <c r="Z917" s="143"/>
      <c r="AA917" s="143"/>
      <c r="AB917" s="143"/>
      <c r="AC917" s="143"/>
      <c r="AD917" s="143"/>
    </row>
    <row r="918">
      <c r="A918" s="25"/>
      <c r="B918" s="25"/>
      <c r="C918" s="25"/>
      <c r="D918" s="25"/>
      <c r="E918" s="50"/>
      <c r="F918" s="167"/>
      <c r="G918" s="168"/>
      <c r="H918" s="169"/>
      <c r="I918" s="141"/>
      <c r="J918" s="141"/>
      <c r="K918" s="141"/>
      <c r="L918" s="25"/>
      <c r="M918" s="25"/>
      <c r="N918" s="25"/>
      <c r="O918" s="143"/>
      <c r="P918" s="143"/>
      <c r="Q918" s="143"/>
      <c r="R918" s="143"/>
      <c r="S918" s="143"/>
      <c r="T918" s="143"/>
      <c r="U918" s="143"/>
      <c r="V918" s="143"/>
      <c r="W918" s="143"/>
      <c r="X918" s="143"/>
      <c r="Y918" s="143"/>
      <c r="Z918" s="143"/>
      <c r="AA918" s="143"/>
      <c r="AB918" s="143"/>
      <c r="AC918" s="143"/>
      <c r="AD918" s="143"/>
    </row>
    <row r="919">
      <c r="A919" s="25"/>
      <c r="B919" s="25"/>
      <c r="C919" s="25"/>
      <c r="D919" s="25"/>
      <c r="E919" s="50"/>
      <c r="F919" s="167"/>
      <c r="G919" s="168"/>
      <c r="H919" s="169"/>
      <c r="I919" s="141"/>
      <c r="J919" s="141"/>
      <c r="K919" s="141"/>
      <c r="L919" s="25"/>
      <c r="M919" s="25"/>
      <c r="N919" s="25"/>
      <c r="O919" s="143"/>
      <c r="P919" s="143"/>
      <c r="Q919" s="143"/>
      <c r="R919" s="143"/>
      <c r="S919" s="143"/>
      <c r="T919" s="143"/>
      <c r="U919" s="143"/>
      <c r="V919" s="143"/>
      <c r="W919" s="143"/>
      <c r="X919" s="143"/>
      <c r="Y919" s="143"/>
      <c r="Z919" s="143"/>
      <c r="AA919" s="143"/>
      <c r="AB919" s="143"/>
      <c r="AC919" s="143"/>
      <c r="AD919" s="143"/>
    </row>
    <row r="920">
      <c r="A920" s="25"/>
      <c r="B920" s="25"/>
      <c r="C920" s="25"/>
      <c r="D920" s="25"/>
      <c r="E920" s="50"/>
      <c r="F920" s="167"/>
      <c r="G920" s="168"/>
      <c r="H920" s="169"/>
      <c r="I920" s="141"/>
      <c r="J920" s="141"/>
      <c r="K920" s="141"/>
      <c r="L920" s="25"/>
      <c r="M920" s="25"/>
      <c r="N920" s="25"/>
      <c r="O920" s="143"/>
      <c r="P920" s="143"/>
      <c r="Q920" s="143"/>
      <c r="R920" s="143"/>
      <c r="S920" s="143"/>
      <c r="T920" s="143"/>
      <c r="U920" s="143"/>
      <c r="V920" s="143"/>
      <c r="W920" s="143"/>
      <c r="X920" s="143"/>
      <c r="Y920" s="143"/>
      <c r="Z920" s="143"/>
      <c r="AA920" s="143"/>
      <c r="AB920" s="143"/>
      <c r="AC920" s="143"/>
      <c r="AD920" s="143"/>
    </row>
    <row r="921">
      <c r="A921" s="25"/>
      <c r="B921" s="25"/>
      <c r="C921" s="25"/>
      <c r="D921" s="25"/>
      <c r="E921" s="50"/>
      <c r="F921" s="167"/>
      <c r="G921" s="168"/>
      <c r="H921" s="169"/>
      <c r="I921" s="141"/>
      <c r="J921" s="141"/>
      <c r="K921" s="141"/>
      <c r="L921" s="25"/>
      <c r="M921" s="25"/>
      <c r="N921" s="25"/>
      <c r="O921" s="143"/>
      <c r="P921" s="143"/>
      <c r="Q921" s="143"/>
      <c r="R921" s="143"/>
      <c r="S921" s="143"/>
      <c r="T921" s="143"/>
      <c r="U921" s="143"/>
      <c r="V921" s="143"/>
      <c r="W921" s="143"/>
      <c r="X921" s="143"/>
      <c r="Y921" s="143"/>
      <c r="Z921" s="143"/>
      <c r="AA921" s="143"/>
      <c r="AB921" s="143"/>
      <c r="AC921" s="143"/>
      <c r="AD921" s="143"/>
    </row>
    <row r="922">
      <c r="A922" s="25"/>
      <c r="B922" s="25"/>
      <c r="C922" s="25"/>
      <c r="D922" s="25"/>
      <c r="E922" s="50"/>
      <c r="F922" s="167"/>
      <c r="G922" s="168"/>
      <c r="H922" s="169"/>
      <c r="I922" s="141"/>
      <c r="J922" s="141"/>
      <c r="K922" s="141"/>
      <c r="L922" s="25"/>
      <c r="M922" s="25"/>
      <c r="N922" s="25"/>
      <c r="O922" s="143"/>
      <c r="P922" s="143"/>
      <c r="Q922" s="143"/>
      <c r="R922" s="143"/>
      <c r="S922" s="143"/>
      <c r="T922" s="143"/>
      <c r="U922" s="143"/>
      <c r="V922" s="143"/>
      <c r="W922" s="143"/>
      <c r="X922" s="143"/>
      <c r="Y922" s="143"/>
      <c r="Z922" s="143"/>
      <c r="AA922" s="143"/>
      <c r="AB922" s="143"/>
      <c r="AC922" s="143"/>
      <c r="AD922" s="143"/>
    </row>
    <row r="923">
      <c r="A923" s="25"/>
      <c r="B923" s="25"/>
      <c r="C923" s="25"/>
      <c r="D923" s="25"/>
      <c r="E923" s="50"/>
      <c r="F923" s="167"/>
      <c r="G923" s="168"/>
      <c r="H923" s="169"/>
      <c r="I923" s="141"/>
      <c r="J923" s="141"/>
      <c r="K923" s="141"/>
      <c r="L923" s="25"/>
      <c r="M923" s="25"/>
      <c r="N923" s="25"/>
      <c r="O923" s="143"/>
      <c r="P923" s="143"/>
      <c r="Q923" s="143"/>
      <c r="R923" s="143"/>
      <c r="S923" s="143"/>
      <c r="T923" s="143"/>
      <c r="U923" s="143"/>
      <c r="V923" s="143"/>
      <c r="W923" s="143"/>
      <c r="X923" s="143"/>
      <c r="Y923" s="143"/>
      <c r="Z923" s="143"/>
      <c r="AA923" s="143"/>
      <c r="AB923" s="143"/>
      <c r="AC923" s="143"/>
      <c r="AD923" s="143"/>
    </row>
    <row r="924">
      <c r="A924" s="25"/>
      <c r="B924" s="25"/>
      <c r="C924" s="25"/>
      <c r="D924" s="25"/>
      <c r="E924" s="50"/>
      <c r="F924" s="167"/>
      <c r="G924" s="168"/>
      <c r="H924" s="169"/>
      <c r="I924" s="141"/>
      <c r="J924" s="141"/>
      <c r="K924" s="141"/>
      <c r="L924" s="25"/>
      <c r="M924" s="25"/>
      <c r="N924" s="25"/>
      <c r="O924" s="143"/>
      <c r="P924" s="143"/>
      <c r="Q924" s="143"/>
      <c r="R924" s="143"/>
      <c r="S924" s="143"/>
      <c r="T924" s="143"/>
      <c r="U924" s="143"/>
      <c r="V924" s="143"/>
      <c r="W924" s="143"/>
      <c r="X924" s="143"/>
      <c r="Y924" s="143"/>
      <c r="Z924" s="143"/>
      <c r="AA924" s="143"/>
      <c r="AB924" s="143"/>
      <c r="AC924" s="143"/>
      <c r="AD924" s="143"/>
    </row>
    <row r="925">
      <c r="A925" s="25"/>
      <c r="B925" s="25"/>
      <c r="C925" s="25"/>
      <c r="D925" s="25"/>
      <c r="E925" s="50"/>
      <c r="F925" s="167"/>
      <c r="G925" s="168"/>
      <c r="H925" s="169"/>
      <c r="I925" s="141"/>
      <c r="J925" s="141"/>
      <c r="K925" s="141"/>
      <c r="L925" s="25"/>
      <c r="M925" s="25"/>
      <c r="N925" s="25"/>
      <c r="O925" s="143"/>
      <c r="P925" s="143"/>
      <c r="Q925" s="143"/>
      <c r="R925" s="143"/>
      <c r="S925" s="143"/>
      <c r="T925" s="143"/>
      <c r="U925" s="143"/>
      <c r="V925" s="143"/>
      <c r="W925" s="143"/>
      <c r="X925" s="143"/>
      <c r="Y925" s="143"/>
      <c r="Z925" s="143"/>
      <c r="AA925" s="143"/>
      <c r="AB925" s="143"/>
      <c r="AC925" s="143"/>
      <c r="AD925" s="143"/>
    </row>
    <row r="926">
      <c r="A926" s="25"/>
      <c r="B926" s="25"/>
      <c r="C926" s="25"/>
      <c r="D926" s="25"/>
      <c r="E926" s="50"/>
      <c r="F926" s="167"/>
      <c r="G926" s="168"/>
      <c r="H926" s="169"/>
      <c r="I926" s="141"/>
      <c r="J926" s="141"/>
      <c r="K926" s="141"/>
      <c r="L926" s="25"/>
      <c r="M926" s="25"/>
      <c r="N926" s="25"/>
      <c r="O926" s="143"/>
      <c r="P926" s="143"/>
      <c r="Q926" s="143"/>
      <c r="R926" s="143"/>
      <c r="S926" s="143"/>
      <c r="T926" s="143"/>
      <c r="U926" s="143"/>
      <c r="V926" s="143"/>
      <c r="W926" s="143"/>
      <c r="X926" s="143"/>
      <c r="Y926" s="143"/>
      <c r="Z926" s="143"/>
      <c r="AA926" s="143"/>
      <c r="AB926" s="143"/>
      <c r="AC926" s="143"/>
      <c r="AD926" s="143"/>
    </row>
    <row r="927">
      <c r="A927" s="25"/>
      <c r="B927" s="25"/>
      <c r="C927" s="25"/>
      <c r="D927" s="25"/>
      <c r="E927" s="50"/>
      <c r="F927" s="167"/>
      <c r="G927" s="168"/>
      <c r="H927" s="169"/>
      <c r="I927" s="141"/>
      <c r="J927" s="141"/>
      <c r="K927" s="141"/>
      <c r="L927" s="25"/>
      <c r="M927" s="25"/>
      <c r="N927" s="25"/>
      <c r="O927" s="143"/>
      <c r="P927" s="143"/>
      <c r="Q927" s="143"/>
      <c r="R927" s="143"/>
      <c r="S927" s="143"/>
      <c r="T927" s="143"/>
      <c r="U927" s="143"/>
      <c r="V927" s="143"/>
      <c r="W927" s="143"/>
      <c r="X927" s="143"/>
      <c r="Y927" s="143"/>
      <c r="Z927" s="143"/>
      <c r="AA927" s="143"/>
      <c r="AB927" s="143"/>
      <c r="AC927" s="143"/>
      <c r="AD927" s="143"/>
    </row>
    <row r="928">
      <c r="A928" s="25"/>
      <c r="B928" s="25"/>
      <c r="C928" s="25"/>
      <c r="D928" s="25"/>
      <c r="E928" s="50"/>
      <c r="F928" s="167"/>
      <c r="G928" s="168"/>
      <c r="H928" s="169"/>
      <c r="I928" s="141"/>
      <c r="J928" s="141"/>
      <c r="K928" s="141"/>
      <c r="L928" s="25"/>
      <c r="M928" s="25"/>
      <c r="N928" s="25"/>
      <c r="O928" s="143"/>
      <c r="P928" s="143"/>
      <c r="Q928" s="143"/>
      <c r="R928" s="143"/>
      <c r="S928" s="143"/>
      <c r="T928" s="143"/>
      <c r="U928" s="143"/>
      <c r="V928" s="143"/>
      <c r="W928" s="143"/>
      <c r="X928" s="143"/>
      <c r="Y928" s="143"/>
      <c r="Z928" s="143"/>
      <c r="AA928" s="143"/>
      <c r="AB928" s="143"/>
      <c r="AC928" s="143"/>
      <c r="AD928" s="143"/>
    </row>
    <row r="929">
      <c r="A929" s="25"/>
      <c r="B929" s="25"/>
      <c r="C929" s="25"/>
      <c r="D929" s="25"/>
      <c r="E929" s="50"/>
      <c r="F929" s="167"/>
      <c r="G929" s="168"/>
      <c r="H929" s="169"/>
      <c r="I929" s="141"/>
      <c r="J929" s="141"/>
      <c r="K929" s="141"/>
      <c r="L929" s="25"/>
      <c r="M929" s="25"/>
      <c r="N929" s="25"/>
      <c r="O929" s="143"/>
      <c r="P929" s="143"/>
      <c r="Q929" s="143"/>
      <c r="R929" s="143"/>
      <c r="S929" s="143"/>
      <c r="T929" s="143"/>
      <c r="U929" s="143"/>
      <c r="V929" s="143"/>
      <c r="W929" s="143"/>
      <c r="X929" s="143"/>
      <c r="Y929" s="143"/>
      <c r="Z929" s="143"/>
      <c r="AA929" s="143"/>
      <c r="AB929" s="143"/>
      <c r="AC929" s="143"/>
      <c r="AD929" s="143"/>
    </row>
    <row r="930">
      <c r="A930" s="25"/>
      <c r="B930" s="25"/>
      <c r="C930" s="25"/>
      <c r="D930" s="25"/>
      <c r="E930" s="50"/>
      <c r="F930" s="167"/>
      <c r="G930" s="168"/>
      <c r="H930" s="169"/>
      <c r="I930" s="141"/>
      <c r="J930" s="141"/>
      <c r="K930" s="141"/>
      <c r="L930" s="25"/>
      <c r="M930" s="25"/>
      <c r="N930" s="25"/>
      <c r="O930" s="143"/>
      <c r="P930" s="143"/>
      <c r="Q930" s="143"/>
      <c r="R930" s="143"/>
      <c r="S930" s="143"/>
      <c r="T930" s="143"/>
      <c r="U930" s="143"/>
      <c r="V930" s="143"/>
      <c r="W930" s="143"/>
      <c r="X930" s="143"/>
      <c r="Y930" s="143"/>
      <c r="Z930" s="143"/>
      <c r="AA930" s="143"/>
      <c r="AB930" s="143"/>
      <c r="AC930" s="143"/>
      <c r="AD930" s="143"/>
    </row>
    <row r="931">
      <c r="A931" s="25"/>
      <c r="B931" s="25"/>
      <c r="C931" s="25"/>
      <c r="D931" s="25"/>
      <c r="E931" s="50"/>
      <c r="F931" s="167"/>
      <c r="G931" s="168"/>
      <c r="H931" s="169"/>
      <c r="I931" s="141"/>
      <c r="J931" s="141"/>
      <c r="K931" s="141"/>
      <c r="L931" s="25"/>
      <c r="M931" s="25"/>
      <c r="N931" s="25"/>
      <c r="O931" s="143"/>
      <c r="P931" s="143"/>
      <c r="Q931" s="143"/>
      <c r="R931" s="143"/>
      <c r="S931" s="143"/>
      <c r="T931" s="143"/>
      <c r="U931" s="143"/>
      <c r="V931" s="143"/>
      <c r="W931" s="143"/>
      <c r="X931" s="143"/>
      <c r="Y931" s="143"/>
      <c r="Z931" s="143"/>
      <c r="AA931" s="143"/>
      <c r="AB931" s="143"/>
      <c r="AC931" s="143"/>
      <c r="AD931" s="143"/>
    </row>
    <row r="932">
      <c r="A932" s="25"/>
      <c r="B932" s="25"/>
      <c r="C932" s="25"/>
      <c r="D932" s="25"/>
      <c r="E932" s="50"/>
      <c r="F932" s="167"/>
      <c r="G932" s="168"/>
      <c r="H932" s="169"/>
      <c r="I932" s="141"/>
      <c r="J932" s="141"/>
      <c r="K932" s="141"/>
      <c r="L932" s="25"/>
      <c r="M932" s="25"/>
      <c r="N932" s="25"/>
      <c r="O932" s="143"/>
      <c r="P932" s="143"/>
      <c r="Q932" s="143"/>
      <c r="R932" s="143"/>
      <c r="S932" s="143"/>
      <c r="T932" s="143"/>
      <c r="U932" s="143"/>
      <c r="V932" s="143"/>
      <c r="W932" s="143"/>
      <c r="X932" s="143"/>
      <c r="Y932" s="143"/>
      <c r="Z932" s="143"/>
      <c r="AA932" s="143"/>
      <c r="AB932" s="143"/>
      <c r="AC932" s="143"/>
      <c r="AD932" s="143"/>
    </row>
    <row r="933">
      <c r="A933" s="25"/>
      <c r="B933" s="25"/>
      <c r="C933" s="25"/>
      <c r="D933" s="25"/>
      <c r="E933" s="50"/>
      <c r="F933" s="167"/>
      <c r="G933" s="168"/>
      <c r="H933" s="169"/>
      <c r="I933" s="141"/>
      <c r="J933" s="141"/>
      <c r="K933" s="141"/>
      <c r="L933" s="25"/>
      <c r="M933" s="25"/>
      <c r="N933" s="25"/>
      <c r="O933" s="143"/>
      <c r="P933" s="143"/>
      <c r="Q933" s="143"/>
      <c r="R933" s="143"/>
      <c r="S933" s="143"/>
      <c r="T933" s="143"/>
      <c r="U933" s="143"/>
      <c r="V933" s="143"/>
      <c r="W933" s="143"/>
      <c r="X933" s="143"/>
      <c r="Y933" s="143"/>
      <c r="Z933" s="143"/>
      <c r="AA933" s="143"/>
      <c r="AB933" s="143"/>
      <c r="AC933" s="143"/>
      <c r="AD933" s="143"/>
    </row>
    <row r="934">
      <c r="A934" s="25"/>
      <c r="B934" s="25"/>
      <c r="C934" s="25"/>
      <c r="D934" s="25"/>
      <c r="E934" s="50"/>
      <c r="F934" s="167"/>
      <c r="G934" s="168"/>
      <c r="H934" s="169"/>
      <c r="I934" s="141"/>
      <c r="J934" s="141"/>
      <c r="K934" s="141"/>
      <c r="L934" s="25"/>
      <c r="M934" s="25"/>
      <c r="N934" s="25"/>
      <c r="O934" s="143"/>
      <c r="P934" s="143"/>
      <c r="Q934" s="143"/>
      <c r="R934" s="143"/>
      <c r="S934" s="143"/>
      <c r="T934" s="143"/>
      <c r="U934" s="143"/>
      <c r="V934" s="143"/>
      <c r="W934" s="143"/>
      <c r="X934" s="143"/>
      <c r="Y934" s="143"/>
      <c r="Z934" s="143"/>
      <c r="AA934" s="143"/>
      <c r="AB934" s="143"/>
      <c r="AC934" s="143"/>
      <c r="AD934" s="143"/>
    </row>
    <row r="935">
      <c r="A935" s="25"/>
      <c r="B935" s="25"/>
      <c r="C935" s="25"/>
      <c r="D935" s="25"/>
      <c r="E935" s="50"/>
      <c r="F935" s="167"/>
      <c r="G935" s="168"/>
      <c r="H935" s="169"/>
      <c r="I935" s="141"/>
      <c r="J935" s="141"/>
      <c r="K935" s="141"/>
      <c r="L935" s="25"/>
      <c r="M935" s="25"/>
      <c r="N935" s="25"/>
      <c r="O935" s="143"/>
      <c r="P935" s="143"/>
      <c r="Q935" s="143"/>
      <c r="R935" s="143"/>
      <c r="S935" s="143"/>
      <c r="T935" s="143"/>
      <c r="U935" s="143"/>
      <c r="V935" s="143"/>
      <c r="W935" s="143"/>
      <c r="X935" s="143"/>
      <c r="Y935" s="143"/>
      <c r="Z935" s="143"/>
      <c r="AA935" s="143"/>
      <c r="AB935" s="143"/>
      <c r="AC935" s="143"/>
      <c r="AD935" s="143"/>
    </row>
    <row r="936">
      <c r="A936" s="25"/>
      <c r="B936" s="25"/>
      <c r="C936" s="25"/>
      <c r="D936" s="25"/>
      <c r="E936" s="50"/>
      <c r="F936" s="167"/>
      <c r="G936" s="168"/>
      <c r="H936" s="169"/>
      <c r="I936" s="141"/>
      <c r="J936" s="141"/>
      <c r="K936" s="141"/>
      <c r="L936" s="25"/>
      <c r="M936" s="25"/>
      <c r="N936" s="25"/>
      <c r="O936" s="143"/>
      <c r="P936" s="143"/>
      <c r="Q936" s="143"/>
      <c r="R936" s="143"/>
      <c r="S936" s="143"/>
      <c r="T936" s="143"/>
      <c r="U936" s="143"/>
      <c r="V936" s="143"/>
      <c r="W936" s="143"/>
      <c r="X936" s="143"/>
      <c r="Y936" s="143"/>
      <c r="Z936" s="143"/>
      <c r="AA936" s="143"/>
      <c r="AB936" s="143"/>
      <c r="AC936" s="143"/>
      <c r="AD936" s="143"/>
    </row>
    <row r="937">
      <c r="A937" s="25"/>
      <c r="B937" s="25"/>
      <c r="C937" s="25"/>
      <c r="D937" s="25"/>
      <c r="E937" s="50"/>
      <c r="F937" s="167"/>
      <c r="G937" s="168"/>
      <c r="H937" s="169"/>
      <c r="I937" s="141"/>
      <c r="J937" s="141"/>
      <c r="K937" s="141"/>
      <c r="L937" s="25"/>
      <c r="M937" s="25"/>
      <c r="N937" s="25"/>
      <c r="O937" s="143"/>
      <c r="P937" s="143"/>
      <c r="Q937" s="143"/>
      <c r="R937" s="143"/>
      <c r="S937" s="143"/>
      <c r="T937" s="143"/>
      <c r="U937" s="143"/>
      <c r="V937" s="143"/>
      <c r="W937" s="143"/>
      <c r="X937" s="143"/>
      <c r="Y937" s="143"/>
      <c r="Z937" s="143"/>
      <c r="AA937" s="143"/>
      <c r="AB937" s="143"/>
      <c r="AC937" s="143"/>
      <c r="AD937" s="143"/>
    </row>
    <row r="938">
      <c r="A938" s="25"/>
      <c r="B938" s="25"/>
      <c r="C938" s="25"/>
      <c r="D938" s="25"/>
      <c r="E938" s="50"/>
      <c r="F938" s="167"/>
      <c r="G938" s="168"/>
      <c r="H938" s="169"/>
      <c r="I938" s="141"/>
      <c r="J938" s="141"/>
      <c r="K938" s="141"/>
      <c r="L938" s="25"/>
      <c r="M938" s="25"/>
      <c r="N938" s="25"/>
      <c r="O938" s="143"/>
      <c r="P938" s="143"/>
      <c r="Q938" s="143"/>
      <c r="R938" s="143"/>
      <c r="S938" s="143"/>
      <c r="T938" s="143"/>
      <c r="U938" s="143"/>
      <c r="V938" s="143"/>
      <c r="W938" s="143"/>
      <c r="X938" s="143"/>
      <c r="Y938" s="143"/>
      <c r="Z938" s="143"/>
      <c r="AA938" s="143"/>
      <c r="AB938" s="143"/>
      <c r="AC938" s="143"/>
      <c r="AD938" s="143"/>
    </row>
    <row r="939">
      <c r="A939" s="25"/>
      <c r="B939" s="25"/>
      <c r="C939" s="25"/>
      <c r="D939" s="25"/>
      <c r="E939" s="50"/>
      <c r="F939" s="167"/>
      <c r="G939" s="168"/>
      <c r="H939" s="169"/>
      <c r="I939" s="141"/>
      <c r="J939" s="141"/>
      <c r="K939" s="141"/>
      <c r="L939" s="25"/>
      <c r="M939" s="25"/>
      <c r="N939" s="25"/>
      <c r="O939" s="143"/>
      <c r="P939" s="143"/>
      <c r="Q939" s="143"/>
      <c r="R939" s="143"/>
      <c r="S939" s="143"/>
      <c r="T939" s="143"/>
      <c r="U939" s="143"/>
      <c r="V939" s="143"/>
      <c r="W939" s="143"/>
      <c r="X939" s="143"/>
      <c r="Y939" s="143"/>
      <c r="Z939" s="143"/>
      <c r="AA939" s="143"/>
      <c r="AB939" s="143"/>
      <c r="AC939" s="143"/>
      <c r="AD939" s="143"/>
    </row>
    <row r="940">
      <c r="A940" s="25"/>
      <c r="B940" s="25"/>
      <c r="C940" s="25"/>
      <c r="D940" s="25"/>
      <c r="E940" s="50"/>
      <c r="F940" s="167"/>
      <c r="G940" s="168"/>
      <c r="H940" s="169"/>
      <c r="I940" s="141"/>
      <c r="J940" s="141"/>
      <c r="K940" s="141"/>
      <c r="L940" s="25"/>
      <c r="M940" s="25"/>
      <c r="N940" s="25"/>
      <c r="O940" s="143"/>
      <c r="P940" s="143"/>
      <c r="Q940" s="143"/>
      <c r="R940" s="143"/>
      <c r="S940" s="143"/>
      <c r="T940" s="143"/>
      <c r="U940" s="143"/>
      <c r="V940" s="143"/>
      <c r="W940" s="143"/>
      <c r="X940" s="143"/>
      <c r="Y940" s="143"/>
      <c r="Z940" s="143"/>
      <c r="AA940" s="143"/>
      <c r="AB940" s="143"/>
      <c r="AC940" s="143"/>
      <c r="AD940" s="143"/>
    </row>
    <row r="941">
      <c r="A941" s="25"/>
      <c r="B941" s="25"/>
      <c r="C941" s="25"/>
      <c r="D941" s="25"/>
      <c r="E941" s="50"/>
      <c r="F941" s="167"/>
      <c r="G941" s="168"/>
      <c r="H941" s="169"/>
      <c r="I941" s="141"/>
      <c r="J941" s="141"/>
      <c r="K941" s="141"/>
      <c r="L941" s="25"/>
      <c r="M941" s="25"/>
      <c r="N941" s="25"/>
      <c r="O941" s="143"/>
      <c r="P941" s="143"/>
      <c r="Q941" s="143"/>
      <c r="R941" s="143"/>
      <c r="S941" s="143"/>
      <c r="T941" s="143"/>
      <c r="U941" s="143"/>
      <c r="V941" s="143"/>
      <c r="W941" s="143"/>
      <c r="X941" s="143"/>
      <c r="Y941" s="143"/>
      <c r="Z941" s="143"/>
      <c r="AA941" s="143"/>
      <c r="AB941" s="143"/>
      <c r="AC941" s="143"/>
      <c r="AD941" s="143"/>
    </row>
    <row r="942">
      <c r="A942" s="25"/>
      <c r="B942" s="25"/>
      <c r="C942" s="25"/>
      <c r="D942" s="25"/>
      <c r="E942" s="50"/>
      <c r="F942" s="167"/>
      <c r="G942" s="168"/>
      <c r="H942" s="169"/>
      <c r="I942" s="141"/>
      <c r="J942" s="141"/>
      <c r="K942" s="141"/>
      <c r="L942" s="25"/>
      <c r="M942" s="25"/>
      <c r="N942" s="25"/>
      <c r="O942" s="143"/>
      <c r="P942" s="143"/>
      <c r="Q942" s="143"/>
      <c r="R942" s="143"/>
      <c r="S942" s="143"/>
      <c r="T942" s="143"/>
      <c r="U942" s="143"/>
      <c r="V942" s="143"/>
      <c r="W942" s="143"/>
      <c r="X942" s="143"/>
      <c r="Y942" s="143"/>
      <c r="Z942" s="143"/>
      <c r="AA942" s="143"/>
      <c r="AB942" s="143"/>
      <c r="AC942" s="143"/>
      <c r="AD942" s="143"/>
    </row>
    <row r="943">
      <c r="A943" s="25"/>
      <c r="B943" s="25"/>
      <c r="C943" s="25"/>
      <c r="D943" s="25"/>
      <c r="E943" s="50"/>
      <c r="F943" s="167"/>
      <c r="G943" s="168"/>
      <c r="H943" s="169"/>
      <c r="I943" s="141"/>
      <c r="J943" s="141"/>
      <c r="K943" s="141"/>
      <c r="L943" s="25"/>
      <c r="M943" s="25"/>
      <c r="N943" s="25"/>
      <c r="O943" s="143"/>
      <c r="P943" s="143"/>
      <c r="Q943" s="143"/>
      <c r="R943" s="143"/>
      <c r="S943" s="143"/>
      <c r="T943" s="143"/>
      <c r="U943" s="143"/>
      <c r="V943" s="143"/>
      <c r="W943" s="143"/>
      <c r="X943" s="143"/>
      <c r="Y943" s="143"/>
      <c r="Z943" s="143"/>
      <c r="AA943" s="143"/>
      <c r="AB943" s="143"/>
      <c r="AC943" s="143"/>
      <c r="AD943" s="143"/>
    </row>
    <row r="944">
      <c r="A944" s="25"/>
      <c r="B944" s="25"/>
      <c r="C944" s="25"/>
      <c r="D944" s="25"/>
      <c r="E944" s="50"/>
      <c r="F944" s="167"/>
      <c r="G944" s="168"/>
      <c r="H944" s="169"/>
      <c r="I944" s="141"/>
      <c r="J944" s="141"/>
      <c r="K944" s="141"/>
      <c r="L944" s="25"/>
      <c r="M944" s="25"/>
      <c r="N944" s="25"/>
      <c r="O944" s="143"/>
      <c r="P944" s="143"/>
      <c r="Q944" s="143"/>
      <c r="R944" s="143"/>
      <c r="S944" s="143"/>
      <c r="T944" s="143"/>
      <c r="U944" s="143"/>
      <c r="V944" s="143"/>
      <c r="W944" s="143"/>
      <c r="X944" s="143"/>
      <c r="Y944" s="143"/>
      <c r="Z944" s="143"/>
      <c r="AA944" s="143"/>
      <c r="AB944" s="143"/>
      <c r="AC944" s="143"/>
      <c r="AD944" s="143"/>
    </row>
    <row r="945">
      <c r="A945" s="25"/>
      <c r="B945" s="25"/>
      <c r="C945" s="25"/>
      <c r="D945" s="25"/>
      <c r="E945" s="50"/>
      <c r="F945" s="167"/>
      <c r="G945" s="168"/>
      <c r="H945" s="169"/>
      <c r="I945" s="141"/>
      <c r="J945" s="141"/>
      <c r="K945" s="141"/>
      <c r="L945" s="25"/>
      <c r="M945" s="25"/>
      <c r="N945" s="25"/>
      <c r="O945" s="143"/>
      <c r="P945" s="143"/>
      <c r="Q945" s="143"/>
      <c r="R945" s="143"/>
      <c r="S945" s="143"/>
      <c r="T945" s="143"/>
      <c r="U945" s="143"/>
      <c r="V945" s="143"/>
      <c r="W945" s="143"/>
      <c r="X945" s="143"/>
      <c r="Y945" s="143"/>
      <c r="Z945" s="143"/>
      <c r="AA945" s="143"/>
      <c r="AB945" s="143"/>
      <c r="AC945" s="143"/>
      <c r="AD945" s="143"/>
    </row>
    <row r="946">
      <c r="A946" s="25"/>
      <c r="B946" s="25"/>
      <c r="C946" s="25"/>
      <c r="D946" s="25"/>
      <c r="E946" s="50"/>
      <c r="F946" s="167"/>
      <c r="G946" s="168"/>
      <c r="H946" s="169"/>
      <c r="I946" s="141"/>
      <c r="J946" s="141"/>
      <c r="K946" s="141"/>
      <c r="L946" s="25"/>
      <c r="M946" s="25"/>
      <c r="N946" s="25"/>
      <c r="O946" s="143"/>
      <c r="P946" s="143"/>
      <c r="Q946" s="143"/>
      <c r="R946" s="143"/>
      <c r="S946" s="143"/>
      <c r="T946" s="143"/>
      <c r="U946" s="143"/>
      <c r="V946" s="143"/>
      <c r="W946" s="143"/>
      <c r="X946" s="143"/>
      <c r="Y946" s="143"/>
      <c r="Z946" s="143"/>
      <c r="AA946" s="143"/>
      <c r="AB946" s="143"/>
      <c r="AC946" s="143"/>
      <c r="AD946" s="143"/>
    </row>
    <row r="947">
      <c r="A947" s="25"/>
      <c r="B947" s="25"/>
      <c r="C947" s="25"/>
      <c r="D947" s="25"/>
      <c r="E947" s="50"/>
      <c r="F947" s="167"/>
      <c r="G947" s="168"/>
      <c r="H947" s="169"/>
      <c r="I947" s="141"/>
      <c r="J947" s="141"/>
      <c r="K947" s="141"/>
      <c r="L947" s="25"/>
      <c r="M947" s="25"/>
      <c r="N947" s="25"/>
      <c r="O947" s="143"/>
      <c r="P947" s="143"/>
      <c r="Q947" s="143"/>
      <c r="R947" s="143"/>
      <c r="S947" s="143"/>
      <c r="T947" s="143"/>
      <c r="U947" s="143"/>
      <c r="V947" s="143"/>
      <c r="W947" s="143"/>
      <c r="X947" s="143"/>
      <c r="Y947" s="143"/>
      <c r="Z947" s="143"/>
      <c r="AA947" s="143"/>
      <c r="AB947" s="143"/>
      <c r="AC947" s="143"/>
      <c r="AD947" s="143"/>
    </row>
    <row r="948">
      <c r="A948" s="25"/>
      <c r="B948" s="25"/>
      <c r="C948" s="25"/>
      <c r="D948" s="25"/>
      <c r="E948" s="50"/>
      <c r="F948" s="167"/>
      <c r="G948" s="168"/>
      <c r="H948" s="169"/>
      <c r="I948" s="141"/>
      <c r="J948" s="141"/>
      <c r="K948" s="141"/>
      <c r="L948" s="25"/>
      <c r="M948" s="25"/>
      <c r="N948" s="25"/>
      <c r="O948" s="143"/>
      <c r="P948" s="143"/>
      <c r="Q948" s="143"/>
      <c r="R948" s="143"/>
      <c r="S948" s="143"/>
      <c r="T948" s="143"/>
      <c r="U948" s="143"/>
      <c r="V948" s="143"/>
      <c r="W948" s="143"/>
      <c r="X948" s="143"/>
      <c r="Y948" s="143"/>
      <c r="Z948" s="143"/>
      <c r="AA948" s="143"/>
      <c r="AB948" s="143"/>
      <c r="AC948" s="143"/>
      <c r="AD948" s="143"/>
    </row>
    <row r="949">
      <c r="A949" s="25"/>
      <c r="B949" s="25"/>
      <c r="C949" s="25"/>
      <c r="D949" s="25"/>
      <c r="E949" s="50"/>
      <c r="F949" s="167"/>
      <c r="G949" s="168"/>
      <c r="H949" s="169"/>
      <c r="I949" s="141"/>
      <c r="J949" s="141"/>
      <c r="K949" s="141"/>
      <c r="L949" s="25"/>
      <c r="M949" s="25"/>
      <c r="N949" s="25"/>
      <c r="O949" s="143"/>
      <c r="P949" s="143"/>
      <c r="Q949" s="143"/>
      <c r="R949" s="143"/>
      <c r="S949" s="143"/>
      <c r="T949" s="143"/>
      <c r="U949" s="143"/>
      <c r="V949" s="143"/>
      <c r="W949" s="143"/>
      <c r="X949" s="143"/>
      <c r="Y949" s="143"/>
      <c r="Z949" s="143"/>
      <c r="AA949" s="143"/>
      <c r="AB949" s="143"/>
      <c r="AC949" s="143"/>
      <c r="AD949" s="143"/>
    </row>
    <row r="950">
      <c r="A950" s="25"/>
      <c r="B950" s="25"/>
      <c r="C950" s="25"/>
      <c r="D950" s="25"/>
      <c r="E950" s="50"/>
      <c r="F950" s="167"/>
      <c r="G950" s="168"/>
      <c r="H950" s="169"/>
      <c r="I950" s="141"/>
      <c r="J950" s="141"/>
      <c r="K950" s="141"/>
      <c r="L950" s="25"/>
      <c r="M950" s="25"/>
      <c r="N950" s="25"/>
      <c r="O950" s="143"/>
      <c r="P950" s="143"/>
      <c r="Q950" s="143"/>
      <c r="R950" s="143"/>
      <c r="S950" s="143"/>
      <c r="T950" s="143"/>
      <c r="U950" s="143"/>
      <c r="V950" s="143"/>
      <c r="W950" s="143"/>
      <c r="X950" s="143"/>
      <c r="Y950" s="143"/>
      <c r="Z950" s="143"/>
      <c r="AA950" s="143"/>
      <c r="AB950" s="143"/>
      <c r="AC950" s="143"/>
      <c r="AD950" s="143"/>
    </row>
    <row r="951">
      <c r="A951" s="25"/>
      <c r="B951" s="25"/>
      <c r="C951" s="25"/>
      <c r="D951" s="25"/>
      <c r="E951" s="50"/>
      <c r="F951" s="167"/>
      <c r="G951" s="168"/>
      <c r="H951" s="169"/>
      <c r="I951" s="141"/>
      <c r="J951" s="141"/>
      <c r="K951" s="141"/>
      <c r="L951" s="25"/>
      <c r="M951" s="25"/>
      <c r="N951" s="25"/>
      <c r="O951" s="143"/>
      <c r="P951" s="143"/>
      <c r="Q951" s="143"/>
      <c r="R951" s="143"/>
      <c r="S951" s="143"/>
      <c r="T951" s="143"/>
      <c r="U951" s="143"/>
      <c r="V951" s="143"/>
      <c r="W951" s="143"/>
      <c r="X951" s="143"/>
      <c r="Y951" s="143"/>
      <c r="Z951" s="143"/>
      <c r="AA951" s="143"/>
      <c r="AB951" s="143"/>
      <c r="AC951" s="143"/>
      <c r="AD951" s="143"/>
    </row>
    <row r="952">
      <c r="A952" s="25"/>
      <c r="B952" s="25"/>
      <c r="C952" s="25"/>
      <c r="D952" s="25"/>
      <c r="E952" s="50"/>
      <c r="F952" s="167"/>
      <c r="G952" s="168"/>
      <c r="H952" s="169"/>
      <c r="I952" s="141"/>
      <c r="J952" s="141"/>
      <c r="K952" s="141"/>
      <c r="L952" s="25"/>
      <c r="M952" s="25"/>
      <c r="N952" s="25"/>
      <c r="O952" s="143"/>
      <c r="P952" s="143"/>
      <c r="Q952" s="143"/>
      <c r="R952" s="143"/>
      <c r="S952" s="143"/>
      <c r="T952" s="143"/>
      <c r="U952" s="143"/>
      <c r="V952" s="143"/>
      <c r="W952" s="143"/>
      <c r="X952" s="143"/>
      <c r="Y952" s="143"/>
      <c r="Z952" s="143"/>
      <c r="AA952" s="143"/>
      <c r="AB952" s="143"/>
      <c r="AC952" s="143"/>
      <c r="AD952" s="143"/>
    </row>
    <row r="953">
      <c r="A953" s="25"/>
      <c r="B953" s="25"/>
      <c r="C953" s="25"/>
      <c r="D953" s="25"/>
      <c r="E953" s="50"/>
      <c r="F953" s="167"/>
      <c r="G953" s="168"/>
      <c r="H953" s="169"/>
      <c r="I953" s="141"/>
      <c r="J953" s="141"/>
      <c r="K953" s="141"/>
      <c r="L953" s="25"/>
      <c r="M953" s="25"/>
      <c r="N953" s="25"/>
      <c r="O953" s="143"/>
      <c r="P953" s="143"/>
      <c r="Q953" s="143"/>
      <c r="R953" s="143"/>
      <c r="S953" s="143"/>
      <c r="T953" s="143"/>
      <c r="U953" s="143"/>
      <c r="V953" s="143"/>
      <c r="W953" s="143"/>
      <c r="X953" s="143"/>
      <c r="Y953" s="143"/>
      <c r="Z953" s="143"/>
      <c r="AA953" s="143"/>
      <c r="AB953" s="143"/>
      <c r="AC953" s="143"/>
      <c r="AD953" s="143"/>
    </row>
    <row r="954">
      <c r="A954" s="25"/>
      <c r="B954" s="25"/>
      <c r="C954" s="25"/>
      <c r="D954" s="25"/>
      <c r="E954" s="50"/>
      <c r="F954" s="167"/>
      <c r="G954" s="168"/>
      <c r="H954" s="169"/>
      <c r="I954" s="141"/>
      <c r="J954" s="141"/>
      <c r="K954" s="141"/>
      <c r="L954" s="25"/>
      <c r="M954" s="25"/>
      <c r="N954" s="25"/>
      <c r="O954" s="143"/>
      <c r="P954" s="143"/>
      <c r="Q954" s="143"/>
      <c r="R954" s="143"/>
      <c r="S954" s="143"/>
      <c r="T954" s="143"/>
      <c r="U954" s="143"/>
      <c r="V954" s="143"/>
      <c r="W954" s="143"/>
      <c r="X954" s="143"/>
      <c r="Y954" s="143"/>
      <c r="Z954" s="143"/>
      <c r="AA954" s="143"/>
      <c r="AB954" s="143"/>
      <c r="AC954" s="143"/>
      <c r="AD954" s="143"/>
    </row>
    <row r="955">
      <c r="A955" s="25"/>
      <c r="B955" s="25"/>
      <c r="C955" s="25"/>
      <c r="D955" s="25"/>
      <c r="E955" s="50"/>
      <c r="F955" s="167"/>
      <c r="G955" s="168"/>
      <c r="H955" s="169"/>
      <c r="I955" s="141"/>
      <c r="J955" s="141"/>
      <c r="K955" s="141"/>
      <c r="L955" s="25"/>
      <c r="M955" s="25"/>
      <c r="N955" s="25"/>
      <c r="O955" s="143"/>
      <c r="P955" s="143"/>
      <c r="Q955" s="143"/>
      <c r="R955" s="143"/>
      <c r="S955" s="143"/>
      <c r="T955" s="143"/>
      <c r="U955" s="143"/>
      <c r="V955" s="143"/>
      <c r="W955" s="143"/>
      <c r="X955" s="143"/>
      <c r="Y955" s="143"/>
      <c r="Z955" s="143"/>
      <c r="AA955" s="143"/>
      <c r="AB955" s="143"/>
      <c r="AC955" s="143"/>
      <c r="AD955" s="143"/>
    </row>
    <row r="956">
      <c r="A956" s="25"/>
      <c r="B956" s="25"/>
      <c r="C956" s="25"/>
      <c r="D956" s="25"/>
      <c r="E956" s="50"/>
      <c r="F956" s="167"/>
      <c r="G956" s="168"/>
      <c r="H956" s="169"/>
      <c r="I956" s="141"/>
      <c r="J956" s="141"/>
      <c r="K956" s="141"/>
      <c r="L956" s="25"/>
      <c r="M956" s="25"/>
      <c r="N956" s="25"/>
      <c r="O956" s="143"/>
      <c r="P956" s="143"/>
      <c r="Q956" s="143"/>
      <c r="R956" s="143"/>
      <c r="S956" s="143"/>
      <c r="T956" s="143"/>
      <c r="U956" s="143"/>
      <c r="V956" s="143"/>
      <c r="W956" s="143"/>
      <c r="X956" s="143"/>
      <c r="Y956" s="143"/>
      <c r="Z956" s="143"/>
      <c r="AA956" s="143"/>
      <c r="AB956" s="143"/>
      <c r="AC956" s="143"/>
      <c r="AD956" s="143"/>
    </row>
    <row r="957">
      <c r="A957" s="25"/>
      <c r="B957" s="25"/>
      <c r="C957" s="25"/>
      <c r="D957" s="25"/>
      <c r="E957" s="50"/>
      <c r="F957" s="167"/>
      <c r="G957" s="168"/>
      <c r="H957" s="169"/>
      <c r="I957" s="141"/>
      <c r="J957" s="141"/>
      <c r="K957" s="141"/>
      <c r="L957" s="25"/>
      <c r="M957" s="25"/>
      <c r="N957" s="25"/>
      <c r="O957" s="143"/>
      <c r="P957" s="143"/>
      <c r="Q957" s="143"/>
      <c r="R957" s="143"/>
      <c r="S957" s="143"/>
      <c r="T957" s="143"/>
      <c r="U957" s="143"/>
      <c r="V957" s="143"/>
      <c r="W957" s="143"/>
      <c r="X957" s="143"/>
      <c r="Y957" s="143"/>
      <c r="Z957" s="143"/>
      <c r="AA957" s="143"/>
      <c r="AB957" s="143"/>
      <c r="AC957" s="143"/>
      <c r="AD957" s="143"/>
    </row>
    <row r="958">
      <c r="A958" s="25"/>
      <c r="B958" s="25"/>
      <c r="C958" s="25"/>
      <c r="D958" s="25"/>
      <c r="E958" s="50"/>
      <c r="F958" s="167"/>
      <c r="G958" s="168"/>
      <c r="H958" s="169"/>
      <c r="I958" s="141"/>
      <c r="J958" s="141"/>
      <c r="K958" s="141"/>
      <c r="L958" s="25"/>
      <c r="M958" s="25"/>
      <c r="N958" s="25"/>
      <c r="O958" s="143"/>
      <c r="P958" s="143"/>
      <c r="Q958" s="143"/>
      <c r="R958" s="143"/>
      <c r="S958" s="143"/>
      <c r="T958" s="143"/>
      <c r="U958" s="143"/>
      <c r="V958" s="143"/>
      <c r="W958" s="143"/>
      <c r="X958" s="143"/>
      <c r="Y958" s="143"/>
      <c r="Z958" s="143"/>
      <c r="AA958" s="143"/>
      <c r="AB958" s="143"/>
      <c r="AC958" s="143"/>
      <c r="AD958" s="143"/>
    </row>
    <row r="959">
      <c r="A959" s="25"/>
      <c r="B959" s="25"/>
      <c r="C959" s="25"/>
      <c r="D959" s="25"/>
      <c r="E959" s="50"/>
      <c r="F959" s="167"/>
      <c r="G959" s="168"/>
      <c r="H959" s="169"/>
      <c r="I959" s="141"/>
      <c r="J959" s="141"/>
      <c r="K959" s="141"/>
      <c r="L959" s="25"/>
      <c r="M959" s="25"/>
      <c r="N959" s="25"/>
      <c r="O959" s="143"/>
      <c r="P959" s="143"/>
      <c r="Q959" s="143"/>
      <c r="R959" s="143"/>
      <c r="S959" s="143"/>
      <c r="T959" s="143"/>
      <c r="U959" s="143"/>
      <c r="V959" s="143"/>
      <c r="W959" s="143"/>
      <c r="X959" s="143"/>
      <c r="Y959" s="143"/>
      <c r="Z959" s="143"/>
      <c r="AA959" s="143"/>
      <c r="AB959" s="143"/>
      <c r="AC959" s="143"/>
      <c r="AD959" s="143"/>
    </row>
    <row r="960">
      <c r="A960" s="25"/>
      <c r="B960" s="25"/>
      <c r="C960" s="25"/>
      <c r="D960" s="25"/>
      <c r="E960" s="50"/>
      <c r="F960" s="167"/>
      <c r="G960" s="168"/>
      <c r="H960" s="169"/>
      <c r="I960" s="141"/>
      <c r="J960" s="141"/>
      <c r="K960" s="141"/>
      <c r="L960" s="25"/>
      <c r="M960" s="25"/>
      <c r="N960" s="25"/>
      <c r="O960" s="143"/>
      <c r="P960" s="143"/>
      <c r="Q960" s="143"/>
      <c r="R960" s="143"/>
      <c r="S960" s="143"/>
      <c r="T960" s="143"/>
      <c r="U960" s="143"/>
      <c r="V960" s="143"/>
      <c r="W960" s="143"/>
      <c r="X960" s="143"/>
      <c r="Y960" s="143"/>
      <c r="Z960" s="143"/>
      <c r="AA960" s="143"/>
      <c r="AB960" s="143"/>
      <c r="AC960" s="143"/>
      <c r="AD960" s="143"/>
    </row>
    <row r="961">
      <c r="A961" s="25"/>
      <c r="B961" s="25"/>
      <c r="C961" s="25"/>
      <c r="D961" s="25"/>
      <c r="E961" s="50"/>
      <c r="F961" s="167"/>
      <c r="G961" s="168"/>
      <c r="H961" s="169"/>
      <c r="I961" s="141"/>
      <c r="J961" s="141"/>
      <c r="K961" s="141"/>
      <c r="L961" s="25"/>
      <c r="M961" s="25"/>
      <c r="N961" s="25"/>
      <c r="O961" s="143"/>
      <c r="P961" s="143"/>
      <c r="Q961" s="143"/>
      <c r="R961" s="143"/>
      <c r="S961" s="143"/>
      <c r="T961" s="143"/>
      <c r="U961" s="143"/>
      <c r="V961" s="143"/>
      <c r="W961" s="143"/>
      <c r="X961" s="143"/>
      <c r="Y961" s="143"/>
      <c r="Z961" s="143"/>
      <c r="AA961" s="143"/>
      <c r="AB961" s="143"/>
      <c r="AC961" s="143"/>
      <c r="AD961" s="143"/>
    </row>
    <row r="962">
      <c r="A962" s="25"/>
      <c r="B962" s="25"/>
      <c r="C962" s="25"/>
      <c r="D962" s="25"/>
      <c r="E962" s="50"/>
      <c r="F962" s="167"/>
      <c r="G962" s="168"/>
      <c r="H962" s="169"/>
      <c r="I962" s="141"/>
      <c r="J962" s="141"/>
      <c r="K962" s="141"/>
      <c r="L962" s="25"/>
      <c r="M962" s="25"/>
      <c r="N962" s="25"/>
      <c r="O962" s="143"/>
      <c r="P962" s="143"/>
      <c r="Q962" s="143"/>
      <c r="R962" s="143"/>
      <c r="S962" s="143"/>
      <c r="T962" s="143"/>
      <c r="U962" s="143"/>
      <c r="V962" s="143"/>
      <c r="W962" s="143"/>
      <c r="X962" s="143"/>
      <c r="Y962" s="143"/>
      <c r="Z962" s="143"/>
      <c r="AA962" s="143"/>
      <c r="AB962" s="143"/>
      <c r="AC962" s="143"/>
      <c r="AD962" s="143"/>
    </row>
    <row r="963">
      <c r="A963" s="25"/>
      <c r="B963" s="25"/>
      <c r="C963" s="25"/>
      <c r="D963" s="25"/>
      <c r="E963" s="50"/>
      <c r="F963" s="167"/>
      <c r="G963" s="168"/>
      <c r="H963" s="169"/>
      <c r="I963" s="141"/>
      <c r="J963" s="141"/>
      <c r="K963" s="141"/>
      <c r="L963" s="25"/>
      <c r="M963" s="25"/>
      <c r="N963" s="25"/>
      <c r="O963" s="143"/>
      <c r="P963" s="143"/>
      <c r="Q963" s="143"/>
      <c r="R963" s="143"/>
      <c r="S963" s="143"/>
      <c r="T963" s="143"/>
      <c r="U963" s="143"/>
      <c r="V963" s="143"/>
      <c r="W963" s="143"/>
      <c r="X963" s="143"/>
      <c r="Y963" s="143"/>
      <c r="Z963" s="143"/>
      <c r="AA963" s="143"/>
      <c r="AB963" s="143"/>
      <c r="AC963" s="143"/>
      <c r="AD963" s="143"/>
    </row>
    <row r="964">
      <c r="A964" s="25"/>
      <c r="B964" s="25"/>
      <c r="C964" s="25"/>
      <c r="D964" s="25"/>
      <c r="E964" s="50"/>
      <c r="F964" s="167"/>
      <c r="G964" s="168"/>
      <c r="H964" s="169"/>
      <c r="I964" s="141"/>
      <c r="J964" s="141"/>
      <c r="K964" s="141"/>
      <c r="L964" s="25"/>
      <c r="M964" s="25"/>
      <c r="N964" s="25"/>
      <c r="O964" s="143"/>
      <c r="P964" s="143"/>
      <c r="Q964" s="143"/>
      <c r="R964" s="143"/>
      <c r="S964" s="143"/>
      <c r="T964" s="143"/>
      <c r="U964" s="143"/>
      <c r="V964" s="143"/>
      <c r="W964" s="143"/>
      <c r="X964" s="143"/>
      <c r="Y964" s="143"/>
      <c r="Z964" s="143"/>
      <c r="AA964" s="143"/>
      <c r="AB964" s="143"/>
      <c r="AC964" s="143"/>
      <c r="AD964" s="143"/>
    </row>
    <row r="965">
      <c r="A965" s="25"/>
      <c r="B965" s="25"/>
      <c r="C965" s="25"/>
      <c r="D965" s="25"/>
      <c r="E965" s="50"/>
      <c r="F965" s="167"/>
      <c r="G965" s="168"/>
      <c r="H965" s="169"/>
      <c r="I965" s="141"/>
      <c r="J965" s="141"/>
      <c r="K965" s="141"/>
      <c r="L965" s="25"/>
      <c r="M965" s="25"/>
      <c r="N965" s="25"/>
      <c r="O965" s="143"/>
      <c r="P965" s="143"/>
      <c r="Q965" s="143"/>
      <c r="R965" s="143"/>
      <c r="S965" s="143"/>
      <c r="T965" s="143"/>
      <c r="U965" s="143"/>
      <c r="V965" s="143"/>
      <c r="W965" s="143"/>
      <c r="X965" s="143"/>
      <c r="Y965" s="143"/>
      <c r="Z965" s="143"/>
      <c r="AA965" s="143"/>
      <c r="AB965" s="143"/>
      <c r="AC965" s="143"/>
      <c r="AD965" s="143"/>
    </row>
    <row r="966">
      <c r="A966" s="25"/>
      <c r="B966" s="25"/>
      <c r="C966" s="25"/>
      <c r="D966" s="25"/>
      <c r="E966" s="50"/>
      <c r="F966" s="167"/>
      <c r="G966" s="168"/>
      <c r="H966" s="169"/>
      <c r="I966" s="141"/>
      <c r="J966" s="141"/>
      <c r="K966" s="141"/>
      <c r="L966" s="25"/>
      <c r="M966" s="25"/>
      <c r="N966" s="25"/>
      <c r="O966" s="143"/>
      <c r="P966" s="143"/>
      <c r="Q966" s="143"/>
      <c r="R966" s="143"/>
      <c r="S966" s="143"/>
      <c r="T966" s="143"/>
      <c r="U966" s="143"/>
      <c r="V966" s="143"/>
      <c r="W966" s="143"/>
      <c r="X966" s="143"/>
      <c r="Y966" s="143"/>
      <c r="Z966" s="143"/>
      <c r="AA966" s="143"/>
      <c r="AB966" s="143"/>
      <c r="AC966" s="143"/>
      <c r="AD966" s="143"/>
    </row>
    <row r="967">
      <c r="A967" s="25"/>
      <c r="B967" s="25"/>
      <c r="C967" s="25"/>
      <c r="D967" s="25"/>
      <c r="E967" s="50"/>
      <c r="F967" s="167"/>
      <c r="G967" s="168"/>
      <c r="H967" s="169"/>
      <c r="I967" s="141"/>
      <c r="J967" s="141"/>
      <c r="K967" s="141"/>
      <c r="L967" s="25"/>
      <c r="M967" s="25"/>
      <c r="N967" s="25"/>
      <c r="O967" s="143"/>
      <c r="P967" s="143"/>
      <c r="Q967" s="143"/>
      <c r="R967" s="143"/>
      <c r="S967" s="143"/>
      <c r="T967" s="143"/>
      <c r="U967" s="143"/>
      <c r="V967" s="143"/>
      <c r="W967" s="143"/>
      <c r="X967" s="143"/>
      <c r="Y967" s="143"/>
      <c r="Z967" s="143"/>
      <c r="AA967" s="143"/>
      <c r="AB967" s="143"/>
      <c r="AC967" s="143"/>
      <c r="AD967" s="143"/>
    </row>
    <row r="968">
      <c r="A968" s="25"/>
      <c r="B968" s="25"/>
      <c r="C968" s="25"/>
      <c r="D968" s="25"/>
      <c r="E968" s="50"/>
      <c r="F968" s="167"/>
      <c r="G968" s="168"/>
      <c r="H968" s="169"/>
      <c r="I968" s="141"/>
      <c r="J968" s="141"/>
      <c r="K968" s="141"/>
      <c r="L968" s="25"/>
      <c r="M968" s="25"/>
      <c r="N968" s="25"/>
      <c r="O968" s="143"/>
      <c r="P968" s="143"/>
      <c r="Q968" s="143"/>
      <c r="R968" s="143"/>
      <c r="S968" s="143"/>
      <c r="T968" s="143"/>
      <c r="U968" s="143"/>
      <c r="V968" s="143"/>
      <c r="W968" s="143"/>
      <c r="X968" s="143"/>
      <c r="Y968" s="143"/>
      <c r="Z968" s="143"/>
      <c r="AA968" s="143"/>
      <c r="AB968" s="143"/>
      <c r="AC968" s="143"/>
      <c r="AD968" s="143"/>
    </row>
    <row r="969">
      <c r="A969" s="25"/>
      <c r="B969" s="25"/>
      <c r="C969" s="25"/>
      <c r="D969" s="25"/>
      <c r="E969" s="50"/>
      <c r="F969" s="167"/>
      <c r="G969" s="168"/>
      <c r="H969" s="169"/>
      <c r="I969" s="141"/>
      <c r="J969" s="141"/>
      <c r="K969" s="141"/>
      <c r="L969" s="25"/>
      <c r="M969" s="25"/>
      <c r="N969" s="25"/>
      <c r="O969" s="143"/>
      <c r="P969" s="143"/>
      <c r="Q969" s="143"/>
      <c r="R969" s="143"/>
      <c r="S969" s="143"/>
      <c r="T969" s="143"/>
      <c r="U969" s="143"/>
      <c r="V969" s="143"/>
      <c r="W969" s="143"/>
      <c r="X969" s="143"/>
      <c r="Y969" s="143"/>
      <c r="Z969" s="143"/>
      <c r="AA969" s="143"/>
      <c r="AB969" s="143"/>
      <c r="AC969" s="143"/>
      <c r="AD969" s="143"/>
    </row>
    <row r="970">
      <c r="A970" s="25"/>
      <c r="B970" s="25"/>
      <c r="C970" s="25"/>
      <c r="D970" s="25"/>
      <c r="E970" s="50"/>
      <c r="F970" s="167"/>
      <c r="G970" s="168"/>
      <c r="H970" s="169"/>
      <c r="I970" s="141"/>
      <c r="J970" s="141"/>
      <c r="K970" s="141"/>
      <c r="L970" s="25"/>
      <c r="M970" s="25"/>
      <c r="N970" s="25"/>
      <c r="O970" s="143"/>
      <c r="P970" s="143"/>
      <c r="Q970" s="143"/>
      <c r="R970" s="143"/>
      <c r="S970" s="143"/>
      <c r="T970" s="143"/>
      <c r="U970" s="143"/>
      <c r="V970" s="143"/>
      <c r="W970" s="143"/>
      <c r="X970" s="143"/>
      <c r="Y970" s="143"/>
      <c r="Z970" s="143"/>
      <c r="AA970" s="143"/>
      <c r="AB970" s="143"/>
      <c r="AC970" s="143"/>
      <c r="AD970" s="143"/>
    </row>
    <row r="971">
      <c r="A971" s="25"/>
      <c r="B971" s="25"/>
      <c r="C971" s="25"/>
      <c r="D971" s="25"/>
      <c r="E971" s="50"/>
      <c r="F971" s="167"/>
      <c r="G971" s="168"/>
      <c r="H971" s="169"/>
      <c r="I971" s="141"/>
      <c r="J971" s="141"/>
      <c r="K971" s="141"/>
      <c r="L971" s="25"/>
      <c r="M971" s="25"/>
      <c r="N971" s="25"/>
      <c r="O971" s="143"/>
      <c r="P971" s="143"/>
      <c r="Q971" s="143"/>
      <c r="R971" s="143"/>
      <c r="S971" s="143"/>
      <c r="T971" s="143"/>
      <c r="U971" s="143"/>
      <c r="V971" s="143"/>
      <c r="W971" s="143"/>
      <c r="X971" s="143"/>
      <c r="Y971" s="143"/>
      <c r="Z971" s="143"/>
      <c r="AA971" s="143"/>
      <c r="AB971" s="143"/>
      <c r="AC971" s="143"/>
      <c r="AD971" s="143"/>
    </row>
    <row r="972">
      <c r="A972" s="25"/>
      <c r="B972" s="25"/>
      <c r="C972" s="25"/>
      <c r="D972" s="25"/>
      <c r="E972" s="50"/>
      <c r="F972" s="167"/>
      <c r="G972" s="168"/>
      <c r="H972" s="169"/>
      <c r="I972" s="141"/>
      <c r="J972" s="141"/>
      <c r="K972" s="141"/>
      <c r="L972" s="25"/>
      <c r="M972" s="25"/>
      <c r="N972" s="25"/>
      <c r="O972" s="143"/>
      <c r="P972" s="143"/>
      <c r="Q972" s="143"/>
      <c r="R972" s="143"/>
      <c r="S972" s="143"/>
      <c r="T972" s="143"/>
      <c r="U972" s="143"/>
      <c r="V972" s="143"/>
      <c r="W972" s="143"/>
      <c r="X972" s="143"/>
      <c r="Y972" s="143"/>
      <c r="Z972" s="143"/>
      <c r="AA972" s="143"/>
      <c r="AB972" s="143"/>
      <c r="AC972" s="143"/>
      <c r="AD972" s="143"/>
    </row>
    <row r="973">
      <c r="A973" s="25"/>
      <c r="B973" s="25"/>
      <c r="C973" s="25"/>
      <c r="D973" s="25"/>
      <c r="E973" s="50"/>
      <c r="F973" s="167"/>
      <c r="G973" s="168"/>
      <c r="H973" s="169"/>
      <c r="I973" s="141"/>
      <c r="J973" s="141"/>
      <c r="K973" s="141"/>
      <c r="L973" s="25"/>
      <c r="M973" s="25"/>
      <c r="N973" s="25"/>
      <c r="O973" s="143"/>
      <c r="P973" s="143"/>
      <c r="Q973" s="143"/>
      <c r="R973" s="143"/>
      <c r="S973" s="143"/>
      <c r="T973" s="143"/>
      <c r="U973" s="143"/>
      <c r="V973" s="143"/>
      <c r="W973" s="143"/>
      <c r="X973" s="143"/>
      <c r="Y973" s="143"/>
      <c r="Z973" s="143"/>
      <c r="AA973" s="143"/>
      <c r="AB973" s="143"/>
      <c r="AC973" s="143"/>
      <c r="AD973" s="143"/>
    </row>
    <row r="974">
      <c r="A974" s="25"/>
      <c r="B974" s="25"/>
      <c r="C974" s="25"/>
      <c r="D974" s="25"/>
      <c r="E974" s="50"/>
      <c r="F974" s="167"/>
      <c r="G974" s="168"/>
      <c r="H974" s="169"/>
      <c r="I974" s="141"/>
      <c r="J974" s="141"/>
      <c r="K974" s="141"/>
      <c r="L974" s="25"/>
      <c r="M974" s="25"/>
      <c r="N974" s="25"/>
      <c r="O974" s="143"/>
      <c r="P974" s="143"/>
      <c r="Q974" s="143"/>
      <c r="R974" s="143"/>
      <c r="S974" s="143"/>
      <c r="T974" s="143"/>
      <c r="U974" s="143"/>
      <c r="V974" s="143"/>
      <c r="W974" s="143"/>
      <c r="X974" s="143"/>
      <c r="Y974" s="143"/>
      <c r="Z974" s="143"/>
      <c r="AA974" s="143"/>
      <c r="AB974" s="143"/>
      <c r="AC974" s="143"/>
      <c r="AD974" s="143"/>
    </row>
    <row r="975">
      <c r="A975" s="25"/>
      <c r="B975" s="25"/>
      <c r="C975" s="25"/>
      <c r="D975" s="25"/>
      <c r="E975" s="50"/>
      <c r="F975" s="167"/>
      <c r="G975" s="168"/>
      <c r="H975" s="169"/>
      <c r="I975" s="141"/>
      <c r="J975" s="141"/>
      <c r="K975" s="141"/>
      <c r="L975" s="25"/>
      <c r="M975" s="25"/>
      <c r="N975" s="25"/>
      <c r="O975" s="143"/>
      <c r="P975" s="143"/>
      <c r="Q975" s="143"/>
      <c r="R975" s="143"/>
      <c r="S975" s="143"/>
      <c r="T975" s="143"/>
      <c r="U975" s="143"/>
      <c r="V975" s="143"/>
      <c r="W975" s="143"/>
      <c r="X975" s="143"/>
      <c r="Y975" s="143"/>
      <c r="Z975" s="143"/>
      <c r="AA975" s="143"/>
      <c r="AB975" s="143"/>
      <c r="AC975" s="143"/>
      <c r="AD975" s="143"/>
    </row>
    <row r="976">
      <c r="A976" s="25"/>
      <c r="B976" s="25"/>
      <c r="C976" s="25"/>
      <c r="D976" s="25"/>
      <c r="E976" s="50"/>
      <c r="F976" s="167"/>
      <c r="G976" s="168"/>
      <c r="H976" s="169"/>
      <c r="I976" s="141"/>
      <c r="J976" s="141"/>
      <c r="K976" s="141"/>
      <c r="L976" s="25"/>
      <c r="M976" s="25"/>
      <c r="N976" s="25"/>
      <c r="O976" s="143"/>
      <c r="P976" s="143"/>
      <c r="Q976" s="143"/>
      <c r="R976" s="143"/>
      <c r="S976" s="143"/>
      <c r="T976" s="143"/>
      <c r="U976" s="143"/>
      <c r="V976" s="143"/>
      <c r="W976" s="143"/>
      <c r="X976" s="143"/>
      <c r="Y976" s="143"/>
      <c r="Z976" s="143"/>
      <c r="AA976" s="143"/>
      <c r="AB976" s="143"/>
      <c r="AC976" s="143"/>
      <c r="AD976" s="143"/>
    </row>
    <row r="977">
      <c r="A977" s="25"/>
      <c r="B977" s="25"/>
      <c r="C977" s="25"/>
      <c r="D977" s="25"/>
      <c r="E977" s="50"/>
      <c r="F977" s="167"/>
      <c r="G977" s="168"/>
      <c r="H977" s="169"/>
      <c r="I977" s="141"/>
      <c r="J977" s="141"/>
      <c r="K977" s="141"/>
      <c r="L977" s="25"/>
      <c r="M977" s="25"/>
      <c r="N977" s="25"/>
      <c r="O977" s="143"/>
      <c r="P977" s="143"/>
      <c r="Q977" s="143"/>
      <c r="R977" s="143"/>
      <c r="S977" s="143"/>
      <c r="T977" s="143"/>
      <c r="U977" s="143"/>
      <c r="V977" s="143"/>
      <c r="W977" s="143"/>
      <c r="X977" s="143"/>
      <c r="Y977" s="143"/>
      <c r="Z977" s="143"/>
      <c r="AA977" s="143"/>
      <c r="AB977" s="143"/>
      <c r="AC977" s="143"/>
      <c r="AD977" s="143"/>
    </row>
    <row r="978">
      <c r="A978" s="25"/>
      <c r="B978" s="25"/>
      <c r="C978" s="25"/>
      <c r="D978" s="25"/>
      <c r="E978" s="50"/>
      <c r="F978" s="167"/>
      <c r="G978" s="168"/>
      <c r="H978" s="169"/>
      <c r="I978" s="141"/>
      <c r="J978" s="141"/>
      <c r="K978" s="141"/>
      <c r="L978" s="25"/>
      <c r="M978" s="25"/>
      <c r="N978" s="25"/>
      <c r="O978" s="143"/>
      <c r="P978" s="143"/>
      <c r="Q978" s="143"/>
      <c r="R978" s="143"/>
      <c r="S978" s="143"/>
      <c r="T978" s="143"/>
      <c r="U978" s="143"/>
      <c r="V978" s="143"/>
      <c r="W978" s="143"/>
      <c r="X978" s="143"/>
      <c r="Y978" s="143"/>
      <c r="Z978" s="143"/>
      <c r="AA978" s="143"/>
      <c r="AB978" s="143"/>
      <c r="AC978" s="143"/>
      <c r="AD978" s="143"/>
    </row>
    <row r="979">
      <c r="A979" s="25"/>
      <c r="B979" s="25"/>
      <c r="C979" s="25"/>
      <c r="D979" s="25"/>
      <c r="E979" s="50"/>
      <c r="F979" s="167"/>
      <c r="G979" s="168"/>
      <c r="H979" s="169"/>
      <c r="I979" s="141"/>
      <c r="J979" s="141"/>
      <c r="K979" s="141"/>
      <c r="L979" s="25"/>
      <c r="M979" s="25"/>
      <c r="N979" s="25"/>
      <c r="O979" s="143"/>
      <c r="P979" s="143"/>
      <c r="Q979" s="143"/>
      <c r="R979" s="143"/>
      <c r="S979" s="143"/>
      <c r="T979" s="143"/>
      <c r="U979" s="143"/>
      <c r="V979" s="143"/>
      <c r="W979" s="143"/>
      <c r="X979" s="143"/>
      <c r="Y979" s="143"/>
      <c r="Z979" s="143"/>
      <c r="AA979" s="143"/>
      <c r="AB979" s="143"/>
      <c r="AC979" s="143"/>
      <c r="AD979" s="143"/>
    </row>
    <row r="980">
      <c r="A980" s="25"/>
      <c r="B980" s="25"/>
      <c r="C980" s="25"/>
      <c r="D980" s="25"/>
      <c r="E980" s="50"/>
      <c r="F980" s="167"/>
      <c r="G980" s="168"/>
      <c r="H980" s="169"/>
      <c r="I980" s="141"/>
      <c r="J980" s="141"/>
      <c r="K980" s="141"/>
      <c r="L980" s="25"/>
      <c r="M980" s="25"/>
      <c r="N980" s="25"/>
      <c r="O980" s="143"/>
      <c r="P980" s="143"/>
      <c r="Q980" s="143"/>
      <c r="R980" s="143"/>
      <c r="S980" s="143"/>
      <c r="T980" s="143"/>
      <c r="U980" s="143"/>
      <c r="V980" s="143"/>
      <c r="W980" s="143"/>
      <c r="X980" s="143"/>
      <c r="Y980" s="143"/>
      <c r="Z980" s="143"/>
      <c r="AA980" s="143"/>
      <c r="AB980" s="143"/>
      <c r="AC980" s="143"/>
      <c r="AD980" s="143"/>
    </row>
    <row r="981">
      <c r="A981" s="25"/>
      <c r="B981" s="25"/>
      <c r="C981" s="25"/>
      <c r="D981" s="25"/>
      <c r="E981" s="50"/>
      <c r="F981" s="167"/>
      <c r="G981" s="168"/>
      <c r="H981" s="169"/>
      <c r="I981" s="141"/>
      <c r="J981" s="141"/>
      <c r="K981" s="141"/>
      <c r="L981" s="25"/>
      <c r="M981" s="25"/>
      <c r="N981" s="25"/>
      <c r="O981" s="143"/>
      <c r="P981" s="143"/>
      <c r="Q981" s="143"/>
      <c r="R981" s="143"/>
      <c r="S981" s="143"/>
      <c r="T981" s="143"/>
      <c r="U981" s="143"/>
      <c r="V981" s="143"/>
      <c r="W981" s="143"/>
      <c r="X981" s="143"/>
      <c r="Y981" s="143"/>
      <c r="Z981" s="143"/>
      <c r="AA981" s="143"/>
      <c r="AB981" s="143"/>
      <c r="AC981" s="143"/>
      <c r="AD981" s="143"/>
    </row>
    <row r="982">
      <c r="A982" s="25"/>
      <c r="B982" s="25"/>
      <c r="C982" s="25"/>
      <c r="D982" s="25"/>
      <c r="E982" s="50"/>
      <c r="F982" s="167"/>
      <c r="G982" s="168"/>
      <c r="H982" s="169"/>
      <c r="I982" s="141"/>
      <c r="J982" s="141"/>
      <c r="K982" s="141"/>
      <c r="L982" s="25"/>
      <c r="M982" s="25"/>
      <c r="N982" s="25"/>
      <c r="O982" s="143"/>
      <c r="P982" s="143"/>
      <c r="Q982" s="143"/>
      <c r="R982" s="143"/>
      <c r="S982" s="143"/>
      <c r="T982" s="143"/>
      <c r="U982" s="143"/>
      <c r="V982" s="143"/>
      <c r="W982" s="143"/>
      <c r="X982" s="143"/>
      <c r="Y982" s="143"/>
      <c r="Z982" s="143"/>
      <c r="AA982" s="143"/>
      <c r="AB982" s="143"/>
      <c r="AC982" s="143"/>
      <c r="AD982" s="143"/>
    </row>
    <row r="983">
      <c r="A983" s="25"/>
      <c r="B983" s="25"/>
      <c r="C983" s="25"/>
      <c r="D983" s="25"/>
      <c r="E983" s="50"/>
      <c r="F983" s="167"/>
      <c r="G983" s="168"/>
      <c r="H983" s="169"/>
      <c r="I983" s="141"/>
      <c r="J983" s="141"/>
      <c r="K983" s="141"/>
      <c r="L983" s="25"/>
      <c r="M983" s="25"/>
      <c r="N983" s="25"/>
      <c r="O983" s="143"/>
      <c r="P983" s="143"/>
      <c r="Q983" s="143"/>
      <c r="R983" s="143"/>
      <c r="S983" s="143"/>
      <c r="T983" s="143"/>
      <c r="U983" s="143"/>
      <c r="V983" s="143"/>
      <c r="W983" s="143"/>
      <c r="X983" s="143"/>
      <c r="Y983" s="143"/>
      <c r="Z983" s="143"/>
      <c r="AA983" s="143"/>
      <c r="AB983" s="143"/>
      <c r="AC983" s="143"/>
      <c r="AD983" s="143"/>
    </row>
    <row r="984">
      <c r="A984" s="25"/>
      <c r="B984" s="25"/>
      <c r="C984" s="25"/>
      <c r="D984" s="25"/>
      <c r="E984" s="50"/>
      <c r="F984" s="167"/>
      <c r="G984" s="168"/>
      <c r="H984" s="169"/>
      <c r="I984" s="141"/>
      <c r="J984" s="141"/>
      <c r="K984" s="141"/>
      <c r="L984" s="25"/>
      <c r="M984" s="25"/>
      <c r="N984" s="25"/>
      <c r="O984" s="143"/>
      <c r="P984" s="143"/>
      <c r="Q984" s="143"/>
      <c r="R984" s="143"/>
      <c r="S984" s="143"/>
      <c r="T984" s="143"/>
      <c r="U984" s="143"/>
      <c r="V984" s="143"/>
      <c r="W984" s="143"/>
      <c r="X984" s="143"/>
      <c r="Y984" s="143"/>
      <c r="Z984" s="143"/>
      <c r="AA984" s="143"/>
      <c r="AB984" s="143"/>
      <c r="AC984" s="143"/>
      <c r="AD984" s="143"/>
    </row>
    <row r="985">
      <c r="A985" s="25"/>
      <c r="B985" s="25"/>
      <c r="C985" s="25"/>
      <c r="D985" s="25"/>
      <c r="E985" s="50"/>
      <c r="F985" s="167"/>
      <c r="G985" s="168"/>
      <c r="H985" s="169"/>
      <c r="I985" s="141"/>
      <c r="J985" s="141"/>
      <c r="K985" s="141"/>
      <c r="L985" s="25"/>
      <c r="M985" s="25"/>
      <c r="N985" s="25"/>
      <c r="O985" s="143"/>
      <c r="P985" s="143"/>
      <c r="Q985" s="143"/>
      <c r="R985" s="143"/>
      <c r="S985" s="143"/>
      <c r="T985" s="143"/>
      <c r="U985" s="143"/>
      <c r="V985" s="143"/>
      <c r="W985" s="143"/>
      <c r="X985" s="143"/>
      <c r="Y985" s="143"/>
      <c r="Z985" s="143"/>
      <c r="AA985" s="143"/>
      <c r="AB985" s="143"/>
      <c r="AC985" s="143"/>
      <c r="AD985" s="143"/>
    </row>
    <row r="986">
      <c r="A986" s="25"/>
      <c r="B986" s="25"/>
      <c r="C986" s="25"/>
      <c r="D986" s="25"/>
      <c r="E986" s="50"/>
      <c r="F986" s="167"/>
      <c r="G986" s="168"/>
      <c r="H986" s="169"/>
      <c r="I986" s="141"/>
      <c r="J986" s="141"/>
      <c r="K986" s="141"/>
      <c r="L986" s="25"/>
      <c r="M986" s="25"/>
      <c r="N986" s="25"/>
      <c r="O986" s="143"/>
      <c r="P986" s="143"/>
      <c r="Q986" s="143"/>
      <c r="R986" s="143"/>
      <c r="S986" s="143"/>
      <c r="T986" s="143"/>
      <c r="U986" s="143"/>
      <c r="V986" s="143"/>
      <c r="W986" s="143"/>
      <c r="X986" s="143"/>
      <c r="Y986" s="143"/>
      <c r="Z986" s="143"/>
      <c r="AA986" s="143"/>
      <c r="AB986" s="143"/>
      <c r="AC986" s="143"/>
      <c r="AD986" s="143"/>
    </row>
    <row r="987">
      <c r="A987" s="25"/>
      <c r="B987" s="25"/>
      <c r="C987" s="25"/>
      <c r="D987" s="25"/>
      <c r="E987" s="50"/>
      <c r="F987" s="167"/>
      <c r="G987" s="168"/>
      <c r="H987" s="169"/>
      <c r="I987" s="141"/>
      <c r="J987" s="141"/>
      <c r="K987" s="141"/>
      <c r="L987" s="25"/>
      <c r="M987" s="25"/>
      <c r="N987" s="25"/>
      <c r="O987" s="143"/>
      <c r="P987" s="143"/>
      <c r="Q987" s="143"/>
      <c r="R987" s="143"/>
      <c r="S987" s="143"/>
      <c r="T987" s="143"/>
      <c r="U987" s="143"/>
      <c r="V987" s="143"/>
      <c r="W987" s="143"/>
      <c r="X987" s="143"/>
      <c r="Y987" s="143"/>
      <c r="Z987" s="143"/>
      <c r="AA987" s="143"/>
      <c r="AB987" s="143"/>
      <c r="AC987" s="143"/>
      <c r="AD987" s="143"/>
    </row>
    <row r="988">
      <c r="A988" s="25"/>
      <c r="B988" s="25"/>
      <c r="C988" s="25"/>
      <c r="D988" s="25"/>
      <c r="E988" s="50"/>
      <c r="F988" s="167"/>
      <c r="G988" s="168"/>
      <c r="H988" s="169"/>
      <c r="I988" s="141"/>
      <c r="J988" s="141"/>
      <c r="K988" s="141"/>
      <c r="L988" s="25"/>
      <c r="M988" s="25"/>
      <c r="N988" s="25"/>
      <c r="O988" s="143"/>
      <c r="P988" s="143"/>
      <c r="Q988" s="143"/>
      <c r="R988" s="143"/>
      <c r="S988" s="143"/>
      <c r="T988" s="143"/>
      <c r="U988" s="143"/>
      <c r="V988" s="143"/>
      <c r="W988" s="143"/>
      <c r="X988" s="143"/>
      <c r="Y988" s="143"/>
      <c r="Z988" s="143"/>
      <c r="AA988" s="143"/>
      <c r="AB988" s="143"/>
      <c r="AC988" s="143"/>
      <c r="AD988" s="143"/>
    </row>
    <row r="989">
      <c r="A989" s="25"/>
      <c r="B989" s="25"/>
      <c r="C989" s="25"/>
      <c r="D989" s="25"/>
      <c r="E989" s="50"/>
      <c r="F989" s="167"/>
      <c r="G989" s="168"/>
      <c r="H989" s="169"/>
      <c r="I989" s="141"/>
      <c r="J989" s="141"/>
      <c r="K989" s="141"/>
      <c r="L989" s="25"/>
      <c r="M989" s="25"/>
      <c r="N989" s="25"/>
      <c r="O989" s="143"/>
      <c r="P989" s="143"/>
      <c r="Q989" s="143"/>
      <c r="R989" s="143"/>
      <c r="S989" s="143"/>
      <c r="T989" s="143"/>
      <c r="U989" s="143"/>
      <c r="V989" s="143"/>
      <c r="W989" s="143"/>
      <c r="X989" s="143"/>
      <c r="Y989" s="143"/>
      <c r="Z989" s="143"/>
      <c r="AA989" s="143"/>
      <c r="AB989" s="143"/>
      <c r="AC989" s="143"/>
      <c r="AD989" s="143"/>
    </row>
    <row r="990">
      <c r="A990" s="25"/>
      <c r="B990" s="25"/>
      <c r="C990" s="25"/>
      <c r="D990" s="25"/>
      <c r="E990" s="50"/>
      <c r="F990" s="167"/>
      <c r="G990" s="168"/>
      <c r="H990" s="169"/>
      <c r="I990" s="141"/>
      <c r="J990" s="141"/>
      <c r="K990" s="141"/>
      <c r="L990" s="25"/>
      <c r="M990" s="25"/>
      <c r="N990" s="25"/>
      <c r="O990" s="143"/>
      <c r="P990" s="143"/>
      <c r="Q990" s="143"/>
      <c r="R990" s="143"/>
      <c r="S990" s="143"/>
      <c r="T990" s="143"/>
      <c r="U990" s="143"/>
      <c r="V990" s="143"/>
      <c r="W990" s="143"/>
      <c r="X990" s="143"/>
      <c r="Y990" s="143"/>
      <c r="Z990" s="143"/>
      <c r="AA990" s="143"/>
      <c r="AB990" s="143"/>
      <c r="AC990" s="143"/>
      <c r="AD990" s="143"/>
    </row>
    <row r="991">
      <c r="A991" s="25"/>
      <c r="B991" s="25"/>
      <c r="C991" s="25"/>
      <c r="D991" s="25"/>
      <c r="E991" s="50"/>
      <c r="F991" s="167"/>
      <c r="G991" s="168"/>
      <c r="H991" s="169"/>
      <c r="I991" s="141"/>
      <c r="J991" s="141"/>
      <c r="K991" s="141"/>
      <c r="L991" s="25"/>
      <c r="M991" s="25"/>
      <c r="N991" s="25"/>
      <c r="O991" s="143"/>
      <c r="P991" s="143"/>
      <c r="Q991" s="143"/>
      <c r="R991" s="143"/>
      <c r="S991" s="143"/>
      <c r="T991" s="143"/>
      <c r="U991" s="143"/>
      <c r="V991" s="143"/>
      <c r="W991" s="143"/>
      <c r="X991" s="143"/>
      <c r="Y991" s="143"/>
      <c r="Z991" s="143"/>
      <c r="AA991" s="143"/>
      <c r="AB991" s="143"/>
      <c r="AC991" s="143"/>
      <c r="AD991" s="143"/>
    </row>
    <row r="992">
      <c r="A992" s="25"/>
      <c r="B992" s="25"/>
      <c r="C992" s="25"/>
      <c r="D992" s="25"/>
      <c r="E992" s="50"/>
      <c r="F992" s="167"/>
      <c r="G992" s="168"/>
      <c r="H992" s="169"/>
      <c r="I992" s="141"/>
      <c r="J992" s="141"/>
      <c r="K992" s="141"/>
      <c r="L992" s="25"/>
      <c r="M992" s="25"/>
      <c r="N992" s="25"/>
      <c r="O992" s="143"/>
      <c r="P992" s="143"/>
      <c r="Q992" s="143"/>
      <c r="R992" s="143"/>
      <c r="S992" s="143"/>
      <c r="T992" s="143"/>
      <c r="U992" s="143"/>
      <c r="V992" s="143"/>
      <c r="W992" s="143"/>
      <c r="X992" s="143"/>
      <c r="Y992" s="143"/>
      <c r="Z992" s="143"/>
      <c r="AA992" s="143"/>
      <c r="AB992" s="143"/>
      <c r="AC992" s="143"/>
      <c r="AD992" s="143"/>
    </row>
    <row r="993">
      <c r="A993" s="25"/>
      <c r="B993" s="25"/>
      <c r="C993" s="25"/>
      <c r="D993" s="25"/>
      <c r="E993" s="50"/>
      <c r="F993" s="167"/>
      <c r="G993" s="168"/>
      <c r="H993" s="169"/>
      <c r="I993" s="141"/>
      <c r="J993" s="141"/>
      <c r="K993" s="141"/>
      <c r="L993" s="25"/>
      <c r="M993" s="25"/>
      <c r="N993" s="25"/>
      <c r="O993" s="143"/>
      <c r="P993" s="143"/>
      <c r="Q993" s="143"/>
      <c r="R993" s="143"/>
      <c r="S993" s="143"/>
      <c r="T993" s="143"/>
      <c r="U993" s="143"/>
      <c r="V993" s="143"/>
      <c r="W993" s="143"/>
      <c r="X993" s="143"/>
      <c r="Y993" s="143"/>
      <c r="Z993" s="143"/>
      <c r="AA993" s="143"/>
      <c r="AB993" s="143"/>
      <c r="AC993" s="143"/>
      <c r="AD993" s="143"/>
    </row>
    <row r="994">
      <c r="A994" s="25"/>
      <c r="B994" s="25"/>
      <c r="C994" s="25"/>
      <c r="D994" s="25"/>
      <c r="E994" s="50"/>
      <c r="F994" s="167"/>
      <c r="G994" s="168"/>
      <c r="H994" s="169"/>
      <c r="I994" s="141"/>
      <c r="J994" s="141"/>
      <c r="K994" s="141"/>
      <c r="L994" s="25"/>
      <c r="M994" s="25"/>
      <c r="N994" s="25"/>
      <c r="O994" s="143"/>
      <c r="P994" s="143"/>
      <c r="Q994" s="143"/>
      <c r="R994" s="143"/>
      <c r="S994" s="143"/>
      <c r="T994" s="143"/>
      <c r="U994" s="143"/>
      <c r="V994" s="143"/>
      <c r="W994" s="143"/>
      <c r="X994" s="143"/>
      <c r="Y994" s="143"/>
      <c r="Z994" s="143"/>
      <c r="AA994" s="143"/>
      <c r="AB994" s="143"/>
      <c r="AC994" s="143"/>
      <c r="AD994" s="143"/>
    </row>
    <row r="995">
      <c r="A995" s="25"/>
      <c r="B995" s="25"/>
      <c r="C995" s="25"/>
      <c r="D995" s="25"/>
      <c r="E995" s="50"/>
      <c r="F995" s="167"/>
      <c r="G995" s="168"/>
      <c r="H995" s="169"/>
      <c r="I995" s="141"/>
      <c r="J995" s="141"/>
      <c r="K995" s="141"/>
      <c r="L995" s="25"/>
      <c r="M995" s="25"/>
      <c r="N995" s="25"/>
      <c r="O995" s="143"/>
      <c r="P995" s="143"/>
      <c r="Q995" s="143"/>
      <c r="R995" s="143"/>
      <c r="S995" s="143"/>
      <c r="T995" s="143"/>
      <c r="U995" s="143"/>
      <c r="V995" s="143"/>
      <c r="W995" s="143"/>
      <c r="X995" s="143"/>
      <c r="Y995" s="143"/>
      <c r="Z995" s="143"/>
      <c r="AA995" s="143"/>
      <c r="AB995" s="143"/>
      <c r="AC995" s="143"/>
      <c r="AD995" s="143"/>
    </row>
    <row r="996">
      <c r="A996" s="25"/>
      <c r="B996" s="25"/>
      <c r="C996" s="25"/>
      <c r="D996" s="25"/>
      <c r="E996" s="50"/>
      <c r="F996" s="167"/>
      <c r="G996" s="168"/>
      <c r="H996" s="169"/>
      <c r="I996" s="141"/>
      <c r="J996" s="141"/>
      <c r="K996" s="141"/>
      <c r="L996" s="25"/>
      <c r="M996" s="25"/>
      <c r="N996" s="25"/>
      <c r="O996" s="143"/>
      <c r="P996" s="143"/>
      <c r="Q996" s="143"/>
      <c r="R996" s="143"/>
      <c r="S996" s="143"/>
      <c r="T996" s="143"/>
      <c r="U996" s="143"/>
      <c r="V996" s="143"/>
      <c r="W996" s="143"/>
      <c r="X996" s="143"/>
      <c r="Y996" s="143"/>
      <c r="Z996" s="143"/>
      <c r="AA996" s="143"/>
      <c r="AB996" s="143"/>
      <c r="AC996" s="143"/>
      <c r="AD996" s="143"/>
    </row>
    <row r="997">
      <c r="A997" s="25"/>
      <c r="B997" s="25"/>
      <c r="C997" s="25"/>
      <c r="D997" s="25"/>
      <c r="E997" s="50"/>
      <c r="F997" s="167"/>
      <c r="G997" s="168"/>
      <c r="H997" s="169"/>
      <c r="I997" s="141"/>
      <c r="J997" s="141"/>
      <c r="K997" s="141"/>
      <c r="L997" s="25"/>
      <c r="M997" s="25"/>
      <c r="N997" s="25"/>
      <c r="O997" s="143"/>
      <c r="P997" s="143"/>
      <c r="Q997" s="143"/>
      <c r="R997" s="143"/>
      <c r="S997" s="143"/>
      <c r="T997" s="143"/>
      <c r="U997" s="143"/>
      <c r="V997" s="143"/>
      <c r="W997" s="143"/>
      <c r="X997" s="143"/>
      <c r="Y997" s="143"/>
      <c r="Z997" s="143"/>
      <c r="AA997" s="143"/>
      <c r="AB997" s="143"/>
      <c r="AC997" s="143"/>
      <c r="AD997" s="143"/>
    </row>
    <row r="998">
      <c r="A998" s="25"/>
      <c r="B998" s="25"/>
      <c r="C998" s="25"/>
      <c r="D998" s="25"/>
      <c r="E998" s="50"/>
      <c r="F998" s="167"/>
      <c r="G998" s="168"/>
      <c r="H998" s="169"/>
      <c r="I998" s="141"/>
      <c r="J998" s="141"/>
      <c r="K998" s="141"/>
      <c r="L998" s="25"/>
      <c r="M998" s="25"/>
      <c r="N998" s="25"/>
      <c r="O998" s="143"/>
      <c r="P998" s="143"/>
      <c r="Q998" s="143"/>
      <c r="R998" s="143"/>
      <c r="S998" s="143"/>
      <c r="T998" s="143"/>
      <c r="U998" s="143"/>
      <c r="V998" s="143"/>
      <c r="W998" s="143"/>
      <c r="X998" s="143"/>
      <c r="Y998" s="143"/>
      <c r="Z998" s="143"/>
      <c r="AA998" s="143"/>
      <c r="AB998" s="143"/>
      <c r="AC998" s="143"/>
      <c r="AD998" s="143"/>
    </row>
    <row r="999">
      <c r="A999" s="25"/>
      <c r="B999" s="25"/>
      <c r="C999" s="25"/>
      <c r="D999" s="25"/>
      <c r="E999" s="50"/>
      <c r="F999" s="167"/>
      <c r="G999" s="168"/>
      <c r="H999" s="169"/>
      <c r="I999" s="141"/>
      <c r="J999" s="141"/>
      <c r="K999" s="141"/>
      <c r="L999" s="25"/>
      <c r="M999" s="25"/>
      <c r="N999" s="25"/>
      <c r="O999" s="143"/>
      <c r="P999" s="143"/>
      <c r="Q999" s="143"/>
      <c r="R999" s="143"/>
      <c r="S999" s="143"/>
      <c r="T999" s="143"/>
      <c r="U999" s="143"/>
      <c r="V999" s="143"/>
      <c r="W999" s="143"/>
      <c r="X999" s="143"/>
      <c r="Y999" s="143"/>
      <c r="Z999" s="143"/>
      <c r="AA999" s="143"/>
      <c r="AB999" s="143"/>
      <c r="AC999" s="143"/>
      <c r="AD999" s="143"/>
    </row>
    <row r="1000">
      <c r="A1000" s="25"/>
      <c r="B1000" s="25"/>
      <c r="C1000" s="25"/>
      <c r="D1000" s="25"/>
      <c r="E1000" s="50"/>
      <c r="F1000" s="167"/>
      <c r="G1000" s="168"/>
      <c r="H1000" s="169"/>
      <c r="I1000" s="141"/>
      <c r="J1000" s="141"/>
      <c r="K1000" s="141"/>
      <c r="L1000" s="25"/>
      <c r="M1000" s="25"/>
      <c r="N1000" s="25"/>
      <c r="O1000" s="143"/>
      <c r="P1000" s="143"/>
      <c r="Q1000" s="143"/>
      <c r="R1000" s="143"/>
      <c r="S1000" s="143"/>
      <c r="T1000" s="143"/>
      <c r="U1000" s="143"/>
      <c r="V1000" s="143"/>
      <c r="W1000" s="143"/>
      <c r="X1000" s="143"/>
      <c r="Y1000" s="143"/>
      <c r="Z1000" s="143"/>
      <c r="AA1000" s="143"/>
      <c r="AB1000" s="143"/>
      <c r="AC1000" s="143"/>
      <c r="AD1000" s="143"/>
    </row>
    <row r="1001">
      <c r="A1001" s="25"/>
      <c r="B1001" s="25"/>
      <c r="C1001" s="25"/>
      <c r="D1001" s="25"/>
      <c r="E1001" s="50"/>
      <c r="F1001" s="167"/>
      <c r="G1001" s="168"/>
      <c r="H1001" s="169"/>
      <c r="I1001" s="141"/>
      <c r="J1001" s="141"/>
      <c r="K1001" s="141"/>
      <c r="L1001" s="25"/>
      <c r="M1001" s="25"/>
      <c r="N1001" s="25"/>
      <c r="O1001" s="143"/>
      <c r="P1001" s="143"/>
      <c r="Q1001" s="143"/>
      <c r="R1001" s="143"/>
      <c r="S1001" s="143"/>
      <c r="T1001" s="143"/>
      <c r="U1001" s="143"/>
      <c r="V1001" s="143"/>
      <c r="W1001" s="143"/>
      <c r="X1001" s="143"/>
      <c r="Y1001" s="143"/>
      <c r="Z1001" s="143"/>
      <c r="AA1001" s="143"/>
      <c r="AB1001" s="143"/>
      <c r="AC1001" s="143"/>
      <c r="AD1001" s="143"/>
    </row>
    <row r="1002">
      <c r="A1002" s="25"/>
      <c r="B1002" s="25"/>
      <c r="C1002" s="25"/>
      <c r="D1002" s="25"/>
      <c r="E1002" s="50"/>
      <c r="F1002" s="167"/>
      <c r="G1002" s="168"/>
      <c r="H1002" s="169"/>
      <c r="I1002" s="141"/>
      <c r="J1002" s="141"/>
      <c r="K1002" s="141"/>
      <c r="L1002" s="25"/>
      <c r="M1002" s="25"/>
      <c r="N1002" s="25"/>
      <c r="O1002" s="143"/>
      <c r="P1002" s="143"/>
      <c r="Q1002" s="143"/>
      <c r="R1002" s="143"/>
      <c r="S1002" s="143"/>
      <c r="T1002" s="143"/>
      <c r="U1002" s="143"/>
      <c r="V1002" s="143"/>
      <c r="W1002" s="143"/>
      <c r="X1002" s="143"/>
      <c r="Y1002" s="143"/>
      <c r="Z1002" s="143"/>
      <c r="AA1002" s="143"/>
      <c r="AB1002" s="143"/>
      <c r="AC1002" s="143"/>
      <c r="AD1002" s="143"/>
    </row>
    <row r="1003">
      <c r="A1003" s="25"/>
      <c r="B1003" s="25"/>
      <c r="C1003" s="25"/>
      <c r="D1003" s="25"/>
      <c r="E1003" s="50"/>
      <c r="F1003" s="167"/>
      <c r="G1003" s="168"/>
      <c r="H1003" s="169"/>
      <c r="I1003" s="141"/>
      <c r="J1003" s="141"/>
      <c r="K1003" s="141"/>
      <c r="L1003" s="25"/>
      <c r="M1003" s="25"/>
      <c r="N1003" s="25"/>
      <c r="O1003" s="143"/>
      <c r="P1003" s="143"/>
      <c r="Q1003" s="143"/>
      <c r="R1003" s="143"/>
      <c r="S1003" s="143"/>
      <c r="T1003" s="143"/>
      <c r="U1003" s="143"/>
      <c r="V1003" s="143"/>
      <c r="W1003" s="143"/>
      <c r="X1003" s="143"/>
      <c r="Y1003" s="143"/>
      <c r="Z1003" s="143"/>
      <c r="AA1003" s="143"/>
      <c r="AB1003" s="143"/>
      <c r="AC1003" s="143"/>
      <c r="AD1003" s="143"/>
    </row>
    <row r="1004">
      <c r="A1004" s="25"/>
      <c r="B1004" s="25"/>
      <c r="C1004" s="25"/>
      <c r="D1004" s="25"/>
      <c r="E1004" s="50"/>
      <c r="F1004" s="167"/>
      <c r="G1004" s="168"/>
      <c r="H1004" s="169"/>
      <c r="I1004" s="141"/>
      <c r="J1004" s="141"/>
      <c r="K1004" s="141"/>
      <c r="L1004" s="25"/>
      <c r="M1004" s="25"/>
      <c r="N1004" s="25"/>
      <c r="O1004" s="143"/>
      <c r="P1004" s="143"/>
      <c r="Q1004" s="143"/>
      <c r="R1004" s="143"/>
      <c r="S1004" s="143"/>
      <c r="T1004" s="143"/>
      <c r="U1004" s="143"/>
      <c r="V1004" s="143"/>
      <c r="W1004" s="143"/>
      <c r="X1004" s="143"/>
      <c r="Y1004" s="143"/>
      <c r="Z1004" s="143"/>
      <c r="AA1004" s="143"/>
      <c r="AB1004" s="143"/>
      <c r="AC1004" s="143"/>
      <c r="AD1004" s="143"/>
    </row>
    <row r="1005">
      <c r="A1005" s="25"/>
      <c r="B1005" s="25"/>
      <c r="C1005" s="25"/>
      <c r="D1005" s="25"/>
      <c r="E1005" s="50"/>
      <c r="F1005" s="167"/>
      <c r="G1005" s="168"/>
      <c r="H1005" s="169"/>
      <c r="I1005" s="141"/>
      <c r="J1005" s="141"/>
      <c r="K1005" s="141"/>
      <c r="L1005" s="25"/>
      <c r="M1005" s="25"/>
      <c r="N1005" s="25"/>
      <c r="O1005" s="143"/>
      <c r="P1005" s="143"/>
      <c r="Q1005" s="143"/>
      <c r="R1005" s="143"/>
      <c r="S1005" s="143"/>
      <c r="T1005" s="143"/>
      <c r="U1005" s="143"/>
      <c r="V1005" s="143"/>
      <c r="W1005" s="143"/>
      <c r="X1005" s="143"/>
      <c r="Y1005" s="143"/>
      <c r="Z1005" s="143"/>
      <c r="AA1005" s="143"/>
      <c r="AB1005" s="143"/>
      <c r="AC1005" s="143"/>
      <c r="AD1005" s="143"/>
    </row>
    <row r="1006">
      <c r="A1006" s="25"/>
      <c r="B1006" s="25"/>
      <c r="C1006" s="25"/>
      <c r="D1006" s="25"/>
      <c r="E1006" s="50"/>
      <c r="F1006" s="167"/>
      <c r="G1006" s="168"/>
      <c r="H1006" s="169"/>
      <c r="I1006" s="141"/>
      <c r="J1006" s="141"/>
      <c r="K1006" s="141"/>
      <c r="L1006" s="25"/>
      <c r="M1006" s="25"/>
      <c r="N1006" s="25"/>
      <c r="O1006" s="143"/>
      <c r="P1006" s="143"/>
      <c r="Q1006" s="143"/>
      <c r="R1006" s="143"/>
      <c r="S1006" s="143"/>
      <c r="T1006" s="143"/>
      <c r="U1006" s="143"/>
      <c r="V1006" s="143"/>
      <c r="W1006" s="143"/>
      <c r="X1006" s="143"/>
      <c r="Y1006" s="143"/>
      <c r="Z1006" s="143"/>
      <c r="AA1006" s="143"/>
      <c r="AB1006" s="143"/>
      <c r="AC1006" s="143"/>
      <c r="AD1006" s="143"/>
    </row>
    <row r="1007">
      <c r="A1007" s="25"/>
      <c r="B1007" s="25"/>
      <c r="C1007" s="25"/>
      <c r="D1007" s="25"/>
      <c r="E1007" s="50"/>
      <c r="F1007" s="167"/>
      <c r="G1007" s="168"/>
      <c r="H1007" s="169"/>
      <c r="I1007" s="141"/>
      <c r="J1007" s="141"/>
      <c r="K1007" s="141"/>
      <c r="L1007" s="25"/>
      <c r="M1007" s="25"/>
      <c r="N1007" s="25"/>
      <c r="O1007" s="143"/>
      <c r="P1007" s="143"/>
      <c r="Q1007" s="143"/>
      <c r="R1007" s="143"/>
      <c r="S1007" s="143"/>
      <c r="T1007" s="143"/>
      <c r="U1007" s="143"/>
      <c r="V1007" s="143"/>
      <c r="W1007" s="143"/>
      <c r="X1007" s="143"/>
      <c r="Y1007" s="143"/>
      <c r="Z1007" s="143"/>
      <c r="AA1007" s="143"/>
      <c r="AB1007" s="143"/>
      <c r="AC1007" s="143"/>
      <c r="AD1007" s="143"/>
    </row>
    <row r="1008">
      <c r="A1008" s="25"/>
      <c r="B1008" s="25"/>
      <c r="C1008" s="25"/>
      <c r="D1008" s="25"/>
      <c r="E1008" s="50"/>
      <c r="F1008" s="167"/>
      <c r="G1008" s="168"/>
      <c r="H1008" s="169"/>
      <c r="I1008" s="141"/>
      <c r="J1008" s="141"/>
      <c r="K1008" s="141"/>
      <c r="L1008" s="25"/>
      <c r="M1008" s="25"/>
      <c r="N1008" s="25"/>
      <c r="O1008" s="143"/>
      <c r="P1008" s="143"/>
      <c r="Q1008" s="143"/>
      <c r="R1008" s="143"/>
      <c r="S1008" s="143"/>
      <c r="T1008" s="143"/>
      <c r="U1008" s="143"/>
      <c r="V1008" s="143"/>
      <c r="W1008" s="143"/>
      <c r="X1008" s="143"/>
      <c r="Y1008" s="143"/>
      <c r="Z1008" s="143"/>
      <c r="AA1008" s="143"/>
      <c r="AB1008" s="143"/>
      <c r="AC1008" s="143"/>
      <c r="AD1008" s="143"/>
    </row>
    <row r="1009">
      <c r="A1009" s="25"/>
      <c r="B1009" s="25"/>
      <c r="C1009" s="25"/>
      <c r="D1009" s="25"/>
      <c r="E1009" s="50"/>
      <c r="F1009" s="167"/>
      <c r="G1009" s="168"/>
      <c r="H1009" s="169"/>
      <c r="I1009" s="141"/>
      <c r="J1009" s="141"/>
      <c r="K1009" s="141"/>
      <c r="L1009" s="25"/>
      <c r="M1009" s="25"/>
      <c r="N1009" s="25"/>
      <c r="O1009" s="143"/>
      <c r="P1009" s="143"/>
      <c r="Q1009" s="143"/>
      <c r="R1009" s="143"/>
      <c r="S1009" s="143"/>
      <c r="T1009" s="143"/>
      <c r="U1009" s="143"/>
      <c r="V1009" s="143"/>
      <c r="W1009" s="143"/>
      <c r="X1009" s="143"/>
      <c r="Y1009" s="143"/>
      <c r="Z1009" s="143"/>
      <c r="AA1009" s="143"/>
      <c r="AB1009" s="143"/>
      <c r="AC1009" s="143"/>
      <c r="AD1009" s="143"/>
    </row>
    <row r="1010">
      <c r="A1010" s="25"/>
      <c r="B1010" s="25"/>
      <c r="C1010" s="25"/>
      <c r="D1010" s="25"/>
      <c r="E1010" s="50"/>
      <c r="F1010" s="167"/>
      <c r="G1010" s="168"/>
      <c r="H1010" s="169"/>
      <c r="I1010" s="141"/>
      <c r="J1010" s="141"/>
      <c r="K1010" s="141"/>
      <c r="L1010" s="25"/>
      <c r="M1010" s="25"/>
      <c r="N1010" s="25"/>
      <c r="O1010" s="143"/>
      <c r="P1010" s="143"/>
      <c r="Q1010" s="143"/>
      <c r="R1010" s="143"/>
      <c r="S1010" s="143"/>
      <c r="T1010" s="143"/>
      <c r="U1010" s="143"/>
      <c r="V1010" s="143"/>
      <c r="W1010" s="143"/>
      <c r="X1010" s="143"/>
      <c r="Y1010" s="143"/>
      <c r="Z1010" s="143"/>
      <c r="AA1010" s="143"/>
      <c r="AB1010" s="143"/>
      <c r="AC1010" s="143"/>
      <c r="AD1010" s="143"/>
    </row>
    <row r="1011">
      <c r="A1011" s="25"/>
      <c r="B1011" s="25"/>
      <c r="C1011" s="25"/>
      <c r="D1011" s="25"/>
      <c r="E1011" s="50"/>
      <c r="F1011" s="167"/>
      <c r="G1011" s="168"/>
      <c r="H1011" s="169"/>
      <c r="I1011" s="141"/>
      <c r="J1011" s="141"/>
      <c r="K1011" s="141"/>
      <c r="L1011" s="25"/>
      <c r="M1011" s="25"/>
      <c r="N1011" s="25"/>
      <c r="O1011" s="143"/>
      <c r="P1011" s="143"/>
      <c r="Q1011" s="143"/>
      <c r="R1011" s="143"/>
      <c r="S1011" s="143"/>
      <c r="T1011" s="143"/>
      <c r="U1011" s="143"/>
      <c r="V1011" s="143"/>
      <c r="W1011" s="143"/>
      <c r="X1011" s="143"/>
      <c r="Y1011" s="143"/>
      <c r="Z1011" s="143"/>
      <c r="AA1011" s="143"/>
      <c r="AB1011" s="143"/>
      <c r="AC1011" s="143"/>
      <c r="AD1011" s="143"/>
    </row>
    <row r="1012">
      <c r="A1012" s="25"/>
      <c r="B1012" s="25"/>
      <c r="C1012" s="25"/>
      <c r="D1012" s="25"/>
      <c r="E1012" s="50"/>
      <c r="F1012" s="167"/>
      <c r="G1012" s="168"/>
      <c r="H1012" s="169"/>
      <c r="I1012" s="141"/>
      <c r="J1012" s="141"/>
      <c r="K1012" s="141"/>
      <c r="L1012" s="25"/>
      <c r="M1012" s="25"/>
      <c r="N1012" s="25"/>
      <c r="O1012" s="143"/>
      <c r="P1012" s="143"/>
      <c r="Q1012" s="143"/>
      <c r="R1012" s="143"/>
      <c r="S1012" s="143"/>
      <c r="T1012" s="143"/>
      <c r="U1012" s="143"/>
      <c r="V1012" s="143"/>
      <c r="W1012" s="143"/>
      <c r="X1012" s="143"/>
      <c r="Y1012" s="143"/>
      <c r="Z1012" s="143"/>
      <c r="AA1012" s="143"/>
      <c r="AB1012" s="143"/>
      <c r="AC1012" s="143"/>
      <c r="AD1012" s="143"/>
    </row>
    <row r="1013">
      <c r="A1013" s="25"/>
      <c r="B1013" s="25"/>
      <c r="C1013" s="25"/>
      <c r="D1013" s="25"/>
      <c r="E1013" s="50"/>
      <c r="F1013" s="167"/>
      <c r="G1013" s="168"/>
      <c r="H1013" s="169"/>
      <c r="I1013" s="141"/>
      <c r="J1013" s="141"/>
      <c r="K1013" s="141"/>
      <c r="L1013" s="25"/>
      <c r="M1013" s="25"/>
      <c r="N1013" s="25"/>
      <c r="O1013" s="143"/>
      <c r="P1013" s="143"/>
      <c r="Q1013" s="143"/>
      <c r="R1013" s="143"/>
      <c r="S1013" s="143"/>
      <c r="T1013" s="143"/>
      <c r="U1013" s="143"/>
      <c r="V1013" s="143"/>
      <c r="W1013" s="143"/>
      <c r="X1013" s="143"/>
      <c r="Y1013" s="143"/>
      <c r="Z1013" s="143"/>
      <c r="AA1013" s="143"/>
      <c r="AB1013" s="143"/>
      <c r="AC1013" s="143"/>
      <c r="AD1013" s="143"/>
    </row>
    <row r="1014">
      <c r="A1014" s="25"/>
      <c r="B1014" s="25"/>
      <c r="C1014" s="25"/>
      <c r="D1014" s="25"/>
      <c r="E1014" s="50"/>
      <c r="F1014" s="167"/>
      <c r="G1014" s="168"/>
      <c r="H1014" s="169"/>
      <c r="I1014" s="141"/>
      <c r="J1014" s="141"/>
      <c r="K1014" s="141"/>
      <c r="L1014" s="25"/>
      <c r="M1014" s="25"/>
      <c r="N1014" s="25"/>
      <c r="O1014" s="143"/>
      <c r="P1014" s="143"/>
      <c r="Q1014" s="143"/>
      <c r="R1014" s="143"/>
      <c r="S1014" s="143"/>
      <c r="T1014" s="143"/>
      <c r="U1014" s="143"/>
      <c r="V1014" s="143"/>
      <c r="W1014" s="143"/>
      <c r="X1014" s="143"/>
      <c r="Y1014" s="143"/>
      <c r="Z1014" s="143"/>
      <c r="AA1014" s="143"/>
      <c r="AB1014" s="143"/>
      <c r="AC1014" s="143"/>
      <c r="AD1014" s="143"/>
    </row>
    <row r="1015">
      <c r="A1015" s="25"/>
      <c r="B1015" s="25"/>
      <c r="C1015" s="25"/>
      <c r="D1015" s="25"/>
      <c r="E1015" s="50"/>
      <c r="F1015" s="167"/>
      <c r="G1015" s="168"/>
      <c r="H1015" s="169"/>
      <c r="I1015" s="141"/>
      <c r="J1015" s="141"/>
      <c r="K1015" s="141"/>
      <c r="L1015" s="25"/>
      <c r="M1015" s="25"/>
      <c r="N1015" s="25"/>
      <c r="O1015" s="143"/>
      <c r="P1015" s="143"/>
      <c r="Q1015" s="143"/>
      <c r="R1015" s="143"/>
      <c r="S1015" s="143"/>
      <c r="T1015" s="143"/>
      <c r="U1015" s="143"/>
      <c r="V1015" s="143"/>
      <c r="W1015" s="143"/>
      <c r="X1015" s="143"/>
      <c r="Y1015" s="143"/>
      <c r="Z1015" s="143"/>
      <c r="AA1015" s="143"/>
      <c r="AB1015" s="143"/>
      <c r="AC1015" s="143"/>
      <c r="AD1015" s="143"/>
    </row>
    <row r="1016">
      <c r="A1016" s="25"/>
      <c r="B1016" s="25"/>
      <c r="C1016" s="25"/>
      <c r="D1016" s="25"/>
      <c r="E1016" s="50"/>
      <c r="F1016" s="167"/>
      <c r="G1016" s="168"/>
      <c r="H1016" s="169"/>
      <c r="I1016" s="141"/>
      <c r="J1016" s="141"/>
      <c r="K1016" s="141"/>
      <c r="L1016" s="25"/>
      <c r="M1016" s="25"/>
      <c r="N1016" s="25"/>
      <c r="O1016" s="143"/>
      <c r="P1016" s="143"/>
      <c r="Q1016" s="143"/>
      <c r="R1016" s="143"/>
      <c r="S1016" s="143"/>
      <c r="T1016" s="143"/>
      <c r="U1016" s="143"/>
      <c r="V1016" s="143"/>
      <c r="W1016" s="143"/>
      <c r="X1016" s="143"/>
      <c r="Y1016" s="143"/>
      <c r="Z1016" s="143"/>
      <c r="AA1016" s="143"/>
      <c r="AB1016" s="143"/>
      <c r="AC1016" s="143"/>
      <c r="AD1016" s="143"/>
    </row>
    <row r="1017">
      <c r="A1017" s="25"/>
      <c r="B1017" s="25"/>
      <c r="C1017" s="25"/>
      <c r="D1017" s="25"/>
      <c r="E1017" s="50"/>
      <c r="F1017" s="167"/>
      <c r="G1017" s="168"/>
      <c r="H1017" s="169"/>
      <c r="I1017" s="141"/>
      <c r="J1017" s="141"/>
      <c r="K1017" s="141"/>
      <c r="L1017" s="25"/>
      <c r="M1017" s="25"/>
      <c r="N1017" s="25"/>
      <c r="O1017" s="143"/>
      <c r="P1017" s="143"/>
      <c r="Q1017" s="143"/>
      <c r="R1017" s="143"/>
      <c r="S1017" s="143"/>
      <c r="T1017" s="143"/>
      <c r="U1017" s="143"/>
      <c r="V1017" s="143"/>
      <c r="W1017" s="143"/>
      <c r="X1017" s="143"/>
      <c r="Y1017" s="143"/>
      <c r="Z1017" s="143"/>
      <c r="AA1017" s="143"/>
      <c r="AB1017" s="143"/>
      <c r="AC1017" s="143"/>
      <c r="AD1017" s="143"/>
    </row>
    <row r="1018">
      <c r="A1018" s="25"/>
      <c r="B1018" s="25"/>
      <c r="C1018" s="25"/>
      <c r="D1018" s="25"/>
      <c r="E1018" s="50"/>
      <c r="F1018" s="167"/>
      <c r="G1018" s="168"/>
      <c r="H1018" s="169"/>
      <c r="I1018" s="141"/>
      <c r="J1018" s="141"/>
      <c r="K1018" s="141"/>
      <c r="L1018" s="25"/>
      <c r="M1018" s="25"/>
      <c r="N1018" s="25"/>
      <c r="O1018" s="143"/>
      <c r="P1018" s="143"/>
      <c r="Q1018" s="143"/>
      <c r="R1018" s="143"/>
      <c r="S1018" s="143"/>
      <c r="T1018" s="143"/>
      <c r="U1018" s="143"/>
      <c r="V1018" s="143"/>
      <c r="W1018" s="143"/>
      <c r="X1018" s="143"/>
      <c r="Y1018" s="143"/>
      <c r="Z1018" s="143"/>
      <c r="AA1018" s="143"/>
      <c r="AB1018" s="143"/>
      <c r="AC1018" s="143"/>
      <c r="AD1018" s="143"/>
    </row>
    <row r="1019">
      <c r="A1019" s="25"/>
      <c r="B1019" s="25"/>
      <c r="C1019" s="25"/>
      <c r="D1019" s="25"/>
      <c r="E1019" s="50"/>
      <c r="F1019" s="167"/>
      <c r="G1019" s="168"/>
      <c r="H1019" s="169"/>
      <c r="I1019" s="141"/>
      <c r="J1019" s="141"/>
      <c r="K1019" s="141"/>
      <c r="L1019" s="25"/>
      <c r="M1019" s="25"/>
      <c r="N1019" s="25"/>
      <c r="O1019" s="143"/>
      <c r="P1019" s="143"/>
      <c r="Q1019" s="143"/>
      <c r="R1019" s="143"/>
      <c r="S1019" s="143"/>
      <c r="T1019" s="143"/>
      <c r="U1019" s="143"/>
      <c r="V1019" s="143"/>
      <c r="W1019" s="143"/>
      <c r="X1019" s="143"/>
      <c r="Y1019" s="143"/>
      <c r="Z1019" s="143"/>
      <c r="AA1019" s="143"/>
      <c r="AB1019" s="143"/>
      <c r="AC1019" s="143"/>
      <c r="AD1019" s="143"/>
    </row>
    <row r="1020">
      <c r="A1020" s="25"/>
      <c r="B1020" s="25"/>
      <c r="C1020" s="25"/>
      <c r="D1020" s="25"/>
      <c r="E1020" s="50"/>
      <c r="F1020" s="167"/>
      <c r="G1020" s="168"/>
      <c r="H1020" s="169"/>
      <c r="I1020" s="141"/>
      <c r="J1020" s="141"/>
      <c r="K1020" s="141"/>
      <c r="L1020" s="25"/>
      <c r="M1020" s="25"/>
      <c r="N1020" s="25"/>
      <c r="O1020" s="143"/>
      <c r="P1020" s="143"/>
      <c r="Q1020" s="143"/>
      <c r="R1020" s="143"/>
      <c r="S1020" s="143"/>
      <c r="T1020" s="143"/>
      <c r="U1020" s="143"/>
      <c r="V1020" s="143"/>
      <c r="W1020" s="143"/>
      <c r="X1020" s="143"/>
      <c r="Y1020" s="143"/>
      <c r="Z1020" s="143"/>
      <c r="AA1020" s="143"/>
      <c r="AB1020" s="143"/>
      <c r="AC1020" s="143"/>
      <c r="AD1020" s="143"/>
    </row>
    <row r="1021">
      <c r="A1021" s="25"/>
      <c r="B1021" s="25"/>
      <c r="C1021" s="25"/>
      <c r="D1021" s="25"/>
      <c r="E1021" s="50"/>
      <c r="F1021" s="167"/>
      <c r="G1021" s="168"/>
      <c r="H1021" s="169"/>
      <c r="I1021" s="141"/>
      <c r="J1021" s="141"/>
      <c r="K1021" s="141"/>
      <c r="L1021" s="25"/>
      <c r="M1021" s="25"/>
      <c r="N1021" s="25"/>
      <c r="O1021" s="143"/>
      <c r="P1021" s="143"/>
      <c r="Q1021" s="143"/>
      <c r="R1021" s="143"/>
      <c r="S1021" s="143"/>
      <c r="T1021" s="143"/>
      <c r="U1021" s="143"/>
      <c r="V1021" s="143"/>
      <c r="W1021" s="143"/>
      <c r="X1021" s="143"/>
      <c r="Y1021" s="143"/>
      <c r="Z1021" s="143"/>
      <c r="AA1021" s="143"/>
      <c r="AB1021" s="143"/>
      <c r="AC1021" s="143"/>
      <c r="AD1021" s="143"/>
    </row>
    <row r="1022">
      <c r="A1022" s="25"/>
      <c r="B1022" s="25"/>
      <c r="C1022" s="25"/>
      <c r="D1022" s="25"/>
      <c r="E1022" s="50"/>
      <c r="F1022" s="167"/>
      <c r="G1022" s="168"/>
      <c r="H1022" s="169"/>
      <c r="I1022" s="141"/>
      <c r="J1022" s="141"/>
      <c r="K1022" s="141"/>
      <c r="L1022" s="25"/>
      <c r="M1022" s="25"/>
      <c r="N1022" s="25"/>
      <c r="O1022" s="143"/>
      <c r="P1022" s="143"/>
      <c r="Q1022" s="143"/>
      <c r="R1022" s="143"/>
      <c r="S1022" s="143"/>
      <c r="T1022" s="143"/>
      <c r="U1022" s="143"/>
      <c r="V1022" s="143"/>
      <c r="W1022" s="143"/>
      <c r="X1022" s="143"/>
      <c r="Y1022" s="143"/>
      <c r="Z1022" s="143"/>
      <c r="AA1022" s="143"/>
      <c r="AB1022" s="143"/>
      <c r="AC1022" s="143"/>
      <c r="AD1022" s="143"/>
    </row>
    <row r="1023">
      <c r="A1023" s="25"/>
      <c r="B1023" s="25"/>
      <c r="C1023" s="25"/>
      <c r="D1023" s="25"/>
      <c r="E1023" s="50"/>
      <c r="F1023" s="167"/>
      <c r="G1023" s="168"/>
      <c r="H1023" s="169"/>
      <c r="I1023" s="141"/>
      <c r="J1023" s="141"/>
      <c r="K1023" s="141"/>
      <c r="L1023" s="25"/>
      <c r="M1023" s="25"/>
      <c r="N1023" s="25"/>
      <c r="O1023" s="143"/>
      <c r="P1023" s="143"/>
      <c r="Q1023" s="143"/>
      <c r="R1023" s="143"/>
      <c r="S1023" s="143"/>
      <c r="T1023" s="143"/>
      <c r="U1023" s="143"/>
      <c r="V1023" s="143"/>
      <c r="W1023" s="143"/>
      <c r="X1023" s="143"/>
      <c r="Y1023" s="143"/>
      <c r="Z1023" s="143"/>
      <c r="AA1023" s="143"/>
      <c r="AB1023" s="143"/>
      <c r="AC1023" s="143"/>
      <c r="AD1023" s="143"/>
    </row>
    <row r="1024">
      <c r="A1024" s="25"/>
      <c r="B1024" s="25"/>
      <c r="C1024" s="25"/>
      <c r="D1024" s="25"/>
      <c r="E1024" s="50"/>
      <c r="F1024" s="167"/>
      <c r="G1024" s="168"/>
      <c r="H1024" s="169"/>
      <c r="I1024" s="141"/>
      <c r="J1024" s="141"/>
      <c r="K1024" s="141"/>
      <c r="L1024" s="25"/>
      <c r="M1024" s="25"/>
      <c r="N1024" s="25"/>
      <c r="O1024" s="143"/>
      <c r="P1024" s="143"/>
      <c r="Q1024" s="143"/>
      <c r="R1024" s="143"/>
      <c r="S1024" s="143"/>
      <c r="T1024" s="143"/>
      <c r="U1024" s="143"/>
      <c r="V1024" s="143"/>
      <c r="W1024" s="143"/>
      <c r="X1024" s="143"/>
      <c r="Y1024" s="143"/>
      <c r="Z1024" s="143"/>
      <c r="AA1024" s="143"/>
      <c r="AB1024" s="143"/>
      <c r="AC1024" s="143"/>
      <c r="AD1024" s="143"/>
    </row>
    <row r="1025">
      <c r="A1025" s="25"/>
      <c r="B1025" s="25"/>
      <c r="C1025" s="25"/>
      <c r="D1025" s="25"/>
      <c r="E1025" s="50"/>
      <c r="F1025" s="167"/>
      <c r="G1025" s="168"/>
      <c r="H1025" s="169"/>
      <c r="I1025" s="141"/>
      <c r="J1025" s="141"/>
      <c r="K1025" s="141"/>
      <c r="L1025" s="25"/>
      <c r="M1025" s="25"/>
      <c r="N1025" s="25"/>
      <c r="O1025" s="143"/>
      <c r="P1025" s="143"/>
      <c r="Q1025" s="143"/>
      <c r="R1025" s="143"/>
      <c r="S1025" s="143"/>
      <c r="T1025" s="143"/>
      <c r="U1025" s="143"/>
      <c r="V1025" s="143"/>
      <c r="W1025" s="143"/>
      <c r="X1025" s="143"/>
      <c r="Y1025" s="143"/>
      <c r="Z1025" s="143"/>
      <c r="AA1025" s="143"/>
      <c r="AB1025" s="143"/>
      <c r="AC1025" s="143"/>
      <c r="AD1025" s="143"/>
    </row>
    <row r="1026">
      <c r="A1026" s="25"/>
      <c r="B1026" s="25"/>
      <c r="C1026" s="25"/>
      <c r="D1026" s="25"/>
      <c r="E1026" s="50"/>
      <c r="F1026" s="167"/>
      <c r="G1026" s="168"/>
      <c r="H1026" s="169"/>
      <c r="I1026" s="141"/>
      <c r="J1026" s="141"/>
      <c r="K1026" s="141"/>
      <c r="L1026" s="25"/>
      <c r="M1026" s="25"/>
      <c r="N1026" s="25"/>
      <c r="O1026" s="143"/>
      <c r="P1026" s="143"/>
      <c r="Q1026" s="143"/>
      <c r="R1026" s="143"/>
      <c r="S1026" s="143"/>
      <c r="T1026" s="143"/>
      <c r="U1026" s="143"/>
      <c r="V1026" s="143"/>
      <c r="W1026" s="143"/>
      <c r="X1026" s="143"/>
      <c r="Y1026" s="143"/>
      <c r="Z1026" s="143"/>
      <c r="AA1026" s="143"/>
      <c r="AB1026" s="143"/>
      <c r="AC1026" s="143"/>
      <c r="AD1026" s="143"/>
    </row>
    <row r="1027">
      <c r="A1027" s="25"/>
      <c r="B1027" s="25"/>
      <c r="C1027" s="25"/>
      <c r="D1027" s="25"/>
      <c r="E1027" s="50"/>
      <c r="F1027" s="167"/>
      <c r="G1027" s="168"/>
      <c r="H1027" s="169"/>
      <c r="I1027" s="141"/>
      <c r="J1027" s="141"/>
      <c r="K1027" s="141"/>
      <c r="L1027" s="25"/>
      <c r="M1027" s="25"/>
      <c r="N1027" s="25"/>
      <c r="O1027" s="143"/>
      <c r="P1027" s="143"/>
      <c r="Q1027" s="143"/>
      <c r="R1027" s="143"/>
      <c r="S1027" s="143"/>
      <c r="T1027" s="143"/>
      <c r="U1027" s="143"/>
      <c r="V1027" s="143"/>
      <c r="W1027" s="143"/>
      <c r="X1027" s="143"/>
      <c r="Y1027" s="143"/>
      <c r="Z1027" s="143"/>
      <c r="AA1027" s="143"/>
      <c r="AB1027" s="143"/>
      <c r="AC1027" s="143"/>
      <c r="AD1027" s="143"/>
    </row>
    <row r="1028">
      <c r="A1028" s="25"/>
      <c r="B1028" s="25"/>
      <c r="C1028" s="25"/>
      <c r="D1028" s="25"/>
      <c r="E1028" s="50"/>
      <c r="F1028" s="167"/>
      <c r="G1028" s="168"/>
      <c r="H1028" s="169"/>
      <c r="I1028" s="141"/>
      <c r="J1028" s="141"/>
      <c r="K1028" s="141"/>
      <c r="L1028" s="25"/>
      <c r="M1028" s="25"/>
      <c r="N1028" s="25"/>
      <c r="O1028" s="143"/>
      <c r="P1028" s="143"/>
      <c r="Q1028" s="143"/>
      <c r="R1028" s="143"/>
      <c r="S1028" s="143"/>
      <c r="T1028" s="143"/>
      <c r="U1028" s="143"/>
      <c r="V1028" s="143"/>
      <c r="W1028" s="143"/>
      <c r="X1028" s="143"/>
      <c r="Y1028" s="143"/>
      <c r="Z1028" s="143"/>
      <c r="AA1028" s="143"/>
      <c r="AB1028" s="143"/>
      <c r="AC1028" s="143"/>
      <c r="AD1028" s="143"/>
    </row>
    <row r="1029">
      <c r="A1029" s="25"/>
      <c r="B1029" s="25"/>
      <c r="C1029" s="25"/>
      <c r="D1029" s="25"/>
      <c r="E1029" s="50"/>
      <c r="F1029" s="167"/>
      <c r="G1029" s="168"/>
      <c r="H1029" s="169"/>
      <c r="I1029" s="141"/>
      <c r="J1029" s="141"/>
      <c r="K1029" s="141"/>
      <c r="L1029" s="25"/>
      <c r="M1029" s="25"/>
      <c r="N1029" s="25"/>
      <c r="O1029" s="143"/>
      <c r="P1029" s="143"/>
      <c r="Q1029" s="143"/>
      <c r="R1029" s="143"/>
      <c r="S1029" s="143"/>
      <c r="T1029" s="143"/>
      <c r="U1029" s="143"/>
      <c r="V1029" s="143"/>
      <c r="W1029" s="143"/>
      <c r="X1029" s="143"/>
      <c r="Y1029" s="143"/>
      <c r="Z1029" s="143"/>
      <c r="AA1029" s="143"/>
      <c r="AB1029" s="143"/>
      <c r="AC1029" s="143"/>
      <c r="AD1029" s="143"/>
    </row>
    <row r="1030">
      <c r="A1030" s="25"/>
      <c r="B1030" s="25"/>
      <c r="C1030" s="25"/>
      <c r="D1030" s="25"/>
      <c r="E1030" s="50"/>
      <c r="F1030" s="167"/>
      <c r="G1030" s="168"/>
      <c r="H1030" s="169"/>
      <c r="I1030" s="141"/>
      <c r="J1030" s="141"/>
      <c r="K1030" s="141"/>
      <c r="L1030" s="25"/>
      <c r="M1030" s="25"/>
      <c r="N1030" s="25"/>
      <c r="O1030" s="143"/>
      <c r="P1030" s="143"/>
      <c r="Q1030" s="143"/>
      <c r="R1030" s="143"/>
      <c r="S1030" s="143"/>
      <c r="T1030" s="143"/>
      <c r="U1030" s="143"/>
      <c r="V1030" s="143"/>
      <c r="W1030" s="143"/>
      <c r="X1030" s="143"/>
      <c r="Y1030" s="143"/>
      <c r="Z1030" s="143"/>
      <c r="AA1030" s="143"/>
      <c r="AB1030" s="143"/>
      <c r="AC1030" s="143"/>
      <c r="AD1030" s="143"/>
    </row>
    <row r="1031">
      <c r="A1031" s="25"/>
      <c r="B1031" s="25"/>
      <c r="C1031" s="25"/>
      <c r="D1031" s="25"/>
      <c r="E1031" s="50"/>
      <c r="F1031" s="167"/>
      <c r="G1031" s="168"/>
      <c r="H1031" s="169"/>
      <c r="I1031" s="141"/>
      <c r="J1031" s="141"/>
      <c r="K1031" s="141"/>
      <c r="L1031" s="25"/>
      <c r="M1031" s="25"/>
      <c r="N1031" s="25"/>
      <c r="O1031" s="143"/>
      <c r="P1031" s="143"/>
      <c r="Q1031" s="143"/>
      <c r="R1031" s="143"/>
      <c r="S1031" s="143"/>
      <c r="T1031" s="143"/>
      <c r="U1031" s="143"/>
      <c r="V1031" s="143"/>
      <c r="W1031" s="143"/>
      <c r="X1031" s="143"/>
      <c r="Y1031" s="143"/>
      <c r="Z1031" s="143"/>
      <c r="AA1031" s="143"/>
      <c r="AB1031" s="143"/>
      <c r="AC1031" s="143"/>
      <c r="AD1031" s="143"/>
    </row>
    <row r="1032">
      <c r="A1032" s="25"/>
      <c r="B1032" s="25"/>
      <c r="C1032" s="25"/>
      <c r="D1032" s="25"/>
      <c r="E1032" s="50"/>
      <c r="F1032" s="167"/>
      <c r="G1032" s="168"/>
      <c r="H1032" s="169"/>
      <c r="I1032" s="141"/>
      <c r="J1032" s="141"/>
      <c r="K1032" s="141"/>
      <c r="L1032" s="25"/>
      <c r="M1032" s="25"/>
      <c r="N1032" s="25"/>
      <c r="O1032" s="143"/>
      <c r="P1032" s="143"/>
      <c r="Q1032" s="143"/>
      <c r="R1032" s="143"/>
      <c r="S1032" s="143"/>
      <c r="T1032" s="143"/>
      <c r="U1032" s="143"/>
      <c r="V1032" s="143"/>
      <c r="W1032" s="143"/>
      <c r="X1032" s="143"/>
      <c r="Y1032" s="143"/>
      <c r="Z1032" s="143"/>
      <c r="AA1032" s="143"/>
      <c r="AB1032" s="143"/>
      <c r="AC1032" s="143"/>
      <c r="AD1032" s="143"/>
    </row>
    <row r="1033">
      <c r="A1033" s="25"/>
      <c r="B1033" s="25"/>
      <c r="C1033" s="25"/>
      <c r="D1033" s="25"/>
      <c r="E1033" s="50"/>
      <c r="F1033" s="167"/>
      <c r="G1033" s="168"/>
      <c r="H1033" s="169"/>
      <c r="I1033" s="141"/>
      <c r="J1033" s="141"/>
      <c r="K1033" s="141"/>
      <c r="L1033" s="25"/>
      <c r="M1033" s="25"/>
      <c r="N1033" s="25"/>
      <c r="O1033" s="143"/>
      <c r="P1033" s="143"/>
      <c r="Q1033" s="143"/>
      <c r="R1033" s="143"/>
      <c r="S1033" s="143"/>
      <c r="T1033" s="143"/>
      <c r="U1033" s="143"/>
      <c r="V1033" s="143"/>
      <c r="W1033" s="143"/>
      <c r="X1033" s="143"/>
      <c r="Y1033" s="143"/>
      <c r="Z1033" s="143"/>
      <c r="AA1033" s="143"/>
      <c r="AB1033" s="143"/>
      <c r="AC1033" s="143"/>
      <c r="AD1033" s="143"/>
    </row>
    <row r="1034">
      <c r="A1034" s="25"/>
      <c r="B1034" s="25"/>
      <c r="C1034" s="25"/>
      <c r="D1034" s="25"/>
      <c r="E1034" s="50"/>
      <c r="F1034" s="167"/>
      <c r="G1034" s="168"/>
      <c r="H1034" s="169"/>
      <c r="I1034" s="141"/>
      <c r="J1034" s="141"/>
      <c r="K1034" s="141"/>
      <c r="L1034" s="25"/>
      <c r="M1034" s="25"/>
      <c r="N1034" s="25"/>
      <c r="O1034" s="143"/>
      <c r="P1034" s="143"/>
      <c r="Q1034" s="143"/>
      <c r="R1034" s="143"/>
      <c r="S1034" s="143"/>
      <c r="T1034" s="143"/>
      <c r="U1034" s="143"/>
      <c r="V1034" s="143"/>
      <c r="W1034" s="143"/>
      <c r="X1034" s="143"/>
      <c r="Y1034" s="143"/>
      <c r="Z1034" s="143"/>
      <c r="AA1034" s="143"/>
      <c r="AB1034" s="143"/>
      <c r="AC1034" s="143"/>
      <c r="AD1034" s="143"/>
    </row>
    <row r="1035">
      <c r="A1035" s="25"/>
      <c r="B1035" s="25"/>
      <c r="C1035" s="25"/>
      <c r="D1035" s="25"/>
      <c r="E1035" s="50"/>
      <c r="F1035" s="167"/>
      <c r="G1035" s="168"/>
      <c r="H1035" s="169"/>
      <c r="I1035" s="141"/>
      <c r="J1035" s="141"/>
      <c r="K1035" s="141"/>
      <c r="L1035" s="25"/>
      <c r="M1035" s="25"/>
      <c r="N1035" s="25"/>
      <c r="O1035" s="143"/>
      <c r="P1035" s="143"/>
      <c r="Q1035" s="143"/>
      <c r="R1035" s="143"/>
      <c r="S1035" s="143"/>
      <c r="T1035" s="143"/>
      <c r="U1035" s="143"/>
      <c r="V1035" s="143"/>
      <c r="W1035" s="143"/>
      <c r="X1035" s="143"/>
      <c r="Y1035" s="143"/>
      <c r="Z1035" s="143"/>
      <c r="AA1035" s="143"/>
      <c r="AB1035" s="143"/>
      <c r="AC1035" s="143"/>
      <c r="AD1035" s="143"/>
    </row>
    <row r="1036">
      <c r="A1036" s="25"/>
      <c r="B1036" s="25"/>
      <c r="C1036" s="25"/>
      <c r="D1036" s="25"/>
      <c r="E1036" s="50"/>
      <c r="F1036" s="167"/>
      <c r="G1036" s="168"/>
      <c r="H1036" s="169"/>
      <c r="I1036" s="141"/>
      <c r="J1036" s="141"/>
      <c r="K1036" s="141"/>
      <c r="L1036" s="25"/>
      <c r="M1036" s="25"/>
      <c r="N1036" s="25"/>
      <c r="O1036" s="143"/>
      <c r="P1036" s="143"/>
      <c r="Q1036" s="143"/>
      <c r="R1036" s="143"/>
      <c r="S1036" s="143"/>
      <c r="T1036" s="143"/>
      <c r="U1036" s="143"/>
      <c r="V1036" s="143"/>
      <c r="W1036" s="143"/>
      <c r="X1036" s="143"/>
      <c r="Y1036" s="143"/>
      <c r="Z1036" s="143"/>
      <c r="AA1036" s="143"/>
      <c r="AB1036" s="143"/>
      <c r="AC1036" s="143"/>
      <c r="AD1036" s="143"/>
    </row>
    <row r="1037">
      <c r="A1037" s="25"/>
      <c r="B1037" s="25"/>
      <c r="C1037" s="25"/>
      <c r="D1037" s="25"/>
      <c r="E1037" s="50"/>
      <c r="F1037" s="167"/>
      <c r="G1037" s="168"/>
      <c r="H1037" s="169"/>
      <c r="I1037" s="141"/>
      <c r="J1037" s="141"/>
      <c r="K1037" s="141"/>
      <c r="L1037" s="25"/>
      <c r="M1037" s="25"/>
      <c r="N1037" s="25"/>
      <c r="O1037" s="143"/>
      <c r="P1037" s="143"/>
      <c r="Q1037" s="143"/>
      <c r="R1037" s="143"/>
      <c r="S1037" s="143"/>
      <c r="T1037" s="143"/>
      <c r="U1037" s="143"/>
      <c r="V1037" s="143"/>
      <c r="W1037" s="143"/>
      <c r="X1037" s="143"/>
      <c r="Y1037" s="143"/>
      <c r="Z1037" s="143"/>
      <c r="AA1037" s="143"/>
      <c r="AB1037" s="143"/>
      <c r="AC1037" s="143"/>
      <c r="AD1037" s="143"/>
    </row>
    <row r="1038">
      <c r="A1038" s="25"/>
      <c r="B1038" s="25"/>
      <c r="C1038" s="25"/>
      <c r="D1038" s="25"/>
      <c r="E1038" s="50"/>
      <c r="F1038" s="167"/>
      <c r="G1038" s="168"/>
      <c r="H1038" s="169"/>
      <c r="I1038" s="141"/>
      <c r="J1038" s="141"/>
      <c r="K1038" s="141"/>
      <c r="L1038" s="25"/>
      <c r="M1038" s="25"/>
      <c r="N1038" s="25"/>
      <c r="O1038" s="143"/>
      <c r="P1038" s="143"/>
      <c r="Q1038" s="143"/>
      <c r="R1038" s="143"/>
      <c r="S1038" s="143"/>
      <c r="T1038" s="143"/>
      <c r="U1038" s="143"/>
      <c r="V1038" s="143"/>
      <c r="W1038" s="143"/>
      <c r="X1038" s="143"/>
      <c r="Y1038" s="143"/>
      <c r="Z1038" s="143"/>
      <c r="AA1038" s="143"/>
      <c r="AB1038" s="143"/>
      <c r="AC1038" s="143"/>
      <c r="AD1038" s="143"/>
    </row>
    <row r="1039">
      <c r="A1039" s="25"/>
      <c r="B1039" s="25"/>
      <c r="C1039" s="25"/>
      <c r="D1039" s="25"/>
      <c r="E1039" s="50"/>
      <c r="F1039" s="167"/>
      <c r="G1039" s="168"/>
      <c r="H1039" s="169"/>
      <c r="I1039" s="141"/>
      <c r="J1039" s="141"/>
      <c r="K1039" s="141"/>
      <c r="L1039" s="25"/>
      <c r="M1039" s="25"/>
      <c r="N1039" s="25"/>
      <c r="O1039" s="143"/>
      <c r="P1039" s="143"/>
      <c r="Q1039" s="143"/>
      <c r="R1039" s="143"/>
      <c r="S1039" s="143"/>
      <c r="T1039" s="143"/>
      <c r="U1039" s="143"/>
      <c r="V1039" s="143"/>
      <c r="W1039" s="143"/>
      <c r="X1039" s="143"/>
      <c r="Y1039" s="143"/>
      <c r="Z1039" s="143"/>
      <c r="AA1039" s="143"/>
      <c r="AB1039" s="143"/>
      <c r="AC1039" s="143"/>
      <c r="AD1039" s="143"/>
    </row>
    <row r="1040">
      <c r="A1040" s="25"/>
      <c r="B1040" s="25"/>
      <c r="C1040" s="25"/>
      <c r="D1040" s="25"/>
      <c r="E1040" s="50"/>
      <c r="F1040" s="167"/>
      <c r="G1040" s="168"/>
      <c r="H1040" s="169"/>
      <c r="I1040" s="141"/>
      <c r="J1040" s="141"/>
      <c r="K1040" s="141"/>
      <c r="L1040" s="25"/>
      <c r="M1040" s="25"/>
      <c r="N1040" s="25"/>
      <c r="O1040" s="143"/>
      <c r="P1040" s="143"/>
      <c r="Q1040" s="143"/>
      <c r="R1040" s="143"/>
      <c r="S1040" s="143"/>
      <c r="T1040" s="143"/>
      <c r="U1040" s="143"/>
      <c r="V1040" s="143"/>
      <c r="W1040" s="143"/>
      <c r="X1040" s="143"/>
      <c r="Y1040" s="143"/>
      <c r="Z1040" s="143"/>
      <c r="AA1040" s="143"/>
      <c r="AB1040" s="143"/>
      <c r="AC1040" s="143"/>
      <c r="AD1040" s="143"/>
    </row>
    <row r="1041">
      <c r="A1041" s="25"/>
      <c r="B1041" s="25"/>
      <c r="C1041" s="25"/>
      <c r="D1041" s="25"/>
      <c r="E1041" s="50"/>
      <c r="F1041" s="167"/>
      <c r="G1041" s="168"/>
      <c r="H1041" s="169"/>
      <c r="I1041" s="141"/>
      <c r="J1041" s="141"/>
      <c r="K1041" s="141"/>
      <c r="L1041" s="25"/>
      <c r="M1041" s="25"/>
      <c r="N1041" s="25"/>
      <c r="O1041" s="143"/>
      <c r="P1041" s="143"/>
      <c r="Q1041" s="143"/>
      <c r="R1041" s="143"/>
      <c r="S1041" s="143"/>
      <c r="T1041" s="143"/>
      <c r="U1041" s="143"/>
      <c r="V1041" s="143"/>
      <c r="W1041" s="143"/>
      <c r="X1041" s="143"/>
      <c r="Y1041" s="143"/>
      <c r="Z1041" s="143"/>
      <c r="AA1041" s="143"/>
      <c r="AB1041" s="143"/>
      <c r="AC1041" s="143"/>
      <c r="AD1041" s="143"/>
    </row>
    <row r="1042">
      <c r="A1042" s="25"/>
      <c r="B1042" s="25"/>
      <c r="C1042" s="25"/>
      <c r="D1042" s="25"/>
      <c r="E1042" s="50"/>
      <c r="F1042" s="167"/>
      <c r="G1042" s="168"/>
      <c r="H1042" s="169"/>
      <c r="I1042" s="141"/>
      <c r="J1042" s="141"/>
      <c r="K1042" s="141"/>
      <c r="L1042" s="25"/>
      <c r="M1042" s="25"/>
      <c r="N1042" s="25"/>
      <c r="O1042" s="143"/>
      <c r="P1042" s="143"/>
      <c r="Q1042" s="143"/>
      <c r="R1042" s="143"/>
      <c r="S1042" s="143"/>
      <c r="T1042" s="143"/>
      <c r="U1042" s="143"/>
      <c r="V1042" s="143"/>
      <c r="W1042" s="143"/>
      <c r="X1042" s="143"/>
      <c r="Y1042" s="143"/>
      <c r="Z1042" s="143"/>
      <c r="AA1042" s="143"/>
      <c r="AB1042" s="143"/>
      <c r="AC1042" s="143"/>
      <c r="AD1042" s="143"/>
    </row>
    <row r="1043">
      <c r="A1043" s="25"/>
      <c r="B1043" s="25"/>
      <c r="C1043" s="25"/>
      <c r="D1043" s="25"/>
      <c r="E1043" s="50"/>
      <c r="F1043" s="167"/>
      <c r="G1043" s="168"/>
      <c r="H1043" s="169"/>
      <c r="I1043" s="141"/>
      <c r="J1043" s="141"/>
      <c r="K1043" s="141"/>
      <c r="L1043" s="25"/>
      <c r="M1043" s="25"/>
      <c r="N1043" s="25"/>
      <c r="O1043" s="143"/>
      <c r="P1043" s="143"/>
      <c r="Q1043" s="143"/>
      <c r="R1043" s="143"/>
      <c r="S1043" s="143"/>
      <c r="T1043" s="143"/>
      <c r="U1043" s="143"/>
      <c r="V1043" s="143"/>
      <c r="W1043" s="143"/>
      <c r="X1043" s="143"/>
      <c r="Y1043" s="143"/>
      <c r="Z1043" s="143"/>
      <c r="AA1043" s="143"/>
      <c r="AB1043" s="143"/>
      <c r="AC1043" s="143"/>
      <c r="AD1043" s="143"/>
    </row>
    <row r="1044">
      <c r="A1044" s="25"/>
      <c r="B1044" s="25"/>
      <c r="C1044" s="25"/>
      <c r="D1044" s="25"/>
      <c r="E1044" s="50"/>
      <c r="F1044" s="167"/>
      <c r="G1044" s="168"/>
      <c r="H1044" s="169"/>
      <c r="I1044" s="141"/>
      <c r="J1044" s="141"/>
      <c r="K1044" s="141"/>
      <c r="L1044" s="25"/>
      <c r="M1044" s="25"/>
      <c r="N1044" s="25"/>
      <c r="O1044" s="143"/>
      <c r="P1044" s="143"/>
      <c r="Q1044" s="143"/>
      <c r="R1044" s="143"/>
      <c r="S1044" s="143"/>
      <c r="T1044" s="143"/>
      <c r="U1044" s="143"/>
      <c r="V1044" s="143"/>
      <c r="W1044" s="143"/>
      <c r="X1044" s="143"/>
      <c r="Y1044" s="143"/>
      <c r="Z1044" s="143"/>
      <c r="AA1044" s="143"/>
      <c r="AB1044" s="143"/>
      <c r="AC1044" s="143"/>
      <c r="AD1044" s="143"/>
    </row>
    <row r="1045">
      <c r="A1045" s="25"/>
      <c r="B1045" s="25"/>
      <c r="C1045" s="25"/>
      <c r="D1045" s="25"/>
      <c r="E1045" s="50"/>
      <c r="F1045" s="167"/>
      <c r="G1045" s="168"/>
      <c r="H1045" s="169"/>
      <c r="I1045" s="141"/>
      <c r="J1045" s="141"/>
      <c r="K1045" s="141"/>
      <c r="L1045" s="25"/>
      <c r="M1045" s="25"/>
      <c r="N1045" s="25"/>
      <c r="O1045" s="143"/>
      <c r="P1045" s="143"/>
      <c r="Q1045" s="143"/>
      <c r="R1045" s="143"/>
      <c r="S1045" s="143"/>
      <c r="T1045" s="143"/>
      <c r="U1045" s="143"/>
      <c r="V1045" s="143"/>
      <c r="W1045" s="143"/>
      <c r="X1045" s="143"/>
      <c r="Y1045" s="143"/>
      <c r="Z1045" s="143"/>
      <c r="AA1045" s="143"/>
      <c r="AB1045" s="143"/>
      <c r="AC1045" s="143"/>
      <c r="AD1045" s="143"/>
    </row>
    <row r="1046">
      <c r="A1046" s="25"/>
      <c r="B1046" s="25"/>
      <c r="C1046" s="25"/>
      <c r="D1046" s="25"/>
      <c r="E1046" s="50"/>
      <c r="F1046" s="167"/>
      <c r="G1046" s="168"/>
      <c r="H1046" s="169"/>
      <c r="I1046" s="141"/>
      <c r="J1046" s="141"/>
      <c r="K1046" s="141"/>
      <c r="L1046" s="25"/>
      <c r="M1046" s="25"/>
      <c r="N1046" s="25"/>
      <c r="O1046" s="143"/>
      <c r="P1046" s="143"/>
      <c r="Q1046" s="143"/>
      <c r="R1046" s="143"/>
      <c r="S1046" s="143"/>
      <c r="T1046" s="143"/>
      <c r="U1046" s="143"/>
      <c r="V1046" s="143"/>
      <c r="W1046" s="143"/>
      <c r="X1046" s="143"/>
      <c r="Y1046" s="143"/>
      <c r="Z1046" s="143"/>
      <c r="AA1046" s="143"/>
      <c r="AB1046" s="143"/>
      <c r="AC1046" s="143"/>
      <c r="AD1046" s="143"/>
    </row>
    <row r="1047">
      <c r="A1047" s="25"/>
      <c r="B1047" s="25"/>
      <c r="C1047" s="25"/>
      <c r="D1047" s="25"/>
      <c r="E1047" s="50"/>
      <c r="F1047" s="167"/>
      <c r="G1047" s="168"/>
      <c r="H1047" s="169"/>
      <c r="I1047" s="141"/>
      <c r="J1047" s="141"/>
      <c r="K1047" s="141"/>
      <c r="L1047" s="25"/>
      <c r="M1047" s="25"/>
      <c r="N1047" s="25"/>
      <c r="O1047" s="143"/>
      <c r="P1047" s="143"/>
      <c r="Q1047" s="143"/>
      <c r="R1047" s="143"/>
      <c r="S1047" s="143"/>
      <c r="T1047" s="143"/>
      <c r="U1047" s="143"/>
      <c r="V1047" s="143"/>
      <c r="W1047" s="143"/>
      <c r="X1047" s="143"/>
      <c r="Y1047" s="143"/>
      <c r="Z1047" s="143"/>
      <c r="AA1047" s="143"/>
      <c r="AB1047" s="143"/>
      <c r="AC1047" s="143"/>
      <c r="AD1047" s="143"/>
    </row>
    <row r="1048">
      <c r="A1048" s="25"/>
      <c r="B1048" s="25"/>
      <c r="C1048" s="25"/>
      <c r="D1048" s="25"/>
      <c r="E1048" s="50"/>
      <c r="F1048" s="167"/>
      <c r="G1048" s="168"/>
      <c r="H1048" s="169"/>
      <c r="I1048" s="141"/>
      <c r="J1048" s="141"/>
      <c r="K1048" s="141"/>
      <c r="L1048" s="25"/>
      <c r="M1048" s="25"/>
      <c r="N1048" s="25"/>
      <c r="O1048" s="143"/>
      <c r="P1048" s="143"/>
      <c r="Q1048" s="143"/>
      <c r="R1048" s="143"/>
      <c r="S1048" s="143"/>
      <c r="T1048" s="143"/>
      <c r="U1048" s="143"/>
      <c r="V1048" s="143"/>
      <c r="W1048" s="143"/>
      <c r="X1048" s="143"/>
      <c r="Y1048" s="143"/>
      <c r="Z1048" s="143"/>
      <c r="AA1048" s="143"/>
      <c r="AB1048" s="143"/>
      <c r="AC1048" s="143"/>
      <c r="AD1048" s="143"/>
    </row>
    <row r="1049">
      <c r="A1049" s="25"/>
      <c r="B1049" s="25"/>
      <c r="C1049" s="25"/>
      <c r="D1049" s="25"/>
      <c r="E1049" s="50"/>
      <c r="F1049" s="167"/>
      <c r="G1049" s="168"/>
      <c r="H1049" s="169"/>
      <c r="I1049" s="141"/>
      <c r="J1049" s="141"/>
      <c r="K1049" s="141"/>
      <c r="L1049" s="25"/>
      <c r="M1049" s="25"/>
      <c r="N1049" s="25"/>
      <c r="O1049" s="143"/>
      <c r="P1049" s="143"/>
      <c r="Q1049" s="143"/>
      <c r="R1049" s="143"/>
      <c r="S1049" s="143"/>
      <c r="T1049" s="143"/>
      <c r="U1049" s="143"/>
      <c r="V1049" s="143"/>
      <c r="W1049" s="143"/>
      <c r="X1049" s="143"/>
      <c r="Y1049" s="143"/>
      <c r="Z1049" s="143"/>
      <c r="AA1049" s="143"/>
      <c r="AB1049" s="143"/>
      <c r="AC1049" s="143"/>
      <c r="AD1049" s="143"/>
    </row>
    <row r="1050">
      <c r="A1050" s="25"/>
      <c r="B1050" s="25"/>
      <c r="C1050" s="25"/>
      <c r="D1050" s="25"/>
      <c r="E1050" s="50"/>
      <c r="F1050" s="167"/>
      <c r="G1050" s="168"/>
      <c r="H1050" s="169"/>
      <c r="I1050" s="141"/>
      <c r="J1050" s="141"/>
      <c r="K1050" s="141"/>
      <c r="L1050" s="25"/>
      <c r="M1050" s="25"/>
      <c r="N1050" s="25"/>
      <c r="O1050" s="143"/>
      <c r="P1050" s="143"/>
      <c r="Q1050" s="143"/>
      <c r="R1050" s="143"/>
      <c r="S1050" s="143"/>
      <c r="T1050" s="143"/>
      <c r="U1050" s="143"/>
      <c r="V1050" s="143"/>
      <c r="W1050" s="143"/>
      <c r="X1050" s="143"/>
      <c r="Y1050" s="143"/>
      <c r="Z1050" s="143"/>
      <c r="AA1050" s="143"/>
      <c r="AB1050" s="143"/>
      <c r="AC1050" s="143"/>
      <c r="AD1050" s="143"/>
    </row>
    <row r="1051">
      <c r="A1051" s="25"/>
      <c r="B1051" s="25"/>
      <c r="C1051" s="25"/>
      <c r="D1051" s="25"/>
      <c r="E1051" s="50"/>
      <c r="F1051" s="167"/>
      <c r="G1051" s="168"/>
      <c r="H1051" s="169"/>
      <c r="I1051" s="141"/>
      <c r="J1051" s="141"/>
      <c r="K1051" s="141"/>
      <c r="L1051" s="25"/>
      <c r="M1051" s="25"/>
      <c r="N1051" s="25"/>
      <c r="O1051" s="143"/>
      <c r="P1051" s="143"/>
      <c r="Q1051" s="143"/>
      <c r="R1051" s="143"/>
      <c r="S1051" s="143"/>
      <c r="T1051" s="143"/>
      <c r="U1051" s="143"/>
      <c r="V1051" s="143"/>
      <c r="W1051" s="143"/>
      <c r="X1051" s="143"/>
      <c r="Y1051" s="143"/>
      <c r="Z1051" s="143"/>
      <c r="AA1051" s="143"/>
      <c r="AB1051" s="143"/>
      <c r="AC1051" s="143"/>
      <c r="AD1051" s="143"/>
    </row>
    <row r="1052">
      <c r="A1052" s="25"/>
      <c r="B1052" s="25"/>
      <c r="C1052" s="25"/>
      <c r="D1052" s="25"/>
      <c r="E1052" s="50"/>
      <c r="F1052" s="167"/>
      <c r="G1052" s="168"/>
      <c r="H1052" s="169"/>
      <c r="I1052" s="141"/>
      <c r="J1052" s="141"/>
      <c r="K1052" s="141"/>
      <c r="L1052" s="25"/>
      <c r="M1052" s="25"/>
      <c r="N1052" s="25"/>
      <c r="O1052" s="143"/>
      <c r="P1052" s="143"/>
      <c r="Q1052" s="143"/>
      <c r="R1052" s="143"/>
      <c r="S1052" s="143"/>
      <c r="T1052" s="143"/>
      <c r="U1052" s="143"/>
      <c r="V1052" s="143"/>
      <c r="W1052" s="143"/>
      <c r="X1052" s="143"/>
      <c r="Y1052" s="143"/>
      <c r="Z1052" s="143"/>
      <c r="AA1052" s="143"/>
      <c r="AB1052" s="143"/>
      <c r="AC1052" s="143"/>
      <c r="AD1052" s="143"/>
    </row>
    <row r="1053">
      <c r="A1053" s="25"/>
      <c r="B1053" s="25"/>
      <c r="C1053" s="25"/>
      <c r="D1053" s="25"/>
      <c r="E1053" s="50"/>
      <c r="F1053" s="167"/>
      <c r="G1053" s="168"/>
      <c r="H1053" s="169"/>
      <c r="I1053" s="141"/>
      <c r="J1053" s="141"/>
      <c r="K1053" s="141"/>
      <c r="L1053" s="25"/>
      <c r="M1053" s="25"/>
      <c r="N1053" s="25"/>
      <c r="O1053" s="143"/>
      <c r="P1053" s="143"/>
      <c r="Q1053" s="143"/>
      <c r="R1053" s="143"/>
      <c r="S1053" s="143"/>
      <c r="T1053" s="143"/>
      <c r="U1053" s="143"/>
      <c r="V1053" s="143"/>
      <c r="W1053" s="143"/>
      <c r="X1053" s="143"/>
      <c r="Y1053" s="143"/>
      <c r="Z1053" s="143"/>
      <c r="AA1053" s="143"/>
      <c r="AB1053" s="143"/>
      <c r="AC1053" s="143"/>
      <c r="AD1053" s="143"/>
    </row>
    <row r="1054">
      <c r="A1054" s="25"/>
      <c r="B1054" s="25"/>
      <c r="C1054" s="25"/>
      <c r="D1054" s="25"/>
      <c r="E1054" s="50"/>
      <c r="F1054" s="167"/>
      <c r="G1054" s="168"/>
      <c r="H1054" s="169"/>
      <c r="I1054" s="141"/>
      <c r="J1054" s="141"/>
      <c r="K1054" s="141"/>
      <c r="L1054" s="25"/>
      <c r="M1054" s="25"/>
      <c r="N1054" s="25"/>
      <c r="O1054" s="143"/>
      <c r="P1054" s="143"/>
      <c r="Q1054" s="143"/>
      <c r="R1054" s="143"/>
      <c r="S1054" s="143"/>
      <c r="T1054" s="143"/>
      <c r="U1054" s="143"/>
      <c r="V1054" s="143"/>
      <c r="W1054" s="143"/>
      <c r="X1054" s="143"/>
      <c r="Y1054" s="143"/>
      <c r="Z1054" s="143"/>
      <c r="AA1054" s="143"/>
      <c r="AB1054" s="143"/>
      <c r="AC1054" s="143"/>
      <c r="AD1054" s="143"/>
    </row>
    <row r="1055">
      <c r="A1055" s="25"/>
      <c r="B1055" s="25"/>
      <c r="C1055" s="25"/>
      <c r="D1055" s="25"/>
      <c r="E1055" s="50"/>
      <c r="F1055" s="167"/>
      <c r="G1055" s="168"/>
      <c r="H1055" s="169"/>
      <c r="I1055" s="141"/>
      <c r="J1055" s="141"/>
      <c r="K1055" s="141"/>
      <c r="L1055" s="25"/>
      <c r="M1055" s="25"/>
      <c r="N1055" s="25"/>
      <c r="O1055" s="143"/>
      <c r="P1055" s="143"/>
      <c r="Q1055" s="143"/>
      <c r="R1055" s="143"/>
      <c r="S1055" s="143"/>
      <c r="T1055" s="143"/>
      <c r="U1055" s="143"/>
      <c r="V1055" s="143"/>
      <c r="W1055" s="143"/>
      <c r="X1055" s="143"/>
      <c r="Y1055" s="143"/>
      <c r="Z1055" s="143"/>
      <c r="AA1055" s="143"/>
      <c r="AB1055" s="143"/>
      <c r="AC1055" s="143"/>
      <c r="AD1055" s="143"/>
    </row>
    <row r="1056">
      <c r="A1056" s="25"/>
      <c r="B1056" s="25"/>
      <c r="C1056" s="25"/>
      <c r="D1056" s="25"/>
      <c r="E1056" s="50"/>
      <c r="F1056" s="167"/>
      <c r="G1056" s="168"/>
      <c r="H1056" s="169"/>
      <c r="I1056" s="141"/>
      <c r="J1056" s="141"/>
      <c r="K1056" s="141"/>
      <c r="L1056" s="25"/>
      <c r="M1056" s="25"/>
      <c r="N1056" s="25"/>
      <c r="O1056" s="143"/>
      <c r="P1056" s="143"/>
      <c r="Q1056" s="143"/>
      <c r="R1056" s="143"/>
      <c r="S1056" s="143"/>
      <c r="T1056" s="143"/>
      <c r="U1056" s="143"/>
      <c r="V1056" s="143"/>
      <c r="W1056" s="143"/>
      <c r="X1056" s="143"/>
      <c r="Y1056" s="143"/>
      <c r="Z1056" s="143"/>
      <c r="AA1056" s="143"/>
      <c r="AB1056" s="143"/>
      <c r="AC1056" s="143"/>
      <c r="AD1056" s="143"/>
    </row>
    <row r="1057">
      <c r="A1057" s="25"/>
      <c r="B1057" s="25"/>
      <c r="C1057" s="25"/>
      <c r="D1057" s="25"/>
      <c r="E1057" s="50"/>
      <c r="F1057" s="167"/>
      <c r="G1057" s="168"/>
      <c r="H1057" s="169"/>
      <c r="I1057" s="141"/>
      <c r="J1057" s="141"/>
      <c r="K1057" s="141"/>
      <c r="L1057" s="25"/>
      <c r="M1057" s="25"/>
      <c r="N1057" s="25"/>
      <c r="O1057" s="143"/>
      <c r="P1057" s="143"/>
      <c r="Q1057" s="143"/>
      <c r="R1057" s="143"/>
      <c r="S1057" s="143"/>
      <c r="T1057" s="143"/>
      <c r="U1057" s="143"/>
      <c r="V1057" s="143"/>
      <c r="W1057" s="143"/>
      <c r="X1057" s="143"/>
      <c r="Y1057" s="143"/>
      <c r="Z1057" s="143"/>
      <c r="AA1057" s="143"/>
      <c r="AB1057" s="143"/>
      <c r="AC1057" s="143"/>
      <c r="AD1057" s="143"/>
    </row>
    <row r="1058">
      <c r="A1058" s="25"/>
      <c r="B1058" s="25"/>
      <c r="C1058" s="25"/>
      <c r="D1058" s="25"/>
      <c r="E1058" s="50"/>
      <c r="F1058" s="167"/>
      <c r="G1058" s="168"/>
      <c r="H1058" s="169"/>
      <c r="I1058" s="141"/>
      <c r="J1058" s="141"/>
      <c r="K1058" s="141"/>
      <c r="L1058" s="25"/>
      <c r="M1058" s="25"/>
      <c r="N1058" s="25"/>
      <c r="O1058" s="143"/>
      <c r="P1058" s="143"/>
      <c r="Q1058" s="143"/>
      <c r="R1058" s="143"/>
      <c r="S1058" s="143"/>
      <c r="T1058" s="143"/>
      <c r="U1058" s="143"/>
      <c r="V1058" s="143"/>
      <c r="W1058" s="143"/>
      <c r="X1058" s="143"/>
      <c r="Y1058" s="143"/>
      <c r="Z1058" s="143"/>
      <c r="AA1058" s="143"/>
      <c r="AB1058" s="143"/>
      <c r="AC1058" s="143"/>
      <c r="AD1058" s="143"/>
    </row>
    <row r="1059">
      <c r="A1059" s="25"/>
      <c r="B1059" s="25"/>
      <c r="C1059" s="25"/>
      <c r="D1059" s="25"/>
      <c r="E1059" s="50"/>
      <c r="F1059" s="167"/>
      <c r="G1059" s="168"/>
      <c r="H1059" s="169"/>
      <c r="I1059" s="141"/>
      <c r="J1059" s="141"/>
      <c r="K1059" s="141"/>
      <c r="L1059" s="25"/>
      <c r="M1059" s="25"/>
      <c r="N1059" s="25"/>
      <c r="O1059" s="143"/>
      <c r="P1059" s="143"/>
      <c r="Q1059" s="143"/>
      <c r="R1059" s="143"/>
      <c r="S1059" s="143"/>
      <c r="T1059" s="143"/>
      <c r="U1059" s="143"/>
      <c r="V1059" s="143"/>
      <c r="W1059" s="143"/>
      <c r="X1059" s="143"/>
      <c r="Y1059" s="143"/>
      <c r="Z1059" s="143"/>
      <c r="AA1059" s="143"/>
      <c r="AB1059" s="143"/>
      <c r="AC1059" s="143"/>
      <c r="AD1059" s="143"/>
    </row>
    <row r="1060">
      <c r="A1060" s="25"/>
      <c r="B1060" s="25"/>
      <c r="C1060" s="25"/>
      <c r="D1060" s="25"/>
      <c r="E1060" s="50"/>
      <c r="F1060" s="167"/>
      <c r="G1060" s="168"/>
      <c r="H1060" s="169"/>
      <c r="I1060" s="141"/>
      <c r="J1060" s="141"/>
      <c r="K1060" s="141"/>
      <c r="L1060" s="25"/>
      <c r="M1060" s="25"/>
      <c r="N1060" s="25"/>
      <c r="O1060" s="143"/>
      <c r="P1060" s="143"/>
      <c r="Q1060" s="143"/>
      <c r="R1060" s="143"/>
      <c r="S1060" s="143"/>
      <c r="T1060" s="143"/>
      <c r="U1060" s="143"/>
      <c r="V1060" s="143"/>
      <c r="W1060" s="143"/>
      <c r="X1060" s="143"/>
      <c r="Y1060" s="143"/>
      <c r="Z1060" s="143"/>
      <c r="AA1060" s="143"/>
      <c r="AB1060" s="143"/>
      <c r="AC1060" s="143"/>
      <c r="AD1060" s="143"/>
    </row>
    <row r="1061">
      <c r="A1061" s="25"/>
      <c r="B1061" s="25"/>
      <c r="C1061" s="25"/>
      <c r="D1061" s="25"/>
      <c r="E1061" s="50"/>
      <c r="F1061" s="167"/>
      <c r="G1061" s="168"/>
      <c r="H1061" s="169"/>
      <c r="I1061" s="141"/>
      <c r="J1061" s="141"/>
      <c r="K1061" s="141"/>
      <c r="L1061" s="25"/>
      <c r="M1061" s="25"/>
      <c r="N1061" s="25"/>
      <c r="O1061" s="143"/>
      <c r="P1061" s="143"/>
      <c r="Q1061" s="143"/>
      <c r="R1061" s="143"/>
      <c r="S1061" s="143"/>
      <c r="T1061" s="143"/>
      <c r="U1061" s="143"/>
      <c r="V1061" s="143"/>
      <c r="W1061" s="143"/>
      <c r="X1061" s="143"/>
      <c r="Y1061" s="143"/>
      <c r="Z1061" s="143"/>
      <c r="AA1061" s="143"/>
      <c r="AB1061" s="143"/>
      <c r="AC1061" s="143"/>
      <c r="AD1061" s="143"/>
    </row>
    <row r="1062">
      <c r="A1062" s="25"/>
      <c r="B1062" s="25"/>
      <c r="C1062" s="25"/>
      <c r="D1062" s="25"/>
      <c r="E1062" s="50"/>
      <c r="F1062" s="167"/>
      <c r="G1062" s="168"/>
      <c r="H1062" s="169"/>
      <c r="I1062" s="141"/>
      <c r="J1062" s="141"/>
      <c r="K1062" s="141"/>
      <c r="L1062" s="25"/>
      <c r="M1062" s="25"/>
      <c r="N1062" s="25"/>
      <c r="O1062" s="143"/>
      <c r="P1062" s="143"/>
      <c r="Q1062" s="143"/>
      <c r="R1062" s="143"/>
      <c r="S1062" s="143"/>
      <c r="T1062" s="143"/>
      <c r="U1062" s="143"/>
      <c r="V1062" s="143"/>
      <c r="W1062" s="143"/>
      <c r="X1062" s="143"/>
      <c r="Y1062" s="143"/>
      <c r="Z1062" s="143"/>
      <c r="AA1062" s="143"/>
      <c r="AB1062" s="143"/>
      <c r="AC1062" s="143"/>
      <c r="AD1062" s="143"/>
    </row>
    <row r="1063">
      <c r="A1063" s="25"/>
      <c r="B1063" s="25"/>
      <c r="C1063" s="25"/>
      <c r="D1063" s="25"/>
      <c r="E1063" s="50"/>
      <c r="F1063" s="167"/>
      <c r="G1063" s="168"/>
      <c r="H1063" s="169"/>
      <c r="I1063" s="141"/>
      <c r="J1063" s="141"/>
      <c r="K1063" s="141"/>
      <c r="L1063" s="25"/>
      <c r="M1063" s="25"/>
      <c r="N1063" s="25"/>
      <c r="O1063" s="143"/>
      <c r="P1063" s="143"/>
      <c r="Q1063" s="143"/>
      <c r="R1063" s="143"/>
      <c r="S1063" s="143"/>
      <c r="T1063" s="143"/>
      <c r="U1063" s="143"/>
      <c r="V1063" s="143"/>
      <c r="W1063" s="143"/>
      <c r="X1063" s="143"/>
      <c r="Y1063" s="143"/>
      <c r="Z1063" s="143"/>
      <c r="AA1063" s="143"/>
      <c r="AB1063" s="143"/>
      <c r="AC1063" s="143"/>
      <c r="AD1063" s="143"/>
    </row>
    <row r="1064">
      <c r="A1064" s="25"/>
      <c r="B1064" s="25"/>
      <c r="C1064" s="25"/>
      <c r="D1064" s="25"/>
      <c r="E1064" s="50"/>
      <c r="F1064" s="167"/>
      <c r="G1064" s="168"/>
      <c r="H1064" s="169"/>
      <c r="I1064" s="141"/>
      <c r="J1064" s="141"/>
      <c r="K1064" s="141"/>
      <c r="L1064" s="25"/>
      <c r="M1064" s="25"/>
      <c r="N1064" s="25"/>
      <c r="O1064" s="143"/>
      <c r="P1064" s="143"/>
      <c r="Q1064" s="143"/>
      <c r="R1064" s="143"/>
      <c r="S1064" s="143"/>
      <c r="T1064" s="143"/>
      <c r="U1064" s="143"/>
      <c r="V1064" s="143"/>
      <c r="W1064" s="143"/>
      <c r="X1064" s="143"/>
      <c r="Y1064" s="143"/>
      <c r="Z1064" s="143"/>
      <c r="AA1064" s="143"/>
      <c r="AB1064" s="143"/>
      <c r="AC1064" s="143"/>
      <c r="AD1064" s="143"/>
    </row>
    <row r="1065">
      <c r="A1065" s="25"/>
      <c r="B1065" s="25"/>
      <c r="C1065" s="25"/>
      <c r="D1065" s="25"/>
      <c r="E1065" s="50"/>
      <c r="F1065" s="167"/>
      <c r="G1065" s="168"/>
      <c r="H1065" s="169"/>
      <c r="I1065" s="141"/>
      <c r="J1065" s="141"/>
      <c r="K1065" s="141"/>
      <c r="L1065" s="25"/>
      <c r="M1065" s="25"/>
      <c r="N1065" s="25"/>
      <c r="O1065" s="143"/>
      <c r="P1065" s="143"/>
      <c r="Q1065" s="143"/>
      <c r="R1065" s="143"/>
      <c r="S1065" s="143"/>
      <c r="T1065" s="143"/>
      <c r="U1065" s="143"/>
      <c r="V1065" s="143"/>
      <c r="W1065" s="143"/>
      <c r="X1065" s="143"/>
      <c r="Y1065" s="143"/>
      <c r="Z1065" s="143"/>
      <c r="AA1065" s="143"/>
      <c r="AB1065" s="143"/>
      <c r="AC1065" s="143"/>
      <c r="AD1065" s="143"/>
    </row>
    <row r="1066">
      <c r="A1066" s="25"/>
      <c r="B1066" s="25"/>
      <c r="C1066" s="25"/>
      <c r="D1066" s="25"/>
      <c r="E1066" s="50"/>
      <c r="F1066" s="167"/>
      <c r="G1066" s="168"/>
      <c r="H1066" s="169"/>
      <c r="I1066" s="141"/>
      <c r="J1066" s="141"/>
      <c r="K1066" s="141"/>
      <c r="L1066" s="25"/>
      <c r="M1066" s="25"/>
      <c r="N1066" s="25"/>
      <c r="O1066" s="143"/>
      <c r="P1066" s="143"/>
      <c r="Q1066" s="143"/>
      <c r="R1066" s="143"/>
      <c r="S1066" s="143"/>
      <c r="T1066" s="143"/>
      <c r="U1066" s="143"/>
      <c r="V1066" s="143"/>
      <c r="W1066" s="143"/>
      <c r="X1066" s="143"/>
      <c r="Y1066" s="143"/>
      <c r="Z1066" s="143"/>
      <c r="AA1066" s="143"/>
      <c r="AB1066" s="143"/>
      <c r="AC1066" s="143"/>
      <c r="AD1066" s="143"/>
    </row>
    <row r="1067">
      <c r="A1067" s="25"/>
      <c r="B1067" s="25"/>
      <c r="C1067" s="25"/>
      <c r="D1067" s="25"/>
      <c r="E1067" s="50"/>
      <c r="F1067" s="167"/>
      <c r="G1067" s="168"/>
      <c r="H1067" s="169"/>
      <c r="I1067" s="141"/>
      <c r="J1067" s="141"/>
      <c r="K1067" s="141"/>
      <c r="L1067" s="25"/>
      <c r="M1067" s="25"/>
      <c r="N1067" s="25"/>
      <c r="O1067" s="143"/>
      <c r="P1067" s="143"/>
      <c r="Q1067" s="143"/>
      <c r="R1067" s="143"/>
      <c r="S1067" s="143"/>
      <c r="T1067" s="143"/>
      <c r="U1067" s="143"/>
      <c r="V1067" s="143"/>
      <c r="W1067" s="143"/>
      <c r="X1067" s="143"/>
      <c r="Y1067" s="143"/>
      <c r="Z1067" s="143"/>
      <c r="AA1067" s="143"/>
      <c r="AB1067" s="143"/>
      <c r="AC1067" s="143"/>
      <c r="AD1067" s="143"/>
    </row>
    <row r="1068">
      <c r="A1068" s="25"/>
      <c r="B1068" s="25"/>
      <c r="C1068" s="25"/>
      <c r="D1068" s="25"/>
      <c r="E1068" s="50"/>
      <c r="F1068" s="167"/>
      <c r="G1068" s="168"/>
      <c r="H1068" s="169"/>
      <c r="I1068" s="141"/>
      <c r="J1068" s="141"/>
      <c r="K1068" s="141"/>
      <c r="L1068" s="25"/>
      <c r="M1068" s="25"/>
      <c r="N1068" s="25"/>
      <c r="O1068" s="143"/>
      <c r="P1068" s="143"/>
      <c r="Q1068" s="143"/>
      <c r="R1068" s="143"/>
      <c r="S1068" s="143"/>
      <c r="T1068" s="143"/>
      <c r="U1068" s="143"/>
      <c r="V1068" s="143"/>
      <c r="W1068" s="143"/>
      <c r="X1068" s="143"/>
      <c r="Y1068" s="143"/>
      <c r="Z1068" s="143"/>
      <c r="AA1068" s="143"/>
      <c r="AB1068" s="143"/>
      <c r="AC1068" s="143"/>
      <c r="AD1068" s="143"/>
    </row>
  </sheetData>
  <mergeCells count="3">
    <mergeCell ref="L1:N1"/>
    <mergeCell ref="B55:C55"/>
    <mergeCell ref="B69:C69"/>
  </mergeCells>
  <hyperlinks>
    <hyperlink r:id="rId1" ref="L1"/>
  </hyperlink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40.78"/>
    <col customWidth="1" min="3" max="3" width="12.56"/>
    <col customWidth="1" min="4" max="4" width="12.11"/>
    <col customWidth="1" min="6" max="6" width="8.89"/>
    <col customWidth="1" min="8" max="8" width="12.56"/>
  </cols>
  <sheetData>
    <row r="1">
      <c r="A1" s="103" t="s">
        <v>1</v>
      </c>
      <c r="B1" s="102" t="s">
        <v>3</v>
      </c>
      <c r="C1" s="102" t="s">
        <v>3095</v>
      </c>
      <c r="D1" s="102" t="s">
        <v>3096</v>
      </c>
      <c r="E1" s="173" t="s">
        <v>3097</v>
      </c>
      <c r="F1" s="102" t="s">
        <v>3098</v>
      </c>
      <c r="G1" s="102" t="s">
        <v>3099</v>
      </c>
      <c r="H1" s="102" t="s">
        <v>3100</v>
      </c>
      <c r="I1" s="173" t="s">
        <v>3101</v>
      </c>
      <c r="J1" s="112"/>
      <c r="K1" s="112"/>
      <c r="L1" s="112"/>
      <c r="M1" s="112"/>
      <c r="N1" s="112"/>
      <c r="O1" s="112"/>
      <c r="P1" s="112"/>
      <c r="Q1" s="112"/>
      <c r="R1" s="112"/>
      <c r="S1" s="112"/>
      <c r="T1" s="112"/>
      <c r="U1" s="112"/>
      <c r="V1" s="112"/>
      <c r="W1" s="112"/>
      <c r="X1" s="112"/>
      <c r="Y1" s="112"/>
      <c r="Z1" s="112"/>
    </row>
    <row r="2">
      <c r="A2" s="107" t="s">
        <v>20</v>
      </c>
      <c r="B2" s="107" t="s">
        <v>23</v>
      </c>
      <c r="C2" s="174">
        <v>7.1211274168E10</v>
      </c>
      <c r="D2" s="174">
        <v>7.1430134813E10</v>
      </c>
      <c r="E2" s="175">
        <f t="shared" ref="E2:E52" si="1">(C2-D2)/D2</f>
        <v>-0.003063981967</v>
      </c>
      <c r="F2" s="176">
        <v>8475976.0</v>
      </c>
      <c r="G2" s="177">
        <v>8427.0</v>
      </c>
      <c r="H2" s="174">
        <f t="shared" ref="H2:H52" si="2">F2*G2</f>
        <v>71427049752</v>
      </c>
      <c r="I2" s="175">
        <f t="shared" ref="I2:I52" si="3">(D2-H2)/D2</f>
        <v>0.00004318990869</v>
      </c>
      <c r="J2" s="112"/>
      <c r="K2" s="112"/>
      <c r="L2" s="112"/>
      <c r="M2" s="112"/>
      <c r="N2" s="112"/>
      <c r="O2" s="112"/>
      <c r="P2" s="112"/>
      <c r="Q2" s="112"/>
      <c r="R2" s="112"/>
      <c r="S2" s="112"/>
      <c r="T2" s="112"/>
      <c r="U2" s="112"/>
      <c r="V2" s="112"/>
      <c r="W2" s="112"/>
      <c r="X2" s="112"/>
      <c r="Y2" s="112"/>
      <c r="Z2" s="112"/>
    </row>
    <row r="3">
      <c r="A3" s="107" t="s">
        <v>36</v>
      </c>
      <c r="B3" s="107" t="s">
        <v>39</v>
      </c>
      <c r="C3" s="174">
        <v>2.8076908815E10</v>
      </c>
      <c r="D3" s="174">
        <v>1.8624482387E10</v>
      </c>
      <c r="E3" s="175">
        <f t="shared" si="1"/>
        <v>0.5075269332</v>
      </c>
      <c r="F3" s="177">
        <v>3969260.0</v>
      </c>
      <c r="G3" s="177">
        <v>4692.0</v>
      </c>
      <c r="H3" s="174">
        <f t="shared" si="2"/>
        <v>18623767920</v>
      </c>
      <c r="I3" s="175">
        <f t="shared" si="3"/>
        <v>0.00003836171042</v>
      </c>
      <c r="J3" s="112"/>
      <c r="K3" s="112"/>
      <c r="L3" s="112"/>
      <c r="M3" s="112"/>
      <c r="N3" s="112"/>
      <c r="O3" s="112"/>
      <c r="P3" s="112"/>
      <c r="Q3" s="112"/>
      <c r="R3" s="112"/>
      <c r="S3" s="112"/>
      <c r="T3" s="112"/>
      <c r="U3" s="112"/>
      <c r="V3" s="112"/>
      <c r="W3" s="112"/>
      <c r="X3" s="112"/>
      <c r="Y3" s="112"/>
      <c r="Z3" s="112"/>
    </row>
    <row r="4">
      <c r="A4" s="107" t="s">
        <v>74</v>
      </c>
      <c r="B4" s="107" t="s">
        <v>77</v>
      </c>
      <c r="C4" s="174">
        <v>1.7696666162E10</v>
      </c>
      <c r="D4" s="174">
        <v>1.2691650758E10</v>
      </c>
      <c r="E4" s="175">
        <f t="shared" si="1"/>
        <v>0.3943549582</v>
      </c>
      <c r="F4" s="177">
        <v>2718950.0</v>
      </c>
      <c r="G4" s="177">
        <v>4668.0</v>
      </c>
      <c r="H4" s="174">
        <f t="shared" si="2"/>
        <v>12692058600</v>
      </c>
      <c r="I4" s="175">
        <f t="shared" si="3"/>
        <v>-0.0000321346693</v>
      </c>
      <c r="J4" s="112"/>
      <c r="K4" s="112"/>
      <c r="L4" s="112"/>
      <c r="M4" s="112"/>
      <c r="N4" s="112"/>
      <c r="O4" s="112"/>
      <c r="P4" s="112"/>
      <c r="Q4" s="112"/>
      <c r="R4" s="112"/>
      <c r="S4" s="112"/>
      <c r="T4" s="112"/>
      <c r="U4" s="112"/>
      <c r="V4" s="112"/>
      <c r="W4" s="112"/>
      <c r="X4" s="112"/>
      <c r="Y4" s="112"/>
      <c r="Z4" s="112"/>
    </row>
    <row r="5">
      <c r="A5" s="107" t="s">
        <v>106</v>
      </c>
      <c r="B5" s="107" t="s">
        <v>110</v>
      </c>
      <c r="C5" s="174">
        <v>9.976835497E9</v>
      </c>
      <c r="D5" s="174">
        <v>9.974678473E9</v>
      </c>
      <c r="E5" s="175">
        <f t="shared" si="1"/>
        <v>0.000216249978</v>
      </c>
      <c r="F5" s="177">
        <v>2309750.0</v>
      </c>
      <c r="G5" s="177">
        <v>4319.0</v>
      </c>
      <c r="H5" s="174">
        <f t="shared" si="2"/>
        <v>9975810250</v>
      </c>
      <c r="I5" s="175">
        <f t="shared" si="3"/>
        <v>-0.0001134650107</v>
      </c>
      <c r="J5" s="112"/>
      <c r="K5" s="112"/>
      <c r="L5" s="112"/>
      <c r="M5" s="112"/>
      <c r="N5" s="112"/>
      <c r="O5" s="112"/>
      <c r="P5" s="112"/>
      <c r="Q5" s="112"/>
      <c r="R5" s="112"/>
      <c r="S5" s="112"/>
      <c r="T5" s="112"/>
      <c r="U5" s="112"/>
      <c r="V5" s="112"/>
      <c r="W5" s="112"/>
      <c r="X5" s="112"/>
      <c r="Y5" s="112"/>
      <c r="Z5" s="112"/>
    </row>
    <row r="6">
      <c r="A6" s="107" t="s">
        <v>161</v>
      </c>
      <c r="B6" s="107" t="s">
        <v>165</v>
      </c>
      <c r="C6" s="174">
        <v>5.264082852E9</v>
      </c>
      <c r="D6" s="174">
        <v>4.170458868E9</v>
      </c>
      <c r="E6" s="175">
        <f t="shared" si="1"/>
        <v>0.2622310922</v>
      </c>
      <c r="F6" s="177">
        <v>1613580.0</v>
      </c>
      <c r="G6" s="177">
        <v>2585.0</v>
      </c>
      <c r="H6" s="174">
        <f t="shared" si="2"/>
        <v>4171104300</v>
      </c>
      <c r="I6" s="175">
        <f t="shared" si="3"/>
        <v>-0.000154762826</v>
      </c>
      <c r="J6" s="112"/>
      <c r="K6" s="112"/>
      <c r="L6" s="112"/>
      <c r="M6" s="112"/>
      <c r="N6" s="112"/>
      <c r="O6" s="112"/>
      <c r="P6" s="112"/>
      <c r="Q6" s="112"/>
      <c r="R6" s="112"/>
      <c r="S6" s="112"/>
      <c r="T6" s="112"/>
      <c r="U6" s="112"/>
      <c r="V6" s="112"/>
      <c r="W6" s="112"/>
      <c r="X6" s="112"/>
      <c r="Y6" s="112"/>
      <c r="Z6" s="112"/>
    </row>
    <row r="7">
      <c r="A7" s="107" t="s">
        <v>243</v>
      </c>
      <c r="B7" s="107" t="s">
        <v>246</v>
      </c>
      <c r="C7" s="174">
        <v>8.018969537E9</v>
      </c>
      <c r="D7" s="174">
        <v>6.781677072E9</v>
      </c>
      <c r="E7" s="175">
        <f t="shared" si="1"/>
        <v>0.1824463848</v>
      </c>
      <c r="F7" s="177">
        <v>1576390.0</v>
      </c>
      <c r="G7" s="177">
        <v>4302.0</v>
      </c>
      <c r="H7" s="174">
        <f t="shared" si="2"/>
        <v>6781629780</v>
      </c>
      <c r="I7" s="175">
        <f t="shared" si="3"/>
        <v>0.000006973496305</v>
      </c>
      <c r="J7" s="112"/>
      <c r="K7" s="112"/>
      <c r="L7" s="112"/>
      <c r="M7" s="112"/>
      <c r="N7" s="112"/>
      <c r="O7" s="112"/>
      <c r="P7" s="112"/>
      <c r="Q7" s="112"/>
      <c r="R7" s="112"/>
      <c r="S7" s="112"/>
      <c r="T7" s="112"/>
      <c r="U7" s="112"/>
      <c r="V7" s="112"/>
      <c r="W7" s="112"/>
      <c r="X7" s="112"/>
      <c r="Y7" s="112"/>
      <c r="Z7" s="112"/>
    </row>
    <row r="8">
      <c r="A8" s="107" t="s">
        <v>106</v>
      </c>
      <c r="B8" s="107" t="s">
        <v>269</v>
      </c>
      <c r="C8" s="174">
        <v>4.792357777E9</v>
      </c>
      <c r="D8" s="174">
        <v>4.996526172E9</v>
      </c>
      <c r="E8" s="175">
        <f t="shared" si="1"/>
        <v>-0.04086206856</v>
      </c>
      <c r="F8" s="177">
        <v>1488510.0</v>
      </c>
      <c r="G8" s="177">
        <v>3357.0</v>
      </c>
      <c r="H8" s="174">
        <f t="shared" si="2"/>
        <v>4996928070</v>
      </c>
      <c r="I8" s="175">
        <f t="shared" si="3"/>
        <v>-0.00008043548381</v>
      </c>
      <c r="J8" s="112"/>
      <c r="K8" s="112"/>
      <c r="L8" s="112"/>
      <c r="M8" s="112"/>
      <c r="N8" s="112"/>
      <c r="O8" s="112"/>
      <c r="P8" s="112"/>
      <c r="Q8" s="112"/>
      <c r="R8" s="112"/>
      <c r="S8" s="112"/>
      <c r="T8" s="112"/>
      <c r="U8" s="112"/>
      <c r="V8" s="112"/>
      <c r="W8" s="112"/>
      <c r="X8" s="112"/>
      <c r="Y8" s="112"/>
      <c r="Z8" s="112"/>
    </row>
    <row r="9">
      <c r="A9" s="107" t="s">
        <v>36</v>
      </c>
      <c r="B9" s="107" t="s">
        <v>314</v>
      </c>
      <c r="C9" s="174">
        <v>6.602076885E9</v>
      </c>
      <c r="D9" s="174">
        <v>5.432418772E9</v>
      </c>
      <c r="E9" s="175">
        <f t="shared" si="1"/>
        <v>0.2153107413</v>
      </c>
      <c r="F9" s="177">
        <v>1403860.0</v>
      </c>
      <c r="G9" s="177">
        <v>3870.0</v>
      </c>
      <c r="H9" s="174">
        <f t="shared" si="2"/>
        <v>5432938200</v>
      </c>
      <c r="I9" s="175">
        <f t="shared" si="3"/>
        <v>-0.00009561633994</v>
      </c>
      <c r="J9" s="112"/>
      <c r="K9" s="112"/>
      <c r="L9" s="112"/>
      <c r="M9" s="112"/>
      <c r="N9" s="112"/>
      <c r="O9" s="112"/>
      <c r="P9" s="112"/>
      <c r="Q9" s="112"/>
      <c r="R9" s="112"/>
      <c r="S9" s="112"/>
      <c r="T9" s="112"/>
      <c r="U9" s="112"/>
      <c r="V9" s="112"/>
      <c r="W9" s="112"/>
      <c r="X9" s="112"/>
      <c r="Y9" s="112"/>
      <c r="Z9" s="112"/>
    </row>
    <row r="10">
      <c r="A10" s="107" t="s">
        <v>106</v>
      </c>
      <c r="B10" s="107" t="s">
        <v>371</v>
      </c>
      <c r="C10" s="174">
        <v>5.802480437E9</v>
      </c>
      <c r="D10" s="174">
        <v>6.299730182E9</v>
      </c>
      <c r="E10" s="175">
        <f t="shared" si="1"/>
        <v>-0.07893191147</v>
      </c>
      <c r="F10" s="177">
        <v>1324480.0</v>
      </c>
      <c r="G10" s="177">
        <v>4756.0</v>
      </c>
      <c r="H10" s="174">
        <f t="shared" si="2"/>
        <v>6299226880</v>
      </c>
      <c r="I10" s="175">
        <f t="shared" si="3"/>
        <v>0.00007989262801</v>
      </c>
      <c r="J10" s="112"/>
      <c r="K10" s="112"/>
      <c r="L10" s="112"/>
      <c r="M10" s="112"/>
      <c r="N10" s="112"/>
      <c r="O10" s="112"/>
      <c r="P10" s="112"/>
      <c r="Q10" s="112"/>
      <c r="R10" s="112"/>
      <c r="S10" s="112"/>
      <c r="T10" s="112"/>
      <c r="U10" s="112"/>
      <c r="V10" s="112"/>
      <c r="W10" s="112"/>
      <c r="X10" s="112"/>
      <c r="Y10" s="112"/>
      <c r="Z10" s="112"/>
    </row>
    <row r="11">
      <c r="A11" s="107" t="s">
        <v>36</v>
      </c>
      <c r="B11" s="107" t="s">
        <v>414</v>
      </c>
      <c r="C11" s="174">
        <v>7.056080572E9</v>
      </c>
      <c r="D11" s="174">
        <v>5.695005792E9</v>
      </c>
      <c r="E11" s="175">
        <f t="shared" si="1"/>
        <v>0.2389944505</v>
      </c>
      <c r="F11" s="177">
        <v>1030360.0</v>
      </c>
      <c r="G11" s="177">
        <v>5527.0</v>
      </c>
      <c r="H11" s="174">
        <f t="shared" si="2"/>
        <v>5694799720</v>
      </c>
      <c r="I11" s="175">
        <f t="shared" si="3"/>
        <v>0.00003618468664</v>
      </c>
      <c r="J11" s="112"/>
      <c r="K11" s="112"/>
      <c r="L11" s="112"/>
      <c r="M11" s="112"/>
      <c r="N11" s="112"/>
      <c r="O11" s="112"/>
      <c r="P11" s="112"/>
      <c r="Q11" s="112"/>
      <c r="R11" s="112"/>
      <c r="S11" s="112"/>
      <c r="T11" s="112"/>
      <c r="U11" s="112"/>
      <c r="V11" s="112"/>
      <c r="W11" s="112"/>
      <c r="X11" s="112"/>
      <c r="Y11" s="112"/>
      <c r="Z11" s="112"/>
    </row>
    <row r="12">
      <c r="A12" s="107" t="s">
        <v>106</v>
      </c>
      <c r="B12" s="107" t="s">
        <v>475</v>
      </c>
      <c r="C12" s="174">
        <v>6.637153235E9</v>
      </c>
      <c r="D12" s="174">
        <v>4.310452681E9</v>
      </c>
      <c r="E12" s="175">
        <f t="shared" si="1"/>
        <v>0.5397810221</v>
      </c>
      <c r="F12" s="177">
        <v>939768.0</v>
      </c>
      <c r="G12" s="177">
        <v>4587.0</v>
      </c>
      <c r="H12" s="174">
        <f t="shared" si="2"/>
        <v>4310715816</v>
      </c>
      <c r="I12" s="175">
        <f t="shared" si="3"/>
        <v>-0.00006104579251</v>
      </c>
      <c r="J12" s="112"/>
      <c r="K12" s="112"/>
      <c r="L12" s="112"/>
      <c r="M12" s="112"/>
      <c r="N12" s="112"/>
      <c r="O12" s="112"/>
      <c r="P12" s="112"/>
      <c r="Q12" s="112"/>
      <c r="R12" s="112"/>
      <c r="S12" s="112"/>
      <c r="T12" s="112"/>
      <c r="U12" s="112"/>
      <c r="V12" s="112"/>
      <c r="W12" s="112"/>
      <c r="X12" s="112"/>
      <c r="Y12" s="112"/>
      <c r="Z12" s="112"/>
    </row>
    <row r="13">
      <c r="A13" s="107" t="s">
        <v>106</v>
      </c>
      <c r="B13" s="107" t="s">
        <v>510</v>
      </c>
      <c r="C13" s="174">
        <v>3.206444167E9</v>
      </c>
      <c r="D13" s="174">
        <v>2.809173258E9</v>
      </c>
      <c r="E13" s="175">
        <f t="shared" si="1"/>
        <v>0.1414191552</v>
      </c>
      <c r="F13" s="177">
        <v>856902.0</v>
      </c>
      <c r="G13" s="177">
        <v>3278.0</v>
      </c>
      <c r="H13" s="174">
        <f t="shared" si="2"/>
        <v>2808924756</v>
      </c>
      <c r="I13" s="175">
        <f t="shared" si="3"/>
        <v>0.0000884609019</v>
      </c>
      <c r="J13" s="112"/>
      <c r="K13" s="112"/>
      <c r="L13" s="112"/>
      <c r="M13" s="112"/>
      <c r="N13" s="112"/>
      <c r="O13" s="112"/>
      <c r="P13" s="112"/>
      <c r="Q13" s="112"/>
      <c r="R13" s="112"/>
      <c r="S13" s="112"/>
      <c r="T13" s="112"/>
      <c r="U13" s="112"/>
      <c r="V13" s="112"/>
      <c r="W13" s="112"/>
      <c r="X13" s="112"/>
      <c r="Y13" s="112"/>
      <c r="Z13" s="112"/>
    </row>
    <row r="14">
      <c r="A14" s="107" t="s">
        <v>554</v>
      </c>
      <c r="B14" s="107" t="s">
        <v>557</v>
      </c>
      <c r="C14" s="174">
        <v>2.081035618E9</v>
      </c>
      <c r="D14" s="174">
        <v>2.280579989E9</v>
      </c>
      <c r="E14" s="175">
        <f t="shared" si="1"/>
        <v>-0.08749720333</v>
      </c>
      <c r="F14" s="177">
        <v>925996.0</v>
      </c>
      <c r="G14" s="177">
        <v>2463.0</v>
      </c>
      <c r="H14" s="174">
        <f t="shared" si="2"/>
        <v>2280728148</v>
      </c>
      <c r="I14" s="175">
        <f t="shared" si="3"/>
        <v>-0.00006496549155</v>
      </c>
      <c r="J14" s="112"/>
      <c r="K14" s="112"/>
      <c r="L14" s="112"/>
      <c r="M14" s="112"/>
      <c r="N14" s="112"/>
      <c r="O14" s="112"/>
      <c r="P14" s="112"/>
      <c r="Q14" s="112"/>
      <c r="R14" s="112"/>
      <c r="S14" s="112"/>
      <c r="T14" s="112"/>
      <c r="U14" s="112"/>
      <c r="V14" s="112"/>
      <c r="W14" s="112"/>
      <c r="X14" s="112"/>
      <c r="Y14" s="112"/>
      <c r="Z14" s="112"/>
    </row>
    <row r="15">
      <c r="A15" s="107" t="s">
        <v>566</v>
      </c>
      <c r="B15" s="107" t="s">
        <v>569</v>
      </c>
      <c r="C15" s="174">
        <v>4.118327081E9</v>
      </c>
      <c r="D15" s="174">
        <v>3.309754217E9</v>
      </c>
      <c r="E15" s="175">
        <f t="shared" si="1"/>
        <v>0.2442999724</v>
      </c>
      <c r="F15" s="177">
        <v>866918.0</v>
      </c>
      <c r="G15" s="177">
        <v>3818.0</v>
      </c>
      <c r="H15" s="174">
        <f t="shared" si="2"/>
        <v>3309892924</v>
      </c>
      <c r="I15" s="175">
        <f t="shared" si="3"/>
        <v>-0.00004190854997</v>
      </c>
      <c r="J15" s="112"/>
      <c r="K15" s="112"/>
      <c r="L15" s="112"/>
      <c r="M15" s="112"/>
      <c r="N15" s="112"/>
      <c r="O15" s="112"/>
      <c r="P15" s="112"/>
      <c r="Q15" s="112"/>
      <c r="R15" s="112"/>
      <c r="S15" s="112"/>
      <c r="T15" s="112"/>
      <c r="U15" s="112"/>
      <c r="V15" s="112"/>
      <c r="W15" s="112"/>
      <c r="X15" s="112"/>
      <c r="Y15" s="112"/>
      <c r="Z15" s="112"/>
    </row>
    <row r="16">
      <c r="A16" s="107" t="s">
        <v>627</v>
      </c>
      <c r="B16" s="107" t="s">
        <v>631</v>
      </c>
      <c r="C16" s="174">
        <v>6.671927683E9</v>
      </c>
      <c r="D16" s="174">
        <v>5.338513897E9</v>
      </c>
      <c r="E16" s="175">
        <f t="shared" si="1"/>
        <v>0.249772467</v>
      </c>
      <c r="F16" s="177">
        <v>842937.0</v>
      </c>
      <c r="G16" s="177">
        <v>6333.0</v>
      </c>
      <c r="H16" s="174">
        <f t="shared" si="2"/>
        <v>5338320021</v>
      </c>
      <c r="I16" s="175">
        <f t="shared" si="3"/>
        <v>0.00003631647379</v>
      </c>
      <c r="J16" s="112"/>
      <c r="K16" s="112"/>
      <c r="L16" s="112"/>
      <c r="M16" s="112"/>
      <c r="N16" s="112"/>
      <c r="O16" s="112"/>
      <c r="P16" s="112"/>
      <c r="Q16" s="112"/>
      <c r="R16" s="112"/>
      <c r="S16" s="112"/>
      <c r="T16" s="112"/>
      <c r="U16" s="112"/>
      <c r="V16" s="112"/>
      <c r="W16" s="112"/>
      <c r="X16" s="112"/>
      <c r="Y16" s="112"/>
      <c r="Z16" s="112"/>
    </row>
    <row r="17">
      <c r="A17" s="107" t="s">
        <v>641</v>
      </c>
      <c r="B17" s="107" t="s">
        <v>643</v>
      </c>
      <c r="C17" s="174">
        <v>1.491254333E9</v>
      </c>
      <c r="D17" s="174">
        <v>2.784851277E9</v>
      </c>
      <c r="E17" s="175">
        <f t="shared" si="1"/>
        <v>-0.4645120386</v>
      </c>
      <c r="F17" s="177">
        <v>944139.0</v>
      </c>
      <c r="G17" s="177">
        <v>2950.0</v>
      </c>
      <c r="H17" s="174">
        <f t="shared" si="2"/>
        <v>2785210050</v>
      </c>
      <c r="I17" s="175">
        <f t="shared" si="3"/>
        <v>-0.000128830219</v>
      </c>
      <c r="J17" s="112"/>
      <c r="K17" s="112"/>
      <c r="L17" s="112"/>
      <c r="M17" s="112"/>
      <c r="N17" s="112"/>
      <c r="O17" s="112"/>
      <c r="P17" s="112"/>
      <c r="Q17" s="112"/>
      <c r="R17" s="112"/>
      <c r="S17" s="112"/>
      <c r="T17" s="112"/>
      <c r="U17" s="112"/>
      <c r="V17" s="112"/>
      <c r="W17" s="112"/>
      <c r="X17" s="112"/>
      <c r="Y17" s="112"/>
      <c r="Z17" s="112"/>
    </row>
    <row r="18">
      <c r="A18" s="107" t="s">
        <v>36</v>
      </c>
      <c r="B18" s="107" t="s">
        <v>667</v>
      </c>
      <c r="C18" s="174">
        <v>2.4448483E9</v>
      </c>
      <c r="D18" s="174">
        <v>7.957490214E9</v>
      </c>
      <c r="E18" s="175">
        <f t="shared" si="1"/>
        <v>-0.6927613815</v>
      </c>
      <c r="F18" s="177">
        <v>872795.0</v>
      </c>
      <c r="G18" s="177">
        <v>9117.0</v>
      </c>
      <c r="H18" s="174">
        <f t="shared" si="2"/>
        <v>7957272015</v>
      </c>
      <c r="I18" s="175">
        <f t="shared" si="3"/>
        <v>0.00002742058038</v>
      </c>
      <c r="J18" s="112"/>
      <c r="K18" s="112"/>
      <c r="L18" s="112"/>
      <c r="M18" s="112"/>
      <c r="N18" s="112"/>
      <c r="O18" s="112"/>
      <c r="P18" s="112"/>
      <c r="Q18" s="112"/>
      <c r="R18" s="112"/>
      <c r="S18" s="112"/>
      <c r="T18" s="112"/>
      <c r="U18" s="112"/>
      <c r="V18" s="112"/>
      <c r="W18" s="112"/>
      <c r="X18" s="112"/>
      <c r="Y18" s="112"/>
      <c r="Z18" s="112"/>
    </row>
    <row r="19">
      <c r="A19" s="107" t="s">
        <v>684</v>
      </c>
      <c r="B19" s="107" t="s">
        <v>687</v>
      </c>
      <c r="C19" s="174">
        <v>6.735218542E9</v>
      </c>
      <c r="D19" s="174">
        <v>4.477840068E9</v>
      </c>
      <c r="E19" s="175">
        <f t="shared" si="1"/>
        <v>0.5041221749</v>
      </c>
      <c r="F19" s="177">
        <v>710510.0</v>
      </c>
      <c r="G19" s="177">
        <v>6302.0</v>
      </c>
      <c r="H19" s="174">
        <f t="shared" si="2"/>
        <v>4477634020</v>
      </c>
      <c r="I19" s="175">
        <f t="shared" si="3"/>
        <v>0.00004601504227</v>
      </c>
      <c r="J19" s="112"/>
      <c r="K19" s="112"/>
      <c r="L19" s="112"/>
      <c r="M19" s="112"/>
      <c r="N19" s="112"/>
      <c r="O19" s="112"/>
      <c r="P19" s="112"/>
      <c r="Q19" s="112"/>
      <c r="R19" s="112"/>
      <c r="S19" s="112"/>
      <c r="T19" s="112"/>
      <c r="U19" s="112"/>
      <c r="V19" s="112"/>
      <c r="W19" s="112"/>
      <c r="X19" s="112"/>
      <c r="Y19" s="112"/>
      <c r="Z19" s="112"/>
    </row>
    <row r="20">
      <c r="A20" s="107" t="s">
        <v>710</v>
      </c>
      <c r="B20" s="107" t="s">
        <v>714</v>
      </c>
      <c r="C20" s="174">
        <v>5.845779236E9</v>
      </c>
      <c r="D20" s="174">
        <v>5.259570393E9</v>
      </c>
      <c r="E20" s="175">
        <f t="shared" si="1"/>
        <v>0.1114556512</v>
      </c>
      <c r="F20" s="177">
        <v>696618.0</v>
      </c>
      <c r="G20" s="177">
        <v>7550.0</v>
      </c>
      <c r="H20" s="174">
        <f t="shared" si="2"/>
        <v>5259465900</v>
      </c>
      <c r="I20" s="175">
        <f t="shared" si="3"/>
        <v>0.00001986721199</v>
      </c>
      <c r="J20" s="112"/>
      <c r="K20" s="112"/>
      <c r="L20" s="112"/>
      <c r="M20" s="112"/>
      <c r="N20" s="112"/>
      <c r="O20" s="112"/>
      <c r="P20" s="112"/>
      <c r="Q20" s="112"/>
      <c r="R20" s="112"/>
      <c r="S20" s="112"/>
      <c r="T20" s="112"/>
      <c r="U20" s="112"/>
      <c r="V20" s="112"/>
      <c r="W20" s="112"/>
      <c r="X20" s="112"/>
      <c r="Y20" s="112"/>
      <c r="Z20" s="112"/>
    </row>
    <row r="21">
      <c r="A21" s="107" t="s">
        <v>732</v>
      </c>
      <c r="B21" s="107" t="s">
        <v>733</v>
      </c>
      <c r="C21" s="174">
        <v>1.0411623551E10</v>
      </c>
      <c r="D21" s="174">
        <v>9.133438568E9</v>
      </c>
      <c r="E21" s="175">
        <f t="shared" si="1"/>
        <v>0.1399456485</v>
      </c>
      <c r="F21" s="177">
        <v>686575.0</v>
      </c>
      <c r="G21" s="177">
        <v>13303.0</v>
      </c>
      <c r="H21" s="174">
        <f t="shared" si="2"/>
        <v>9133507225</v>
      </c>
      <c r="I21" s="175">
        <f t="shared" si="3"/>
        <v>-0.000007517103169</v>
      </c>
      <c r="J21" s="112"/>
      <c r="K21" s="112"/>
      <c r="L21" s="112"/>
      <c r="M21" s="112"/>
      <c r="N21" s="112"/>
      <c r="O21" s="112"/>
      <c r="P21" s="112"/>
      <c r="Q21" s="112"/>
      <c r="R21" s="112"/>
      <c r="S21" s="112"/>
      <c r="T21" s="112"/>
      <c r="U21" s="112"/>
      <c r="V21" s="112"/>
      <c r="W21" s="112"/>
      <c r="X21" s="112"/>
      <c r="Y21" s="112"/>
      <c r="Z21" s="112"/>
    </row>
    <row r="22">
      <c r="A22" s="107" t="s">
        <v>748</v>
      </c>
      <c r="B22" s="107" t="s">
        <v>752</v>
      </c>
      <c r="C22" s="174">
        <v>3.264470547E9</v>
      </c>
      <c r="D22" s="174">
        <v>2.905783822E9</v>
      </c>
      <c r="E22" s="175">
        <f t="shared" si="1"/>
        <v>0.1234388884</v>
      </c>
      <c r="F22" s="177">
        <v>680470.0</v>
      </c>
      <c r="G22" s="177">
        <v>4270.0</v>
      </c>
      <c r="H22" s="174">
        <f t="shared" si="2"/>
        <v>2905606900</v>
      </c>
      <c r="I22" s="175">
        <f t="shared" si="3"/>
        <v>0.00006088615356</v>
      </c>
      <c r="J22" s="112"/>
      <c r="K22" s="112"/>
      <c r="L22" s="112"/>
      <c r="M22" s="112"/>
      <c r="N22" s="112"/>
      <c r="O22" s="112"/>
      <c r="P22" s="112"/>
      <c r="Q22" s="112"/>
      <c r="R22" s="112"/>
      <c r="S22" s="112"/>
      <c r="T22" s="112"/>
      <c r="U22" s="112"/>
      <c r="V22" s="112"/>
      <c r="W22" s="112"/>
      <c r="X22" s="112"/>
      <c r="Y22" s="112"/>
      <c r="Z22" s="112"/>
    </row>
    <row r="23">
      <c r="A23" s="107" t="s">
        <v>106</v>
      </c>
      <c r="B23" s="107" t="s">
        <v>759</v>
      </c>
      <c r="C23" s="174">
        <v>1.539692661E9</v>
      </c>
      <c r="D23" s="174">
        <v>1.832145163E9</v>
      </c>
      <c r="E23" s="175">
        <f t="shared" si="1"/>
        <v>-0.1596229971</v>
      </c>
      <c r="F23" s="177">
        <v>681485.0</v>
      </c>
      <c r="G23" s="177">
        <v>2688.0</v>
      </c>
      <c r="H23" s="174">
        <f t="shared" si="2"/>
        <v>1831831680</v>
      </c>
      <c r="I23" s="175">
        <f t="shared" si="3"/>
        <v>0.000171101617</v>
      </c>
      <c r="J23" s="112"/>
      <c r="K23" s="112"/>
      <c r="L23" s="112"/>
      <c r="M23" s="112"/>
      <c r="N23" s="112"/>
      <c r="O23" s="112"/>
      <c r="P23" s="112"/>
      <c r="Q23" s="112"/>
      <c r="R23" s="112"/>
      <c r="S23" s="112"/>
      <c r="T23" s="112"/>
      <c r="U23" s="112"/>
      <c r="V23" s="112"/>
      <c r="W23" s="112"/>
      <c r="X23" s="112"/>
      <c r="Y23" s="112"/>
      <c r="Z23" s="112"/>
    </row>
    <row r="24">
      <c r="A24" s="107" t="s">
        <v>778</v>
      </c>
      <c r="B24" s="107" t="s">
        <v>781</v>
      </c>
      <c r="C24" s="9">
        <v>2.1767061590464E9</v>
      </c>
      <c r="D24" s="174">
        <v>2.118033699E9</v>
      </c>
      <c r="E24" s="175">
        <f t="shared" si="1"/>
        <v>0.02770138175</v>
      </c>
      <c r="F24" s="177">
        <v>687430.0</v>
      </c>
      <c r="G24" s="177">
        <v>3081.0</v>
      </c>
      <c r="H24" s="174">
        <f t="shared" si="2"/>
        <v>2117971830</v>
      </c>
      <c r="I24" s="175">
        <f t="shared" si="3"/>
        <v>0.0000292105834</v>
      </c>
      <c r="J24" s="112"/>
      <c r="K24" s="112"/>
      <c r="L24" s="112"/>
      <c r="M24" s="112"/>
      <c r="N24" s="112"/>
      <c r="O24" s="112"/>
      <c r="P24" s="112"/>
      <c r="Q24" s="112"/>
      <c r="R24" s="112"/>
      <c r="S24" s="112"/>
      <c r="T24" s="112"/>
      <c r="U24" s="112"/>
      <c r="V24" s="112"/>
      <c r="W24" s="112"/>
      <c r="X24" s="112"/>
      <c r="Y24" s="112"/>
      <c r="Z24" s="112"/>
    </row>
    <row r="25">
      <c r="A25" s="107" t="s">
        <v>791</v>
      </c>
      <c r="B25" s="107" t="s">
        <v>795</v>
      </c>
      <c r="C25" s="174">
        <v>1.897312422E9</v>
      </c>
      <c r="D25" s="174">
        <v>1.884259514E9</v>
      </c>
      <c r="E25" s="175">
        <f t="shared" si="1"/>
        <v>0.006927340901</v>
      </c>
      <c r="F25" s="177">
        <v>676883.0</v>
      </c>
      <c r="G25" s="177">
        <v>2784.0</v>
      </c>
      <c r="H25" s="174">
        <f t="shared" si="2"/>
        <v>1884442272</v>
      </c>
      <c r="I25" s="175">
        <f t="shared" si="3"/>
        <v>-0.00009699194758</v>
      </c>
      <c r="J25" s="112"/>
      <c r="K25" s="112"/>
      <c r="L25" s="112"/>
      <c r="M25" s="112"/>
      <c r="N25" s="112"/>
      <c r="O25" s="112"/>
      <c r="P25" s="112"/>
      <c r="Q25" s="112"/>
      <c r="R25" s="112"/>
      <c r="S25" s="112"/>
      <c r="T25" s="112"/>
      <c r="U25" s="112"/>
      <c r="V25" s="112"/>
      <c r="W25" s="112"/>
      <c r="X25" s="112"/>
      <c r="Y25" s="112"/>
      <c r="Z25" s="112"/>
    </row>
    <row r="26">
      <c r="A26" s="107" t="s">
        <v>809</v>
      </c>
      <c r="B26" s="107" t="s">
        <v>812</v>
      </c>
      <c r="C26" s="174">
        <v>2.340080758E9</v>
      </c>
      <c r="D26" s="174">
        <v>2.009355942E9</v>
      </c>
      <c r="E26" s="175">
        <f t="shared" si="1"/>
        <v>0.1645924493</v>
      </c>
      <c r="F26" s="177">
        <v>626950.0</v>
      </c>
      <c r="G26" s="177">
        <v>3205.0</v>
      </c>
      <c r="H26" s="174">
        <f t="shared" si="2"/>
        <v>2009374750</v>
      </c>
      <c r="I26" s="175">
        <f t="shared" si="3"/>
        <v>-0.000009360213194</v>
      </c>
      <c r="J26" s="112"/>
      <c r="K26" s="112"/>
      <c r="L26" s="112"/>
      <c r="M26" s="112"/>
      <c r="N26" s="112"/>
      <c r="O26" s="112"/>
      <c r="P26" s="112"/>
      <c r="Q26" s="112"/>
      <c r="R26" s="112"/>
      <c r="S26" s="112"/>
      <c r="T26" s="112"/>
      <c r="U26" s="112"/>
      <c r="V26" s="112"/>
      <c r="W26" s="112"/>
      <c r="X26" s="112"/>
      <c r="Y26" s="112"/>
      <c r="Z26" s="112"/>
    </row>
    <row r="27">
      <c r="A27" s="107" t="s">
        <v>830</v>
      </c>
      <c r="B27" s="107" t="s">
        <v>1460</v>
      </c>
      <c r="C27" s="174">
        <v>1.5002965E9</v>
      </c>
      <c r="D27" s="174">
        <v>1.549436545E9</v>
      </c>
      <c r="E27" s="175">
        <f t="shared" si="1"/>
        <v>-0.03171478378</v>
      </c>
      <c r="F27" s="177">
        <v>640144.0</v>
      </c>
      <c r="G27" s="177">
        <v>2420.0</v>
      </c>
      <c r="H27" s="174">
        <f t="shared" si="2"/>
        <v>1549148480</v>
      </c>
      <c r="I27" s="175">
        <f t="shared" si="3"/>
        <v>0.0001859159712</v>
      </c>
      <c r="J27" s="112"/>
      <c r="K27" s="112"/>
      <c r="L27" s="112"/>
      <c r="M27" s="112"/>
      <c r="N27" s="112"/>
      <c r="O27" s="112"/>
      <c r="P27" s="112"/>
      <c r="Q27" s="112"/>
      <c r="R27" s="112"/>
      <c r="S27" s="112"/>
      <c r="T27" s="112"/>
      <c r="U27" s="112"/>
      <c r="V27" s="112"/>
      <c r="W27" s="112"/>
      <c r="X27" s="112"/>
      <c r="Y27" s="112"/>
      <c r="Z27" s="112"/>
    </row>
    <row r="28">
      <c r="A28" s="107" t="s">
        <v>889</v>
      </c>
      <c r="B28" s="107" t="s">
        <v>893</v>
      </c>
      <c r="C28" s="174">
        <v>3.344771727E9</v>
      </c>
      <c r="D28" s="174">
        <v>2.817842502E9</v>
      </c>
      <c r="E28" s="175">
        <f t="shared" si="1"/>
        <v>0.1869974012</v>
      </c>
      <c r="F28" s="177">
        <v>643136.0</v>
      </c>
      <c r="G28" s="177">
        <v>4381.0</v>
      </c>
      <c r="H28" s="174">
        <f t="shared" si="2"/>
        <v>2817578816</v>
      </c>
      <c r="I28" s="175">
        <f t="shared" si="3"/>
        <v>0.00009357726694</v>
      </c>
      <c r="J28" s="112"/>
      <c r="K28" s="112"/>
      <c r="L28" s="112"/>
      <c r="M28" s="112"/>
      <c r="N28" s="112"/>
      <c r="O28" s="112"/>
      <c r="P28" s="112"/>
      <c r="Q28" s="112"/>
      <c r="R28" s="112"/>
      <c r="S28" s="112"/>
      <c r="T28" s="112"/>
      <c r="U28" s="112"/>
      <c r="V28" s="112"/>
      <c r="W28" s="112"/>
      <c r="X28" s="112"/>
      <c r="Y28" s="112"/>
      <c r="Z28" s="112"/>
    </row>
    <row r="29">
      <c r="A29" s="107" t="s">
        <v>778</v>
      </c>
      <c r="B29" s="107" t="s">
        <v>926</v>
      </c>
      <c r="C29" s="174">
        <v>2.91762013E9</v>
      </c>
      <c r="D29" s="174">
        <v>2.167016302E9</v>
      </c>
      <c r="E29" s="175">
        <f t="shared" si="1"/>
        <v>0.3463766411</v>
      </c>
      <c r="F29" s="177">
        <v>653184.0</v>
      </c>
      <c r="G29" s="177">
        <v>3318.0</v>
      </c>
      <c r="H29" s="174">
        <f t="shared" si="2"/>
        <v>2167264512</v>
      </c>
      <c r="I29" s="175">
        <f t="shared" si="3"/>
        <v>-0.0001145399782</v>
      </c>
      <c r="J29" s="112"/>
      <c r="K29" s="112"/>
      <c r="L29" s="112"/>
      <c r="M29" s="112"/>
      <c r="N29" s="112"/>
      <c r="O29" s="112"/>
      <c r="P29" s="112"/>
      <c r="Q29" s="112"/>
      <c r="R29" s="112"/>
      <c r="S29" s="112"/>
      <c r="T29" s="112"/>
      <c r="U29" s="112"/>
      <c r="V29" s="112"/>
      <c r="W29" s="112"/>
      <c r="X29" s="112"/>
      <c r="Y29" s="112"/>
      <c r="Z29" s="112"/>
    </row>
    <row r="30">
      <c r="A30" s="107" t="s">
        <v>937</v>
      </c>
      <c r="B30" s="107" t="s">
        <v>941</v>
      </c>
      <c r="C30" s="174">
        <v>1.839622832E9</v>
      </c>
      <c r="D30" s="174">
        <v>1.966414955E9</v>
      </c>
      <c r="E30" s="175">
        <f t="shared" si="1"/>
        <v>-0.0644788236</v>
      </c>
      <c r="F30" s="177">
        <v>767711.0</v>
      </c>
      <c r="G30" s="177">
        <v>2561.0</v>
      </c>
      <c r="H30" s="174">
        <f t="shared" si="2"/>
        <v>1966107871</v>
      </c>
      <c r="I30" s="175">
        <f t="shared" si="3"/>
        <v>0.0001561643941</v>
      </c>
      <c r="J30" s="112"/>
      <c r="K30" s="112"/>
      <c r="L30" s="112"/>
      <c r="M30" s="112"/>
      <c r="N30" s="112"/>
      <c r="O30" s="112"/>
      <c r="P30" s="112"/>
      <c r="Q30" s="112"/>
      <c r="R30" s="112"/>
      <c r="S30" s="112"/>
      <c r="T30" s="112"/>
      <c r="U30" s="112"/>
      <c r="V30" s="112"/>
      <c r="W30" s="112"/>
      <c r="X30" s="112"/>
      <c r="Y30" s="112"/>
      <c r="Z30" s="112"/>
    </row>
    <row r="31">
      <c r="A31" s="107" t="s">
        <v>951</v>
      </c>
      <c r="B31" s="107" t="s">
        <v>955</v>
      </c>
      <c r="C31" s="174">
        <v>1.715979625E9</v>
      </c>
      <c r="D31" s="174">
        <v>1.630527949E9</v>
      </c>
      <c r="E31" s="175">
        <f t="shared" si="1"/>
        <v>0.05240736662</v>
      </c>
      <c r="F31" s="177">
        <v>597123.0</v>
      </c>
      <c r="G31" s="177">
        <v>2731.0</v>
      </c>
      <c r="H31" s="174">
        <f t="shared" si="2"/>
        <v>1630742913</v>
      </c>
      <c r="I31" s="175">
        <f t="shared" si="3"/>
        <v>-0.0001318370532</v>
      </c>
      <c r="J31" s="112"/>
      <c r="K31" s="112"/>
      <c r="L31" s="112"/>
      <c r="M31" s="112"/>
      <c r="N31" s="112"/>
      <c r="O31" s="112"/>
      <c r="P31" s="112"/>
      <c r="Q31" s="112"/>
      <c r="R31" s="112"/>
      <c r="S31" s="112"/>
      <c r="T31" s="112"/>
      <c r="U31" s="112"/>
      <c r="V31" s="112"/>
      <c r="W31" s="112"/>
      <c r="X31" s="112"/>
      <c r="Y31" s="112"/>
      <c r="Z31" s="112"/>
    </row>
    <row r="32">
      <c r="A32" s="107" t="s">
        <v>967</v>
      </c>
      <c r="B32" s="107" t="s">
        <v>970</v>
      </c>
      <c r="C32" s="174">
        <v>4.377199638E9</v>
      </c>
      <c r="D32" s="174">
        <v>2.050666317E9</v>
      </c>
      <c r="E32" s="175">
        <f t="shared" si="1"/>
        <v>1.134525545</v>
      </c>
      <c r="F32" s="177">
        <v>615849.0</v>
      </c>
      <c r="G32" s="177">
        <v>3330.0</v>
      </c>
      <c r="H32" s="174">
        <f t="shared" si="2"/>
        <v>2050777170</v>
      </c>
      <c r="I32" s="175">
        <f t="shared" si="3"/>
        <v>-0.00005405706383</v>
      </c>
      <c r="J32" s="112"/>
      <c r="K32" s="112"/>
      <c r="L32" s="112"/>
      <c r="M32" s="112"/>
      <c r="N32" s="112"/>
      <c r="O32" s="112"/>
      <c r="P32" s="112"/>
      <c r="Q32" s="112"/>
      <c r="R32" s="112"/>
      <c r="S32" s="112"/>
      <c r="T32" s="112"/>
      <c r="U32" s="112"/>
      <c r="V32" s="112"/>
      <c r="W32" s="112"/>
      <c r="X32" s="112"/>
      <c r="Y32" s="112"/>
      <c r="Z32" s="112"/>
    </row>
    <row r="33">
      <c r="A33" s="107" t="s">
        <v>981</v>
      </c>
      <c r="B33" s="107" t="s">
        <v>985</v>
      </c>
      <c r="C33" s="174">
        <v>2.041055841E9</v>
      </c>
      <c r="D33" s="174">
        <v>1.162533475E9</v>
      </c>
      <c r="E33" s="175">
        <f t="shared" si="1"/>
        <v>0.7556964035</v>
      </c>
      <c r="F33" s="177">
        <v>559626.0</v>
      </c>
      <c r="G33" s="177">
        <v>2077.0</v>
      </c>
      <c r="H33" s="174">
        <f t="shared" si="2"/>
        <v>1162343202</v>
      </c>
      <c r="I33" s="175">
        <f t="shared" si="3"/>
        <v>0.0001636709859</v>
      </c>
      <c r="J33" s="112"/>
      <c r="K33" s="112"/>
      <c r="L33" s="112"/>
      <c r="M33" s="112"/>
      <c r="N33" s="112"/>
      <c r="O33" s="112"/>
      <c r="P33" s="112"/>
      <c r="Q33" s="112"/>
      <c r="R33" s="112"/>
      <c r="S33" s="112"/>
      <c r="T33" s="112"/>
      <c r="U33" s="112"/>
      <c r="V33" s="112"/>
      <c r="W33" s="112"/>
      <c r="X33" s="112"/>
      <c r="Y33" s="112"/>
      <c r="Z33" s="112"/>
    </row>
    <row r="34">
      <c r="A34" s="107" t="s">
        <v>161</v>
      </c>
      <c r="B34" s="107" t="s">
        <v>992</v>
      </c>
      <c r="C34" s="174">
        <v>1.353444694E9</v>
      </c>
      <c r="D34" s="174">
        <v>1.232273009E9</v>
      </c>
      <c r="E34" s="175">
        <f t="shared" si="1"/>
        <v>0.09833185026</v>
      </c>
      <c r="F34" s="177">
        <v>537831.0</v>
      </c>
      <c r="G34" s="177">
        <v>2291.0</v>
      </c>
      <c r="H34" s="174">
        <f t="shared" si="2"/>
        <v>1232170821</v>
      </c>
      <c r="I34" s="175">
        <f t="shared" si="3"/>
        <v>0.00008292642885</v>
      </c>
      <c r="J34" s="112"/>
      <c r="K34" s="112"/>
      <c r="L34" s="112"/>
      <c r="M34" s="112"/>
      <c r="N34" s="112"/>
      <c r="O34" s="112"/>
      <c r="P34" s="112"/>
      <c r="Q34" s="112"/>
      <c r="R34" s="112"/>
      <c r="S34" s="112"/>
      <c r="T34" s="112"/>
      <c r="U34" s="112"/>
      <c r="V34" s="112"/>
      <c r="W34" s="112"/>
      <c r="X34" s="112"/>
      <c r="Y34" s="112"/>
      <c r="Z34" s="112"/>
    </row>
    <row r="35">
      <c r="A35" s="107" t="s">
        <v>36</v>
      </c>
      <c r="B35" s="107" t="s">
        <v>1001</v>
      </c>
      <c r="C35" s="174">
        <v>1.364324365E9</v>
      </c>
      <c r="D35" s="174">
        <v>1.142011411E9</v>
      </c>
      <c r="E35" s="175">
        <f t="shared" si="1"/>
        <v>0.194667892</v>
      </c>
      <c r="F35" s="177">
        <v>521986.0</v>
      </c>
      <c r="G35" s="177">
        <v>2188.0</v>
      </c>
      <c r="H35" s="174">
        <f t="shared" si="2"/>
        <v>1142105368</v>
      </c>
      <c r="I35" s="175">
        <f t="shared" si="3"/>
        <v>-0.00008227325848</v>
      </c>
      <c r="J35" s="112"/>
      <c r="K35" s="112"/>
      <c r="L35" s="112"/>
      <c r="M35" s="112"/>
      <c r="N35" s="112"/>
      <c r="O35" s="112"/>
      <c r="P35" s="112"/>
      <c r="Q35" s="112"/>
      <c r="R35" s="112"/>
      <c r="S35" s="112"/>
      <c r="T35" s="112"/>
      <c r="U35" s="112"/>
      <c r="V35" s="112"/>
      <c r="W35" s="112"/>
      <c r="X35" s="112"/>
      <c r="Y35" s="112"/>
      <c r="Z35" s="112"/>
    </row>
    <row r="36">
      <c r="A36" s="107" t="s">
        <v>161</v>
      </c>
      <c r="B36" s="107" t="s">
        <v>1025</v>
      </c>
      <c r="C36" s="174">
        <v>1.311558419E9</v>
      </c>
      <c r="D36" s="174">
        <v>8.87399474E8</v>
      </c>
      <c r="E36" s="175">
        <f t="shared" si="1"/>
        <v>0.477979712</v>
      </c>
      <c r="F36" s="177">
        <v>491041.0</v>
      </c>
      <c r="G36" s="177">
        <v>1807.0</v>
      </c>
      <c r="H36" s="174">
        <f t="shared" si="2"/>
        <v>887311087</v>
      </c>
      <c r="I36" s="175">
        <f t="shared" si="3"/>
        <v>0.00009960226774</v>
      </c>
      <c r="J36" s="112"/>
      <c r="K36" s="112"/>
      <c r="L36" s="112"/>
      <c r="M36" s="112"/>
      <c r="N36" s="112"/>
      <c r="O36" s="112"/>
      <c r="P36" s="112"/>
      <c r="Q36" s="112"/>
      <c r="R36" s="112"/>
      <c r="S36" s="112"/>
      <c r="T36" s="112"/>
      <c r="U36" s="112"/>
      <c r="V36" s="112"/>
      <c r="W36" s="112"/>
      <c r="X36" s="112"/>
      <c r="Y36" s="112"/>
      <c r="Z36" s="112"/>
    </row>
    <row r="37">
      <c r="A37" s="107" t="s">
        <v>36</v>
      </c>
      <c r="B37" s="107" t="s">
        <v>1038</v>
      </c>
      <c r="C37" s="174">
        <v>1.920066661E9</v>
      </c>
      <c r="D37" s="174">
        <v>1.907383757E9</v>
      </c>
      <c r="E37" s="175">
        <f t="shared" si="1"/>
        <v>0.006649371923</v>
      </c>
      <c r="F37" s="177">
        <v>494324.0</v>
      </c>
      <c r="G37" s="177">
        <v>3859.0</v>
      </c>
      <c r="H37" s="174">
        <f t="shared" si="2"/>
        <v>1907596316</v>
      </c>
      <c r="I37" s="175">
        <f t="shared" si="3"/>
        <v>-0.0001114400808</v>
      </c>
      <c r="J37" s="112"/>
      <c r="K37" s="112"/>
      <c r="L37" s="112"/>
      <c r="M37" s="112"/>
      <c r="N37" s="112"/>
      <c r="O37" s="112"/>
      <c r="P37" s="112"/>
      <c r="Q37" s="112"/>
      <c r="R37" s="112"/>
      <c r="S37" s="112"/>
      <c r="T37" s="112"/>
      <c r="U37" s="112"/>
      <c r="V37" s="112"/>
      <c r="W37" s="112"/>
      <c r="X37" s="112"/>
      <c r="Y37" s="112"/>
      <c r="Z37" s="112"/>
    </row>
    <row r="38">
      <c r="A38" s="107" t="s">
        <v>406</v>
      </c>
      <c r="B38" s="107" t="s">
        <v>1080</v>
      </c>
      <c r="C38" s="174">
        <v>3.940196666E9</v>
      </c>
      <c r="D38" s="174">
        <v>2.650737801E9</v>
      </c>
      <c r="E38" s="175">
        <f t="shared" si="1"/>
        <v>0.486452815</v>
      </c>
      <c r="F38" s="177">
        <v>478916.0</v>
      </c>
      <c r="G38" s="177">
        <v>5535.0</v>
      </c>
      <c r="H38" s="174">
        <f t="shared" si="2"/>
        <v>2650800060</v>
      </c>
      <c r="I38" s="175">
        <f t="shared" si="3"/>
        <v>-0.000023487423</v>
      </c>
      <c r="J38" s="112"/>
      <c r="K38" s="112"/>
      <c r="L38" s="112"/>
      <c r="M38" s="112"/>
      <c r="N38" s="112"/>
      <c r="O38" s="112"/>
      <c r="P38" s="112"/>
      <c r="Q38" s="112"/>
      <c r="R38" s="112"/>
      <c r="S38" s="112"/>
      <c r="T38" s="112"/>
      <c r="U38" s="112"/>
      <c r="V38" s="112"/>
      <c r="W38" s="112"/>
      <c r="X38" s="112"/>
      <c r="Y38" s="112"/>
      <c r="Z38" s="112"/>
    </row>
    <row r="39">
      <c r="A39" s="107" t="s">
        <v>1098</v>
      </c>
      <c r="B39" s="107" t="s">
        <v>2525</v>
      </c>
      <c r="C39" s="174">
        <v>2.638442416E9</v>
      </c>
      <c r="D39" s="174">
        <v>2.180966281E9</v>
      </c>
      <c r="E39" s="175">
        <f t="shared" si="1"/>
        <v>0.209758463</v>
      </c>
      <c r="F39" s="177">
        <v>481626.0</v>
      </c>
      <c r="G39" s="177">
        <v>4528.0</v>
      </c>
      <c r="H39" s="174">
        <f t="shared" si="2"/>
        <v>2180802528</v>
      </c>
      <c r="I39" s="175">
        <f t="shared" si="3"/>
        <v>0.00007508277474</v>
      </c>
      <c r="J39" s="112"/>
      <c r="K39" s="112"/>
      <c r="L39" s="112"/>
      <c r="M39" s="112"/>
      <c r="N39" s="112"/>
      <c r="O39" s="112"/>
      <c r="P39" s="112"/>
      <c r="Q39" s="112"/>
      <c r="R39" s="112"/>
      <c r="S39" s="112"/>
      <c r="T39" s="112"/>
      <c r="U39" s="112"/>
      <c r="V39" s="112"/>
      <c r="W39" s="112"/>
      <c r="X39" s="112"/>
      <c r="Y39" s="112"/>
      <c r="Z39" s="112"/>
    </row>
    <row r="40">
      <c r="A40" s="107" t="s">
        <v>710</v>
      </c>
      <c r="B40" s="107" t="s">
        <v>1142</v>
      </c>
      <c r="C40" s="174">
        <v>2.012934845E9</v>
      </c>
      <c r="D40" s="174">
        <v>1.110548326E9</v>
      </c>
      <c r="E40" s="175">
        <f t="shared" si="1"/>
        <v>0.8125594338</v>
      </c>
      <c r="F40" s="177">
        <v>458531.0</v>
      </c>
      <c r="G40" s="177">
        <v>2422.0</v>
      </c>
      <c r="H40" s="174">
        <f t="shared" si="2"/>
        <v>1110562082</v>
      </c>
      <c r="I40" s="175">
        <f t="shared" si="3"/>
        <v>-0.00001238667393</v>
      </c>
      <c r="J40" s="112"/>
      <c r="K40" s="112"/>
      <c r="L40" s="112"/>
      <c r="M40" s="112"/>
      <c r="N40" s="112"/>
      <c r="O40" s="112"/>
      <c r="P40" s="112"/>
      <c r="Q40" s="112"/>
      <c r="R40" s="112"/>
      <c r="S40" s="112"/>
      <c r="T40" s="112"/>
      <c r="U40" s="112"/>
      <c r="V40" s="112"/>
      <c r="W40" s="112"/>
      <c r="X40" s="112"/>
      <c r="Y40" s="112"/>
      <c r="Z40" s="112"/>
    </row>
    <row r="41">
      <c r="A41" s="107" t="s">
        <v>1161</v>
      </c>
      <c r="B41" s="107" t="s">
        <v>1165</v>
      </c>
      <c r="C41" s="174">
        <v>2.026420684E9</v>
      </c>
      <c r="D41" s="174">
        <v>1.393496233E9</v>
      </c>
      <c r="E41" s="175">
        <f t="shared" si="1"/>
        <v>0.4541988963</v>
      </c>
      <c r="F41" s="177">
        <v>465554.0</v>
      </c>
      <c r="G41" s="177">
        <v>2993.0</v>
      </c>
      <c r="H41" s="174">
        <f t="shared" si="2"/>
        <v>1393403122</v>
      </c>
      <c r="I41" s="175">
        <f t="shared" si="3"/>
        <v>0.00006681826459</v>
      </c>
      <c r="J41" s="112"/>
      <c r="K41" s="112"/>
      <c r="L41" s="112"/>
      <c r="M41" s="112"/>
      <c r="N41" s="112"/>
      <c r="O41" s="112"/>
      <c r="P41" s="112"/>
      <c r="Q41" s="112"/>
      <c r="R41" s="112"/>
      <c r="S41" s="112"/>
      <c r="T41" s="112"/>
      <c r="U41" s="112"/>
      <c r="V41" s="112"/>
      <c r="W41" s="112"/>
      <c r="X41" s="112"/>
      <c r="Y41" s="112"/>
      <c r="Z41" s="112"/>
    </row>
    <row r="42">
      <c r="A42" s="107" t="s">
        <v>627</v>
      </c>
      <c r="B42" s="107" t="s">
        <v>1191</v>
      </c>
      <c r="C42" s="174">
        <v>1.593298782E9</v>
      </c>
      <c r="D42" s="174">
        <v>1.263858014E9</v>
      </c>
      <c r="E42" s="175">
        <f t="shared" si="1"/>
        <v>0.2606627994</v>
      </c>
      <c r="F42" s="177">
        <v>459194.0</v>
      </c>
      <c r="G42" s="177">
        <v>2752.0</v>
      </c>
      <c r="H42" s="174">
        <f t="shared" si="2"/>
        <v>1263701888</v>
      </c>
      <c r="I42" s="175">
        <f t="shared" si="3"/>
        <v>0.0001235312814</v>
      </c>
      <c r="J42" s="112"/>
      <c r="K42" s="112"/>
      <c r="L42" s="112"/>
      <c r="M42" s="112"/>
      <c r="N42" s="112"/>
      <c r="O42" s="112"/>
      <c r="P42" s="112"/>
      <c r="Q42" s="112"/>
      <c r="R42" s="112"/>
      <c r="S42" s="112"/>
      <c r="T42" s="112"/>
      <c r="U42" s="112"/>
      <c r="V42" s="112"/>
      <c r="W42" s="112"/>
      <c r="X42" s="112"/>
      <c r="Y42" s="112"/>
      <c r="Z42" s="112"/>
    </row>
    <row r="43">
      <c r="A43" s="107" t="s">
        <v>554</v>
      </c>
      <c r="B43" s="107" t="s">
        <v>1203</v>
      </c>
      <c r="C43" s="174">
        <v>2.43833505E9</v>
      </c>
      <c r="D43" s="174">
        <v>2.23808355E9</v>
      </c>
      <c r="E43" s="175">
        <f t="shared" si="1"/>
        <v>0.08947454173</v>
      </c>
      <c r="F43" s="177">
        <v>454293.0</v>
      </c>
      <c r="G43" s="177">
        <v>4927.0</v>
      </c>
      <c r="H43" s="174">
        <f t="shared" si="2"/>
        <v>2238301611</v>
      </c>
      <c r="I43" s="175">
        <f t="shared" si="3"/>
        <v>-0.00009743201946</v>
      </c>
      <c r="J43" s="112"/>
      <c r="K43" s="112"/>
      <c r="L43" s="112"/>
      <c r="M43" s="112"/>
      <c r="N43" s="112"/>
      <c r="O43" s="112"/>
      <c r="P43" s="112"/>
      <c r="Q43" s="112"/>
      <c r="R43" s="112"/>
      <c r="S43" s="112"/>
      <c r="T43" s="112"/>
      <c r="U43" s="112"/>
      <c r="V43" s="112"/>
      <c r="W43" s="112"/>
      <c r="X43" s="112"/>
      <c r="Y43" s="112"/>
      <c r="Z43" s="112"/>
    </row>
    <row r="44">
      <c r="A44" s="107" t="s">
        <v>36</v>
      </c>
      <c r="B44" s="107" t="s">
        <v>1217</v>
      </c>
      <c r="C44" s="174">
        <v>2.918225731E9</v>
      </c>
      <c r="D44" s="174">
        <v>2.310371296E9</v>
      </c>
      <c r="E44" s="175">
        <f t="shared" si="1"/>
        <v>0.2630981592</v>
      </c>
      <c r="F44" s="177">
        <v>469435.0</v>
      </c>
      <c r="G44" s="177">
        <v>4922.0</v>
      </c>
      <c r="H44" s="174">
        <f t="shared" si="2"/>
        <v>2310559070</v>
      </c>
      <c r="I44" s="175">
        <f t="shared" si="3"/>
        <v>-0.00008127438231</v>
      </c>
      <c r="J44" s="112"/>
      <c r="K44" s="112"/>
      <c r="L44" s="112"/>
      <c r="M44" s="112"/>
      <c r="N44" s="112"/>
      <c r="O44" s="112"/>
      <c r="P44" s="112"/>
      <c r="Q44" s="112"/>
      <c r="R44" s="112"/>
      <c r="S44" s="112"/>
      <c r="T44" s="112"/>
      <c r="U44" s="112"/>
      <c r="V44" s="112"/>
      <c r="W44" s="112"/>
      <c r="X44" s="112"/>
      <c r="Y44" s="112"/>
      <c r="Z44" s="112"/>
    </row>
    <row r="45">
      <c r="A45" s="107" t="s">
        <v>740</v>
      </c>
      <c r="B45" s="107" t="s">
        <v>1233</v>
      </c>
      <c r="C45" s="174">
        <v>1.432990866E9</v>
      </c>
      <c r="D45" s="174">
        <v>1.343816849E9</v>
      </c>
      <c r="E45" s="175">
        <f t="shared" si="1"/>
        <v>0.06635875794</v>
      </c>
      <c r="F45" s="177">
        <v>451136.0</v>
      </c>
      <c r="G45" s="177">
        <v>2979.0</v>
      </c>
      <c r="H45" s="174">
        <f t="shared" si="2"/>
        <v>1343934144</v>
      </c>
      <c r="I45" s="175">
        <f t="shared" si="3"/>
        <v>-0.00008728496007</v>
      </c>
      <c r="J45" s="112"/>
      <c r="K45" s="112"/>
      <c r="L45" s="112"/>
      <c r="M45" s="112"/>
      <c r="N45" s="112"/>
      <c r="O45" s="112"/>
      <c r="P45" s="112"/>
      <c r="Q45" s="112"/>
      <c r="R45" s="112"/>
      <c r="S45" s="112"/>
      <c r="T45" s="112"/>
      <c r="U45" s="112"/>
      <c r="V45" s="112"/>
      <c r="W45" s="112"/>
      <c r="X45" s="112"/>
      <c r="Y45" s="112"/>
      <c r="Z45" s="112"/>
    </row>
    <row r="46">
      <c r="A46" s="107" t="s">
        <v>1244</v>
      </c>
      <c r="B46" s="107" t="s">
        <v>1247</v>
      </c>
      <c r="C46" s="174">
        <v>2.056983118E9</v>
      </c>
      <c r="D46" s="174">
        <v>1.962286638E9</v>
      </c>
      <c r="E46" s="175">
        <f t="shared" si="1"/>
        <v>0.04825823005</v>
      </c>
      <c r="F46" s="177">
        <v>415239.0</v>
      </c>
      <c r="G46" s="177">
        <v>4726.0</v>
      </c>
      <c r="H46" s="174">
        <f t="shared" si="2"/>
        <v>1962419514</v>
      </c>
      <c r="I46" s="175">
        <f t="shared" si="3"/>
        <v>-0.00006771487785</v>
      </c>
      <c r="J46" s="112"/>
      <c r="K46" s="112"/>
      <c r="L46" s="112"/>
      <c r="M46" s="112"/>
      <c r="N46" s="112"/>
      <c r="O46" s="112"/>
      <c r="P46" s="112"/>
      <c r="Q46" s="112"/>
      <c r="R46" s="112"/>
      <c r="S46" s="112"/>
      <c r="T46" s="112"/>
      <c r="U46" s="112"/>
      <c r="V46" s="112"/>
      <c r="W46" s="112"/>
      <c r="X46" s="112"/>
      <c r="Y46" s="112"/>
      <c r="Z46" s="112"/>
    </row>
    <row r="47">
      <c r="A47" s="107" t="s">
        <v>36</v>
      </c>
      <c r="B47" s="107" t="s">
        <v>1263</v>
      </c>
      <c r="C47" s="174">
        <v>3.757732725E9</v>
      </c>
      <c r="D47" s="174">
        <v>2.824644447E9</v>
      </c>
      <c r="E47" s="175">
        <f t="shared" si="1"/>
        <v>0.3303383118</v>
      </c>
      <c r="F47" s="177">
        <v>420798.0</v>
      </c>
      <c r="G47" s="177">
        <v>6713.0</v>
      </c>
      <c r="H47" s="174">
        <f t="shared" si="2"/>
        <v>2824816974</v>
      </c>
      <c r="I47" s="175">
        <f t="shared" si="3"/>
        <v>-0.00006107919182</v>
      </c>
      <c r="J47" s="112"/>
      <c r="K47" s="112"/>
      <c r="L47" s="112"/>
      <c r="M47" s="112"/>
      <c r="N47" s="112"/>
      <c r="O47" s="112"/>
      <c r="P47" s="112"/>
      <c r="Q47" s="112"/>
      <c r="R47" s="112"/>
      <c r="S47" s="112"/>
      <c r="T47" s="112"/>
      <c r="U47" s="112"/>
      <c r="V47" s="112"/>
      <c r="W47" s="112"/>
      <c r="X47" s="112"/>
      <c r="Y47" s="112"/>
      <c r="Z47" s="112"/>
    </row>
    <row r="48">
      <c r="A48" s="107" t="s">
        <v>554</v>
      </c>
      <c r="B48" s="107" t="s">
        <v>1290</v>
      </c>
      <c r="C48" s="174">
        <v>1.83513091E9</v>
      </c>
      <c r="D48" s="174">
        <v>1.305750019E9</v>
      </c>
      <c r="E48" s="175">
        <f t="shared" si="1"/>
        <v>0.4054228476</v>
      </c>
      <c r="F48" s="177">
        <v>376170.0</v>
      </c>
      <c r="G48" s="177">
        <v>3471.0</v>
      </c>
      <c r="H48" s="174">
        <f t="shared" si="2"/>
        <v>1305686070</v>
      </c>
      <c r="I48" s="175">
        <f t="shared" si="3"/>
        <v>0.00004897491792</v>
      </c>
      <c r="J48" s="112"/>
      <c r="K48" s="112"/>
      <c r="L48" s="112"/>
      <c r="M48" s="112"/>
      <c r="N48" s="112"/>
      <c r="O48" s="112"/>
      <c r="P48" s="112"/>
      <c r="Q48" s="112"/>
      <c r="R48" s="112"/>
      <c r="S48" s="112"/>
      <c r="T48" s="112"/>
      <c r="U48" s="112"/>
      <c r="V48" s="112"/>
      <c r="W48" s="112"/>
      <c r="X48" s="112"/>
      <c r="Y48" s="112"/>
      <c r="Z48" s="112"/>
    </row>
    <row r="49">
      <c r="A49" s="107" t="s">
        <v>830</v>
      </c>
      <c r="B49" s="107" t="s">
        <v>1308</v>
      </c>
      <c r="C49" s="174">
        <v>1.071605518E9</v>
      </c>
      <c r="D49" s="174">
        <v>1.22978032E9</v>
      </c>
      <c r="E49" s="175">
        <f t="shared" si="1"/>
        <v>-0.1286203718</v>
      </c>
      <c r="F49" s="177">
        <v>404182.0</v>
      </c>
      <c r="G49" s="177">
        <v>3043.0</v>
      </c>
      <c r="H49" s="174">
        <f t="shared" si="2"/>
        <v>1229925826</v>
      </c>
      <c r="I49" s="175">
        <f t="shared" si="3"/>
        <v>-0.0001183186929</v>
      </c>
      <c r="J49" s="112"/>
      <c r="K49" s="112"/>
      <c r="L49" s="112"/>
      <c r="M49" s="112"/>
      <c r="N49" s="112"/>
      <c r="O49" s="112"/>
      <c r="P49" s="112"/>
      <c r="Q49" s="112"/>
      <c r="R49" s="112"/>
      <c r="S49" s="112"/>
      <c r="T49" s="112"/>
      <c r="U49" s="112"/>
      <c r="V49" s="112"/>
      <c r="W49" s="112"/>
      <c r="X49" s="112"/>
      <c r="Y49" s="112"/>
      <c r="Z49" s="112"/>
    </row>
    <row r="50">
      <c r="A50" s="107" t="s">
        <v>106</v>
      </c>
      <c r="B50" s="107" t="s">
        <v>1333</v>
      </c>
      <c r="C50" s="174">
        <v>1.298791467E9</v>
      </c>
      <c r="D50" s="174">
        <v>1.204836978E9</v>
      </c>
      <c r="E50" s="175">
        <f t="shared" si="1"/>
        <v>0.07798108019</v>
      </c>
      <c r="F50" s="177">
        <v>394780.0</v>
      </c>
      <c r="G50" s="177">
        <v>3052.0</v>
      </c>
      <c r="H50" s="174">
        <f t="shared" si="2"/>
        <v>1204868560</v>
      </c>
      <c r="I50" s="175">
        <f t="shared" si="3"/>
        <v>-0.00002621267489</v>
      </c>
      <c r="J50" s="112"/>
      <c r="K50" s="112"/>
      <c r="L50" s="112"/>
      <c r="M50" s="112"/>
      <c r="N50" s="112"/>
      <c r="O50" s="112"/>
      <c r="P50" s="112"/>
      <c r="Q50" s="112"/>
      <c r="R50" s="112"/>
      <c r="S50" s="112"/>
      <c r="T50" s="112"/>
      <c r="U50" s="112"/>
      <c r="V50" s="112"/>
      <c r="W50" s="112"/>
      <c r="X50" s="112"/>
      <c r="Y50" s="112"/>
      <c r="Z50" s="112"/>
    </row>
    <row r="51">
      <c r="A51" s="107" t="s">
        <v>1348</v>
      </c>
      <c r="B51" s="107" t="s">
        <v>1351</v>
      </c>
      <c r="C51" s="174">
        <v>9.89035616E8</v>
      </c>
      <c r="D51" s="174">
        <v>8.54017404E8</v>
      </c>
      <c r="E51" s="175">
        <f t="shared" si="1"/>
        <v>0.1580977289</v>
      </c>
      <c r="F51" s="177">
        <v>390549.0</v>
      </c>
      <c r="G51" s="177">
        <v>2187.0</v>
      </c>
      <c r="H51" s="174">
        <f t="shared" si="2"/>
        <v>854130663</v>
      </c>
      <c r="I51" s="175">
        <f t="shared" si="3"/>
        <v>-0.0001326190772</v>
      </c>
      <c r="J51" s="112"/>
      <c r="K51" s="112"/>
      <c r="L51" s="112"/>
      <c r="M51" s="112"/>
      <c r="N51" s="112"/>
      <c r="O51" s="112"/>
      <c r="P51" s="112"/>
      <c r="Q51" s="112"/>
      <c r="R51" s="112"/>
      <c r="S51" s="112"/>
      <c r="T51" s="112"/>
      <c r="U51" s="112"/>
      <c r="V51" s="112"/>
      <c r="W51" s="112"/>
      <c r="X51" s="112"/>
      <c r="Y51" s="112"/>
      <c r="Z51" s="112"/>
    </row>
    <row r="52">
      <c r="A52" s="107" t="s">
        <v>1368</v>
      </c>
      <c r="B52" s="107" t="s">
        <v>1455</v>
      </c>
      <c r="C52" s="178"/>
      <c r="D52" s="177">
        <v>1.532520316E9</v>
      </c>
      <c r="E52" s="175">
        <f t="shared" si="1"/>
        <v>-1</v>
      </c>
      <c r="F52" s="176">
        <v>391977.0</v>
      </c>
      <c r="G52" s="112">
        <v>3909.72</v>
      </c>
      <c r="H52" s="179">
        <f t="shared" si="2"/>
        <v>1532520316</v>
      </c>
      <c r="I52" s="175">
        <f t="shared" si="3"/>
        <v>-0.0000000002871086368</v>
      </c>
      <c r="J52" s="112"/>
      <c r="K52" s="112"/>
      <c r="L52" s="112"/>
      <c r="M52" s="112"/>
      <c r="N52" s="112"/>
      <c r="O52" s="112"/>
      <c r="P52" s="112"/>
      <c r="Q52" s="112"/>
      <c r="R52" s="112"/>
      <c r="S52" s="112"/>
      <c r="T52" s="112"/>
      <c r="U52" s="112"/>
      <c r="V52" s="112"/>
      <c r="W52" s="112"/>
      <c r="X52" s="112"/>
      <c r="Y52" s="112"/>
      <c r="Z52" s="112"/>
    </row>
    <row r="53">
      <c r="A53" s="112"/>
      <c r="B53" s="112"/>
      <c r="C53" s="112"/>
      <c r="D53" s="112"/>
      <c r="E53" s="175"/>
      <c r="F53" s="112"/>
      <c r="G53" s="112"/>
      <c r="H53" s="112"/>
      <c r="I53" s="112"/>
      <c r="J53" s="112"/>
      <c r="K53" s="112"/>
      <c r="L53" s="112"/>
      <c r="M53" s="112"/>
      <c r="N53" s="112"/>
      <c r="O53" s="112"/>
      <c r="P53" s="112"/>
      <c r="Q53" s="112"/>
      <c r="R53" s="112"/>
      <c r="S53" s="112"/>
      <c r="T53" s="112"/>
      <c r="U53" s="112"/>
      <c r="V53" s="112"/>
      <c r="W53" s="112"/>
      <c r="X53" s="112"/>
      <c r="Y53" s="112"/>
      <c r="Z53" s="112"/>
    </row>
    <row r="54">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c r="A374" s="112"/>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c r="A375" s="112"/>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c r="A376" s="112"/>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c r="A377" s="112"/>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c r="A378" s="112"/>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c r="A379" s="112"/>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c r="A380" s="1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c r="A381" s="112"/>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c r="A382" s="112"/>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c r="A383" s="112"/>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c r="A384" s="112"/>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c r="A385" s="112"/>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c r="A386" s="112"/>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c r="A387" s="112"/>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c r="A388" s="112"/>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c r="A389" s="112"/>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c r="A390" s="112"/>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c r="A391" s="112"/>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c r="A392" s="112"/>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c r="A393" s="112"/>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c r="A394" s="1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c r="A395" s="112"/>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c r="A396" s="112"/>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c r="A397" s="112"/>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c r="A398" s="112"/>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c r="A399" s="112"/>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c r="A400" s="112"/>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c r="A401" s="112"/>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c r="A402" s="1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c r="A403" s="1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c r="A404" s="112"/>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c r="A405" s="112"/>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c r="A406" s="112"/>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c r="A407" s="112"/>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c r="A408" s="112"/>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c r="A409" s="112"/>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c r="A410" s="112"/>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c r="A411" s="112"/>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c r="A412" s="112"/>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c r="A413" s="112"/>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c r="A414" s="112"/>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c r="A415" s="112"/>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c r="A416" s="112"/>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c r="A417" s="112"/>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c r="A418" s="112"/>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c r="A419" s="112"/>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c r="A420" s="112"/>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c r="A421" s="112"/>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c r="A422" s="112"/>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c r="A423" s="112"/>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c r="A424" s="112"/>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c r="A425" s="112"/>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c r="A426" s="112"/>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c r="A427" s="112"/>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c r="A428" s="112"/>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c r="A429" s="112"/>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c r="A430" s="112"/>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c r="A431" s="112"/>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c r="A432" s="112"/>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c r="A433" s="112"/>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c r="A434" s="112"/>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c r="A435" s="112"/>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c r="A436" s="112"/>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c r="A437" s="112"/>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c r="A438" s="112"/>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c r="A439" s="112"/>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c r="A440" s="112"/>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c r="A441" s="112"/>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c r="A442" s="112"/>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c r="A443" s="112"/>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c r="A444" s="112"/>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c r="A445" s="112"/>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c r="A446" s="112"/>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c r="A447" s="112"/>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c r="A448" s="112"/>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c r="A449" s="112"/>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c r="A450" s="112"/>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c r="A451" s="112"/>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c r="A452" s="112"/>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c r="A453" s="112"/>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c r="A454" s="112"/>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c r="A455" s="112"/>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c r="A456" s="112"/>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c r="A457" s="112"/>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c r="A458" s="112"/>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c r="A459" s="112"/>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c r="A460" s="112"/>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c r="A461" s="112"/>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c r="A462" s="112"/>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c r="A463" s="112"/>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c r="A464" s="112"/>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c r="A465" s="112"/>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c r="A466" s="112"/>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c r="A467" s="112"/>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c r="A468" s="112"/>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c r="A469" s="112"/>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c r="A470" s="112"/>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c r="A471" s="112"/>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c r="A472" s="112"/>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c r="A473" s="112"/>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c r="A474" s="112"/>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c r="A475" s="112"/>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c r="A476" s="112"/>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c r="A477" s="112"/>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c r="A478" s="112"/>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c r="A479" s="112"/>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c r="A480" s="112"/>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c r="A481" s="112"/>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c r="A482" s="112"/>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c r="A483" s="112"/>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c r="A484" s="112"/>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c r="A485" s="112"/>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c r="A486" s="112"/>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c r="A487" s="112"/>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c r="A488" s="112"/>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c r="A489" s="112"/>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c r="A490" s="112"/>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c r="A491" s="112"/>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c r="A492" s="112"/>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c r="A493" s="112"/>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c r="A494" s="112"/>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c r="A495" s="112"/>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c r="A496" s="112"/>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c r="A497" s="112"/>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c r="A498" s="112"/>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c r="A499" s="112"/>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c r="A500" s="112"/>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c r="A501" s="112"/>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c r="A502" s="112"/>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c r="A503" s="112"/>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c r="A504" s="112"/>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c r="A505" s="112"/>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c r="A506" s="112"/>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c r="A507" s="112"/>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c r="A508" s="112"/>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c r="A509" s="112"/>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c r="A510" s="112"/>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c r="A511" s="112"/>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c r="A512" s="112"/>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c r="A513" s="112"/>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c r="A514" s="112"/>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c r="A515" s="112"/>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c r="A516" s="112"/>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c r="A517" s="112"/>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c r="A518" s="112"/>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c r="A519" s="112"/>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c r="A520" s="112"/>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c r="A521" s="112"/>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c r="A522" s="112"/>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c r="A523" s="112"/>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c r="A524" s="112"/>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c r="A525" s="112"/>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c r="A526" s="112"/>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c r="A527" s="112"/>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c r="A528" s="112"/>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c r="A529" s="112"/>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c r="A530" s="112"/>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c r="A531" s="112"/>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c r="A532" s="112"/>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c r="A533" s="112"/>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c r="A534" s="112"/>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c r="A535" s="112"/>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c r="A536" s="112"/>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c r="A537" s="112"/>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c r="A538" s="112"/>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c r="A539" s="112"/>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c r="A540" s="112"/>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c r="A541" s="112"/>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c r="A542" s="112"/>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c r="A543" s="112"/>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c r="A544" s="112"/>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c r="A545" s="112"/>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c r="A546" s="112"/>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c r="A547" s="112"/>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c r="A548" s="112"/>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c r="A549" s="112"/>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c r="A550" s="112"/>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c r="A551" s="112"/>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c r="A552" s="112"/>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c r="A553" s="112"/>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c r="A554" s="112"/>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c r="A555" s="112"/>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c r="A556" s="112"/>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c r="A557" s="112"/>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c r="A558" s="112"/>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c r="A559" s="112"/>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c r="A560" s="112"/>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c r="A561" s="112"/>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c r="A562" s="112"/>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c r="A563" s="112"/>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c r="A564" s="112"/>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c r="A565" s="112"/>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c r="A566" s="112"/>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c r="A567" s="112"/>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c r="A568" s="112"/>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c r="A569" s="112"/>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c r="A570" s="112"/>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c r="A571" s="112"/>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c r="A572" s="112"/>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c r="A573" s="112"/>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c r="A574" s="112"/>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c r="A575" s="112"/>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c r="A576" s="112"/>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c r="A577" s="112"/>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c r="A578" s="112"/>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c r="A579" s="112"/>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c r="A580" s="112"/>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c r="A581" s="112"/>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c r="A582" s="112"/>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c r="A583" s="112"/>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c r="A584" s="112"/>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c r="A585" s="112"/>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c r="A586" s="112"/>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c r="A587" s="112"/>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c r="A588" s="112"/>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c r="A589" s="112"/>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c r="A590" s="112"/>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c r="A591" s="112"/>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c r="A592" s="112"/>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c r="A593" s="112"/>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c r="A594" s="112"/>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c r="A595" s="112"/>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c r="A596" s="112"/>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c r="A597" s="112"/>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c r="A598" s="112"/>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c r="A599" s="112"/>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c r="A600" s="112"/>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c r="A601" s="112"/>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c r="A602" s="112"/>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c r="A603" s="112"/>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c r="A604" s="112"/>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c r="A605" s="112"/>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c r="A606" s="112"/>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c r="A607" s="112"/>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c r="A608" s="112"/>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c r="A609" s="112"/>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c r="A610" s="112"/>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c r="A611" s="112"/>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c r="A612" s="112"/>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c r="A613" s="112"/>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c r="A614" s="112"/>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c r="A615" s="112"/>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c r="A616" s="112"/>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c r="A617" s="112"/>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c r="A618" s="112"/>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c r="A619" s="112"/>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c r="A620" s="112"/>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c r="A621" s="112"/>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c r="A622" s="112"/>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c r="A623" s="112"/>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c r="A624" s="112"/>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c r="A625" s="112"/>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c r="A626" s="112"/>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c r="A627" s="112"/>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c r="A628" s="112"/>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c r="A629" s="112"/>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c r="A630" s="112"/>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c r="A631" s="112"/>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c r="A632" s="112"/>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c r="A633" s="112"/>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c r="A634" s="112"/>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c r="A635" s="112"/>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c r="A636" s="112"/>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c r="A637" s="112"/>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c r="A638" s="112"/>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c r="A639" s="112"/>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c r="A640" s="112"/>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c r="A641" s="112"/>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c r="A642" s="112"/>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c r="A643" s="112"/>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c r="A644" s="112"/>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c r="A645" s="112"/>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c r="A646" s="112"/>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c r="A647" s="112"/>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c r="A648" s="112"/>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c r="A649" s="112"/>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c r="A650" s="112"/>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c r="A651" s="112"/>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c r="A652" s="112"/>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c r="A653" s="112"/>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c r="A654" s="112"/>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c r="A655" s="112"/>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c r="A656" s="112"/>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c r="A657" s="112"/>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c r="A658" s="112"/>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c r="A659" s="112"/>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c r="A660" s="112"/>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c r="A661" s="112"/>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c r="A662" s="112"/>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c r="A663" s="112"/>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c r="A664" s="112"/>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c r="A665" s="112"/>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c r="A666" s="112"/>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c r="A667" s="112"/>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c r="A668" s="112"/>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c r="A669" s="112"/>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c r="A670" s="112"/>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c r="A671" s="112"/>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c r="A672" s="112"/>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c r="A673" s="112"/>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c r="A674" s="112"/>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c r="A675" s="112"/>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c r="A676" s="112"/>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c r="A677" s="112"/>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c r="A678" s="112"/>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c r="A679" s="112"/>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c r="A680" s="112"/>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c r="A681" s="112"/>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c r="A682" s="112"/>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c r="A683" s="112"/>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c r="A684" s="112"/>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c r="A685" s="112"/>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c r="A686" s="112"/>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c r="A687" s="112"/>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c r="A688" s="112"/>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c r="A689" s="112"/>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c r="A690" s="112"/>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c r="A691" s="112"/>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c r="A692" s="112"/>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c r="A693" s="112"/>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c r="A694" s="112"/>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c r="A695" s="112"/>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c r="A696" s="112"/>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c r="A697" s="112"/>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c r="A698" s="112"/>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c r="A699" s="112"/>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c r="A700" s="112"/>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c r="A701" s="112"/>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c r="A702" s="112"/>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c r="A703" s="112"/>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c r="A704" s="112"/>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c r="A705" s="112"/>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c r="A706" s="112"/>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c r="A707" s="112"/>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c r="A708" s="112"/>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c r="A709" s="112"/>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c r="A710" s="112"/>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c r="A711" s="112"/>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c r="A712" s="112"/>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c r="A713" s="112"/>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c r="A714" s="112"/>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c r="A715" s="112"/>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c r="A716" s="112"/>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c r="A717" s="112"/>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c r="A718" s="112"/>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c r="A719" s="112"/>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c r="A720" s="112"/>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c r="A721" s="112"/>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c r="A722" s="112"/>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c r="A723" s="112"/>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c r="A724" s="112"/>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c r="A725" s="112"/>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c r="A726" s="112"/>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c r="A727" s="112"/>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c r="A728" s="112"/>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c r="A729" s="112"/>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c r="A730" s="112"/>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c r="A731" s="112"/>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c r="A732" s="112"/>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c r="A733" s="112"/>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c r="A734" s="112"/>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c r="A735" s="112"/>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c r="A736" s="112"/>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c r="A737" s="112"/>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c r="A738" s="112"/>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c r="A739" s="112"/>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c r="A740" s="112"/>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c r="A741" s="112"/>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c r="A742" s="112"/>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c r="A743" s="112"/>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c r="A744" s="112"/>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c r="A745" s="112"/>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c r="A746" s="112"/>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c r="A747" s="112"/>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c r="A748" s="112"/>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c r="A749" s="112"/>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c r="A750" s="112"/>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c r="A751" s="112"/>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c r="A752" s="112"/>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c r="A753" s="112"/>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c r="A754" s="112"/>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c r="A755" s="112"/>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c r="A756" s="112"/>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c r="A757" s="112"/>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c r="A758" s="112"/>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c r="A759" s="112"/>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c r="A760" s="112"/>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c r="A761" s="112"/>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c r="A762" s="112"/>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c r="A763" s="112"/>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c r="A764" s="112"/>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c r="A765" s="112"/>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c r="A766" s="112"/>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c r="A767" s="112"/>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c r="A768" s="112"/>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c r="A769" s="112"/>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c r="A770" s="112"/>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c r="A771" s="112"/>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c r="A772" s="112"/>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c r="A773" s="112"/>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c r="A774" s="112"/>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c r="A775" s="112"/>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c r="A776" s="112"/>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c r="A777" s="112"/>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c r="A778" s="112"/>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c r="A779" s="112"/>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c r="A780" s="112"/>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c r="A781" s="112"/>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c r="A782" s="112"/>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c r="A783" s="112"/>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c r="A784" s="112"/>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c r="A785" s="112"/>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c r="A786" s="112"/>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c r="A787" s="112"/>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c r="A788" s="112"/>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c r="A789" s="112"/>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c r="A790" s="112"/>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c r="A791" s="112"/>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c r="A792" s="112"/>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c r="A793" s="112"/>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c r="A794" s="112"/>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c r="A795" s="112"/>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c r="A796" s="112"/>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c r="A797" s="112"/>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c r="A798" s="112"/>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c r="A799" s="112"/>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c r="A800" s="112"/>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c r="A801" s="112"/>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c r="A802" s="112"/>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c r="A803" s="112"/>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c r="A804" s="112"/>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c r="A805" s="112"/>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c r="A806" s="112"/>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c r="A807" s="112"/>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c r="A808" s="112"/>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c r="A809" s="112"/>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c r="A810" s="112"/>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c r="A811" s="112"/>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c r="A812" s="112"/>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c r="A813" s="112"/>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c r="A814" s="112"/>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c r="A815" s="112"/>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c r="A816" s="112"/>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c r="A817" s="112"/>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c r="A818" s="112"/>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c r="A819" s="112"/>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c r="A820" s="112"/>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c r="A821" s="112"/>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c r="A822" s="112"/>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c r="A823" s="112"/>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c r="A824" s="112"/>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c r="A825" s="112"/>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c r="A826" s="112"/>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c r="A827" s="112"/>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c r="A828" s="112"/>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c r="A829" s="112"/>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c r="A830" s="112"/>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c r="A831" s="112"/>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c r="A832" s="112"/>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c r="A833" s="112"/>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c r="A834" s="112"/>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c r="A835" s="112"/>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c r="A836" s="112"/>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c r="A837" s="112"/>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c r="A838" s="112"/>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c r="A839" s="112"/>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c r="A840" s="112"/>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c r="A841" s="112"/>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c r="A842" s="112"/>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c r="A843" s="112"/>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c r="A844" s="112"/>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c r="A845" s="112"/>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c r="A846" s="112"/>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c r="A847" s="112"/>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c r="A848" s="112"/>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c r="A849" s="112"/>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c r="A850" s="112"/>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c r="A851" s="112"/>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c r="A852" s="112"/>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c r="A853" s="112"/>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c r="A854" s="112"/>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c r="A855" s="112"/>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c r="A856" s="112"/>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c r="A857" s="112"/>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c r="A858" s="112"/>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c r="A859" s="112"/>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c r="A860" s="112"/>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c r="A861" s="112"/>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c r="A862" s="112"/>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c r="A863" s="112"/>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c r="A864" s="112"/>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c r="A865" s="112"/>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c r="A866" s="112"/>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c r="A867" s="112"/>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c r="A868" s="112"/>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c r="A869" s="112"/>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c r="A870" s="112"/>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c r="A871" s="112"/>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c r="A872" s="112"/>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c r="A873" s="112"/>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c r="A874" s="112"/>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c r="A875" s="112"/>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c r="A876" s="112"/>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c r="A877" s="112"/>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c r="A878" s="112"/>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c r="A879" s="112"/>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c r="A880" s="112"/>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c r="A881" s="112"/>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c r="A882" s="112"/>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c r="A883" s="112"/>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c r="A884" s="112"/>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c r="A885" s="112"/>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c r="A886" s="112"/>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c r="A887" s="112"/>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c r="A888" s="112"/>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c r="A889" s="112"/>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c r="A890" s="112"/>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c r="A891" s="112"/>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c r="A892" s="112"/>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c r="A893" s="112"/>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c r="A894" s="112"/>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c r="A895" s="112"/>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c r="A896" s="112"/>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c r="A897" s="112"/>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c r="A898" s="112"/>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c r="A899" s="112"/>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c r="A900" s="112"/>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c r="A901" s="112"/>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c r="A902" s="112"/>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c r="A903" s="112"/>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c r="A904" s="112"/>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c r="A905" s="112"/>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c r="A906" s="112"/>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c r="A907" s="112"/>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c r="A908" s="112"/>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c r="A909" s="112"/>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c r="A910" s="112"/>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c r="A911" s="112"/>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c r="A912" s="112"/>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c r="A913" s="112"/>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c r="A914" s="112"/>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c r="A915" s="112"/>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c r="A916" s="112"/>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c r="A917" s="112"/>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c r="A918" s="112"/>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c r="A919" s="112"/>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c r="A920" s="112"/>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c r="A921" s="112"/>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c r="A922" s="112"/>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c r="A923" s="112"/>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c r="A924" s="112"/>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c r="A925" s="112"/>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c r="A926" s="112"/>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c r="A927" s="112"/>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c r="A928" s="112"/>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c r="A929" s="112"/>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c r="A930" s="112"/>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c r="A931" s="112"/>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c r="A932" s="112"/>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c r="A933" s="112"/>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c r="A934" s="112"/>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c r="A935" s="112"/>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c r="A936" s="112"/>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c r="A937" s="112"/>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c r="A938" s="112"/>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c r="A939" s="112"/>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c r="A940" s="112"/>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c r="A941" s="112"/>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c r="A942" s="112"/>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c r="A943" s="112"/>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c r="A944" s="112"/>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c r="A945" s="112"/>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c r="A946" s="112"/>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c r="A947" s="112"/>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c r="A948" s="112"/>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c r="A949" s="112"/>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c r="A950" s="112"/>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c r="A951" s="112"/>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c r="A952" s="112"/>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c r="A953" s="112"/>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c r="A954" s="112"/>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c r="A955" s="112"/>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c r="A956" s="112"/>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c r="A957" s="112"/>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c r="A958" s="112"/>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c r="A959" s="112"/>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c r="A960" s="112"/>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c r="A961" s="112"/>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c r="A962" s="112"/>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c r="A963" s="112"/>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c r="A964" s="112"/>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c r="A965" s="112"/>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c r="A966" s="112"/>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c r="A967" s="112"/>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c r="A968" s="112"/>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c r="A969" s="112"/>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c r="A970" s="112"/>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c r="A971" s="112"/>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c r="A972" s="112"/>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c r="A973" s="112"/>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c r="A974" s="112"/>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c r="A975" s="112"/>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c r="A976" s="112"/>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c r="A977" s="112"/>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c r="A978" s="112"/>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c r="A979" s="112"/>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c r="A980" s="112"/>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c r="A981" s="112"/>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c r="A982" s="112"/>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c r="A983" s="112"/>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c r="A984" s="112"/>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c r="A985" s="112"/>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c r="A986" s="112"/>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c r="A987" s="112"/>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c r="A988" s="112"/>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c r="A989" s="112"/>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c r="A990" s="112"/>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c r="A991" s="112"/>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c r="A992" s="112"/>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c r="A993" s="112"/>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c r="A994" s="112"/>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c r="A995" s="112"/>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c r="A996" s="112"/>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c r="A997" s="112"/>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c r="A998" s="112"/>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c r="A999" s="112"/>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c r="A1000" s="112"/>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32.56"/>
    <col customWidth="1" min="6" max="6" width="15.0"/>
    <col customWidth="1" min="9" max="9" width="15.0"/>
  </cols>
  <sheetData>
    <row r="3">
      <c r="B3" s="180" t="s">
        <v>3102</v>
      </c>
    </row>
    <row r="4">
      <c r="B4" s="181"/>
      <c r="C4" s="182" t="s">
        <v>3103</v>
      </c>
      <c r="D4" s="183"/>
      <c r="E4" s="183"/>
      <c r="F4" s="184"/>
      <c r="G4" s="182" t="s">
        <v>3104</v>
      </c>
      <c r="H4" s="183"/>
      <c r="I4" s="184"/>
    </row>
    <row r="5">
      <c r="B5" s="185"/>
      <c r="C5" s="182" t="s">
        <v>3105</v>
      </c>
      <c r="D5" s="183"/>
      <c r="E5" s="184"/>
      <c r="F5" s="186" t="s">
        <v>3106</v>
      </c>
      <c r="G5" s="182" t="s">
        <v>3107</v>
      </c>
      <c r="H5" s="184"/>
      <c r="I5" s="186" t="s">
        <v>3106</v>
      </c>
    </row>
    <row r="6">
      <c r="B6" s="187"/>
      <c r="C6" s="188">
        <v>2018.0</v>
      </c>
      <c r="D6" s="188">
        <v>2019.0</v>
      </c>
      <c r="E6" s="188">
        <v>2020.0</v>
      </c>
      <c r="F6" s="188">
        <v>2020.0</v>
      </c>
      <c r="G6" s="188">
        <v>2019.0</v>
      </c>
      <c r="H6" s="188">
        <v>2020.0</v>
      </c>
      <c r="I6" s="188">
        <v>2020.0</v>
      </c>
      <c r="K6" s="30" t="s">
        <v>3</v>
      </c>
    </row>
    <row r="7">
      <c r="B7" s="189" t="s">
        <v>3108</v>
      </c>
      <c r="C7" s="190">
        <v>54098.0</v>
      </c>
      <c r="D7" s="190">
        <v>56047.0</v>
      </c>
      <c r="E7" s="190">
        <v>59510.0</v>
      </c>
      <c r="F7" s="191" t="s">
        <v>3109</v>
      </c>
      <c r="G7" s="191">
        <v>3.6</v>
      </c>
      <c r="H7" s="191">
        <v>6.2</v>
      </c>
      <c r="I7" s="191" t="s">
        <v>3109</v>
      </c>
    </row>
    <row r="8">
      <c r="B8" s="192" t="s">
        <v>3110</v>
      </c>
      <c r="C8" s="193">
        <v>56179.0</v>
      </c>
      <c r="D8" s="193">
        <v>58196.0</v>
      </c>
      <c r="E8" s="193">
        <v>61674.0</v>
      </c>
      <c r="F8" s="194" t="s">
        <v>3109</v>
      </c>
      <c r="G8" s="194">
        <v>3.6</v>
      </c>
      <c r="H8" s="194">
        <v>6.0</v>
      </c>
      <c r="I8" s="194" t="s">
        <v>3109</v>
      </c>
      <c r="K8" s="114" t="s">
        <v>1347</v>
      </c>
    </row>
    <row r="9">
      <c r="B9" s="195" t="s">
        <v>3111</v>
      </c>
      <c r="C9" s="196">
        <v>41198.0</v>
      </c>
      <c r="D9" s="196">
        <v>42666.0</v>
      </c>
      <c r="E9" s="196">
        <v>45960.0</v>
      </c>
      <c r="F9" s="197" t="s">
        <v>3109</v>
      </c>
      <c r="G9" s="197">
        <v>3.6</v>
      </c>
      <c r="H9" s="197">
        <v>7.7</v>
      </c>
      <c r="I9" s="197" t="s">
        <v>3109</v>
      </c>
    </row>
    <row r="10">
      <c r="B10" s="198" t="s">
        <v>3112</v>
      </c>
      <c r="C10" s="199"/>
      <c r="D10" s="199"/>
      <c r="E10" s="199"/>
      <c r="F10" s="199"/>
      <c r="G10" s="199"/>
      <c r="H10" s="199"/>
      <c r="I10" s="199"/>
    </row>
    <row r="11">
      <c r="B11" s="195" t="s">
        <v>3113</v>
      </c>
      <c r="C11" s="196">
        <v>44039.0</v>
      </c>
      <c r="D11" s="196">
        <v>46493.0</v>
      </c>
      <c r="E11" s="196">
        <v>49948.0</v>
      </c>
      <c r="F11" s="197">
        <v>202.0</v>
      </c>
      <c r="G11" s="197">
        <v>5.6</v>
      </c>
      <c r="H11" s="197">
        <v>7.4</v>
      </c>
      <c r="I11" s="197">
        <v>126.0</v>
      </c>
    </row>
    <row r="12">
      <c r="B12" s="192" t="s">
        <v>2469</v>
      </c>
      <c r="C12" s="193">
        <v>49770.0</v>
      </c>
      <c r="D12" s="193">
        <v>51714.0</v>
      </c>
      <c r="E12" s="193">
        <v>54843.0</v>
      </c>
      <c r="F12" s="194">
        <v>123.0</v>
      </c>
      <c r="G12" s="194">
        <v>3.9</v>
      </c>
      <c r="H12" s="194">
        <v>6.1</v>
      </c>
      <c r="I12" s="194">
        <v>229.0</v>
      </c>
    </row>
    <row r="13">
      <c r="B13" s="195" t="s">
        <v>3114</v>
      </c>
      <c r="C13" s="196">
        <v>36889.0</v>
      </c>
      <c r="D13" s="196">
        <v>38764.0</v>
      </c>
      <c r="E13" s="196">
        <v>42744.0</v>
      </c>
      <c r="F13" s="197">
        <v>343.0</v>
      </c>
      <c r="G13" s="197">
        <v>5.1</v>
      </c>
      <c r="H13" s="197">
        <v>10.3</v>
      </c>
      <c r="I13" s="197">
        <v>28.0</v>
      </c>
    </row>
    <row r="14">
      <c r="B14" s="192" t="s">
        <v>3115</v>
      </c>
      <c r="C14" s="193">
        <v>42811.0</v>
      </c>
      <c r="D14" s="193">
        <v>43971.0</v>
      </c>
      <c r="E14" s="193">
        <v>48040.0</v>
      </c>
      <c r="F14" s="194">
        <v>242.0</v>
      </c>
      <c r="G14" s="194">
        <v>2.7</v>
      </c>
      <c r="H14" s="194">
        <v>9.3</v>
      </c>
      <c r="I14" s="194">
        <v>42.0</v>
      </c>
    </row>
    <row r="15">
      <c r="B15" s="195" t="s">
        <v>3116</v>
      </c>
      <c r="C15" s="196">
        <v>57743.0</v>
      </c>
      <c r="D15" s="196">
        <v>60500.0</v>
      </c>
      <c r="E15" s="196">
        <v>65112.0</v>
      </c>
      <c r="F15" s="197">
        <v>34.0</v>
      </c>
      <c r="G15" s="197">
        <v>4.8</v>
      </c>
      <c r="H15" s="197">
        <v>7.6</v>
      </c>
      <c r="I15" s="197">
        <v>113.0</v>
      </c>
    </row>
    <row r="16">
      <c r="A16" s="30" t="s">
        <v>2429</v>
      </c>
      <c r="B16" s="192" t="s">
        <v>2429</v>
      </c>
      <c r="C16" s="193">
        <v>42129.0</v>
      </c>
      <c r="D16" s="193">
        <v>43975.0</v>
      </c>
      <c r="E16" s="193">
        <v>47442.0</v>
      </c>
      <c r="F16" s="194">
        <v>257.0</v>
      </c>
      <c r="G16" s="194">
        <v>4.4</v>
      </c>
      <c r="H16" s="194">
        <v>7.9</v>
      </c>
      <c r="I16" s="194">
        <v>100.0</v>
      </c>
    </row>
    <row r="17">
      <c r="B17" s="195" t="s">
        <v>3117</v>
      </c>
      <c r="C17" s="196">
        <v>42744.0</v>
      </c>
      <c r="D17" s="196">
        <v>44475.0</v>
      </c>
      <c r="E17" s="196">
        <v>47961.0</v>
      </c>
      <c r="F17" s="197">
        <v>245.0</v>
      </c>
      <c r="G17" s="197">
        <v>4.0</v>
      </c>
      <c r="H17" s="197">
        <v>7.8</v>
      </c>
      <c r="I17" s="197">
        <v>105.0</v>
      </c>
    </row>
    <row r="18">
      <c r="B18" s="192" t="s">
        <v>3118</v>
      </c>
      <c r="C18" s="193">
        <v>53518.0</v>
      </c>
      <c r="D18" s="193">
        <v>55363.0</v>
      </c>
      <c r="E18" s="193">
        <v>59193.0</v>
      </c>
      <c r="F18" s="194">
        <v>72.0</v>
      </c>
      <c r="G18" s="194">
        <v>3.4</v>
      </c>
      <c r="H18" s="194">
        <v>6.9</v>
      </c>
      <c r="I18" s="194">
        <v>162.0</v>
      </c>
    </row>
    <row r="19">
      <c r="B19" s="195" t="s">
        <v>3119</v>
      </c>
      <c r="C19" s="196">
        <v>46236.0</v>
      </c>
      <c r="D19" s="196">
        <v>47573.0</v>
      </c>
      <c r="E19" s="196">
        <v>52096.0</v>
      </c>
      <c r="F19" s="197">
        <v>159.0</v>
      </c>
      <c r="G19" s="197">
        <v>2.9</v>
      </c>
      <c r="H19" s="197">
        <v>9.5</v>
      </c>
      <c r="I19" s="197">
        <v>39.0</v>
      </c>
    </row>
    <row r="20">
      <c r="B20" s="192" t="s">
        <v>3120</v>
      </c>
      <c r="C20" s="193">
        <v>46895.0</v>
      </c>
      <c r="D20" s="193">
        <v>49008.0</v>
      </c>
      <c r="E20" s="193">
        <v>51116.0</v>
      </c>
      <c r="F20" s="194">
        <v>179.0</v>
      </c>
      <c r="G20" s="194">
        <v>4.5</v>
      </c>
      <c r="H20" s="194">
        <v>4.3</v>
      </c>
      <c r="I20" s="194">
        <v>336.0</v>
      </c>
    </row>
    <row r="21">
      <c r="B21" s="195" t="s">
        <v>3121</v>
      </c>
      <c r="C21" s="196">
        <v>43564.0</v>
      </c>
      <c r="D21" s="196">
        <v>45160.0</v>
      </c>
      <c r="E21" s="196">
        <v>47233.0</v>
      </c>
      <c r="F21" s="197">
        <v>261.0</v>
      </c>
      <c r="G21" s="197">
        <v>3.7</v>
      </c>
      <c r="H21" s="197">
        <v>4.6</v>
      </c>
      <c r="I21" s="197">
        <v>322.0</v>
      </c>
    </row>
    <row r="22">
      <c r="B22" s="192" t="s">
        <v>2474</v>
      </c>
      <c r="C22" s="193">
        <v>61584.0</v>
      </c>
      <c r="D22" s="193">
        <v>63208.0</v>
      </c>
      <c r="E22" s="193">
        <v>64904.0</v>
      </c>
      <c r="F22" s="194">
        <v>36.0</v>
      </c>
      <c r="G22" s="194">
        <v>2.6</v>
      </c>
      <c r="H22" s="194">
        <v>2.7</v>
      </c>
      <c r="I22" s="194">
        <v>367.0</v>
      </c>
    </row>
    <row r="23">
      <c r="B23" s="195" t="s">
        <v>3122</v>
      </c>
      <c r="C23" s="196">
        <v>58667.0</v>
      </c>
      <c r="D23" s="196">
        <v>61101.0</v>
      </c>
      <c r="E23" s="196">
        <v>63655.0</v>
      </c>
      <c r="F23" s="197">
        <v>40.0</v>
      </c>
      <c r="G23" s="197">
        <v>4.1</v>
      </c>
      <c r="H23" s="197">
        <v>4.2</v>
      </c>
      <c r="I23" s="197">
        <v>341.0</v>
      </c>
    </row>
    <row r="24">
      <c r="B24" s="192" t="s">
        <v>3123</v>
      </c>
      <c r="C24" s="193">
        <v>36482.0</v>
      </c>
      <c r="D24" s="193">
        <v>37708.0</v>
      </c>
      <c r="E24" s="193">
        <v>40195.0</v>
      </c>
      <c r="F24" s="194">
        <v>370.0</v>
      </c>
      <c r="G24" s="194">
        <v>3.4</v>
      </c>
      <c r="H24" s="194">
        <v>6.6</v>
      </c>
      <c r="I24" s="194">
        <v>192.0</v>
      </c>
    </row>
    <row r="25">
      <c r="B25" s="195" t="s">
        <v>3124</v>
      </c>
      <c r="C25" s="196">
        <v>50951.0</v>
      </c>
      <c r="D25" s="196">
        <v>52743.0</v>
      </c>
      <c r="E25" s="196">
        <v>54988.0</v>
      </c>
      <c r="F25" s="197">
        <v>122.0</v>
      </c>
      <c r="G25" s="197">
        <v>3.5</v>
      </c>
      <c r="H25" s="197">
        <v>4.3</v>
      </c>
      <c r="I25" s="197">
        <v>338.0</v>
      </c>
    </row>
    <row r="26">
      <c r="B26" s="192" t="s">
        <v>3125</v>
      </c>
      <c r="C26" s="193">
        <v>45540.0</v>
      </c>
      <c r="D26" s="193">
        <v>47559.0</v>
      </c>
      <c r="E26" s="193">
        <v>49809.0</v>
      </c>
      <c r="F26" s="194">
        <v>208.0</v>
      </c>
      <c r="G26" s="194">
        <v>4.4</v>
      </c>
      <c r="H26" s="194">
        <v>4.7</v>
      </c>
      <c r="I26" s="194">
        <v>313.0</v>
      </c>
    </row>
    <row r="27">
      <c r="B27" s="195" t="s">
        <v>3126</v>
      </c>
      <c r="C27" s="196">
        <v>40371.0</v>
      </c>
      <c r="D27" s="196">
        <v>42391.0</v>
      </c>
      <c r="E27" s="196">
        <v>44364.0</v>
      </c>
      <c r="F27" s="197">
        <v>318.0</v>
      </c>
      <c r="G27" s="197">
        <v>5.0</v>
      </c>
      <c r="H27" s="197">
        <v>4.7</v>
      </c>
      <c r="I27" s="197">
        <v>319.0</v>
      </c>
    </row>
    <row r="28">
      <c r="A28" s="114" t="s">
        <v>1097</v>
      </c>
      <c r="B28" s="192" t="s">
        <v>3127</v>
      </c>
      <c r="C28" s="193">
        <v>53354.0</v>
      </c>
      <c r="D28" s="193">
        <v>55668.0</v>
      </c>
      <c r="E28" s="193">
        <v>58773.0</v>
      </c>
      <c r="F28" s="194">
        <v>74.0</v>
      </c>
      <c r="G28" s="194">
        <v>4.3</v>
      </c>
      <c r="H28" s="194">
        <v>5.6</v>
      </c>
      <c r="I28" s="194">
        <v>270.0</v>
      </c>
    </row>
    <row r="29">
      <c r="B29" s="195" t="s">
        <v>3128</v>
      </c>
      <c r="C29" s="196">
        <v>48110.0</v>
      </c>
      <c r="D29" s="196">
        <v>51247.0</v>
      </c>
      <c r="E29" s="196">
        <v>55802.0</v>
      </c>
      <c r="F29" s="197">
        <v>107.0</v>
      </c>
      <c r="G29" s="197">
        <v>6.5</v>
      </c>
      <c r="H29" s="197">
        <v>8.9</v>
      </c>
      <c r="I29" s="197">
        <v>52.0</v>
      </c>
    </row>
    <row r="30">
      <c r="B30" s="192" t="s">
        <v>3129</v>
      </c>
      <c r="C30" s="193">
        <v>38184.0</v>
      </c>
      <c r="D30" s="193">
        <v>40439.0</v>
      </c>
      <c r="E30" s="193">
        <v>42468.0</v>
      </c>
      <c r="F30" s="194">
        <v>345.0</v>
      </c>
      <c r="G30" s="194">
        <v>5.9</v>
      </c>
      <c r="H30" s="194">
        <v>5.0</v>
      </c>
      <c r="I30" s="194">
        <v>300.0</v>
      </c>
    </row>
    <row r="31">
      <c r="B31" s="195" t="s">
        <v>3130</v>
      </c>
      <c r="C31" s="196">
        <v>41738.0</v>
      </c>
      <c r="D31" s="196">
        <v>43512.0</v>
      </c>
      <c r="E31" s="196">
        <v>46594.0</v>
      </c>
      <c r="F31" s="197">
        <v>274.0</v>
      </c>
      <c r="G31" s="197">
        <v>4.3</v>
      </c>
      <c r="H31" s="197">
        <v>7.1</v>
      </c>
      <c r="I31" s="197">
        <v>149.0</v>
      </c>
    </row>
    <row r="32">
      <c r="A32" s="114" t="s">
        <v>509</v>
      </c>
      <c r="B32" s="192" t="s">
        <v>3131</v>
      </c>
      <c r="C32" s="193">
        <v>60764.0</v>
      </c>
      <c r="D32" s="193">
        <v>62460.0</v>
      </c>
      <c r="E32" s="193">
        <v>64913.0</v>
      </c>
      <c r="F32" s="194">
        <v>35.0</v>
      </c>
      <c r="G32" s="194">
        <v>2.8</v>
      </c>
      <c r="H32" s="194">
        <v>3.9</v>
      </c>
      <c r="I32" s="194">
        <v>346.0</v>
      </c>
    </row>
    <row r="33">
      <c r="B33" s="195" t="s">
        <v>2475</v>
      </c>
      <c r="C33" s="196">
        <v>38079.0</v>
      </c>
      <c r="D33" s="196">
        <v>39559.0</v>
      </c>
      <c r="E33" s="196">
        <v>44721.0</v>
      </c>
      <c r="F33" s="197">
        <v>309.0</v>
      </c>
      <c r="G33" s="197">
        <v>3.9</v>
      </c>
      <c r="H33" s="197">
        <v>13.0</v>
      </c>
      <c r="I33" s="197">
        <v>9.0</v>
      </c>
    </row>
    <row r="34">
      <c r="A34" s="114" t="s">
        <v>980</v>
      </c>
      <c r="B34" s="192" t="s">
        <v>3132</v>
      </c>
      <c r="C34" s="193">
        <v>60766.0</v>
      </c>
      <c r="D34" s="193">
        <v>62702.0</v>
      </c>
      <c r="E34" s="193">
        <v>66695.0</v>
      </c>
      <c r="F34" s="194">
        <v>30.0</v>
      </c>
      <c r="G34" s="194">
        <v>3.2</v>
      </c>
      <c r="H34" s="194">
        <v>6.4</v>
      </c>
      <c r="I34" s="194">
        <v>212.0</v>
      </c>
    </row>
    <row r="35">
      <c r="B35" s="195" t="s">
        <v>3133</v>
      </c>
      <c r="C35" s="196">
        <v>41554.0</v>
      </c>
      <c r="D35" s="196">
        <v>43083.0</v>
      </c>
      <c r="E35" s="196">
        <v>47315.0</v>
      </c>
      <c r="F35" s="197">
        <v>258.0</v>
      </c>
      <c r="G35" s="197">
        <v>3.7</v>
      </c>
      <c r="H35" s="197">
        <v>9.8</v>
      </c>
      <c r="I35" s="197">
        <v>33.0</v>
      </c>
    </row>
    <row r="36">
      <c r="B36" s="192" t="s">
        <v>3134</v>
      </c>
      <c r="C36" s="193">
        <v>71735.0</v>
      </c>
      <c r="D36" s="193">
        <v>75339.0</v>
      </c>
      <c r="E36" s="193">
        <v>80420.0</v>
      </c>
      <c r="F36" s="194">
        <v>10.0</v>
      </c>
      <c r="G36" s="194">
        <v>5.0</v>
      </c>
      <c r="H36" s="194">
        <v>6.7</v>
      </c>
      <c r="I36" s="194">
        <v>178.0</v>
      </c>
    </row>
    <row r="37">
      <c r="B37" s="195" t="s">
        <v>2452</v>
      </c>
      <c r="C37" s="196">
        <v>48500.0</v>
      </c>
      <c r="D37" s="196">
        <v>49994.0</v>
      </c>
      <c r="E37" s="196">
        <v>52978.0</v>
      </c>
      <c r="F37" s="197">
        <v>143.0</v>
      </c>
      <c r="G37" s="197">
        <v>3.1</v>
      </c>
      <c r="H37" s="197">
        <v>6.0</v>
      </c>
      <c r="I37" s="197">
        <v>235.0</v>
      </c>
    </row>
    <row r="38">
      <c r="B38" s="192" t="s">
        <v>3135</v>
      </c>
      <c r="C38" s="193">
        <v>39189.0</v>
      </c>
      <c r="D38" s="193">
        <v>40428.0</v>
      </c>
      <c r="E38" s="193">
        <v>44729.0</v>
      </c>
      <c r="F38" s="194">
        <v>308.0</v>
      </c>
      <c r="G38" s="194">
        <v>3.2</v>
      </c>
      <c r="H38" s="194">
        <v>10.6</v>
      </c>
      <c r="I38" s="194">
        <v>26.0</v>
      </c>
    </row>
    <row r="39">
      <c r="B39" s="195" t="s">
        <v>3136</v>
      </c>
      <c r="C39" s="196">
        <v>42286.0</v>
      </c>
      <c r="D39" s="196">
        <v>43554.0</v>
      </c>
      <c r="E39" s="196">
        <v>47786.0</v>
      </c>
      <c r="F39" s="197">
        <v>249.0</v>
      </c>
      <c r="G39" s="197">
        <v>3.0</v>
      </c>
      <c r="H39" s="197">
        <v>9.7</v>
      </c>
      <c r="I39" s="197">
        <v>35.0</v>
      </c>
    </row>
    <row r="40">
      <c r="B40" s="192" t="s">
        <v>3137</v>
      </c>
      <c r="C40" s="193">
        <v>44232.0</v>
      </c>
      <c r="D40" s="193">
        <v>45115.0</v>
      </c>
      <c r="E40" s="193">
        <v>47281.0</v>
      </c>
      <c r="F40" s="194">
        <v>259.0</v>
      </c>
      <c r="G40" s="194">
        <v>2.0</v>
      </c>
      <c r="H40" s="194">
        <v>4.8</v>
      </c>
      <c r="I40" s="194">
        <v>310.0</v>
      </c>
    </row>
    <row r="41">
      <c r="B41" s="195" t="s">
        <v>3138</v>
      </c>
      <c r="C41" s="196">
        <v>39240.0</v>
      </c>
      <c r="D41" s="196">
        <v>41026.0</v>
      </c>
      <c r="E41" s="196">
        <v>42914.0</v>
      </c>
      <c r="F41" s="197">
        <v>340.0</v>
      </c>
      <c r="G41" s="197">
        <v>4.6</v>
      </c>
      <c r="H41" s="197">
        <v>4.6</v>
      </c>
      <c r="I41" s="197">
        <v>321.0</v>
      </c>
    </row>
    <row r="42">
      <c r="B42" s="192" t="s">
        <v>3139</v>
      </c>
      <c r="C42" s="193">
        <v>47898.0</v>
      </c>
      <c r="D42" s="193">
        <v>49868.0</v>
      </c>
      <c r="E42" s="193">
        <v>52787.0</v>
      </c>
      <c r="F42" s="194">
        <v>145.0</v>
      </c>
      <c r="G42" s="194">
        <v>4.1</v>
      </c>
      <c r="H42" s="194">
        <v>5.9</v>
      </c>
      <c r="I42" s="194">
        <v>246.0</v>
      </c>
    </row>
    <row r="43">
      <c r="B43" s="195" t="s">
        <v>3140</v>
      </c>
      <c r="C43" s="196">
        <v>55473.0</v>
      </c>
      <c r="D43" s="196">
        <v>57493.0</v>
      </c>
      <c r="E43" s="196">
        <v>61216.0</v>
      </c>
      <c r="F43" s="197">
        <v>56.0</v>
      </c>
      <c r="G43" s="197">
        <v>3.6</v>
      </c>
      <c r="H43" s="197">
        <v>6.5</v>
      </c>
      <c r="I43" s="197">
        <v>201.0</v>
      </c>
    </row>
    <row r="44">
      <c r="B44" s="192" t="s">
        <v>2421</v>
      </c>
      <c r="C44" s="193">
        <v>52457.0</v>
      </c>
      <c r="D44" s="193">
        <v>54197.0</v>
      </c>
      <c r="E44" s="193">
        <v>56649.0</v>
      </c>
      <c r="F44" s="194">
        <v>97.0</v>
      </c>
      <c r="G44" s="194">
        <v>3.3</v>
      </c>
      <c r="H44" s="194">
        <v>4.5</v>
      </c>
      <c r="I44" s="194">
        <v>328.0</v>
      </c>
    </row>
    <row r="45">
      <c r="B45" s="195" t="s">
        <v>3141</v>
      </c>
      <c r="C45" s="196">
        <v>43754.0</v>
      </c>
      <c r="D45" s="196">
        <v>45505.0</v>
      </c>
      <c r="E45" s="196">
        <v>49652.0</v>
      </c>
      <c r="F45" s="197">
        <v>210.0</v>
      </c>
      <c r="G45" s="197">
        <v>4.0</v>
      </c>
      <c r="H45" s="197">
        <v>9.1</v>
      </c>
      <c r="I45" s="197">
        <v>45.0</v>
      </c>
    </row>
    <row r="46">
      <c r="B46" s="192" t="s">
        <v>3142</v>
      </c>
      <c r="C46" s="193">
        <v>51377.0</v>
      </c>
      <c r="D46" s="193">
        <v>53185.0</v>
      </c>
      <c r="E46" s="193">
        <v>55074.0</v>
      </c>
      <c r="F46" s="194">
        <v>119.0</v>
      </c>
      <c r="G46" s="194">
        <v>3.5</v>
      </c>
      <c r="H46" s="194">
        <v>3.6</v>
      </c>
      <c r="I46" s="194">
        <v>356.0</v>
      </c>
    </row>
    <row r="47">
      <c r="B47" s="195" t="s">
        <v>2435</v>
      </c>
      <c r="C47" s="196">
        <v>57640.0</v>
      </c>
      <c r="D47" s="196">
        <v>59371.0</v>
      </c>
      <c r="E47" s="196">
        <v>61404.0</v>
      </c>
      <c r="F47" s="197">
        <v>55.0</v>
      </c>
      <c r="G47" s="197">
        <v>3.0</v>
      </c>
      <c r="H47" s="197">
        <v>3.4</v>
      </c>
      <c r="I47" s="197">
        <v>361.0</v>
      </c>
    </row>
    <row r="48">
      <c r="B48" s="192" t="s">
        <v>3143</v>
      </c>
      <c r="C48" s="193">
        <v>37683.0</v>
      </c>
      <c r="D48" s="193">
        <v>38220.0</v>
      </c>
      <c r="E48" s="193">
        <v>40692.0</v>
      </c>
      <c r="F48" s="194">
        <v>368.0</v>
      </c>
      <c r="G48" s="194">
        <v>1.4</v>
      </c>
      <c r="H48" s="194">
        <v>6.5</v>
      </c>
      <c r="I48" s="194">
        <v>203.0</v>
      </c>
    </row>
    <row r="49">
      <c r="B49" s="195" t="s">
        <v>3144</v>
      </c>
      <c r="C49" s="196">
        <v>49302.0</v>
      </c>
      <c r="D49" s="196">
        <v>49760.0</v>
      </c>
      <c r="E49" s="196">
        <v>54639.0</v>
      </c>
      <c r="F49" s="197">
        <v>127.0</v>
      </c>
      <c r="G49" s="197">
        <v>0.9</v>
      </c>
      <c r="H49" s="197">
        <v>9.8</v>
      </c>
      <c r="I49" s="197">
        <v>34.0</v>
      </c>
    </row>
    <row r="50">
      <c r="B50" s="192" t="s">
        <v>3145</v>
      </c>
      <c r="C50" s="193">
        <v>41899.0</v>
      </c>
      <c r="D50" s="193">
        <v>43712.0</v>
      </c>
      <c r="E50" s="193">
        <v>46502.0</v>
      </c>
      <c r="F50" s="194">
        <v>276.0</v>
      </c>
      <c r="G50" s="194">
        <v>4.3</v>
      </c>
      <c r="H50" s="194">
        <v>6.4</v>
      </c>
      <c r="I50" s="194">
        <v>211.0</v>
      </c>
    </row>
    <row r="51">
      <c r="B51" s="195" t="s">
        <v>3146</v>
      </c>
      <c r="C51" s="196">
        <v>45463.0</v>
      </c>
      <c r="D51" s="196">
        <v>46776.0</v>
      </c>
      <c r="E51" s="196">
        <v>50771.0</v>
      </c>
      <c r="F51" s="197">
        <v>185.0</v>
      </c>
      <c r="G51" s="197">
        <v>2.9</v>
      </c>
      <c r="H51" s="197">
        <v>8.5</v>
      </c>
      <c r="I51" s="197">
        <v>65.0</v>
      </c>
    </row>
    <row r="52">
      <c r="B52" s="192" t="s">
        <v>3147</v>
      </c>
      <c r="C52" s="193">
        <v>46237.0</v>
      </c>
      <c r="D52" s="193">
        <v>47674.0</v>
      </c>
      <c r="E52" s="193">
        <v>50474.0</v>
      </c>
      <c r="F52" s="194">
        <v>192.0</v>
      </c>
      <c r="G52" s="194">
        <v>3.1</v>
      </c>
      <c r="H52" s="194">
        <v>5.9</v>
      </c>
      <c r="I52" s="194">
        <v>242.0</v>
      </c>
    </row>
    <row r="53">
      <c r="A53" s="114" t="s">
        <v>758</v>
      </c>
      <c r="B53" s="195" t="s">
        <v>3148</v>
      </c>
      <c r="C53" s="196">
        <v>77752.0</v>
      </c>
      <c r="D53" s="196">
        <v>80965.0</v>
      </c>
      <c r="E53" s="196">
        <v>85724.0</v>
      </c>
      <c r="F53" s="197">
        <v>6.0</v>
      </c>
      <c r="G53" s="197">
        <v>4.1</v>
      </c>
      <c r="H53" s="197">
        <v>5.9</v>
      </c>
      <c r="I53" s="197">
        <v>241.0</v>
      </c>
    </row>
    <row r="54">
      <c r="B54" s="192" t="s">
        <v>3149</v>
      </c>
      <c r="C54" s="193">
        <v>72607.0</v>
      </c>
      <c r="D54" s="193">
        <v>77305.0</v>
      </c>
      <c r="E54" s="193">
        <v>79649.0</v>
      </c>
      <c r="F54" s="194">
        <v>12.0</v>
      </c>
      <c r="G54" s="194">
        <v>6.5</v>
      </c>
      <c r="H54" s="194">
        <v>3.0</v>
      </c>
      <c r="I54" s="194">
        <v>363.0</v>
      </c>
    </row>
    <row r="55">
      <c r="B55" s="195" t="s">
        <v>3150</v>
      </c>
      <c r="C55" s="196">
        <v>36082.0</v>
      </c>
      <c r="D55" s="196">
        <v>37074.0</v>
      </c>
      <c r="E55" s="196">
        <v>39734.0</v>
      </c>
      <c r="F55" s="197">
        <v>376.0</v>
      </c>
      <c r="G55" s="197">
        <v>2.7</v>
      </c>
      <c r="H55" s="197">
        <v>7.2</v>
      </c>
      <c r="I55" s="197">
        <v>141.0</v>
      </c>
    </row>
    <row r="56">
      <c r="B56" s="192" t="s">
        <v>3151</v>
      </c>
      <c r="C56" s="193">
        <v>54597.0</v>
      </c>
      <c r="D56" s="193">
        <v>57197.0</v>
      </c>
      <c r="E56" s="193">
        <v>60704.0</v>
      </c>
      <c r="F56" s="194">
        <v>64.0</v>
      </c>
      <c r="G56" s="194">
        <v>4.8</v>
      </c>
      <c r="H56" s="194">
        <v>6.1</v>
      </c>
      <c r="I56" s="194">
        <v>224.0</v>
      </c>
    </row>
    <row r="57">
      <c r="B57" s="195" t="s">
        <v>3152</v>
      </c>
      <c r="C57" s="196">
        <v>116757.0</v>
      </c>
      <c r="D57" s="196">
        <v>118515.0</v>
      </c>
      <c r="E57" s="196">
        <v>120244.0</v>
      </c>
      <c r="F57" s="197">
        <v>3.0</v>
      </c>
      <c r="G57" s="197">
        <v>1.5</v>
      </c>
      <c r="H57" s="197">
        <v>1.5</v>
      </c>
      <c r="I57" s="197">
        <v>379.0</v>
      </c>
    </row>
    <row r="58">
      <c r="B58" s="192" t="s">
        <v>3153</v>
      </c>
      <c r="C58" s="193">
        <v>28978.0</v>
      </c>
      <c r="D58" s="193">
        <v>30187.0</v>
      </c>
      <c r="E58" s="193">
        <v>33690.0</v>
      </c>
      <c r="F58" s="194">
        <v>383.0</v>
      </c>
      <c r="G58" s="194">
        <v>4.2</v>
      </c>
      <c r="H58" s="194">
        <v>11.6</v>
      </c>
      <c r="I58" s="194">
        <v>16.0</v>
      </c>
    </row>
    <row r="59">
      <c r="B59" s="195" t="s">
        <v>3154</v>
      </c>
      <c r="C59" s="196">
        <v>41595.0</v>
      </c>
      <c r="D59" s="196">
        <v>42593.0</v>
      </c>
      <c r="E59" s="196">
        <v>45251.0</v>
      </c>
      <c r="F59" s="197">
        <v>300.0</v>
      </c>
      <c r="G59" s="197">
        <v>2.4</v>
      </c>
      <c r="H59" s="197">
        <v>6.2</v>
      </c>
      <c r="I59" s="197">
        <v>219.0</v>
      </c>
    </row>
    <row r="60">
      <c r="B60" s="192" t="s">
        <v>3155</v>
      </c>
      <c r="C60" s="193">
        <v>49344.0</v>
      </c>
      <c r="D60" s="193">
        <v>51296.0</v>
      </c>
      <c r="E60" s="193">
        <v>55777.0</v>
      </c>
      <c r="F60" s="194">
        <v>108.0</v>
      </c>
      <c r="G60" s="194">
        <v>4.0</v>
      </c>
      <c r="H60" s="194">
        <v>8.7</v>
      </c>
      <c r="I60" s="194">
        <v>55.0</v>
      </c>
    </row>
    <row r="61">
      <c r="B61" s="195" t="s">
        <v>3156</v>
      </c>
      <c r="C61" s="196">
        <v>39742.0</v>
      </c>
      <c r="D61" s="196">
        <v>41256.0</v>
      </c>
      <c r="E61" s="196">
        <v>43973.0</v>
      </c>
      <c r="F61" s="197">
        <v>326.0</v>
      </c>
      <c r="G61" s="197">
        <v>3.8</v>
      </c>
      <c r="H61" s="197">
        <v>6.6</v>
      </c>
      <c r="I61" s="197">
        <v>194.0</v>
      </c>
    </row>
    <row r="62">
      <c r="B62" s="192" t="s">
        <v>3157</v>
      </c>
      <c r="C62" s="193">
        <v>56799.0</v>
      </c>
      <c r="D62" s="193">
        <v>58650.0</v>
      </c>
      <c r="E62" s="193">
        <v>61802.0</v>
      </c>
      <c r="F62" s="194">
        <v>51.0</v>
      </c>
      <c r="G62" s="194">
        <v>3.3</v>
      </c>
      <c r="H62" s="194">
        <v>5.4</v>
      </c>
      <c r="I62" s="194">
        <v>282.0</v>
      </c>
    </row>
    <row r="63">
      <c r="B63" s="195" t="s">
        <v>3158</v>
      </c>
      <c r="C63" s="196">
        <v>56372.0</v>
      </c>
      <c r="D63" s="196">
        <v>57891.0</v>
      </c>
      <c r="E63" s="196">
        <v>61144.0</v>
      </c>
      <c r="F63" s="197">
        <v>59.0</v>
      </c>
      <c r="G63" s="197">
        <v>2.7</v>
      </c>
      <c r="H63" s="197">
        <v>5.6</v>
      </c>
      <c r="I63" s="197">
        <v>264.0</v>
      </c>
    </row>
    <row r="64">
      <c r="B64" s="192" t="s">
        <v>3159</v>
      </c>
      <c r="C64" s="193">
        <v>44544.0</v>
      </c>
      <c r="D64" s="193">
        <v>46019.0</v>
      </c>
      <c r="E64" s="193">
        <v>49255.0</v>
      </c>
      <c r="F64" s="194">
        <v>217.0</v>
      </c>
      <c r="G64" s="194">
        <v>3.3</v>
      </c>
      <c r="H64" s="194">
        <v>7.0</v>
      </c>
      <c r="I64" s="194">
        <v>154.0</v>
      </c>
    </row>
    <row r="65">
      <c r="B65" s="195" t="s">
        <v>3160</v>
      </c>
      <c r="C65" s="196">
        <v>52022.0</v>
      </c>
      <c r="D65" s="196">
        <v>52832.0</v>
      </c>
      <c r="E65" s="196">
        <v>54707.0</v>
      </c>
      <c r="F65" s="197">
        <v>125.0</v>
      </c>
      <c r="G65" s="197">
        <v>1.6</v>
      </c>
      <c r="H65" s="197">
        <v>3.5</v>
      </c>
      <c r="I65" s="197">
        <v>357.0</v>
      </c>
    </row>
    <row r="66">
      <c r="B66" s="192" t="s">
        <v>3161</v>
      </c>
      <c r="C66" s="193">
        <v>42816.0</v>
      </c>
      <c r="D66" s="193">
        <v>43506.0</v>
      </c>
      <c r="E66" s="193">
        <v>45802.0</v>
      </c>
      <c r="F66" s="194">
        <v>287.0</v>
      </c>
      <c r="G66" s="194">
        <v>1.6</v>
      </c>
      <c r="H66" s="194">
        <v>5.3</v>
      </c>
      <c r="I66" s="194">
        <v>285.0</v>
      </c>
    </row>
    <row r="67">
      <c r="B67" s="195" t="s">
        <v>3162</v>
      </c>
      <c r="C67" s="196">
        <v>40124.0</v>
      </c>
      <c r="D67" s="196">
        <v>41233.0</v>
      </c>
      <c r="E67" s="196">
        <v>44335.0</v>
      </c>
      <c r="F67" s="197">
        <v>320.0</v>
      </c>
      <c r="G67" s="197">
        <v>2.8</v>
      </c>
      <c r="H67" s="197">
        <v>7.5</v>
      </c>
      <c r="I67" s="197">
        <v>119.0</v>
      </c>
    </row>
    <row r="68">
      <c r="B68" s="192" t="s">
        <v>3163</v>
      </c>
      <c r="C68" s="193">
        <v>50378.0</v>
      </c>
      <c r="D68" s="193">
        <v>52880.0</v>
      </c>
      <c r="E68" s="193">
        <v>56510.0</v>
      </c>
      <c r="F68" s="194">
        <v>98.0</v>
      </c>
      <c r="G68" s="194">
        <v>5.0</v>
      </c>
      <c r="H68" s="194">
        <v>6.9</v>
      </c>
      <c r="I68" s="194">
        <v>169.0</v>
      </c>
    </row>
    <row r="69">
      <c r="B69" s="195" t="s">
        <v>2461</v>
      </c>
      <c r="C69" s="196">
        <v>71185.0</v>
      </c>
      <c r="D69" s="196">
        <v>70054.0</v>
      </c>
      <c r="E69" s="196">
        <v>68447.0</v>
      </c>
      <c r="F69" s="197">
        <v>22.0</v>
      </c>
      <c r="G69" s="197">
        <v>-1.6</v>
      </c>
      <c r="H69" s="197">
        <v>-2.3</v>
      </c>
      <c r="I69" s="197">
        <v>382.0</v>
      </c>
    </row>
    <row r="70">
      <c r="B70" s="192" t="s">
        <v>2433</v>
      </c>
      <c r="C70" s="193">
        <v>52032.0</v>
      </c>
      <c r="D70" s="193">
        <v>52898.0</v>
      </c>
      <c r="E70" s="193">
        <v>55971.0</v>
      </c>
      <c r="F70" s="194">
        <v>104.0</v>
      </c>
      <c r="G70" s="194">
        <v>1.7</v>
      </c>
      <c r="H70" s="194">
        <v>5.8</v>
      </c>
      <c r="I70" s="194">
        <v>250.0</v>
      </c>
    </row>
    <row r="71">
      <c r="B71" s="195" t="s">
        <v>3164</v>
      </c>
      <c r="C71" s="196">
        <v>46435.0</v>
      </c>
      <c r="D71" s="196">
        <v>48014.0</v>
      </c>
      <c r="E71" s="196">
        <v>51979.0</v>
      </c>
      <c r="F71" s="197">
        <v>162.0</v>
      </c>
      <c r="G71" s="197">
        <v>3.4</v>
      </c>
      <c r="H71" s="197">
        <v>8.3</v>
      </c>
      <c r="I71" s="197">
        <v>80.0</v>
      </c>
    </row>
    <row r="72">
      <c r="B72" s="192" t="s">
        <v>3165</v>
      </c>
      <c r="C72" s="193">
        <v>44971.0</v>
      </c>
      <c r="D72" s="193">
        <v>46203.0</v>
      </c>
      <c r="E72" s="193">
        <v>49967.0</v>
      </c>
      <c r="F72" s="194">
        <v>201.0</v>
      </c>
      <c r="G72" s="194">
        <v>2.7</v>
      </c>
      <c r="H72" s="194">
        <v>8.1</v>
      </c>
      <c r="I72" s="194">
        <v>86.0</v>
      </c>
    </row>
    <row r="73">
      <c r="B73" s="195" t="s">
        <v>2476</v>
      </c>
      <c r="C73" s="196">
        <v>44328.0</v>
      </c>
      <c r="D73" s="196">
        <v>45527.0</v>
      </c>
      <c r="E73" s="196">
        <v>48623.0</v>
      </c>
      <c r="F73" s="197">
        <v>230.0</v>
      </c>
      <c r="G73" s="197">
        <v>2.7</v>
      </c>
      <c r="H73" s="197">
        <v>6.8</v>
      </c>
      <c r="I73" s="197">
        <v>175.0</v>
      </c>
    </row>
    <row r="74">
      <c r="B74" s="192" t="s">
        <v>3166</v>
      </c>
      <c r="C74" s="193">
        <v>50814.0</v>
      </c>
      <c r="D74" s="193">
        <v>53279.0</v>
      </c>
      <c r="E74" s="193">
        <v>55321.0</v>
      </c>
      <c r="F74" s="194">
        <v>113.0</v>
      </c>
      <c r="G74" s="194">
        <v>4.9</v>
      </c>
      <c r="H74" s="194">
        <v>3.8</v>
      </c>
      <c r="I74" s="194">
        <v>349.0</v>
      </c>
    </row>
    <row r="75">
      <c r="A75" s="30" t="s">
        <v>2492</v>
      </c>
      <c r="B75" s="195" t="s">
        <v>3167</v>
      </c>
      <c r="C75" s="196">
        <v>52232.0</v>
      </c>
      <c r="D75" s="196">
        <v>54086.0</v>
      </c>
      <c r="E75" s="196">
        <v>56682.0</v>
      </c>
      <c r="F75" s="197">
        <v>96.0</v>
      </c>
      <c r="G75" s="197">
        <v>3.5</v>
      </c>
      <c r="H75" s="197">
        <v>4.8</v>
      </c>
      <c r="I75" s="197">
        <v>311.0</v>
      </c>
    </row>
    <row r="76">
      <c r="B76" s="192" t="s">
        <v>3168</v>
      </c>
      <c r="C76" s="193">
        <v>66576.0</v>
      </c>
      <c r="D76" s="193">
        <v>67809.0</v>
      </c>
      <c r="E76" s="193">
        <v>69853.0</v>
      </c>
      <c r="F76" s="194">
        <v>18.0</v>
      </c>
      <c r="G76" s="194">
        <v>1.9</v>
      </c>
      <c r="H76" s="194">
        <v>3.0</v>
      </c>
      <c r="I76" s="194">
        <v>364.0</v>
      </c>
    </row>
    <row r="77">
      <c r="B77" s="195" t="s">
        <v>3169</v>
      </c>
      <c r="C77" s="196">
        <v>45935.0</v>
      </c>
      <c r="D77" s="196">
        <v>47104.0</v>
      </c>
      <c r="E77" s="196">
        <v>49865.0</v>
      </c>
      <c r="F77" s="197">
        <v>205.0</v>
      </c>
      <c r="G77" s="197">
        <v>2.5</v>
      </c>
      <c r="H77" s="197">
        <v>5.9</v>
      </c>
      <c r="I77" s="197">
        <v>243.0</v>
      </c>
    </row>
    <row r="78">
      <c r="B78" s="192" t="s">
        <v>2500</v>
      </c>
      <c r="C78" s="193">
        <v>52224.0</v>
      </c>
      <c r="D78" s="193">
        <v>53532.0</v>
      </c>
      <c r="E78" s="193">
        <v>55094.0</v>
      </c>
      <c r="F78" s="194">
        <v>118.0</v>
      </c>
      <c r="G78" s="194">
        <v>2.5</v>
      </c>
      <c r="H78" s="194">
        <v>2.9</v>
      </c>
      <c r="I78" s="194">
        <v>365.0</v>
      </c>
    </row>
    <row r="79">
      <c r="A79" s="114" t="s">
        <v>105</v>
      </c>
      <c r="B79" s="195" t="s">
        <v>3170</v>
      </c>
      <c r="C79" s="196">
        <v>61970.0</v>
      </c>
      <c r="D79" s="196">
        <v>64079.0</v>
      </c>
      <c r="E79" s="196">
        <v>67671.0</v>
      </c>
      <c r="F79" s="197">
        <v>25.0</v>
      </c>
      <c r="G79" s="197">
        <v>3.4</v>
      </c>
      <c r="H79" s="197">
        <v>5.6</v>
      </c>
      <c r="I79" s="197">
        <v>265.0</v>
      </c>
    </row>
    <row r="80">
      <c r="B80" s="192" t="s">
        <v>3171</v>
      </c>
      <c r="C80" s="193">
        <v>42441.0</v>
      </c>
      <c r="D80" s="193">
        <v>45175.0</v>
      </c>
      <c r="E80" s="193">
        <v>50279.0</v>
      </c>
      <c r="F80" s="194">
        <v>195.0</v>
      </c>
      <c r="G80" s="194">
        <v>6.4</v>
      </c>
      <c r="H80" s="194">
        <v>11.3</v>
      </c>
      <c r="I80" s="194">
        <v>18.0</v>
      </c>
      <c r="K80" s="114" t="s">
        <v>413</v>
      </c>
    </row>
    <row r="81">
      <c r="B81" s="195" t="s">
        <v>3172</v>
      </c>
      <c r="C81" s="196">
        <v>54109.0</v>
      </c>
      <c r="D81" s="196">
        <v>56402.0</v>
      </c>
      <c r="E81" s="196">
        <v>59607.0</v>
      </c>
      <c r="F81" s="197">
        <v>71.0</v>
      </c>
      <c r="G81" s="197">
        <v>4.2</v>
      </c>
      <c r="H81" s="197">
        <v>5.7</v>
      </c>
      <c r="I81" s="197">
        <v>258.0</v>
      </c>
    </row>
    <row r="82">
      <c r="B82" s="192" t="s">
        <v>3173</v>
      </c>
      <c r="C82" s="193">
        <v>40928.0</v>
      </c>
      <c r="D82" s="193">
        <v>42209.0</v>
      </c>
      <c r="E82" s="193">
        <v>44908.0</v>
      </c>
      <c r="F82" s="194">
        <v>305.0</v>
      </c>
      <c r="G82" s="194">
        <v>3.1</v>
      </c>
      <c r="H82" s="194">
        <v>6.4</v>
      </c>
      <c r="I82" s="194">
        <v>210.0</v>
      </c>
    </row>
    <row r="83">
      <c r="B83" s="195" t="s">
        <v>3174</v>
      </c>
      <c r="C83" s="196">
        <v>38418.0</v>
      </c>
      <c r="D83" s="196">
        <v>39505.0</v>
      </c>
      <c r="E83" s="196">
        <v>41756.0</v>
      </c>
      <c r="F83" s="197">
        <v>355.0</v>
      </c>
      <c r="G83" s="197">
        <v>2.8</v>
      </c>
      <c r="H83" s="197">
        <v>5.7</v>
      </c>
      <c r="I83" s="197">
        <v>257.0</v>
      </c>
    </row>
    <row r="84">
      <c r="B84" s="192" t="s">
        <v>3175</v>
      </c>
      <c r="C84" s="193">
        <v>53881.0</v>
      </c>
      <c r="D84" s="193">
        <v>55294.0</v>
      </c>
      <c r="E84" s="193">
        <v>58846.0</v>
      </c>
      <c r="F84" s="194">
        <v>73.0</v>
      </c>
      <c r="G84" s="194">
        <v>2.6</v>
      </c>
      <c r="H84" s="194">
        <v>6.4</v>
      </c>
      <c r="I84" s="194">
        <v>205.0</v>
      </c>
    </row>
    <row r="85">
      <c r="B85" s="195" t="s">
        <v>3176</v>
      </c>
      <c r="C85" s="196">
        <v>45311.0</v>
      </c>
      <c r="D85" s="196">
        <v>46762.0</v>
      </c>
      <c r="E85" s="196">
        <v>48953.0</v>
      </c>
      <c r="F85" s="197">
        <v>222.0</v>
      </c>
      <c r="G85" s="197">
        <v>3.2</v>
      </c>
      <c r="H85" s="197">
        <v>4.7</v>
      </c>
      <c r="I85" s="197">
        <v>316.0</v>
      </c>
    </row>
    <row r="86">
      <c r="B86" s="192" t="s">
        <v>3177</v>
      </c>
      <c r="C86" s="193">
        <v>41146.0</v>
      </c>
      <c r="D86" s="193">
        <v>41965.0</v>
      </c>
      <c r="E86" s="193">
        <v>44037.0</v>
      </c>
      <c r="F86" s="194">
        <v>323.0</v>
      </c>
      <c r="G86" s="194">
        <v>2.0</v>
      </c>
      <c r="H86" s="194">
        <v>4.9</v>
      </c>
      <c r="I86" s="194">
        <v>305.0</v>
      </c>
    </row>
    <row r="87">
      <c r="A87" s="114" t="s">
        <v>1160</v>
      </c>
      <c r="B87" s="195" t="s">
        <v>1160</v>
      </c>
      <c r="C87" s="196">
        <v>48562.0</v>
      </c>
      <c r="D87" s="196">
        <v>50862.0</v>
      </c>
      <c r="E87" s="196">
        <v>54166.0</v>
      </c>
      <c r="F87" s="197">
        <v>132.0</v>
      </c>
      <c r="G87" s="197">
        <v>4.7</v>
      </c>
      <c r="H87" s="197">
        <v>6.5</v>
      </c>
      <c r="I87" s="197">
        <v>198.0</v>
      </c>
    </row>
    <row r="88">
      <c r="B88" s="192" t="s">
        <v>3178</v>
      </c>
      <c r="C88" s="193">
        <v>45575.0</v>
      </c>
      <c r="D88" s="193">
        <v>47977.0</v>
      </c>
      <c r="E88" s="193">
        <v>50421.0</v>
      </c>
      <c r="F88" s="194">
        <v>193.0</v>
      </c>
      <c r="G88" s="194">
        <v>5.3</v>
      </c>
      <c r="H88" s="194">
        <v>5.1</v>
      </c>
      <c r="I88" s="194">
        <v>295.0</v>
      </c>
    </row>
    <row r="89">
      <c r="B89" s="195" t="s">
        <v>2467</v>
      </c>
      <c r="C89" s="196">
        <v>44739.0</v>
      </c>
      <c r="D89" s="196">
        <v>46273.0</v>
      </c>
      <c r="E89" s="196">
        <v>48971.0</v>
      </c>
      <c r="F89" s="197">
        <v>220.0</v>
      </c>
      <c r="G89" s="197">
        <v>3.4</v>
      </c>
      <c r="H89" s="197">
        <v>5.8</v>
      </c>
      <c r="I89" s="197">
        <v>248.0</v>
      </c>
    </row>
    <row r="90">
      <c r="B90" s="192" t="s">
        <v>3179</v>
      </c>
      <c r="C90" s="193">
        <v>40276.0</v>
      </c>
      <c r="D90" s="193">
        <v>41806.0</v>
      </c>
      <c r="E90" s="193">
        <v>44760.0</v>
      </c>
      <c r="F90" s="194">
        <v>307.0</v>
      </c>
      <c r="G90" s="194">
        <v>3.8</v>
      </c>
      <c r="H90" s="194">
        <v>7.1</v>
      </c>
      <c r="I90" s="194">
        <v>151.0</v>
      </c>
    </row>
    <row r="91">
      <c r="B91" s="195" t="s">
        <v>3180</v>
      </c>
      <c r="C91" s="196">
        <v>51441.0</v>
      </c>
      <c r="D91" s="196">
        <v>53268.0</v>
      </c>
      <c r="E91" s="196">
        <v>55804.0</v>
      </c>
      <c r="F91" s="197">
        <v>106.0</v>
      </c>
      <c r="G91" s="197">
        <v>3.6</v>
      </c>
      <c r="H91" s="197">
        <v>4.8</v>
      </c>
      <c r="I91" s="197">
        <v>312.0</v>
      </c>
    </row>
    <row r="92">
      <c r="A92" s="114" t="s">
        <v>626</v>
      </c>
      <c r="B92" s="192" t="s">
        <v>626</v>
      </c>
      <c r="C92" s="193">
        <v>51196.0</v>
      </c>
      <c r="D92" s="193">
        <v>52522.0</v>
      </c>
      <c r="E92" s="193">
        <v>56252.0</v>
      </c>
      <c r="F92" s="194">
        <v>100.0</v>
      </c>
      <c r="G92" s="194">
        <v>2.6</v>
      </c>
      <c r="H92" s="194">
        <v>7.1</v>
      </c>
      <c r="I92" s="194">
        <v>147.0</v>
      </c>
    </row>
    <row r="93">
      <c r="B93" s="195" t="s">
        <v>1518</v>
      </c>
      <c r="C93" s="196">
        <v>43618.0</v>
      </c>
      <c r="D93" s="196">
        <v>46336.0</v>
      </c>
      <c r="E93" s="196">
        <v>48060.0</v>
      </c>
      <c r="F93" s="197">
        <v>241.0</v>
      </c>
      <c r="G93" s="197">
        <v>6.2</v>
      </c>
      <c r="H93" s="197">
        <v>3.7</v>
      </c>
      <c r="I93" s="197">
        <v>350.0</v>
      </c>
    </row>
    <row r="94">
      <c r="B94" s="192" t="s">
        <v>3181</v>
      </c>
      <c r="C94" s="193">
        <v>45846.0</v>
      </c>
      <c r="D94" s="193">
        <v>47920.0</v>
      </c>
      <c r="E94" s="193">
        <v>50399.0</v>
      </c>
      <c r="F94" s="194">
        <v>194.0</v>
      </c>
      <c r="G94" s="194">
        <v>4.5</v>
      </c>
      <c r="H94" s="194">
        <v>5.2</v>
      </c>
      <c r="I94" s="194">
        <v>289.0</v>
      </c>
    </row>
    <row r="95">
      <c r="B95" s="195" t="s">
        <v>3182</v>
      </c>
      <c r="C95" s="196">
        <v>52807.0</v>
      </c>
      <c r="D95" s="196">
        <v>55156.0</v>
      </c>
      <c r="E95" s="196">
        <v>58663.0</v>
      </c>
      <c r="F95" s="197">
        <v>77.0</v>
      </c>
      <c r="G95" s="197">
        <v>4.4</v>
      </c>
      <c r="H95" s="197">
        <v>6.4</v>
      </c>
      <c r="I95" s="197">
        <v>213.0</v>
      </c>
    </row>
    <row r="96">
      <c r="B96" s="192" t="s">
        <v>3183</v>
      </c>
      <c r="C96" s="193">
        <v>39817.0</v>
      </c>
      <c r="D96" s="193">
        <v>41166.0</v>
      </c>
      <c r="E96" s="193">
        <v>44308.0</v>
      </c>
      <c r="F96" s="194">
        <v>321.0</v>
      </c>
      <c r="G96" s="194">
        <v>3.4</v>
      </c>
      <c r="H96" s="194">
        <v>7.6</v>
      </c>
      <c r="I96" s="194">
        <v>112.0</v>
      </c>
    </row>
    <row r="97">
      <c r="A97" s="114" t="s">
        <v>413</v>
      </c>
      <c r="B97" s="195" t="s">
        <v>3184</v>
      </c>
      <c r="C97" s="196">
        <v>57562.0</v>
      </c>
      <c r="D97" s="196">
        <v>59409.0</v>
      </c>
      <c r="E97" s="196">
        <v>61554.0</v>
      </c>
      <c r="F97" s="197">
        <v>53.0</v>
      </c>
      <c r="G97" s="197">
        <v>3.2</v>
      </c>
      <c r="H97" s="197">
        <v>3.6</v>
      </c>
      <c r="I97" s="197">
        <v>354.0</v>
      </c>
    </row>
    <row r="98">
      <c r="A98" s="30" t="s">
        <v>1347</v>
      </c>
      <c r="B98" s="195" t="s">
        <v>3184</v>
      </c>
      <c r="C98" s="196">
        <v>57562.0</v>
      </c>
      <c r="D98" s="196">
        <v>59409.0</v>
      </c>
      <c r="E98" s="196">
        <v>61554.0</v>
      </c>
      <c r="F98" s="197">
        <v>53.0</v>
      </c>
      <c r="G98" s="197">
        <v>3.2</v>
      </c>
      <c r="H98" s="197">
        <v>3.6</v>
      </c>
      <c r="I98" s="197">
        <v>354.0</v>
      </c>
    </row>
    <row r="99">
      <c r="A99" s="114" t="s">
        <v>553</v>
      </c>
      <c r="B99" s="195" t="s">
        <v>3184</v>
      </c>
      <c r="C99" s="196">
        <v>57562.0</v>
      </c>
      <c r="D99" s="196">
        <v>59409.0</v>
      </c>
      <c r="E99" s="196">
        <v>61554.0</v>
      </c>
      <c r="F99" s="197">
        <v>53.0</v>
      </c>
      <c r="G99" s="197">
        <v>3.2</v>
      </c>
      <c r="H99" s="197">
        <v>3.6</v>
      </c>
      <c r="I99" s="197">
        <v>354.0</v>
      </c>
    </row>
    <row r="100">
      <c r="B100" s="192" t="s">
        <v>3185</v>
      </c>
      <c r="C100" s="193">
        <v>36697.0</v>
      </c>
      <c r="D100" s="193">
        <v>37995.0</v>
      </c>
      <c r="E100" s="193">
        <v>40781.0</v>
      </c>
      <c r="F100" s="194">
        <v>367.0</v>
      </c>
      <c r="G100" s="194">
        <v>3.5</v>
      </c>
      <c r="H100" s="194">
        <v>7.3</v>
      </c>
      <c r="I100" s="194">
        <v>132.0</v>
      </c>
    </row>
    <row r="101">
      <c r="B101" s="195" t="s">
        <v>3186</v>
      </c>
      <c r="C101" s="196">
        <v>38433.0</v>
      </c>
      <c r="D101" s="196">
        <v>39696.0</v>
      </c>
      <c r="E101" s="196">
        <v>44533.0</v>
      </c>
      <c r="F101" s="197">
        <v>311.0</v>
      </c>
      <c r="G101" s="197">
        <v>3.3</v>
      </c>
      <c r="H101" s="197">
        <v>12.2</v>
      </c>
      <c r="I101" s="197">
        <v>14.0</v>
      </c>
    </row>
    <row r="102">
      <c r="B102" s="192" t="s">
        <v>3187</v>
      </c>
      <c r="C102" s="193">
        <v>46905.0</v>
      </c>
      <c r="D102" s="193">
        <v>48270.0</v>
      </c>
      <c r="E102" s="193">
        <v>50953.0</v>
      </c>
      <c r="F102" s="194">
        <v>181.0</v>
      </c>
      <c r="G102" s="194">
        <v>2.9</v>
      </c>
      <c r="H102" s="194">
        <v>5.6</v>
      </c>
      <c r="I102" s="194">
        <v>272.0</v>
      </c>
    </row>
    <row r="103">
      <c r="B103" s="195" t="s">
        <v>3188</v>
      </c>
      <c r="C103" s="196">
        <v>48660.0</v>
      </c>
      <c r="D103" s="196">
        <v>49614.0</v>
      </c>
      <c r="E103" s="196">
        <v>53620.0</v>
      </c>
      <c r="F103" s="197">
        <v>135.0</v>
      </c>
      <c r="G103" s="197">
        <v>2.0</v>
      </c>
      <c r="H103" s="197">
        <v>8.1</v>
      </c>
      <c r="I103" s="197">
        <v>90.0</v>
      </c>
    </row>
    <row r="104">
      <c r="B104" s="192" t="s">
        <v>3189</v>
      </c>
      <c r="C104" s="193">
        <v>47682.0</v>
      </c>
      <c r="D104" s="193">
        <v>48990.0</v>
      </c>
      <c r="E104" s="193">
        <v>52367.0</v>
      </c>
      <c r="F104" s="194">
        <v>155.0</v>
      </c>
      <c r="G104" s="194">
        <v>2.7</v>
      </c>
      <c r="H104" s="194">
        <v>6.9</v>
      </c>
      <c r="I104" s="194">
        <v>165.0</v>
      </c>
    </row>
    <row r="105">
      <c r="B105" s="195" t="s">
        <v>3190</v>
      </c>
      <c r="C105" s="196">
        <v>38608.0</v>
      </c>
      <c r="D105" s="196">
        <v>40499.0</v>
      </c>
      <c r="E105" s="196">
        <v>43264.0</v>
      </c>
      <c r="F105" s="197">
        <v>335.0</v>
      </c>
      <c r="G105" s="197">
        <v>4.9</v>
      </c>
      <c r="H105" s="197">
        <v>6.8</v>
      </c>
      <c r="I105" s="197">
        <v>172.0</v>
      </c>
    </row>
    <row r="106">
      <c r="B106" s="192" t="s">
        <v>3191</v>
      </c>
      <c r="C106" s="193">
        <v>47662.0</v>
      </c>
      <c r="D106" s="193">
        <v>48151.0</v>
      </c>
      <c r="E106" s="193">
        <v>52196.0</v>
      </c>
      <c r="F106" s="194">
        <v>158.0</v>
      </c>
      <c r="G106" s="194">
        <v>1.0</v>
      </c>
      <c r="H106" s="194">
        <v>8.4</v>
      </c>
      <c r="I106" s="194">
        <v>70.0</v>
      </c>
    </row>
    <row r="107">
      <c r="B107" s="195" t="s">
        <v>3192</v>
      </c>
      <c r="C107" s="196">
        <v>43575.0</v>
      </c>
      <c r="D107" s="196">
        <v>45174.0</v>
      </c>
      <c r="E107" s="196">
        <v>47194.0</v>
      </c>
      <c r="F107" s="197">
        <v>262.0</v>
      </c>
      <c r="G107" s="197">
        <v>3.7</v>
      </c>
      <c r="H107" s="197">
        <v>4.5</v>
      </c>
      <c r="I107" s="197">
        <v>332.0</v>
      </c>
    </row>
    <row r="108">
      <c r="A108" s="114" t="s">
        <v>731</v>
      </c>
      <c r="B108" s="192" t="s">
        <v>3193</v>
      </c>
      <c r="C108" s="193">
        <v>64114.0</v>
      </c>
      <c r="D108" s="193">
        <v>67089.0</v>
      </c>
      <c r="E108" s="193">
        <v>69822.0</v>
      </c>
      <c r="F108" s="194">
        <v>19.0</v>
      </c>
      <c r="G108" s="194">
        <v>4.6</v>
      </c>
      <c r="H108" s="194">
        <v>4.1</v>
      </c>
      <c r="I108" s="194">
        <v>345.0</v>
      </c>
    </row>
    <row r="109">
      <c r="B109" s="195" t="s">
        <v>3194</v>
      </c>
      <c r="C109" s="196">
        <v>53814.0</v>
      </c>
      <c r="D109" s="196">
        <v>55065.0</v>
      </c>
      <c r="E109" s="196">
        <v>58076.0</v>
      </c>
      <c r="F109" s="197">
        <v>83.0</v>
      </c>
      <c r="G109" s="197">
        <v>2.3</v>
      </c>
      <c r="H109" s="197">
        <v>5.5</v>
      </c>
      <c r="I109" s="197">
        <v>279.0</v>
      </c>
    </row>
    <row r="110">
      <c r="A110" s="30" t="s">
        <v>2510</v>
      </c>
      <c r="B110" s="192" t="s">
        <v>3195</v>
      </c>
      <c r="C110" s="193">
        <v>52469.0</v>
      </c>
      <c r="D110" s="193">
        <v>54213.0</v>
      </c>
      <c r="E110" s="193">
        <v>58356.0</v>
      </c>
      <c r="F110" s="194">
        <v>81.0</v>
      </c>
      <c r="G110" s="194">
        <v>3.3</v>
      </c>
      <c r="H110" s="194">
        <v>7.6</v>
      </c>
      <c r="I110" s="194">
        <v>111.0</v>
      </c>
    </row>
    <row r="111">
      <c r="B111" s="195" t="s">
        <v>3196</v>
      </c>
      <c r="C111" s="196">
        <v>41141.0</v>
      </c>
      <c r="D111" s="196">
        <v>42857.0</v>
      </c>
      <c r="E111" s="196">
        <v>45349.0</v>
      </c>
      <c r="F111" s="197">
        <v>297.0</v>
      </c>
      <c r="G111" s="197">
        <v>4.2</v>
      </c>
      <c r="H111" s="197">
        <v>5.8</v>
      </c>
      <c r="I111" s="197">
        <v>249.0</v>
      </c>
    </row>
    <row r="112">
      <c r="B112" s="192" t="s">
        <v>2466</v>
      </c>
      <c r="C112" s="193">
        <v>42155.0</v>
      </c>
      <c r="D112" s="193">
        <v>43761.0</v>
      </c>
      <c r="E112" s="193">
        <v>46600.0</v>
      </c>
      <c r="F112" s="194">
        <v>273.0</v>
      </c>
      <c r="G112" s="194">
        <v>3.8</v>
      </c>
      <c r="H112" s="194">
        <v>6.5</v>
      </c>
      <c r="I112" s="194">
        <v>199.0</v>
      </c>
    </row>
    <row r="113">
      <c r="B113" s="195" t="s">
        <v>3197</v>
      </c>
      <c r="C113" s="196">
        <v>49703.0</v>
      </c>
      <c r="D113" s="196">
        <v>51329.0</v>
      </c>
      <c r="E113" s="196">
        <v>54751.0</v>
      </c>
      <c r="F113" s="197">
        <v>124.0</v>
      </c>
      <c r="G113" s="197">
        <v>3.3</v>
      </c>
      <c r="H113" s="197">
        <v>6.7</v>
      </c>
      <c r="I113" s="197">
        <v>188.0</v>
      </c>
    </row>
    <row r="114">
      <c r="B114" s="192" t="s">
        <v>3198</v>
      </c>
      <c r="C114" s="193">
        <v>45717.0</v>
      </c>
      <c r="D114" s="193">
        <v>47150.0</v>
      </c>
      <c r="E114" s="193">
        <v>49785.0</v>
      </c>
      <c r="F114" s="194">
        <v>209.0</v>
      </c>
      <c r="G114" s="194">
        <v>3.1</v>
      </c>
      <c r="H114" s="194">
        <v>5.6</v>
      </c>
      <c r="I114" s="194">
        <v>269.0</v>
      </c>
    </row>
    <row r="115">
      <c r="B115" s="195" t="s">
        <v>3199</v>
      </c>
      <c r="C115" s="196">
        <v>52243.0</v>
      </c>
      <c r="D115" s="196">
        <v>54408.0</v>
      </c>
      <c r="E115" s="196">
        <v>56703.0</v>
      </c>
      <c r="F115" s="197">
        <v>95.0</v>
      </c>
      <c r="G115" s="197">
        <v>4.1</v>
      </c>
      <c r="H115" s="197">
        <v>4.2</v>
      </c>
      <c r="I115" s="197">
        <v>340.0</v>
      </c>
    </row>
    <row r="116">
      <c r="B116" s="192" t="s">
        <v>3200</v>
      </c>
      <c r="C116" s="193">
        <v>42708.0</v>
      </c>
      <c r="D116" s="193">
        <v>44150.0</v>
      </c>
      <c r="E116" s="193">
        <v>48409.0</v>
      </c>
      <c r="F116" s="194">
        <v>233.0</v>
      </c>
      <c r="G116" s="194">
        <v>3.4</v>
      </c>
      <c r="H116" s="194">
        <v>9.6</v>
      </c>
      <c r="I116" s="194">
        <v>36.0</v>
      </c>
    </row>
    <row r="117">
      <c r="B117" s="195" t="s">
        <v>3201</v>
      </c>
      <c r="C117" s="196">
        <v>47300.0</v>
      </c>
      <c r="D117" s="196">
        <v>48822.0</v>
      </c>
      <c r="E117" s="196">
        <v>51569.0</v>
      </c>
      <c r="F117" s="197">
        <v>171.0</v>
      </c>
      <c r="G117" s="197">
        <v>3.2</v>
      </c>
      <c r="H117" s="197">
        <v>5.6</v>
      </c>
      <c r="I117" s="197">
        <v>262.0</v>
      </c>
    </row>
    <row r="118">
      <c r="B118" s="192" t="s">
        <v>3202</v>
      </c>
      <c r="C118" s="193">
        <v>35331.0</v>
      </c>
      <c r="D118" s="193">
        <v>37196.0</v>
      </c>
      <c r="E118" s="193">
        <v>44500.0</v>
      </c>
      <c r="F118" s="194">
        <v>315.0</v>
      </c>
      <c r="G118" s="194">
        <v>5.3</v>
      </c>
      <c r="H118" s="194">
        <v>19.6</v>
      </c>
      <c r="I118" s="194">
        <v>1.0</v>
      </c>
    </row>
    <row r="119">
      <c r="B119" s="195" t="s">
        <v>3203</v>
      </c>
      <c r="C119" s="196">
        <v>41440.0</v>
      </c>
      <c r="D119" s="196">
        <v>43331.0</v>
      </c>
      <c r="E119" s="196">
        <v>46770.0</v>
      </c>
      <c r="F119" s="197">
        <v>269.0</v>
      </c>
      <c r="G119" s="197">
        <v>4.6</v>
      </c>
      <c r="H119" s="197">
        <v>7.9</v>
      </c>
      <c r="I119" s="197">
        <v>94.0</v>
      </c>
    </row>
    <row r="120">
      <c r="B120" s="192" t="s">
        <v>3204</v>
      </c>
      <c r="C120" s="193">
        <v>46541.0</v>
      </c>
      <c r="D120" s="193">
        <v>46845.0</v>
      </c>
      <c r="E120" s="193">
        <v>49875.0</v>
      </c>
      <c r="F120" s="194">
        <v>204.0</v>
      </c>
      <c r="G120" s="194">
        <v>0.7</v>
      </c>
      <c r="H120" s="194">
        <v>6.5</v>
      </c>
      <c r="I120" s="194">
        <v>202.0</v>
      </c>
    </row>
    <row r="121">
      <c r="B121" s="195" t="s">
        <v>3205</v>
      </c>
      <c r="C121" s="196">
        <v>43941.0</v>
      </c>
      <c r="D121" s="196">
        <v>45658.0</v>
      </c>
      <c r="E121" s="196">
        <v>49439.0</v>
      </c>
      <c r="F121" s="197">
        <v>215.0</v>
      </c>
      <c r="G121" s="197">
        <v>3.9</v>
      </c>
      <c r="H121" s="197">
        <v>8.3</v>
      </c>
      <c r="I121" s="197">
        <v>79.0</v>
      </c>
    </row>
    <row r="122">
      <c r="A122" s="114" t="s">
        <v>777</v>
      </c>
      <c r="B122" s="192" t="s">
        <v>777</v>
      </c>
      <c r="C122" s="193">
        <v>36347.0</v>
      </c>
      <c r="D122" s="193">
        <v>38681.0</v>
      </c>
      <c r="E122" s="193">
        <v>41732.0</v>
      </c>
      <c r="F122" s="194">
        <v>356.0</v>
      </c>
      <c r="G122" s="194">
        <v>6.4</v>
      </c>
      <c r="H122" s="194">
        <v>7.9</v>
      </c>
      <c r="I122" s="194">
        <v>99.0</v>
      </c>
    </row>
    <row r="123">
      <c r="B123" s="195" t="s">
        <v>3206</v>
      </c>
      <c r="C123" s="196">
        <v>44288.0</v>
      </c>
      <c r="D123" s="196">
        <v>45053.0</v>
      </c>
      <c r="E123" s="196">
        <v>46702.0</v>
      </c>
      <c r="F123" s="197">
        <v>270.0</v>
      </c>
      <c r="G123" s="197">
        <v>1.7</v>
      </c>
      <c r="H123" s="197">
        <v>3.7</v>
      </c>
      <c r="I123" s="197">
        <v>351.0</v>
      </c>
    </row>
    <row r="124">
      <c r="B124" s="192" t="s">
        <v>3207</v>
      </c>
      <c r="C124" s="193">
        <v>44740.0</v>
      </c>
      <c r="D124" s="193">
        <v>46259.0</v>
      </c>
      <c r="E124" s="193">
        <v>50536.0</v>
      </c>
      <c r="F124" s="194">
        <v>190.0</v>
      </c>
      <c r="G124" s="194">
        <v>3.4</v>
      </c>
      <c r="H124" s="194">
        <v>9.2</v>
      </c>
      <c r="I124" s="194">
        <v>43.0</v>
      </c>
    </row>
    <row r="125">
      <c r="B125" s="195" t="s">
        <v>3208</v>
      </c>
      <c r="C125" s="196">
        <v>44957.0</v>
      </c>
      <c r="D125" s="196">
        <v>45960.0</v>
      </c>
      <c r="E125" s="196">
        <v>49583.0</v>
      </c>
      <c r="F125" s="197">
        <v>211.0</v>
      </c>
      <c r="G125" s="197">
        <v>2.2</v>
      </c>
      <c r="H125" s="197">
        <v>7.9</v>
      </c>
      <c r="I125" s="197">
        <v>102.0</v>
      </c>
    </row>
    <row r="126">
      <c r="B126" s="192" t="s">
        <v>3209</v>
      </c>
      <c r="C126" s="193">
        <v>46925.0</v>
      </c>
      <c r="D126" s="193">
        <v>49168.0</v>
      </c>
      <c r="E126" s="193">
        <v>51695.0</v>
      </c>
      <c r="F126" s="194">
        <v>169.0</v>
      </c>
      <c r="G126" s="194">
        <v>4.8</v>
      </c>
      <c r="H126" s="194">
        <v>5.1</v>
      </c>
      <c r="I126" s="194">
        <v>292.0</v>
      </c>
    </row>
    <row r="127">
      <c r="B127" s="195" t="s">
        <v>2453</v>
      </c>
      <c r="C127" s="196">
        <v>56888.0</v>
      </c>
      <c r="D127" s="196">
        <v>59194.0</v>
      </c>
      <c r="E127" s="196">
        <v>62254.0</v>
      </c>
      <c r="F127" s="197">
        <v>46.0</v>
      </c>
      <c r="G127" s="197">
        <v>4.1</v>
      </c>
      <c r="H127" s="197">
        <v>5.2</v>
      </c>
      <c r="I127" s="197">
        <v>290.0</v>
      </c>
    </row>
    <row r="128">
      <c r="B128" s="192" t="s">
        <v>3210</v>
      </c>
      <c r="C128" s="193">
        <v>53618.0</v>
      </c>
      <c r="D128" s="193">
        <v>55292.0</v>
      </c>
      <c r="E128" s="193">
        <v>58158.0</v>
      </c>
      <c r="F128" s="194">
        <v>82.0</v>
      </c>
      <c r="G128" s="194">
        <v>3.1</v>
      </c>
      <c r="H128" s="194">
        <v>5.2</v>
      </c>
      <c r="I128" s="194">
        <v>288.0</v>
      </c>
    </row>
    <row r="129">
      <c r="B129" s="195" t="s">
        <v>3211</v>
      </c>
      <c r="C129" s="196">
        <v>35408.0</v>
      </c>
      <c r="D129" s="196">
        <v>36095.0</v>
      </c>
      <c r="E129" s="196">
        <v>38370.0</v>
      </c>
      <c r="F129" s="197">
        <v>377.0</v>
      </c>
      <c r="G129" s="197">
        <v>1.9</v>
      </c>
      <c r="H129" s="197">
        <v>6.3</v>
      </c>
      <c r="I129" s="197">
        <v>217.0</v>
      </c>
    </row>
    <row r="130">
      <c r="B130" s="192" t="s">
        <v>3212</v>
      </c>
      <c r="C130" s="193">
        <v>36324.0</v>
      </c>
      <c r="D130" s="193">
        <v>38060.0</v>
      </c>
      <c r="E130" s="193">
        <v>40972.0</v>
      </c>
      <c r="F130" s="194">
        <v>363.0</v>
      </c>
      <c r="G130" s="194">
        <v>4.8</v>
      </c>
      <c r="H130" s="194">
        <v>7.7</v>
      </c>
      <c r="I130" s="194">
        <v>110.0</v>
      </c>
    </row>
    <row r="131">
      <c r="B131" s="195" t="s">
        <v>3213</v>
      </c>
      <c r="C131" s="196">
        <v>67281.0</v>
      </c>
      <c r="D131" s="196">
        <v>68808.0</v>
      </c>
      <c r="E131" s="196">
        <v>70085.0</v>
      </c>
      <c r="F131" s="197">
        <v>17.0</v>
      </c>
      <c r="G131" s="197">
        <v>2.3</v>
      </c>
      <c r="H131" s="197">
        <v>1.9</v>
      </c>
      <c r="I131" s="197">
        <v>376.0</v>
      </c>
    </row>
    <row r="132">
      <c r="B132" s="192" t="s">
        <v>3214</v>
      </c>
      <c r="C132" s="193">
        <v>48416.0</v>
      </c>
      <c r="D132" s="193">
        <v>48837.0</v>
      </c>
      <c r="E132" s="193">
        <v>53036.0</v>
      </c>
      <c r="F132" s="194">
        <v>142.0</v>
      </c>
      <c r="G132" s="194">
        <v>0.9</v>
      </c>
      <c r="H132" s="194">
        <v>8.6</v>
      </c>
      <c r="I132" s="194">
        <v>60.0</v>
      </c>
    </row>
    <row r="133">
      <c r="B133" s="195" t="s">
        <v>2509</v>
      </c>
      <c r="C133" s="196">
        <v>40495.0</v>
      </c>
      <c r="D133" s="196">
        <v>41940.0</v>
      </c>
      <c r="E133" s="196">
        <v>46152.0</v>
      </c>
      <c r="F133" s="197">
        <v>284.0</v>
      </c>
      <c r="G133" s="197">
        <v>3.6</v>
      </c>
      <c r="H133" s="197">
        <v>10.0</v>
      </c>
      <c r="I133" s="197">
        <v>32.0</v>
      </c>
    </row>
    <row r="134">
      <c r="B134" s="192" t="s">
        <v>3215</v>
      </c>
      <c r="C134" s="193">
        <v>40184.0</v>
      </c>
      <c r="D134" s="193">
        <v>42238.0</v>
      </c>
      <c r="E134" s="193">
        <v>45178.0</v>
      </c>
      <c r="F134" s="194">
        <v>301.0</v>
      </c>
      <c r="G134" s="194">
        <v>5.1</v>
      </c>
      <c r="H134" s="194">
        <v>7.0</v>
      </c>
      <c r="I134" s="194">
        <v>160.0</v>
      </c>
    </row>
    <row r="135">
      <c r="B135" s="195" t="s">
        <v>3216</v>
      </c>
      <c r="C135" s="196">
        <v>37042.0</v>
      </c>
      <c r="D135" s="196">
        <v>38405.0</v>
      </c>
      <c r="E135" s="196">
        <v>41181.0</v>
      </c>
      <c r="F135" s="197">
        <v>361.0</v>
      </c>
      <c r="G135" s="197">
        <v>3.7</v>
      </c>
      <c r="H135" s="197">
        <v>7.2</v>
      </c>
      <c r="I135" s="197">
        <v>138.0</v>
      </c>
    </row>
    <row r="136">
      <c r="B136" s="192" t="s">
        <v>3217</v>
      </c>
      <c r="C136" s="193">
        <v>48245.0</v>
      </c>
      <c r="D136" s="193">
        <v>49922.0</v>
      </c>
      <c r="E136" s="193">
        <v>52813.0</v>
      </c>
      <c r="F136" s="194">
        <v>144.0</v>
      </c>
      <c r="G136" s="194">
        <v>3.5</v>
      </c>
      <c r="H136" s="194">
        <v>5.8</v>
      </c>
      <c r="I136" s="194">
        <v>252.0</v>
      </c>
    </row>
    <row r="137">
      <c r="B137" s="195" t="s">
        <v>3218</v>
      </c>
      <c r="C137" s="196">
        <v>53836.0</v>
      </c>
      <c r="D137" s="196">
        <v>55935.0</v>
      </c>
      <c r="E137" s="196">
        <v>58725.0</v>
      </c>
      <c r="F137" s="197">
        <v>75.0</v>
      </c>
      <c r="G137" s="197">
        <v>3.9</v>
      </c>
      <c r="H137" s="197">
        <v>5.0</v>
      </c>
      <c r="I137" s="197">
        <v>302.0</v>
      </c>
    </row>
    <row r="138">
      <c r="B138" s="192" t="s">
        <v>3219</v>
      </c>
      <c r="C138" s="193">
        <v>37211.0</v>
      </c>
      <c r="D138" s="193">
        <v>38666.0</v>
      </c>
      <c r="E138" s="193">
        <v>40801.0</v>
      </c>
      <c r="F138" s="194">
        <v>365.0</v>
      </c>
      <c r="G138" s="194">
        <v>3.9</v>
      </c>
      <c r="H138" s="194">
        <v>5.5</v>
      </c>
      <c r="I138" s="194">
        <v>274.0</v>
      </c>
    </row>
    <row r="139">
      <c r="B139" s="195" t="s">
        <v>2413</v>
      </c>
      <c r="C139" s="196">
        <v>46551.0</v>
      </c>
      <c r="D139" s="196">
        <v>47762.0</v>
      </c>
      <c r="E139" s="196">
        <v>50238.0</v>
      </c>
      <c r="F139" s="197">
        <v>196.0</v>
      </c>
      <c r="G139" s="197">
        <v>2.6</v>
      </c>
      <c r="H139" s="197">
        <v>5.2</v>
      </c>
      <c r="I139" s="197">
        <v>287.0</v>
      </c>
    </row>
    <row r="140">
      <c r="A140" s="114" t="s">
        <v>1024</v>
      </c>
      <c r="B140" s="192" t="s">
        <v>1024</v>
      </c>
      <c r="C140" s="193">
        <v>41248.0</v>
      </c>
      <c r="D140" s="193">
        <v>43019.0</v>
      </c>
      <c r="E140" s="193">
        <v>48495.0</v>
      </c>
      <c r="F140" s="194">
        <v>231.0</v>
      </c>
      <c r="G140" s="194">
        <v>4.3</v>
      </c>
      <c r="H140" s="194">
        <v>12.7</v>
      </c>
      <c r="I140" s="194">
        <v>12.0</v>
      </c>
    </row>
    <row r="141">
      <c r="B141" s="195" t="s">
        <v>3220</v>
      </c>
      <c r="C141" s="196">
        <v>36583.0</v>
      </c>
      <c r="D141" s="196">
        <v>37700.0</v>
      </c>
      <c r="E141" s="196">
        <v>39852.0</v>
      </c>
      <c r="F141" s="197">
        <v>374.0</v>
      </c>
      <c r="G141" s="197">
        <v>3.1</v>
      </c>
      <c r="H141" s="197">
        <v>5.7</v>
      </c>
      <c r="I141" s="197">
        <v>256.0</v>
      </c>
    </row>
    <row r="142">
      <c r="B142" s="192" t="s">
        <v>3221</v>
      </c>
      <c r="C142" s="193">
        <v>43026.0</v>
      </c>
      <c r="D142" s="193">
        <v>44734.0</v>
      </c>
      <c r="E142" s="193">
        <v>47729.0</v>
      </c>
      <c r="F142" s="194">
        <v>251.0</v>
      </c>
      <c r="G142" s="194">
        <v>4.0</v>
      </c>
      <c r="H142" s="194">
        <v>6.7</v>
      </c>
      <c r="I142" s="194">
        <v>184.0</v>
      </c>
    </row>
    <row r="143">
      <c r="B143" s="195" t="s">
        <v>3222</v>
      </c>
      <c r="C143" s="196">
        <v>44831.0</v>
      </c>
      <c r="D143" s="196">
        <v>46409.0</v>
      </c>
      <c r="E143" s="196">
        <v>48759.0</v>
      </c>
      <c r="F143" s="197">
        <v>225.0</v>
      </c>
      <c r="G143" s="197">
        <v>3.5</v>
      </c>
      <c r="H143" s="197">
        <v>5.1</v>
      </c>
      <c r="I143" s="197">
        <v>297.0</v>
      </c>
    </row>
    <row r="144">
      <c r="B144" s="192" t="s">
        <v>3223</v>
      </c>
      <c r="C144" s="193">
        <v>48826.0</v>
      </c>
      <c r="D144" s="193">
        <v>50785.0</v>
      </c>
      <c r="E144" s="193">
        <v>54172.0</v>
      </c>
      <c r="F144" s="194">
        <v>131.0</v>
      </c>
      <c r="G144" s="194">
        <v>4.0</v>
      </c>
      <c r="H144" s="194">
        <v>6.7</v>
      </c>
      <c r="I144" s="194">
        <v>187.0</v>
      </c>
    </row>
    <row r="145">
      <c r="B145" s="195" t="s">
        <v>3224</v>
      </c>
      <c r="C145" s="196">
        <v>46461.0</v>
      </c>
      <c r="D145" s="196">
        <v>48527.0</v>
      </c>
      <c r="E145" s="196">
        <v>53074.0</v>
      </c>
      <c r="F145" s="197">
        <v>140.0</v>
      </c>
      <c r="G145" s="197">
        <v>4.4</v>
      </c>
      <c r="H145" s="197">
        <v>9.4</v>
      </c>
      <c r="I145" s="197">
        <v>40.0</v>
      </c>
    </row>
    <row r="146">
      <c r="B146" s="192" t="s">
        <v>3225</v>
      </c>
      <c r="C146" s="193">
        <v>38115.0</v>
      </c>
      <c r="D146" s="193">
        <v>40116.0</v>
      </c>
      <c r="E146" s="193">
        <v>42882.0</v>
      </c>
      <c r="F146" s="194">
        <v>341.0</v>
      </c>
      <c r="G146" s="194">
        <v>5.2</v>
      </c>
      <c r="H146" s="194">
        <v>6.9</v>
      </c>
      <c r="I146" s="194">
        <v>164.0</v>
      </c>
    </row>
    <row r="147">
      <c r="B147" s="195" t="s">
        <v>3226</v>
      </c>
      <c r="C147" s="196">
        <v>49813.0</v>
      </c>
      <c r="D147" s="196">
        <v>51429.0</v>
      </c>
      <c r="E147" s="196">
        <v>57102.0</v>
      </c>
      <c r="F147" s="197">
        <v>92.0</v>
      </c>
      <c r="G147" s="197">
        <v>3.2</v>
      </c>
      <c r="H147" s="197">
        <v>11.0</v>
      </c>
      <c r="I147" s="197">
        <v>21.0</v>
      </c>
    </row>
    <row r="148">
      <c r="B148" s="192" t="s">
        <v>3227</v>
      </c>
      <c r="C148" s="193">
        <v>43165.0</v>
      </c>
      <c r="D148" s="193">
        <v>44836.0</v>
      </c>
      <c r="E148" s="193">
        <v>48375.0</v>
      </c>
      <c r="F148" s="194">
        <v>234.0</v>
      </c>
      <c r="G148" s="194">
        <v>3.9</v>
      </c>
      <c r="H148" s="194">
        <v>7.9</v>
      </c>
      <c r="I148" s="194">
        <v>98.0</v>
      </c>
    </row>
    <row r="149">
      <c r="B149" s="195" t="s">
        <v>3228</v>
      </c>
      <c r="C149" s="196">
        <v>44691.0</v>
      </c>
      <c r="D149" s="196">
        <v>45898.0</v>
      </c>
      <c r="E149" s="196">
        <v>48435.0</v>
      </c>
      <c r="F149" s="197">
        <v>232.0</v>
      </c>
      <c r="G149" s="197">
        <v>2.7</v>
      </c>
      <c r="H149" s="197">
        <v>5.5</v>
      </c>
      <c r="I149" s="197">
        <v>273.0</v>
      </c>
    </row>
    <row r="150">
      <c r="B150" s="192" t="s">
        <v>3229</v>
      </c>
      <c r="C150" s="193">
        <v>49040.0</v>
      </c>
      <c r="D150" s="193">
        <v>50474.0</v>
      </c>
      <c r="E150" s="193">
        <v>54037.0</v>
      </c>
      <c r="F150" s="194">
        <v>133.0</v>
      </c>
      <c r="G150" s="194">
        <v>2.9</v>
      </c>
      <c r="H150" s="194">
        <v>7.1</v>
      </c>
      <c r="I150" s="194">
        <v>153.0</v>
      </c>
    </row>
    <row r="151">
      <c r="B151" s="195" t="s">
        <v>3230</v>
      </c>
      <c r="C151" s="196">
        <v>40980.0</v>
      </c>
      <c r="D151" s="196">
        <v>43694.0</v>
      </c>
      <c r="E151" s="196">
        <v>46913.0</v>
      </c>
      <c r="F151" s="197">
        <v>267.0</v>
      </c>
      <c r="G151" s="197">
        <v>6.6</v>
      </c>
      <c r="H151" s="197">
        <v>7.4</v>
      </c>
      <c r="I151" s="197">
        <v>130.0</v>
      </c>
    </row>
    <row r="152">
      <c r="B152" s="192" t="s">
        <v>3231</v>
      </c>
      <c r="C152" s="193">
        <v>47529.0</v>
      </c>
      <c r="D152" s="193">
        <v>49201.0</v>
      </c>
      <c r="E152" s="193">
        <v>52226.0</v>
      </c>
      <c r="F152" s="194">
        <v>157.0</v>
      </c>
      <c r="G152" s="194">
        <v>3.5</v>
      </c>
      <c r="H152" s="194">
        <v>6.1</v>
      </c>
      <c r="I152" s="194">
        <v>223.0</v>
      </c>
    </row>
    <row r="153">
      <c r="B153" s="195" t="s">
        <v>3232</v>
      </c>
      <c r="C153" s="196">
        <v>47884.0</v>
      </c>
      <c r="D153" s="196">
        <v>48923.0</v>
      </c>
      <c r="E153" s="196">
        <v>52054.0</v>
      </c>
      <c r="F153" s="197">
        <v>160.0</v>
      </c>
      <c r="G153" s="197">
        <v>2.2</v>
      </c>
      <c r="H153" s="197">
        <v>6.4</v>
      </c>
      <c r="I153" s="197">
        <v>208.0</v>
      </c>
    </row>
    <row r="154">
      <c r="B154" s="192" t="s">
        <v>3233</v>
      </c>
      <c r="C154" s="193">
        <v>51276.0</v>
      </c>
      <c r="D154" s="193">
        <v>52453.0</v>
      </c>
      <c r="E154" s="193">
        <v>55159.0</v>
      </c>
      <c r="F154" s="194">
        <v>115.0</v>
      </c>
      <c r="G154" s="194">
        <v>2.3</v>
      </c>
      <c r="H154" s="194">
        <v>5.2</v>
      </c>
      <c r="I154" s="194">
        <v>291.0</v>
      </c>
    </row>
    <row r="155">
      <c r="B155" s="195" t="s">
        <v>3234</v>
      </c>
      <c r="C155" s="196">
        <v>42745.0</v>
      </c>
      <c r="D155" s="196">
        <v>44456.0</v>
      </c>
      <c r="E155" s="196">
        <v>47171.0</v>
      </c>
      <c r="F155" s="197">
        <v>263.0</v>
      </c>
      <c r="G155" s="197">
        <v>4.0</v>
      </c>
      <c r="H155" s="197">
        <v>6.1</v>
      </c>
      <c r="I155" s="197">
        <v>227.0</v>
      </c>
    </row>
    <row r="156">
      <c r="B156" s="192" t="s">
        <v>3235</v>
      </c>
      <c r="C156" s="193">
        <v>41163.0</v>
      </c>
      <c r="D156" s="193">
        <v>42882.0</v>
      </c>
      <c r="E156" s="193">
        <v>45169.0</v>
      </c>
      <c r="F156" s="194">
        <v>302.0</v>
      </c>
      <c r="G156" s="194">
        <v>4.2</v>
      </c>
      <c r="H156" s="194">
        <v>5.3</v>
      </c>
      <c r="I156" s="194">
        <v>283.0</v>
      </c>
    </row>
    <row r="157">
      <c r="B157" s="195" t="s">
        <v>3236</v>
      </c>
      <c r="C157" s="196">
        <v>44160.0</v>
      </c>
      <c r="D157" s="196">
        <v>45505.0</v>
      </c>
      <c r="E157" s="196">
        <v>47836.0</v>
      </c>
      <c r="F157" s="197">
        <v>246.0</v>
      </c>
      <c r="G157" s="197">
        <v>3.0</v>
      </c>
      <c r="H157" s="197">
        <v>5.1</v>
      </c>
      <c r="I157" s="197">
        <v>294.0</v>
      </c>
    </row>
    <row r="158">
      <c r="B158" s="192" t="s">
        <v>3237</v>
      </c>
      <c r="C158" s="193">
        <v>36703.0</v>
      </c>
      <c r="D158" s="193">
        <v>37983.0</v>
      </c>
      <c r="E158" s="193">
        <v>41111.0</v>
      </c>
      <c r="F158" s="194">
        <v>362.0</v>
      </c>
      <c r="G158" s="194">
        <v>3.5</v>
      </c>
      <c r="H158" s="194">
        <v>8.2</v>
      </c>
      <c r="I158" s="194">
        <v>81.0</v>
      </c>
    </row>
    <row r="159">
      <c r="B159" s="195" t="s">
        <v>3238</v>
      </c>
      <c r="C159" s="196">
        <v>43505.0</v>
      </c>
      <c r="D159" s="196">
        <v>44637.0</v>
      </c>
      <c r="E159" s="196">
        <v>47759.0</v>
      </c>
      <c r="F159" s="197">
        <v>250.0</v>
      </c>
      <c r="G159" s="197">
        <v>2.6</v>
      </c>
      <c r="H159" s="197">
        <v>7.0</v>
      </c>
      <c r="I159" s="197">
        <v>157.0</v>
      </c>
    </row>
    <row r="160">
      <c r="B160" s="192" t="s">
        <v>3239</v>
      </c>
      <c r="C160" s="193">
        <v>37928.0</v>
      </c>
      <c r="D160" s="193">
        <v>38963.0</v>
      </c>
      <c r="E160" s="193">
        <v>41792.0</v>
      </c>
      <c r="F160" s="194">
        <v>353.0</v>
      </c>
      <c r="G160" s="194">
        <v>2.7</v>
      </c>
      <c r="H160" s="194">
        <v>7.3</v>
      </c>
      <c r="I160" s="194">
        <v>136.0</v>
      </c>
    </row>
    <row r="161">
      <c r="B161" s="195" t="s">
        <v>3240</v>
      </c>
      <c r="C161" s="196">
        <v>35267.0</v>
      </c>
      <c r="D161" s="196">
        <v>36442.0</v>
      </c>
      <c r="E161" s="196">
        <v>41829.0</v>
      </c>
      <c r="F161" s="197">
        <v>351.0</v>
      </c>
      <c r="G161" s="197">
        <v>3.3</v>
      </c>
      <c r="H161" s="197">
        <v>14.8</v>
      </c>
      <c r="I161" s="197">
        <v>7.0</v>
      </c>
    </row>
    <row r="162">
      <c r="B162" s="192" t="s">
        <v>3241</v>
      </c>
      <c r="C162" s="193">
        <v>52270.0</v>
      </c>
      <c r="D162" s="193">
        <v>54304.0</v>
      </c>
      <c r="E162" s="193">
        <v>58372.0</v>
      </c>
      <c r="F162" s="194">
        <v>80.0</v>
      </c>
      <c r="G162" s="194">
        <v>3.9</v>
      </c>
      <c r="H162" s="194">
        <v>7.5</v>
      </c>
      <c r="I162" s="194">
        <v>122.0</v>
      </c>
    </row>
    <row r="163">
      <c r="B163" s="195" t="s">
        <v>3242</v>
      </c>
      <c r="C163" s="196">
        <v>39471.0</v>
      </c>
      <c r="D163" s="196">
        <v>40413.0</v>
      </c>
      <c r="E163" s="196">
        <v>43232.0</v>
      </c>
      <c r="F163" s="197">
        <v>336.0</v>
      </c>
      <c r="G163" s="197">
        <v>2.4</v>
      </c>
      <c r="H163" s="197">
        <v>7.0</v>
      </c>
      <c r="I163" s="197">
        <v>158.0</v>
      </c>
    </row>
    <row r="164">
      <c r="B164" s="192" t="s">
        <v>3243</v>
      </c>
      <c r="C164" s="193">
        <v>62445.0</v>
      </c>
      <c r="D164" s="193">
        <v>64101.0</v>
      </c>
      <c r="E164" s="193">
        <v>67343.0</v>
      </c>
      <c r="F164" s="194">
        <v>27.0</v>
      </c>
      <c r="G164" s="194">
        <v>2.7</v>
      </c>
      <c r="H164" s="194">
        <v>5.1</v>
      </c>
      <c r="I164" s="194">
        <v>298.0</v>
      </c>
    </row>
    <row r="165">
      <c r="B165" s="195" t="s">
        <v>3244</v>
      </c>
      <c r="C165" s="196">
        <v>38334.0</v>
      </c>
      <c r="D165" s="196">
        <v>39076.0</v>
      </c>
      <c r="E165" s="196">
        <v>41779.0</v>
      </c>
      <c r="F165" s="197">
        <v>354.0</v>
      </c>
      <c r="G165" s="197">
        <v>1.9</v>
      </c>
      <c r="H165" s="197">
        <v>6.9</v>
      </c>
      <c r="I165" s="197">
        <v>163.0</v>
      </c>
    </row>
    <row r="166">
      <c r="B166" s="192" t="s">
        <v>3245</v>
      </c>
      <c r="C166" s="193">
        <v>39205.0</v>
      </c>
      <c r="D166" s="193">
        <v>40607.0</v>
      </c>
      <c r="E166" s="193">
        <v>43496.0</v>
      </c>
      <c r="F166" s="194">
        <v>333.0</v>
      </c>
      <c r="G166" s="194">
        <v>3.6</v>
      </c>
      <c r="H166" s="194">
        <v>7.1</v>
      </c>
      <c r="I166" s="194">
        <v>146.0</v>
      </c>
    </row>
    <row r="167">
      <c r="B167" s="195" t="s">
        <v>3246</v>
      </c>
      <c r="C167" s="196">
        <v>52973.0</v>
      </c>
      <c r="D167" s="196">
        <v>55636.0</v>
      </c>
      <c r="E167" s="196">
        <v>57565.0</v>
      </c>
      <c r="F167" s="197">
        <v>89.0</v>
      </c>
      <c r="G167" s="197">
        <v>5.0</v>
      </c>
      <c r="H167" s="197">
        <v>3.5</v>
      </c>
      <c r="I167" s="197">
        <v>358.0</v>
      </c>
    </row>
    <row r="168">
      <c r="B168" s="192" t="s">
        <v>3247</v>
      </c>
      <c r="C168" s="193">
        <v>34575.0</v>
      </c>
      <c r="D168" s="193">
        <v>34832.0</v>
      </c>
      <c r="E168" s="193">
        <v>37578.0</v>
      </c>
      <c r="F168" s="194">
        <v>379.0</v>
      </c>
      <c r="G168" s="194">
        <v>0.7</v>
      </c>
      <c r="H168" s="194">
        <v>7.9</v>
      </c>
      <c r="I168" s="194">
        <v>101.0</v>
      </c>
    </row>
    <row r="169">
      <c r="B169" s="195" t="s">
        <v>3248</v>
      </c>
      <c r="C169" s="196">
        <v>38263.0</v>
      </c>
      <c r="D169" s="196">
        <v>39701.0</v>
      </c>
      <c r="E169" s="196">
        <v>41933.0</v>
      </c>
      <c r="F169" s="197">
        <v>350.0</v>
      </c>
      <c r="G169" s="197">
        <v>3.8</v>
      </c>
      <c r="H169" s="197">
        <v>5.6</v>
      </c>
      <c r="I169" s="197">
        <v>263.0</v>
      </c>
    </row>
    <row r="170">
      <c r="B170" s="192" t="s">
        <v>3249</v>
      </c>
      <c r="C170" s="193">
        <v>40053.0</v>
      </c>
      <c r="D170" s="193">
        <v>41502.0</v>
      </c>
      <c r="E170" s="193">
        <v>44358.0</v>
      </c>
      <c r="F170" s="194">
        <v>319.0</v>
      </c>
      <c r="G170" s="194">
        <v>3.6</v>
      </c>
      <c r="H170" s="194">
        <v>6.9</v>
      </c>
      <c r="I170" s="194">
        <v>167.0</v>
      </c>
    </row>
    <row r="171">
      <c r="B171" s="195" t="s">
        <v>3250</v>
      </c>
      <c r="C171" s="196">
        <v>42818.0</v>
      </c>
      <c r="D171" s="196">
        <v>44110.0</v>
      </c>
      <c r="E171" s="196">
        <v>47259.0</v>
      </c>
      <c r="F171" s="197">
        <v>260.0</v>
      </c>
      <c r="G171" s="197">
        <v>3.0</v>
      </c>
      <c r="H171" s="197">
        <v>7.1</v>
      </c>
      <c r="I171" s="197">
        <v>145.0</v>
      </c>
    </row>
    <row r="172">
      <c r="A172" s="114" t="s">
        <v>160</v>
      </c>
      <c r="B172" s="192" t="s">
        <v>3251</v>
      </c>
      <c r="C172" s="193">
        <v>57875.0</v>
      </c>
      <c r="D172" s="193">
        <v>58884.0</v>
      </c>
      <c r="E172" s="193">
        <v>59893.0</v>
      </c>
      <c r="F172" s="194">
        <v>68.0</v>
      </c>
      <c r="G172" s="194">
        <v>1.7</v>
      </c>
      <c r="H172" s="194">
        <v>1.7</v>
      </c>
      <c r="I172" s="194">
        <v>377.0</v>
      </c>
    </row>
    <row r="173">
      <c r="B173" s="195" t="s">
        <v>3252</v>
      </c>
      <c r="C173" s="196">
        <v>40335.0</v>
      </c>
      <c r="D173" s="196">
        <v>41287.0</v>
      </c>
      <c r="E173" s="196">
        <v>44423.0</v>
      </c>
      <c r="F173" s="197">
        <v>317.0</v>
      </c>
      <c r="G173" s="197">
        <v>2.4</v>
      </c>
      <c r="H173" s="197">
        <v>7.6</v>
      </c>
      <c r="I173" s="197">
        <v>115.0</v>
      </c>
    </row>
    <row r="174">
      <c r="B174" s="192" t="s">
        <v>3253</v>
      </c>
      <c r="C174" s="193">
        <v>50044.0</v>
      </c>
      <c r="D174" s="193">
        <v>52208.0</v>
      </c>
      <c r="E174" s="193">
        <v>55126.0</v>
      </c>
      <c r="F174" s="194">
        <v>116.0</v>
      </c>
      <c r="G174" s="194">
        <v>4.3</v>
      </c>
      <c r="H174" s="194">
        <v>5.6</v>
      </c>
      <c r="I174" s="194">
        <v>268.0</v>
      </c>
    </row>
    <row r="175">
      <c r="B175" s="195" t="s">
        <v>3254</v>
      </c>
      <c r="C175" s="196">
        <v>45205.0</v>
      </c>
      <c r="D175" s="196">
        <v>49578.0</v>
      </c>
      <c r="E175" s="196">
        <v>51729.0</v>
      </c>
      <c r="F175" s="197">
        <v>168.0</v>
      </c>
      <c r="G175" s="197">
        <v>9.7</v>
      </c>
      <c r="H175" s="197">
        <v>4.3</v>
      </c>
      <c r="I175" s="197">
        <v>335.0</v>
      </c>
    </row>
    <row r="176">
      <c r="A176" s="114" t="s">
        <v>666</v>
      </c>
      <c r="B176" s="192" t="s">
        <v>3255</v>
      </c>
      <c r="C176" s="193">
        <v>54874.0</v>
      </c>
      <c r="D176" s="193">
        <v>57629.0</v>
      </c>
      <c r="E176" s="193">
        <v>60431.0</v>
      </c>
      <c r="F176" s="194">
        <v>66.0</v>
      </c>
      <c r="G176" s="194">
        <v>5.0</v>
      </c>
      <c r="H176" s="194">
        <v>4.9</v>
      </c>
      <c r="I176" s="194">
        <v>309.0</v>
      </c>
    </row>
    <row r="177">
      <c r="B177" s="195" t="s">
        <v>3256</v>
      </c>
      <c r="C177" s="196">
        <v>54289.0</v>
      </c>
      <c r="D177" s="196">
        <v>55538.0</v>
      </c>
      <c r="E177" s="196">
        <v>56947.0</v>
      </c>
      <c r="F177" s="197">
        <v>94.0</v>
      </c>
      <c r="G177" s="197">
        <v>2.3</v>
      </c>
      <c r="H177" s="197">
        <v>2.5</v>
      </c>
      <c r="I177" s="197">
        <v>369.0</v>
      </c>
    </row>
    <row r="178">
      <c r="B178" s="192" t="s">
        <v>3257</v>
      </c>
      <c r="C178" s="193">
        <v>44692.0</v>
      </c>
      <c r="D178" s="193">
        <v>46052.0</v>
      </c>
      <c r="E178" s="193">
        <v>49486.0</v>
      </c>
      <c r="F178" s="194">
        <v>213.0</v>
      </c>
      <c r="G178" s="194">
        <v>3.0</v>
      </c>
      <c r="H178" s="194">
        <v>7.5</v>
      </c>
      <c r="I178" s="194">
        <v>124.0</v>
      </c>
    </row>
    <row r="179">
      <c r="B179" s="195" t="s">
        <v>3258</v>
      </c>
      <c r="C179" s="196">
        <v>39359.0</v>
      </c>
      <c r="D179" s="196">
        <v>40413.0</v>
      </c>
      <c r="E179" s="196">
        <v>44889.0</v>
      </c>
      <c r="F179" s="197">
        <v>306.0</v>
      </c>
      <c r="G179" s="197">
        <v>2.7</v>
      </c>
      <c r="H179" s="197">
        <v>11.1</v>
      </c>
      <c r="I179" s="197">
        <v>20.0</v>
      </c>
    </row>
    <row r="180">
      <c r="B180" s="192" t="s">
        <v>2457</v>
      </c>
      <c r="C180" s="193">
        <v>43423.0</v>
      </c>
      <c r="D180" s="193">
        <v>44794.0</v>
      </c>
      <c r="E180" s="193">
        <v>47992.0</v>
      </c>
      <c r="F180" s="194">
        <v>243.0</v>
      </c>
      <c r="G180" s="194">
        <v>3.2</v>
      </c>
      <c r="H180" s="194">
        <v>7.1</v>
      </c>
      <c r="I180" s="194">
        <v>144.0</v>
      </c>
    </row>
    <row r="181">
      <c r="B181" s="195" t="s">
        <v>3259</v>
      </c>
      <c r="C181" s="196">
        <v>39585.0</v>
      </c>
      <c r="D181" s="196">
        <v>41503.0</v>
      </c>
      <c r="E181" s="196">
        <v>44123.0</v>
      </c>
      <c r="F181" s="197">
        <v>322.0</v>
      </c>
      <c r="G181" s="197">
        <v>4.8</v>
      </c>
      <c r="H181" s="197">
        <v>6.3</v>
      </c>
      <c r="I181" s="197">
        <v>215.0</v>
      </c>
    </row>
    <row r="182">
      <c r="A182" s="114" t="s">
        <v>565</v>
      </c>
      <c r="B182" s="192" t="s">
        <v>565</v>
      </c>
      <c r="C182" s="193">
        <v>50411.0</v>
      </c>
      <c r="D182" s="193">
        <v>52184.0</v>
      </c>
      <c r="E182" s="193">
        <v>55125.0</v>
      </c>
      <c r="F182" s="194">
        <v>117.0</v>
      </c>
      <c r="G182" s="194">
        <v>3.5</v>
      </c>
      <c r="H182" s="194">
        <v>5.6</v>
      </c>
      <c r="I182" s="194">
        <v>261.0</v>
      </c>
    </row>
    <row r="183">
      <c r="B183" s="195" t="s">
        <v>3260</v>
      </c>
      <c r="C183" s="196">
        <v>40077.0</v>
      </c>
      <c r="D183" s="196">
        <v>40671.0</v>
      </c>
      <c r="E183" s="196">
        <v>43122.0</v>
      </c>
      <c r="F183" s="197">
        <v>338.0</v>
      </c>
      <c r="G183" s="197">
        <v>1.5</v>
      </c>
      <c r="H183" s="197">
        <v>6.0</v>
      </c>
      <c r="I183" s="197">
        <v>232.0</v>
      </c>
    </row>
    <row r="184">
      <c r="B184" s="192" t="s">
        <v>3261</v>
      </c>
      <c r="C184" s="193">
        <v>43868.0</v>
      </c>
      <c r="D184" s="193">
        <v>46018.0</v>
      </c>
      <c r="E184" s="193">
        <v>48836.0</v>
      </c>
      <c r="F184" s="194">
        <v>224.0</v>
      </c>
      <c r="G184" s="194">
        <v>4.9</v>
      </c>
      <c r="H184" s="194">
        <v>6.1</v>
      </c>
      <c r="I184" s="194">
        <v>225.0</v>
      </c>
    </row>
    <row r="185">
      <c r="B185" s="195" t="s">
        <v>3262</v>
      </c>
      <c r="C185" s="196">
        <v>42101.0</v>
      </c>
      <c r="D185" s="196">
        <v>44548.0</v>
      </c>
      <c r="E185" s="196">
        <v>47827.0</v>
      </c>
      <c r="F185" s="197">
        <v>247.0</v>
      </c>
      <c r="G185" s="197">
        <v>5.8</v>
      </c>
      <c r="H185" s="197">
        <v>7.4</v>
      </c>
      <c r="I185" s="197">
        <v>131.0</v>
      </c>
    </row>
    <row r="186">
      <c r="B186" s="192" t="s">
        <v>3263</v>
      </c>
      <c r="C186" s="193">
        <v>39978.0</v>
      </c>
      <c r="D186" s="193">
        <v>41519.0</v>
      </c>
      <c r="E186" s="193">
        <v>44020.0</v>
      </c>
      <c r="F186" s="194">
        <v>324.0</v>
      </c>
      <c r="G186" s="194">
        <v>3.9</v>
      </c>
      <c r="H186" s="194">
        <v>6.0</v>
      </c>
      <c r="I186" s="194">
        <v>233.0</v>
      </c>
    </row>
    <row r="187">
      <c r="B187" s="195" t="s">
        <v>3264</v>
      </c>
      <c r="C187" s="196">
        <v>43050.0</v>
      </c>
      <c r="D187" s="196">
        <v>44620.0</v>
      </c>
      <c r="E187" s="196">
        <v>48637.0</v>
      </c>
      <c r="F187" s="197">
        <v>229.0</v>
      </c>
      <c r="G187" s="197">
        <v>3.6</v>
      </c>
      <c r="H187" s="197">
        <v>9.0</v>
      </c>
      <c r="I187" s="197">
        <v>47.0</v>
      </c>
    </row>
    <row r="188">
      <c r="B188" s="192" t="s">
        <v>3265</v>
      </c>
      <c r="C188" s="193">
        <v>36294.0</v>
      </c>
      <c r="D188" s="193">
        <v>37719.0</v>
      </c>
      <c r="E188" s="193">
        <v>40140.0</v>
      </c>
      <c r="F188" s="194">
        <v>371.0</v>
      </c>
      <c r="G188" s="194">
        <v>3.9</v>
      </c>
      <c r="H188" s="194">
        <v>6.4</v>
      </c>
      <c r="I188" s="194">
        <v>206.0</v>
      </c>
    </row>
    <row r="189">
      <c r="B189" s="195" t="s">
        <v>3266</v>
      </c>
      <c r="C189" s="196">
        <v>40371.0</v>
      </c>
      <c r="D189" s="196">
        <v>40691.0</v>
      </c>
      <c r="E189" s="196">
        <v>42255.0</v>
      </c>
      <c r="F189" s="197">
        <v>347.0</v>
      </c>
      <c r="G189" s="197">
        <v>0.8</v>
      </c>
      <c r="H189" s="197">
        <v>3.8</v>
      </c>
      <c r="I189" s="197">
        <v>348.0</v>
      </c>
    </row>
    <row r="190">
      <c r="B190" s="192" t="s">
        <v>3267</v>
      </c>
      <c r="C190" s="193">
        <v>47886.0</v>
      </c>
      <c r="D190" s="193">
        <v>50536.0</v>
      </c>
      <c r="E190" s="193">
        <v>51838.0</v>
      </c>
      <c r="F190" s="194">
        <v>164.0</v>
      </c>
      <c r="G190" s="194">
        <v>5.5</v>
      </c>
      <c r="H190" s="194">
        <v>2.6</v>
      </c>
      <c r="I190" s="194">
        <v>368.0</v>
      </c>
    </row>
    <row r="191">
      <c r="B191" s="195" t="s">
        <v>3268</v>
      </c>
      <c r="C191" s="196">
        <v>47968.0</v>
      </c>
      <c r="D191" s="196">
        <v>49305.0</v>
      </c>
      <c r="E191" s="196">
        <v>52403.0</v>
      </c>
      <c r="F191" s="197">
        <v>151.0</v>
      </c>
      <c r="G191" s="197">
        <v>2.8</v>
      </c>
      <c r="H191" s="197">
        <v>6.3</v>
      </c>
      <c r="I191" s="197">
        <v>218.0</v>
      </c>
    </row>
    <row r="192">
      <c r="B192" s="192" t="s">
        <v>3269</v>
      </c>
      <c r="C192" s="193">
        <v>41173.0</v>
      </c>
      <c r="D192" s="193">
        <v>42857.0</v>
      </c>
      <c r="E192" s="193">
        <v>46988.0</v>
      </c>
      <c r="F192" s="194">
        <v>265.0</v>
      </c>
      <c r="G192" s="194">
        <v>4.1</v>
      </c>
      <c r="H192" s="194">
        <v>9.6</v>
      </c>
      <c r="I192" s="194">
        <v>37.0</v>
      </c>
    </row>
    <row r="193">
      <c r="A193" s="114" t="s">
        <v>1141</v>
      </c>
      <c r="B193" s="195" t="s">
        <v>3270</v>
      </c>
      <c r="C193" s="196">
        <v>53688.0</v>
      </c>
      <c r="D193" s="196">
        <v>55691.0</v>
      </c>
      <c r="E193" s="196">
        <v>58057.0</v>
      </c>
      <c r="F193" s="197">
        <v>85.0</v>
      </c>
      <c r="G193" s="197">
        <v>3.7</v>
      </c>
      <c r="H193" s="197">
        <v>4.2</v>
      </c>
      <c r="I193" s="197">
        <v>339.0</v>
      </c>
    </row>
    <row r="194">
      <c r="B194" s="192" t="s">
        <v>3271</v>
      </c>
      <c r="C194" s="193">
        <v>43203.0</v>
      </c>
      <c r="D194" s="193">
        <v>45361.0</v>
      </c>
      <c r="E194" s="193">
        <v>49042.0</v>
      </c>
      <c r="F194" s="194">
        <v>219.0</v>
      </c>
      <c r="G194" s="194">
        <v>5.0</v>
      </c>
      <c r="H194" s="194">
        <v>8.1</v>
      </c>
      <c r="I194" s="194">
        <v>88.0</v>
      </c>
    </row>
    <row r="195">
      <c r="B195" s="195" t="s">
        <v>3272</v>
      </c>
      <c r="C195" s="196">
        <v>42169.0</v>
      </c>
      <c r="D195" s="196">
        <v>43033.0</v>
      </c>
      <c r="E195" s="196">
        <v>45574.0</v>
      </c>
      <c r="F195" s="197">
        <v>291.0</v>
      </c>
      <c r="G195" s="197">
        <v>2.0</v>
      </c>
      <c r="H195" s="197">
        <v>5.9</v>
      </c>
      <c r="I195" s="197">
        <v>239.0</v>
      </c>
    </row>
    <row r="196">
      <c r="B196" s="192" t="s">
        <v>3273</v>
      </c>
      <c r="C196" s="193">
        <v>39689.0</v>
      </c>
      <c r="D196" s="193">
        <v>40540.0</v>
      </c>
      <c r="E196" s="193">
        <v>42869.0</v>
      </c>
      <c r="F196" s="194">
        <v>342.0</v>
      </c>
      <c r="G196" s="194">
        <v>2.1</v>
      </c>
      <c r="H196" s="194">
        <v>5.7</v>
      </c>
      <c r="I196" s="194">
        <v>254.0</v>
      </c>
    </row>
    <row r="197">
      <c r="B197" s="195" t="s">
        <v>3274</v>
      </c>
      <c r="C197" s="196">
        <v>50378.0</v>
      </c>
      <c r="D197" s="196">
        <v>52554.0</v>
      </c>
      <c r="E197" s="196">
        <v>56071.0</v>
      </c>
      <c r="F197" s="197">
        <v>102.0</v>
      </c>
      <c r="G197" s="197">
        <v>4.3</v>
      </c>
      <c r="H197" s="197">
        <v>6.7</v>
      </c>
      <c r="I197" s="197">
        <v>185.0</v>
      </c>
    </row>
    <row r="198">
      <c r="B198" s="192" t="s">
        <v>2493</v>
      </c>
      <c r="C198" s="193">
        <v>46341.0</v>
      </c>
      <c r="D198" s="193">
        <v>48179.0</v>
      </c>
      <c r="E198" s="193">
        <v>50540.0</v>
      </c>
      <c r="F198" s="194">
        <v>189.0</v>
      </c>
      <c r="G198" s="194">
        <v>4.0</v>
      </c>
      <c r="H198" s="194">
        <v>4.9</v>
      </c>
      <c r="I198" s="194">
        <v>308.0</v>
      </c>
    </row>
    <row r="199">
      <c r="B199" s="195" t="s">
        <v>3275</v>
      </c>
      <c r="C199" s="196">
        <v>41689.0</v>
      </c>
      <c r="D199" s="196">
        <v>42409.0</v>
      </c>
      <c r="E199" s="196">
        <v>44945.0</v>
      </c>
      <c r="F199" s="197">
        <v>304.0</v>
      </c>
      <c r="G199" s="197">
        <v>1.7</v>
      </c>
      <c r="H199" s="197">
        <v>6.0</v>
      </c>
      <c r="I199" s="197">
        <v>234.0</v>
      </c>
    </row>
    <row r="200">
      <c r="B200" s="192" t="s">
        <v>3276</v>
      </c>
      <c r="C200" s="193">
        <v>49888.0</v>
      </c>
      <c r="D200" s="193">
        <v>52084.0</v>
      </c>
      <c r="E200" s="193">
        <v>54656.0</v>
      </c>
      <c r="F200" s="194">
        <v>126.0</v>
      </c>
      <c r="G200" s="194">
        <v>4.4</v>
      </c>
      <c r="H200" s="194">
        <v>4.9</v>
      </c>
      <c r="I200" s="194">
        <v>304.0</v>
      </c>
    </row>
    <row r="201">
      <c r="B201" s="195" t="s">
        <v>3277</v>
      </c>
      <c r="C201" s="196">
        <v>43657.0</v>
      </c>
      <c r="D201" s="196">
        <v>44556.0</v>
      </c>
      <c r="E201" s="196">
        <v>47553.0</v>
      </c>
      <c r="F201" s="197">
        <v>254.0</v>
      </c>
      <c r="G201" s="197">
        <v>2.1</v>
      </c>
      <c r="H201" s="197">
        <v>6.7</v>
      </c>
      <c r="I201" s="197">
        <v>179.0</v>
      </c>
    </row>
    <row r="202">
      <c r="B202" s="192" t="s">
        <v>3278</v>
      </c>
      <c r="C202" s="193">
        <v>39453.0</v>
      </c>
      <c r="D202" s="193">
        <v>40106.0</v>
      </c>
      <c r="E202" s="193">
        <v>42467.0</v>
      </c>
      <c r="F202" s="194">
        <v>346.0</v>
      </c>
      <c r="G202" s="194">
        <v>1.7</v>
      </c>
      <c r="H202" s="194">
        <v>5.9</v>
      </c>
      <c r="I202" s="194">
        <v>240.0</v>
      </c>
    </row>
    <row r="203">
      <c r="B203" s="195" t="s">
        <v>3279</v>
      </c>
      <c r="C203" s="196">
        <v>48516.0</v>
      </c>
      <c r="D203" s="196">
        <v>49517.0</v>
      </c>
      <c r="E203" s="196">
        <v>50935.0</v>
      </c>
      <c r="F203" s="197">
        <v>182.0</v>
      </c>
      <c r="G203" s="197">
        <v>2.1</v>
      </c>
      <c r="H203" s="197">
        <v>2.9</v>
      </c>
      <c r="I203" s="197">
        <v>366.0</v>
      </c>
    </row>
    <row r="204">
      <c r="B204" s="192" t="s">
        <v>3280</v>
      </c>
      <c r="C204" s="193">
        <v>33083.0</v>
      </c>
      <c r="D204" s="193">
        <v>34274.0</v>
      </c>
      <c r="E204" s="193">
        <v>36529.0</v>
      </c>
      <c r="F204" s="194">
        <v>381.0</v>
      </c>
      <c r="G204" s="194">
        <v>3.6</v>
      </c>
      <c r="H204" s="194">
        <v>6.6</v>
      </c>
      <c r="I204" s="194">
        <v>195.0</v>
      </c>
    </row>
    <row r="205">
      <c r="B205" s="195" t="s">
        <v>3281</v>
      </c>
      <c r="C205" s="196">
        <v>36048.0</v>
      </c>
      <c r="D205" s="196">
        <v>37183.0</v>
      </c>
      <c r="E205" s="196">
        <v>39760.0</v>
      </c>
      <c r="F205" s="197">
        <v>375.0</v>
      </c>
      <c r="G205" s="197">
        <v>3.1</v>
      </c>
      <c r="H205" s="197">
        <v>6.9</v>
      </c>
      <c r="I205" s="197">
        <v>161.0</v>
      </c>
    </row>
    <row r="206">
      <c r="B206" s="192" t="s">
        <v>3282</v>
      </c>
      <c r="C206" s="193">
        <v>52682.0</v>
      </c>
      <c r="D206" s="193">
        <v>54529.0</v>
      </c>
      <c r="E206" s="193">
        <v>58434.0</v>
      </c>
      <c r="F206" s="194">
        <v>79.0</v>
      </c>
      <c r="G206" s="194">
        <v>3.5</v>
      </c>
      <c r="H206" s="194">
        <v>7.2</v>
      </c>
      <c r="I206" s="194">
        <v>142.0</v>
      </c>
    </row>
    <row r="207">
      <c r="B207" s="195" t="s">
        <v>3283</v>
      </c>
      <c r="C207" s="196">
        <v>41190.0</v>
      </c>
      <c r="D207" s="196">
        <v>42535.0</v>
      </c>
      <c r="E207" s="196">
        <v>46323.0</v>
      </c>
      <c r="F207" s="197">
        <v>281.0</v>
      </c>
      <c r="G207" s="197">
        <v>3.3</v>
      </c>
      <c r="H207" s="197">
        <v>8.9</v>
      </c>
      <c r="I207" s="197">
        <v>51.0</v>
      </c>
    </row>
    <row r="208">
      <c r="B208" s="192" t="s">
        <v>3284</v>
      </c>
      <c r="C208" s="193">
        <v>31907.0</v>
      </c>
      <c r="D208" s="193">
        <v>33305.0</v>
      </c>
      <c r="E208" s="193">
        <v>35626.0</v>
      </c>
      <c r="F208" s="194">
        <v>382.0</v>
      </c>
      <c r="G208" s="194">
        <v>4.4</v>
      </c>
      <c r="H208" s="194">
        <v>7.0</v>
      </c>
      <c r="I208" s="194">
        <v>159.0</v>
      </c>
    </row>
    <row r="209">
      <c r="B209" s="195" t="s">
        <v>2417</v>
      </c>
      <c r="C209" s="196">
        <v>35805.0</v>
      </c>
      <c r="D209" s="196">
        <v>37413.0</v>
      </c>
      <c r="E209" s="196">
        <v>40218.0</v>
      </c>
      <c r="F209" s="197">
        <v>369.0</v>
      </c>
      <c r="G209" s="197">
        <v>4.5</v>
      </c>
      <c r="H209" s="197">
        <v>7.5</v>
      </c>
      <c r="I209" s="197">
        <v>120.0</v>
      </c>
    </row>
    <row r="210">
      <c r="A210" s="114" t="s">
        <v>829</v>
      </c>
      <c r="B210" s="192" t="s">
        <v>3285</v>
      </c>
      <c r="C210" s="193">
        <v>47184.0</v>
      </c>
      <c r="D210" s="193">
        <v>49225.0</v>
      </c>
      <c r="E210" s="193">
        <v>51244.0</v>
      </c>
      <c r="F210" s="194">
        <v>175.0</v>
      </c>
      <c r="G210" s="194">
        <v>4.3</v>
      </c>
      <c r="H210" s="194">
        <v>4.1</v>
      </c>
      <c r="I210" s="194">
        <v>344.0</v>
      </c>
    </row>
    <row r="211">
      <c r="B211" s="195" t="s">
        <v>3286</v>
      </c>
      <c r="C211" s="196">
        <v>43888.0</v>
      </c>
      <c r="D211" s="196">
        <v>45174.0</v>
      </c>
      <c r="E211" s="196">
        <v>47494.0</v>
      </c>
      <c r="F211" s="197">
        <v>255.0</v>
      </c>
      <c r="G211" s="197">
        <v>2.9</v>
      </c>
      <c r="H211" s="197">
        <v>5.1</v>
      </c>
      <c r="I211" s="197">
        <v>293.0</v>
      </c>
    </row>
    <row r="212">
      <c r="B212" s="192" t="s">
        <v>3287</v>
      </c>
      <c r="C212" s="193">
        <v>41236.0</v>
      </c>
      <c r="D212" s="193">
        <v>42700.0</v>
      </c>
      <c r="E212" s="193">
        <v>45538.0</v>
      </c>
      <c r="F212" s="194">
        <v>292.0</v>
      </c>
      <c r="G212" s="194">
        <v>3.6</v>
      </c>
      <c r="H212" s="194">
        <v>6.6</v>
      </c>
      <c r="I212" s="194">
        <v>190.0</v>
      </c>
    </row>
    <row r="213">
      <c r="B213" s="195" t="s">
        <v>3288</v>
      </c>
      <c r="C213" s="196">
        <v>47772.0</v>
      </c>
      <c r="D213" s="196">
        <v>49099.0</v>
      </c>
      <c r="E213" s="196">
        <v>52743.0</v>
      </c>
      <c r="F213" s="197">
        <v>147.0</v>
      </c>
      <c r="G213" s="197">
        <v>2.8</v>
      </c>
      <c r="H213" s="197">
        <v>7.4</v>
      </c>
      <c r="I213" s="197">
        <v>128.0</v>
      </c>
    </row>
    <row r="214">
      <c r="B214" s="192" t="s">
        <v>3289</v>
      </c>
      <c r="C214" s="193">
        <v>44434.0</v>
      </c>
      <c r="D214" s="193">
        <v>46255.0</v>
      </c>
      <c r="E214" s="193">
        <v>50092.0</v>
      </c>
      <c r="F214" s="194">
        <v>199.0</v>
      </c>
      <c r="G214" s="194">
        <v>4.1</v>
      </c>
      <c r="H214" s="194">
        <v>8.3</v>
      </c>
      <c r="I214" s="194">
        <v>76.0</v>
      </c>
    </row>
    <row r="215">
      <c r="B215" s="195" t="s">
        <v>3290</v>
      </c>
      <c r="C215" s="196">
        <v>40869.0</v>
      </c>
      <c r="D215" s="196">
        <v>42698.0</v>
      </c>
      <c r="E215" s="196">
        <v>46357.0</v>
      </c>
      <c r="F215" s="197">
        <v>279.0</v>
      </c>
      <c r="G215" s="197">
        <v>4.5</v>
      </c>
      <c r="H215" s="197">
        <v>8.6</v>
      </c>
      <c r="I215" s="197">
        <v>61.0</v>
      </c>
    </row>
    <row r="216">
      <c r="B216" s="192" t="s">
        <v>2415</v>
      </c>
      <c r="C216" s="193">
        <v>47827.0</v>
      </c>
      <c r="D216" s="193">
        <v>49814.0</v>
      </c>
      <c r="E216" s="193">
        <v>52559.0</v>
      </c>
      <c r="F216" s="194">
        <v>150.0</v>
      </c>
      <c r="G216" s="194">
        <v>4.2</v>
      </c>
      <c r="H216" s="194">
        <v>5.5</v>
      </c>
      <c r="I216" s="194">
        <v>276.0</v>
      </c>
    </row>
    <row r="217">
      <c r="B217" s="195" t="s">
        <v>3291</v>
      </c>
      <c r="C217" s="196">
        <v>42427.0</v>
      </c>
      <c r="D217" s="196">
        <v>43268.0</v>
      </c>
      <c r="E217" s="196">
        <v>46500.0</v>
      </c>
      <c r="F217" s="197">
        <v>277.0</v>
      </c>
      <c r="G217" s="197">
        <v>2.0</v>
      </c>
      <c r="H217" s="197">
        <v>7.5</v>
      </c>
      <c r="I217" s="197">
        <v>123.0</v>
      </c>
    </row>
    <row r="218">
      <c r="B218" s="192" t="s">
        <v>2416</v>
      </c>
      <c r="C218" s="193">
        <v>49479.0</v>
      </c>
      <c r="D218" s="193">
        <v>50565.0</v>
      </c>
      <c r="E218" s="193">
        <v>53057.0</v>
      </c>
      <c r="F218" s="194">
        <v>141.0</v>
      </c>
      <c r="G218" s="194">
        <v>2.2</v>
      </c>
      <c r="H218" s="194">
        <v>4.9</v>
      </c>
      <c r="I218" s="194">
        <v>306.0</v>
      </c>
    </row>
    <row r="219">
      <c r="B219" s="195" t="s">
        <v>3292</v>
      </c>
      <c r="C219" s="196">
        <v>45563.0</v>
      </c>
      <c r="D219" s="196">
        <v>47032.0</v>
      </c>
      <c r="E219" s="196">
        <v>49837.0</v>
      </c>
      <c r="F219" s="197">
        <v>207.0</v>
      </c>
      <c r="G219" s="197">
        <v>3.2</v>
      </c>
      <c r="H219" s="197">
        <v>6.0</v>
      </c>
      <c r="I219" s="197">
        <v>236.0</v>
      </c>
    </row>
    <row r="220">
      <c r="B220" s="192" t="s">
        <v>3293</v>
      </c>
      <c r="C220" s="193">
        <v>39190.0</v>
      </c>
      <c r="D220" s="193">
        <v>41538.0</v>
      </c>
      <c r="E220" s="193">
        <v>44508.0</v>
      </c>
      <c r="F220" s="194">
        <v>314.0</v>
      </c>
      <c r="G220" s="194">
        <v>6.0</v>
      </c>
      <c r="H220" s="194">
        <v>7.2</v>
      </c>
      <c r="I220" s="194">
        <v>143.0</v>
      </c>
    </row>
    <row r="221">
      <c r="B221" s="195" t="s">
        <v>3294</v>
      </c>
      <c r="C221" s="196">
        <v>42174.0</v>
      </c>
      <c r="D221" s="196">
        <v>43575.0</v>
      </c>
      <c r="E221" s="196">
        <v>45075.0</v>
      </c>
      <c r="F221" s="197">
        <v>303.0</v>
      </c>
      <c r="G221" s="197">
        <v>3.3</v>
      </c>
      <c r="H221" s="197">
        <v>3.4</v>
      </c>
      <c r="I221" s="197">
        <v>360.0</v>
      </c>
    </row>
    <row r="222">
      <c r="B222" s="192" t="s">
        <v>3295</v>
      </c>
      <c r="C222" s="193">
        <v>43407.0</v>
      </c>
      <c r="D222" s="193">
        <v>45124.0</v>
      </c>
      <c r="E222" s="193">
        <v>48232.0</v>
      </c>
      <c r="F222" s="194">
        <v>236.0</v>
      </c>
      <c r="G222" s="194">
        <v>4.0</v>
      </c>
      <c r="H222" s="194">
        <v>6.9</v>
      </c>
      <c r="I222" s="194">
        <v>166.0</v>
      </c>
    </row>
    <row r="223">
      <c r="A223" s="114" t="s">
        <v>1230</v>
      </c>
      <c r="B223" s="195" t="s">
        <v>3296</v>
      </c>
      <c r="C223" s="196">
        <v>61594.0</v>
      </c>
      <c r="D223" s="196">
        <v>64705.0</v>
      </c>
      <c r="E223" s="196">
        <v>69805.0</v>
      </c>
      <c r="F223" s="197">
        <v>20.0</v>
      </c>
      <c r="G223" s="197">
        <v>5.1</v>
      </c>
      <c r="H223" s="197">
        <v>7.9</v>
      </c>
      <c r="I223" s="197">
        <v>103.0</v>
      </c>
    </row>
    <row r="224">
      <c r="A224" s="114" t="s">
        <v>73</v>
      </c>
      <c r="B224" s="195" t="s">
        <v>3296</v>
      </c>
      <c r="C224" s="196">
        <v>61594.0</v>
      </c>
      <c r="D224" s="196">
        <v>64705.0</v>
      </c>
      <c r="E224" s="196">
        <v>69805.0</v>
      </c>
      <c r="F224" s="197">
        <v>20.0</v>
      </c>
      <c r="G224" s="197">
        <v>5.1</v>
      </c>
      <c r="H224" s="197">
        <v>7.9</v>
      </c>
      <c r="I224" s="197">
        <v>103.0</v>
      </c>
    </row>
    <row r="225">
      <c r="A225" s="114" t="s">
        <v>950</v>
      </c>
      <c r="B225" s="192" t="s">
        <v>3297</v>
      </c>
      <c r="C225" s="193">
        <v>50313.0</v>
      </c>
      <c r="D225" s="193">
        <v>52288.0</v>
      </c>
      <c r="E225" s="193">
        <v>55676.0</v>
      </c>
      <c r="F225" s="194">
        <v>110.0</v>
      </c>
      <c r="G225" s="194">
        <v>3.9</v>
      </c>
      <c r="H225" s="194">
        <v>6.5</v>
      </c>
      <c r="I225" s="194">
        <v>200.0</v>
      </c>
    </row>
    <row r="226">
      <c r="B226" s="195" t="s">
        <v>2488</v>
      </c>
      <c r="C226" s="196">
        <v>43189.0</v>
      </c>
      <c r="D226" s="196">
        <v>44706.0</v>
      </c>
      <c r="E226" s="196">
        <v>46297.0</v>
      </c>
      <c r="F226" s="197">
        <v>282.0</v>
      </c>
      <c r="G226" s="197">
        <v>3.5</v>
      </c>
      <c r="H226" s="197">
        <v>3.6</v>
      </c>
      <c r="I226" s="197">
        <v>355.0</v>
      </c>
    </row>
    <row r="227">
      <c r="B227" s="192" t="s">
        <v>3298</v>
      </c>
      <c r="C227" s="193">
        <v>39668.0</v>
      </c>
      <c r="D227" s="193">
        <v>40521.0</v>
      </c>
      <c r="E227" s="193">
        <v>43529.0</v>
      </c>
      <c r="F227" s="194">
        <v>332.0</v>
      </c>
      <c r="G227" s="194">
        <v>2.2</v>
      </c>
      <c r="H227" s="194">
        <v>7.4</v>
      </c>
      <c r="I227" s="194">
        <v>127.0</v>
      </c>
    </row>
    <row r="228">
      <c r="B228" s="195" t="s">
        <v>3299</v>
      </c>
      <c r="C228" s="196">
        <v>40191.0</v>
      </c>
      <c r="D228" s="196">
        <v>41402.0</v>
      </c>
      <c r="E228" s="196">
        <v>44520.0</v>
      </c>
      <c r="F228" s="197">
        <v>313.0</v>
      </c>
      <c r="G228" s="197">
        <v>3.0</v>
      </c>
      <c r="H228" s="197">
        <v>7.5</v>
      </c>
      <c r="I228" s="197">
        <v>118.0</v>
      </c>
    </row>
    <row r="229">
      <c r="B229" s="192" t="s">
        <v>3300</v>
      </c>
      <c r="C229" s="193">
        <v>37373.0</v>
      </c>
      <c r="D229" s="193">
        <v>38751.0</v>
      </c>
      <c r="E229" s="193">
        <v>44532.0</v>
      </c>
      <c r="F229" s="194">
        <v>312.0</v>
      </c>
      <c r="G229" s="194">
        <v>3.7</v>
      </c>
      <c r="H229" s="194">
        <v>14.9</v>
      </c>
      <c r="I229" s="194">
        <v>6.0</v>
      </c>
    </row>
    <row r="230">
      <c r="B230" s="195" t="s">
        <v>2430</v>
      </c>
      <c r="C230" s="196">
        <v>59266.0</v>
      </c>
      <c r="D230" s="196">
        <v>61743.0</v>
      </c>
      <c r="E230" s="196">
        <v>64280.0</v>
      </c>
      <c r="F230" s="197">
        <v>37.0</v>
      </c>
      <c r="G230" s="197">
        <v>4.2</v>
      </c>
      <c r="H230" s="197">
        <v>4.1</v>
      </c>
      <c r="I230" s="197">
        <v>343.0</v>
      </c>
    </row>
    <row r="231">
      <c r="B231" s="192" t="s">
        <v>3301</v>
      </c>
      <c r="C231" s="193">
        <v>60760.0</v>
      </c>
      <c r="D231" s="193">
        <v>62752.0</v>
      </c>
      <c r="E231" s="193">
        <v>66548.0</v>
      </c>
      <c r="F231" s="194">
        <v>31.0</v>
      </c>
      <c r="G231" s="194">
        <v>3.3</v>
      </c>
      <c r="H231" s="194">
        <v>6.0</v>
      </c>
      <c r="I231" s="194">
        <v>230.0</v>
      </c>
    </row>
    <row r="232">
      <c r="B232" s="195" t="s">
        <v>3302</v>
      </c>
      <c r="C232" s="196">
        <v>45802.0</v>
      </c>
      <c r="D232" s="196">
        <v>47291.0</v>
      </c>
      <c r="E232" s="196">
        <v>49865.0</v>
      </c>
      <c r="F232" s="197">
        <v>205.0</v>
      </c>
      <c r="G232" s="197">
        <v>3.3</v>
      </c>
      <c r="H232" s="197">
        <v>5.4</v>
      </c>
      <c r="I232" s="197">
        <v>280.0</v>
      </c>
    </row>
    <row r="233">
      <c r="B233" s="192" t="s">
        <v>3303</v>
      </c>
      <c r="C233" s="193">
        <v>46008.0</v>
      </c>
      <c r="D233" s="193">
        <v>46951.0</v>
      </c>
      <c r="E233" s="193">
        <v>50562.0</v>
      </c>
      <c r="F233" s="194">
        <v>188.0</v>
      </c>
      <c r="G233" s="194">
        <v>2.0</v>
      </c>
      <c r="H233" s="194">
        <v>7.7</v>
      </c>
      <c r="I233" s="194">
        <v>108.0</v>
      </c>
    </row>
    <row r="234">
      <c r="B234" s="195" t="s">
        <v>3304</v>
      </c>
      <c r="C234" s="196">
        <v>39173.0</v>
      </c>
      <c r="D234" s="196">
        <v>40313.0</v>
      </c>
      <c r="E234" s="196">
        <v>43928.0</v>
      </c>
      <c r="F234" s="197">
        <v>327.0</v>
      </c>
      <c r="G234" s="197">
        <v>2.9</v>
      </c>
      <c r="H234" s="197">
        <v>9.0</v>
      </c>
      <c r="I234" s="197">
        <v>49.0</v>
      </c>
    </row>
    <row r="235">
      <c r="B235" s="192" t="s">
        <v>3305</v>
      </c>
      <c r="C235" s="193">
        <v>27007.0</v>
      </c>
      <c r="D235" s="193">
        <v>28091.0</v>
      </c>
      <c r="E235" s="193">
        <v>31153.0</v>
      </c>
      <c r="F235" s="194">
        <v>384.0</v>
      </c>
      <c r="G235" s="194">
        <v>4.0</v>
      </c>
      <c r="H235" s="194">
        <v>10.9</v>
      </c>
      <c r="I235" s="194">
        <v>23.0</v>
      </c>
    </row>
    <row r="236">
      <c r="B236" s="195" t="s">
        <v>3306</v>
      </c>
      <c r="C236" s="196">
        <v>45903.0</v>
      </c>
      <c r="D236" s="196">
        <v>47708.0</v>
      </c>
      <c r="E236" s="196">
        <v>51824.0</v>
      </c>
      <c r="F236" s="197">
        <v>165.0</v>
      </c>
      <c r="G236" s="197">
        <v>3.9</v>
      </c>
      <c r="H236" s="197">
        <v>8.6</v>
      </c>
      <c r="I236" s="197">
        <v>58.0</v>
      </c>
    </row>
    <row r="237">
      <c r="A237" s="114" t="s">
        <v>936</v>
      </c>
      <c r="B237" s="192" t="s">
        <v>3307</v>
      </c>
      <c r="C237" s="193">
        <v>46481.0</v>
      </c>
      <c r="D237" s="193">
        <v>47904.0</v>
      </c>
      <c r="E237" s="193">
        <v>51155.0</v>
      </c>
      <c r="F237" s="194">
        <v>178.0</v>
      </c>
      <c r="G237" s="194">
        <v>3.1</v>
      </c>
      <c r="H237" s="194">
        <v>6.8</v>
      </c>
      <c r="I237" s="194">
        <v>176.0</v>
      </c>
    </row>
    <row r="238">
      <c r="B238" s="195" t="s">
        <v>3308</v>
      </c>
      <c r="C238" s="196">
        <v>37193.0</v>
      </c>
      <c r="D238" s="196">
        <v>37952.0</v>
      </c>
      <c r="E238" s="196">
        <v>43914.0</v>
      </c>
      <c r="F238" s="197">
        <v>328.0</v>
      </c>
      <c r="G238" s="197">
        <v>2.0</v>
      </c>
      <c r="H238" s="197">
        <v>15.7</v>
      </c>
      <c r="I238" s="197">
        <v>4.0</v>
      </c>
    </row>
    <row r="239">
      <c r="A239" s="114" t="s">
        <v>1216</v>
      </c>
      <c r="B239" s="192" t="s">
        <v>3309</v>
      </c>
      <c r="C239" s="193">
        <v>59189.0</v>
      </c>
      <c r="D239" s="193">
        <v>61362.0</v>
      </c>
      <c r="E239" s="193">
        <v>64190.0</v>
      </c>
      <c r="F239" s="194">
        <v>38.0</v>
      </c>
      <c r="G239" s="194">
        <v>3.7</v>
      </c>
      <c r="H239" s="194">
        <v>4.6</v>
      </c>
      <c r="I239" s="194">
        <v>320.0</v>
      </c>
    </row>
    <row r="240">
      <c r="B240" s="195" t="s">
        <v>3310</v>
      </c>
      <c r="C240" s="196">
        <v>42248.0</v>
      </c>
      <c r="D240" s="196">
        <v>43065.0</v>
      </c>
      <c r="E240" s="196">
        <v>46274.0</v>
      </c>
      <c r="F240" s="197">
        <v>283.0</v>
      </c>
      <c r="G240" s="197">
        <v>1.9</v>
      </c>
      <c r="H240" s="197">
        <v>7.5</v>
      </c>
      <c r="I240" s="197">
        <v>125.0</v>
      </c>
    </row>
    <row r="241">
      <c r="B241" s="192" t="s">
        <v>3311</v>
      </c>
      <c r="C241" s="193">
        <v>53973.0</v>
      </c>
      <c r="D241" s="193">
        <v>54477.0</v>
      </c>
      <c r="E241" s="193">
        <v>57561.0</v>
      </c>
      <c r="F241" s="194">
        <v>90.0</v>
      </c>
      <c r="G241" s="194">
        <v>0.9</v>
      </c>
      <c r="H241" s="194">
        <v>5.7</v>
      </c>
      <c r="I241" s="194">
        <v>260.0</v>
      </c>
    </row>
    <row r="242">
      <c r="B242" s="195" t="s">
        <v>3312</v>
      </c>
      <c r="C242" s="196">
        <v>130647.0</v>
      </c>
      <c r="D242" s="196">
        <v>135900.0</v>
      </c>
      <c r="E242" s="196">
        <v>124667.0</v>
      </c>
      <c r="F242" s="197">
        <v>1.0</v>
      </c>
      <c r="G242" s="197">
        <v>4.0</v>
      </c>
      <c r="H242" s="197">
        <v>-8.3</v>
      </c>
      <c r="I242" s="197">
        <v>384.0</v>
      </c>
    </row>
    <row r="243">
      <c r="A243" s="114" t="s">
        <v>966</v>
      </c>
      <c r="B243" s="192" t="s">
        <v>3313</v>
      </c>
      <c r="C243" s="193">
        <v>56253.0</v>
      </c>
      <c r="D243" s="193">
        <v>57860.0</v>
      </c>
      <c r="E243" s="193">
        <v>60499.0</v>
      </c>
      <c r="F243" s="194">
        <v>65.0</v>
      </c>
      <c r="G243" s="194">
        <v>2.9</v>
      </c>
      <c r="H243" s="194">
        <v>4.6</v>
      </c>
      <c r="I243" s="194">
        <v>326.0</v>
      </c>
    </row>
    <row r="244">
      <c r="A244" s="114" t="s">
        <v>1262</v>
      </c>
      <c r="B244" s="195" t="s">
        <v>3314</v>
      </c>
      <c r="C244" s="196">
        <v>62695.0</v>
      </c>
      <c r="D244" s="196">
        <v>64270.0</v>
      </c>
      <c r="E244" s="196">
        <v>67214.0</v>
      </c>
      <c r="F244" s="197">
        <v>28.0</v>
      </c>
      <c r="G244" s="197">
        <v>2.5</v>
      </c>
      <c r="H244" s="197">
        <v>4.6</v>
      </c>
      <c r="I244" s="197">
        <v>323.0</v>
      </c>
    </row>
    <row r="245">
      <c r="B245" s="192" t="s">
        <v>2418</v>
      </c>
      <c r="C245" s="193">
        <v>49616.0</v>
      </c>
      <c r="D245" s="193">
        <v>51738.0</v>
      </c>
      <c r="E245" s="193">
        <v>54353.0</v>
      </c>
      <c r="F245" s="194">
        <v>129.0</v>
      </c>
      <c r="G245" s="194">
        <v>4.3</v>
      </c>
      <c r="H245" s="194">
        <v>5.1</v>
      </c>
      <c r="I245" s="194">
        <v>299.0</v>
      </c>
    </row>
    <row r="246">
      <c r="B246" s="195" t="s">
        <v>2444</v>
      </c>
      <c r="C246" s="196">
        <v>38119.0</v>
      </c>
      <c r="D246" s="196">
        <v>39910.0</v>
      </c>
      <c r="E246" s="196">
        <v>42731.0</v>
      </c>
      <c r="F246" s="197">
        <v>344.0</v>
      </c>
      <c r="G246" s="197">
        <v>4.7</v>
      </c>
      <c r="H246" s="197">
        <v>7.1</v>
      </c>
      <c r="I246" s="197">
        <v>150.0</v>
      </c>
    </row>
    <row r="247">
      <c r="B247" s="192" t="s">
        <v>2491</v>
      </c>
      <c r="C247" s="193">
        <v>41850.0</v>
      </c>
      <c r="D247" s="193">
        <v>43402.0</v>
      </c>
      <c r="E247" s="193">
        <v>48954.0</v>
      </c>
      <c r="F247" s="194">
        <v>221.0</v>
      </c>
      <c r="G247" s="194">
        <v>3.7</v>
      </c>
      <c r="H247" s="194">
        <v>12.8</v>
      </c>
      <c r="I247" s="194">
        <v>11.0</v>
      </c>
    </row>
    <row r="248">
      <c r="B248" s="195" t="s">
        <v>3315</v>
      </c>
      <c r="C248" s="196">
        <v>40581.0</v>
      </c>
      <c r="D248" s="196">
        <v>41691.0</v>
      </c>
      <c r="E248" s="196">
        <v>45252.0</v>
      </c>
      <c r="F248" s="197">
        <v>299.0</v>
      </c>
      <c r="G248" s="197">
        <v>2.7</v>
      </c>
      <c r="H248" s="197">
        <v>8.5</v>
      </c>
      <c r="I248" s="197">
        <v>64.0</v>
      </c>
    </row>
    <row r="249">
      <c r="B249" s="192" t="s">
        <v>3316</v>
      </c>
      <c r="C249" s="193">
        <v>47091.0</v>
      </c>
      <c r="D249" s="193">
        <v>48696.0</v>
      </c>
      <c r="E249" s="193">
        <v>52028.0</v>
      </c>
      <c r="F249" s="194">
        <v>161.0</v>
      </c>
      <c r="G249" s="194">
        <v>3.4</v>
      </c>
      <c r="H249" s="194">
        <v>6.8</v>
      </c>
      <c r="I249" s="194">
        <v>171.0</v>
      </c>
    </row>
    <row r="250">
      <c r="B250" s="195" t="s">
        <v>2463</v>
      </c>
      <c r="C250" s="196">
        <v>43156.0</v>
      </c>
      <c r="D250" s="196">
        <v>44473.0</v>
      </c>
      <c r="E250" s="196">
        <v>47446.0</v>
      </c>
      <c r="F250" s="197">
        <v>256.0</v>
      </c>
      <c r="G250" s="197">
        <v>3.1</v>
      </c>
      <c r="H250" s="197">
        <v>6.7</v>
      </c>
      <c r="I250" s="197">
        <v>186.0</v>
      </c>
    </row>
    <row r="251">
      <c r="B251" s="192" t="s">
        <v>3317</v>
      </c>
      <c r="C251" s="193">
        <v>43856.0</v>
      </c>
      <c r="D251" s="193">
        <v>44753.0</v>
      </c>
      <c r="E251" s="193">
        <v>46841.0</v>
      </c>
      <c r="F251" s="194">
        <v>268.0</v>
      </c>
      <c r="G251" s="194">
        <v>2.0</v>
      </c>
      <c r="H251" s="194">
        <v>4.7</v>
      </c>
      <c r="I251" s="194">
        <v>317.0</v>
      </c>
    </row>
    <row r="252">
      <c r="B252" s="195" t="s">
        <v>3318</v>
      </c>
      <c r="C252" s="196">
        <v>36379.0</v>
      </c>
      <c r="D252" s="196">
        <v>37563.0</v>
      </c>
      <c r="E252" s="196">
        <v>40061.0</v>
      </c>
      <c r="F252" s="197">
        <v>372.0</v>
      </c>
      <c r="G252" s="197">
        <v>3.3</v>
      </c>
      <c r="H252" s="197">
        <v>6.7</v>
      </c>
      <c r="I252" s="197">
        <v>189.0</v>
      </c>
    </row>
    <row r="253">
      <c r="B253" s="192" t="s">
        <v>3319</v>
      </c>
      <c r="C253" s="193">
        <v>50703.0</v>
      </c>
      <c r="D253" s="193">
        <v>53221.0</v>
      </c>
      <c r="E253" s="193">
        <v>57315.0</v>
      </c>
      <c r="F253" s="194">
        <v>91.0</v>
      </c>
      <c r="G253" s="194">
        <v>5.0</v>
      </c>
      <c r="H253" s="194">
        <v>7.7</v>
      </c>
      <c r="I253" s="194">
        <v>107.0</v>
      </c>
    </row>
    <row r="254">
      <c r="B254" s="195" t="s">
        <v>3320</v>
      </c>
      <c r="C254" s="196">
        <v>36727.0</v>
      </c>
      <c r="D254" s="196">
        <v>38153.0</v>
      </c>
      <c r="E254" s="196">
        <v>40948.0</v>
      </c>
      <c r="F254" s="197">
        <v>364.0</v>
      </c>
      <c r="G254" s="197">
        <v>3.9</v>
      </c>
      <c r="H254" s="197">
        <v>7.3</v>
      </c>
      <c r="I254" s="197">
        <v>134.0</v>
      </c>
    </row>
    <row r="255">
      <c r="B255" s="192" t="s">
        <v>3321</v>
      </c>
      <c r="C255" s="193">
        <v>38141.0</v>
      </c>
      <c r="D255" s="193">
        <v>39769.0</v>
      </c>
      <c r="E255" s="193">
        <v>44000.0</v>
      </c>
      <c r="F255" s="194">
        <v>325.0</v>
      </c>
      <c r="G255" s="194">
        <v>4.3</v>
      </c>
      <c r="H255" s="194">
        <v>10.6</v>
      </c>
      <c r="I255" s="194">
        <v>25.0</v>
      </c>
    </row>
    <row r="256">
      <c r="B256" s="195" t="s">
        <v>3322</v>
      </c>
      <c r="C256" s="196">
        <v>39867.0</v>
      </c>
      <c r="D256" s="196">
        <v>41213.0</v>
      </c>
      <c r="E256" s="196">
        <v>43477.0</v>
      </c>
      <c r="F256" s="197">
        <v>334.0</v>
      </c>
      <c r="G256" s="197">
        <v>3.4</v>
      </c>
      <c r="H256" s="197">
        <v>5.5</v>
      </c>
      <c r="I256" s="197">
        <v>277.0</v>
      </c>
    </row>
    <row r="257">
      <c r="B257" s="192" t="s">
        <v>3323</v>
      </c>
      <c r="C257" s="193">
        <v>70161.0</v>
      </c>
      <c r="D257" s="193">
        <v>73886.0</v>
      </c>
      <c r="E257" s="193">
        <v>82408.0</v>
      </c>
      <c r="F257" s="194">
        <v>8.0</v>
      </c>
      <c r="G257" s="194">
        <v>5.3</v>
      </c>
      <c r="H257" s="194">
        <v>11.5</v>
      </c>
      <c r="I257" s="194">
        <v>17.0</v>
      </c>
    </row>
    <row r="258">
      <c r="B258" s="195" t="s">
        <v>3324</v>
      </c>
      <c r="C258" s="196">
        <v>99997.0</v>
      </c>
      <c r="D258" s="196">
        <v>103205.0</v>
      </c>
      <c r="E258" s="196">
        <v>103865.0</v>
      </c>
      <c r="F258" s="197">
        <v>5.0</v>
      </c>
      <c r="G258" s="197">
        <v>3.2</v>
      </c>
      <c r="H258" s="197">
        <v>0.6</v>
      </c>
      <c r="I258" s="197">
        <v>381.0</v>
      </c>
    </row>
    <row r="259">
      <c r="A259" s="114" t="s">
        <v>790</v>
      </c>
      <c r="B259" s="192" t="s">
        <v>3325</v>
      </c>
      <c r="C259" s="193">
        <v>59105.0</v>
      </c>
      <c r="D259" s="193">
        <v>61516.0</v>
      </c>
      <c r="E259" s="193">
        <v>62076.0</v>
      </c>
      <c r="F259" s="194">
        <v>47.0</v>
      </c>
      <c r="G259" s="194">
        <v>4.1</v>
      </c>
      <c r="H259" s="194">
        <v>0.9</v>
      </c>
      <c r="I259" s="194">
        <v>380.0</v>
      </c>
    </row>
    <row r="260">
      <c r="B260" s="195" t="s">
        <v>3326</v>
      </c>
      <c r="C260" s="196">
        <v>41910.0</v>
      </c>
      <c r="D260" s="196">
        <v>44765.0</v>
      </c>
      <c r="E260" s="196">
        <v>48121.0</v>
      </c>
      <c r="F260" s="197">
        <v>240.0</v>
      </c>
      <c r="G260" s="197">
        <v>6.8</v>
      </c>
      <c r="H260" s="197">
        <v>7.5</v>
      </c>
      <c r="I260" s="197">
        <v>121.0</v>
      </c>
    </row>
    <row r="261">
      <c r="B261" s="192" t="s">
        <v>3327</v>
      </c>
      <c r="C261" s="193">
        <v>54773.0</v>
      </c>
      <c r="D261" s="193">
        <v>56710.0</v>
      </c>
      <c r="E261" s="193">
        <v>60092.0</v>
      </c>
      <c r="F261" s="194">
        <v>67.0</v>
      </c>
      <c r="G261" s="194">
        <v>3.5</v>
      </c>
      <c r="H261" s="194">
        <v>6.0</v>
      </c>
      <c r="I261" s="194">
        <v>237.0</v>
      </c>
    </row>
    <row r="262">
      <c r="A262" s="30" t="s">
        <v>2472</v>
      </c>
      <c r="B262" s="195" t="s">
        <v>3328</v>
      </c>
      <c r="C262" s="196">
        <v>52574.0</v>
      </c>
      <c r="D262" s="196">
        <v>54660.0</v>
      </c>
      <c r="E262" s="196">
        <v>57891.0</v>
      </c>
      <c r="F262" s="197">
        <v>87.0</v>
      </c>
      <c r="G262" s="197">
        <v>4.0</v>
      </c>
      <c r="H262" s="197">
        <v>5.9</v>
      </c>
      <c r="I262" s="197">
        <v>238.0</v>
      </c>
    </row>
    <row r="263">
      <c r="A263" s="114" t="s">
        <v>2513</v>
      </c>
      <c r="B263" s="192" t="s">
        <v>3329</v>
      </c>
      <c r="C263" s="193">
        <v>75166.0</v>
      </c>
      <c r="D263" s="193">
        <v>77911.0</v>
      </c>
      <c r="E263" s="193">
        <v>82322.0</v>
      </c>
      <c r="F263" s="194">
        <v>9.0</v>
      </c>
      <c r="G263" s="194">
        <v>3.7</v>
      </c>
      <c r="H263" s="194">
        <v>5.7</v>
      </c>
      <c r="I263" s="194">
        <v>259.0</v>
      </c>
    </row>
    <row r="264">
      <c r="B264" s="195" t="s">
        <v>3330</v>
      </c>
      <c r="C264" s="196">
        <v>47325.0</v>
      </c>
      <c r="D264" s="196">
        <v>48231.0</v>
      </c>
      <c r="E264" s="196">
        <v>52395.0</v>
      </c>
      <c r="F264" s="197">
        <v>152.0</v>
      </c>
      <c r="G264" s="197">
        <v>1.9</v>
      </c>
      <c r="H264" s="197">
        <v>8.6</v>
      </c>
      <c r="I264" s="197">
        <v>57.0</v>
      </c>
    </row>
    <row r="265">
      <c r="B265" s="192" t="s">
        <v>3331</v>
      </c>
      <c r="C265" s="193">
        <v>58060.0</v>
      </c>
      <c r="D265" s="193">
        <v>59917.0</v>
      </c>
      <c r="E265" s="193">
        <v>61988.0</v>
      </c>
      <c r="F265" s="194">
        <v>48.0</v>
      </c>
      <c r="G265" s="194">
        <v>3.2</v>
      </c>
      <c r="H265" s="194">
        <v>3.5</v>
      </c>
      <c r="I265" s="194">
        <v>359.0</v>
      </c>
    </row>
    <row r="266">
      <c r="B266" s="195" t="s">
        <v>3332</v>
      </c>
      <c r="C266" s="196">
        <v>56567.0</v>
      </c>
      <c r="D266" s="196">
        <v>58122.0</v>
      </c>
      <c r="E266" s="196">
        <v>61191.0</v>
      </c>
      <c r="F266" s="197">
        <v>57.0</v>
      </c>
      <c r="G266" s="197">
        <v>2.7</v>
      </c>
      <c r="H266" s="197">
        <v>5.3</v>
      </c>
      <c r="I266" s="197">
        <v>284.0</v>
      </c>
    </row>
    <row r="267">
      <c r="B267" s="192" t="s">
        <v>3333</v>
      </c>
      <c r="C267" s="193">
        <v>37497.0</v>
      </c>
      <c r="D267" s="193">
        <v>38754.0</v>
      </c>
      <c r="E267" s="193">
        <v>41553.0</v>
      </c>
      <c r="F267" s="194">
        <v>358.0</v>
      </c>
      <c r="G267" s="194">
        <v>3.4</v>
      </c>
      <c r="H267" s="194">
        <v>7.2</v>
      </c>
      <c r="I267" s="194">
        <v>139.0</v>
      </c>
    </row>
    <row r="268">
      <c r="B268" s="195" t="s">
        <v>3334</v>
      </c>
      <c r="C268" s="196">
        <v>60246.0</v>
      </c>
      <c r="D268" s="196">
        <v>63203.0</v>
      </c>
      <c r="E268" s="196">
        <v>67836.0</v>
      </c>
      <c r="F268" s="197">
        <v>24.0</v>
      </c>
      <c r="G268" s="197">
        <v>4.9</v>
      </c>
      <c r="H268" s="197">
        <v>7.3</v>
      </c>
      <c r="I268" s="197">
        <v>133.0</v>
      </c>
    </row>
    <row r="269">
      <c r="B269" s="192" t="s">
        <v>3335</v>
      </c>
      <c r="C269" s="193">
        <v>49458.0</v>
      </c>
      <c r="D269" s="193">
        <v>52079.0</v>
      </c>
      <c r="E269" s="193">
        <v>49887.0</v>
      </c>
      <c r="F269" s="194">
        <v>203.0</v>
      </c>
      <c r="G269" s="194">
        <v>5.3</v>
      </c>
      <c r="H269" s="194">
        <v>-4.2</v>
      </c>
      <c r="I269" s="194">
        <v>383.0</v>
      </c>
    </row>
    <row r="270">
      <c r="B270" s="195" t="s">
        <v>3336</v>
      </c>
      <c r="C270" s="196">
        <v>43682.0</v>
      </c>
      <c r="D270" s="196">
        <v>46201.0</v>
      </c>
      <c r="E270" s="196">
        <v>49371.0</v>
      </c>
      <c r="F270" s="197">
        <v>216.0</v>
      </c>
      <c r="G270" s="197">
        <v>5.8</v>
      </c>
      <c r="H270" s="197">
        <v>6.9</v>
      </c>
      <c r="I270" s="197">
        <v>170.0</v>
      </c>
    </row>
    <row r="271">
      <c r="A271" s="114" t="s">
        <v>888</v>
      </c>
      <c r="B271" s="192" t="s">
        <v>888</v>
      </c>
      <c r="C271" s="193">
        <v>48300.0</v>
      </c>
      <c r="D271" s="193">
        <v>51408.0</v>
      </c>
      <c r="E271" s="193">
        <v>52688.0</v>
      </c>
      <c r="F271" s="194">
        <v>149.0</v>
      </c>
      <c r="G271" s="194">
        <v>6.4</v>
      </c>
      <c r="H271" s="194">
        <v>2.5</v>
      </c>
      <c r="I271" s="194">
        <v>371.0</v>
      </c>
    </row>
    <row r="272">
      <c r="B272" s="195" t="s">
        <v>3337</v>
      </c>
      <c r="C272" s="196">
        <v>49483.0</v>
      </c>
      <c r="D272" s="196">
        <v>52010.0</v>
      </c>
      <c r="E272" s="196">
        <v>56007.0</v>
      </c>
      <c r="F272" s="197">
        <v>103.0</v>
      </c>
      <c r="G272" s="197">
        <v>5.1</v>
      </c>
      <c r="H272" s="197">
        <v>7.7</v>
      </c>
      <c r="I272" s="197">
        <v>109.0</v>
      </c>
    </row>
    <row r="273">
      <c r="A273" s="30" t="s">
        <v>2459</v>
      </c>
      <c r="B273" s="192" t="s">
        <v>3338</v>
      </c>
      <c r="C273" s="193">
        <v>57457.0</v>
      </c>
      <c r="D273" s="193">
        <v>58368.0</v>
      </c>
      <c r="E273" s="193">
        <v>61040.0</v>
      </c>
      <c r="F273" s="194">
        <v>60.0</v>
      </c>
      <c r="G273" s="194">
        <v>1.6</v>
      </c>
      <c r="H273" s="194">
        <v>4.6</v>
      </c>
      <c r="I273" s="194">
        <v>324.0</v>
      </c>
    </row>
    <row r="274">
      <c r="B274" s="195" t="s">
        <v>3339</v>
      </c>
      <c r="C274" s="196">
        <v>43970.0</v>
      </c>
      <c r="D274" s="196">
        <v>45718.0</v>
      </c>
      <c r="E274" s="196">
        <v>48223.0</v>
      </c>
      <c r="F274" s="197">
        <v>237.0</v>
      </c>
      <c r="G274" s="197">
        <v>4.0</v>
      </c>
      <c r="H274" s="197">
        <v>5.5</v>
      </c>
      <c r="I274" s="197">
        <v>278.0</v>
      </c>
    </row>
    <row r="275">
      <c r="B275" s="192" t="s">
        <v>3340</v>
      </c>
      <c r="C275" s="193">
        <v>47644.0</v>
      </c>
      <c r="D275" s="193">
        <v>48943.0</v>
      </c>
      <c r="E275" s="193">
        <v>50840.0</v>
      </c>
      <c r="F275" s="194">
        <v>184.0</v>
      </c>
      <c r="G275" s="194">
        <v>2.7</v>
      </c>
      <c r="H275" s="194">
        <v>3.9</v>
      </c>
      <c r="I275" s="194">
        <v>347.0</v>
      </c>
    </row>
    <row r="276">
      <c r="B276" s="195" t="s">
        <v>3341</v>
      </c>
      <c r="C276" s="196">
        <v>40785.0</v>
      </c>
      <c r="D276" s="196">
        <v>42380.0</v>
      </c>
      <c r="E276" s="196">
        <v>45684.0</v>
      </c>
      <c r="F276" s="197">
        <v>289.0</v>
      </c>
      <c r="G276" s="197">
        <v>3.9</v>
      </c>
      <c r="H276" s="197">
        <v>7.8</v>
      </c>
      <c r="I276" s="197">
        <v>106.0</v>
      </c>
    </row>
    <row r="277">
      <c r="B277" s="192" t="s">
        <v>3342</v>
      </c>
      <c r="C277" s="193">
        <v>60238.0</v>
      </c>
      <c r="D277" s="193">
        <v>63190.0</v>
      </c>
      <c r="E277" s="193">
        <v>67422.0</v>
      </c>
      <c r="F277" s="194">
        <v>26.0</v>
      </c>
      <c r="G277" s="194">
        <v>4.9</v>
      </c>
      <c r="H277" s="194">
        <v>6.7</v>
      </c>
      <c r="I277" s="194">
        <v>183.0</v>
      </c>
    </row>
    <row r="278">
      <c r="B278" s="195" t="s">
        <v>3343</v>
      </c>
      <c r="C278" s="196">
        <v>46145.0</v>
      </c>
      <c r="D278" s="196">
        <v>48539.0</v>
      </c>
      <c r="E278" s="196">
        <v>51507.0</v>
      </c>
      <c r="F278" s="197">
        <v>172.0</v>
      </c>
      <c r="G278" s="197">
        <v>5.2</v>
      </c>
      <c r="H278" s="197">
        <v>6.1</v>
      </c>
      <c r="I278" s="197">
        <v>226.0</v>
      </c>
    </row>
    <row r="279">
      <c r="B279" s="192" t="s">
        <v>3344</v>
      </c>
      <c r="C279" s="193">
        <v>43020.0</v>
      </c>
      <c r="D279" s="193">
        <v>46818.0</v>
      </c>
      <c r="E279" s="193">
        <v>50696.0</v>
      </c>
      <c r="F279" s="194">
        <v>186.0</v>
      </c>
      <c r="G279" s="194">
        <v>8.8</v>
      </c>
      <c r="H279" s="194">
        <v>8.3</v>
      </c>
      <c r="I279" s="194">
        <v>78.0</v>
      </c>
    </row>
    <row r="280">
      <c r="B280" s="195" t="s">
        <v>3345</v>
      </c>
      <c r="C280" s="196">
        <v>43479.0</v>
      </c>
      <c r="D280" s="196">
        <v>45758.0</v>
      </c>
      <c r="E280" s="196">
        <v>47706.0</v>
      </c>
      <c r="F280" s="197">
        <v>252.0</v>
      </c>
      <c r="G280" s="197">
        <v>5.2</v>
      </c>
      <c r="H280" s="197">
        <v>4.3</v>
      </c>
      <c r="I280" s="197">
        <v>337.0</v>
      </c>
    </row>
    <row r="281">
      <c r="B281" s="192" t="s">
        <v>3346</v>
      </c>
      <c r="C281" s="193">
        <v>43699.0</v>
      </c>
      <c r="D281" s="193">
        <v>45259.0</v>
      </c>
      <c r="E281" s="193">
        <v>48154.0</v>
      </c>
      <c r="F281" s="194">
        <v>238.0</v>
      </c>
      <c r="G281" s="194">
        <v>3.6</v>
      </c>
      <c r="H281" s="194">
        <v>6.4</v>
      </c>
      <c r="I281" s="194">
        <v>209.0</v>
      </c>
    </row>
    <row r="282">
      <c r="B282" s="195" t="s">
        <v>3347</v>
      </c>
      <c r="C282" s="196">
        <v>48056.0</v>
      </c>
      <c r="D282" s="196">
        <v>48746.0</v>
      </c>
      <c r="E282" s="196">
        <v>52742.0</v>
      </c>
      <c r="F282" s="197">
        <v>148.0</v>
      </c>
      <c r="G282" s="197">
        <v>1.4</v>
      </c>
      <c r="H282" s="197">
        <v>8.2</v>
      </c>
      <c r="I282" s="197">
        <v>83.0</v>
      </c>
    </row>
    <row r="283">
      <c r="A283" s="114" t="s">
        <v>268</v>
      </c>
      <c r="B283" s="192" t="s">
        <v>3348</v>
      </c>
      <c r="C283" s="193">
        <v>64053.0</v>
      </c>
      <c r="D283" s="193">
        <v>65733.0</v>
      </c>
      <c r="E283" s="193">
        <v>69705.0</v>
      </c>
      <c r="F283" s="194">
        <v>21.0</v>
      </c>
      <c r="G283" s="194">
        <v>2.6</v>
      </c>
      <c r="H283" s="194">
        <v>6.0</v>
      </c>
      <c r="I283" s="194">
        <v>231.0</v>
      </c>
    </row>
    <row r="284">
      <c r="A284" s="114" t="s">
        <v>1037</v>
      </c>
      <c r="B284" s="195" t="s">
        <v>3349</v>
      </c>
      <c r="C284" s="196">
        <v>46140.0</v>
      </c>
      <c r="D284" s="196">
        <v>48082.0</v>
      </c>
      <c r="E284" s="196">
        <v>51851.0</v>
      </c>
      <c r="F284" s="197">
        <v>163.0</v>
      </c>
      <c r="G284" s="197">
        <v>4.2</v>
      </c>
      <c r="H284" s="197">
        <v>7.8</v>
      </c>
      <c r="I284" s="197">
        <v>104.0</v>
      </c>
    </row>
    <row r="285">
      <c r="A285" s="114" t="s">
        <v>242</v>
      </c>
      <c r="B285" s="195" t="s">
        <v>3349</v>
      </c>
      <c r="C285" s="196">
        <v>46140.0</v>
      </c>
      <c r="D285" s="196">
        <v>48082.0</v>
      </c>
      <c r="E285" s="196">
        <v>51851.0</v>
      </c>
      <c r="F285" s="197">
        <v>163.0</v>
      </c>
      <c r="G285" s="197">
        <v>4.2</v>
      </c>
      <c r="H285" s="197">
        <v>7.8</v>
      </c>
      <c r="I285" s="197">
        <v>104.0</v>
      </c>
    </row>
    <row r="286">
      <c r="B286" s="192" t="s">
        <v>3350</v>
      </c>
      <c r="C286" s="193">
        <v>33869.0</v>
      </c>
      <c r="D286" s="193">
        <v>35151.0</v>
      </c>
      <c r="E286" s="193">
        <v>37962.0</v>
      </c>
      <c r="F286" s="194">
        <v>378.0</v>
      </c>
      <c r="G286" s="194">
        <v>3.8</v>
      </c>
      <c r="H286" s="194">
        <v>8.0</v>
      </c>
      <c r="I286" s="194">
        <v>91.0</v>
      </c>
    </row>
    <row r="287">
      <c r="B287" s="195" t="s">
        <v>2495</v>
      </c>
      <c r="C287" s="196">
        <v>58000.0</v>
      </c>
      <c r="D287" s="196">
        <v>59494.0</v>
      </c>
      <c r="E287" s="196">
        <v>63675.0</v>
      </c>
      <c r="F287" s="197">
        <v>39.0</v>
      </c>
      <c r="G287" s="197">
        <v>2.6</v>
      </c>
      <c r="H287" s="197">
        <v>7.0</v>
      </c>
      <c r="I287" s="197">
        <v>155.0</v>
      </c>
    </row>
    <row r="288">
      <c r="B288" s="192" t="s">
        <v>3351</v>
      </c>
      <c r="C288" s="193">
        <v>55947.0</v>
      </c>
      <c r="D288" s="193">
        <v>57300.0</v>
      </c>
      <c r="E288" s="193">
        <v>61872.0</v>
      </c>
      <c r="F288" s="194">
        <v>49.0</v>
      </c>
      <c r="G288" s="194">
        <v>2.4</v>
      </c>
      <c r="H288" s="194">
        <v>8.0</v>
      </c>
      <c r="I288" s="194">
        <v>92.0</v>
      </c>
    </row>
    <row r="289">
      <c r="B289" s="195" t="s">
        <v>3352</v>
      </c>
      <c r="C289" s="196">
        <v>37248.0</v>
      </c>
      <c r="D289" s="196">
        <v>38901.0</v>
      </c>
      <c r="E289" s="196">
        <v>42186.0</v>
      </c>
      <c r="F289" s="197">
        <v>348.0</v>
      </c>
      <c r="G289" s="197">
        <v>4.4</v>
      </c>
      <c r="H289" s="197">
        <v>8.4</v>
      </c>
      <c r="I289" s="197">
        <v>67.0</v>
      </c>
    </row>
    <row r="290">
      <c r="B290" s="192" t="s">
        <v>3353</v>
      </c>
      <c r="C290" s="193">
        <v>57732.0</v>
      </c>
      <c r="D290" s="193">
        <v>59724.0</v>
      </c>
      <c r="E290" s="193">
        <v>63497.0</v>
      </c>
      <c r="F290" s="194">
        <v>41.0</v>
      </c>
      <c r="G290" s="194">
        <v>3.5</v>
      </c>
      <c r="H290" s="194">
        <v>6.3</v>
      </c>
      <c r="I290" s="194">
        <v>214.0</v>
      </c>
    </row>
    <row r="291">
      <c r="A291" s="114" t="s">
        <v>925</v>
      </c>
      <c r="B291" s="195" t="s">
        <v>3354</v>
      </c>
      <c r="C291" s="196">
        <v>56762.0</v>
      </c>
      <c r="D291" s="196">
        <v>58941.0</v>
      </c>
      <c r="E291" s="196">
        <v>62603.0</v>
      </c>
      <c r="F291" s="197">
        <v>44.0</v>
      </c>
      <c r="G291" s="197">
        <v>3.8</v>
      </c>
      <c r="H291" s="197">
        <v>6.2</v>
      </c>
      <c r="I291" s="197">
        <v>221.0</v>
      </c>
    </row>
    <row r="292">
      <c r="B292" s="192" t="s">
        <v>3355</v>
      </c>
      <c r="C292" s="193">
        <v>54988.0</v>
      </c>
      <c r="D292" s="193">
        <v>56602.0</v>
      </c>
      <c r="E292" s="193">
        <v>58649.0</v>
      </c>
      <c r="F292" s="194">
        <v>78.0</v>
      </c>
      <c r="G292" s="194">
        <v>2.9</v>
      </c>
      <c r="H292" s="194">
        <v>3.6</v>
      </c>
      <c r="I292" s="194">
        <v>353.0</v>
      </c>
    </row>
    <row r="293">
      <c r="B293" s="195" t="s">
        <v>3356</v>
      </c>
      <c r="C293" s="196">
        <v>53225.0</v>
      </c>
      <c r="D293" s="196">
        <v>55508.0</v>
      </c>
      <c r="E293" s="196">
        <v>59690.0</v>
      </c>
      <c r="F293" s="197">
        <v>70.0</v>
      </c>
      <c r="G293" s="197">
        <v>4.3</v>
      </c>
      <c r="H293" s="197">
        <v>7.5</v>
      </c>
      <c r="I293" s="197">
        <v>116.0</v>
      </c>
    </row>
    <row r="294">
      <c r="B294" s="192" t="s">
        <v>3357</v>
      </c>
      <c r="C294" s="193">
        <v>40098.0</v>
      </c>
      <c r="D294" s="193">
        <v>41076.0</v>
      </c>
      <c r="E294" s="193">
        <v>44490.0</v>
      </c>
      <c r="F294" s="194">
        <v>316.0</v>
      </c>
      <c r="G294" s="194">
        <v>2.4</v>
      </c>
      <c r="H294" s="194">
        <v>8.3</v>
      </c>
      <c r="I294" s="194">
        <v>75.0</v>
      </c>
    </row>
    <row r="295">
      <c r="B295" s="195" t="s">
        <v>3358</v>
      </c>
      <c r="C295" s="196">
        <v>53771.0</v>
      </c>
      <c r="D295" s="196">
        <v>56197.0</v>
      </c>
      <c r="E295" s="196">
        <v>60897.0</v>
      </c>
      <c r="F295" s="197">
        <v>61.0</v>
      </c>
      <c r="G295" s="197">
        <v>4.5</v>
      </c>
      <c r="H295" s="197">
        <v>8.4</v>
      </c>
      <c r="I295" s="197">
        <v>72.0</v>
      </c>
    </row>
    <row r="296">
      <c r="B296" s="192" t="s">
        <v>3359</v>
      </c>
      <c r="C296" s="193">
        <v>40896.0</v>
      </c>
      <c r="D296" s="193">
        <v>43520.0</v>
      </c>
      <c r="E296" s="193">
        <v>46393.0</v>
      </c>
      <c r="F296" s="194">
        <v>278.0</v>
      </c>
      <c r="G296" s="194">
        <v>6.4</v>
      </c>
      <c r="H296" s="194">
        <v>6.6</v>
      </c>
      <c r="I296" s="194">
        <v>191.0</v>
      </c>
    </row>
    <row r="297">
      <c r="B297" s="195" t="s">
        <v>3360</v>
      </c>
      <c r="C297" s="196">
        <v>37969.0</v>
      </c>
      <c r="D297" s="196">
        <v>39533.0</v>
      </c>
      <c r="E297" s="196">
        <v>43196.0</v>
      </c>
      <c r="F297" s="197">
        <v>337.0</v>
      </c>
      <c r="G297" s="197">
        <v>4.1</v>
      </c>
      <c r="H297" s="197">
        <v>9.3</v>
      </c>
      <c r="I297" s="197">
        <v>41.0</v>
      </c>
    </row>
    <row r="298">
      <c r="B298" s="192" t="s">
        <v>3361</v>
      </c>
      <c r="C298" s="193">
        <v>42292.0</v>
      </c>
      <c r="D298" s="193">
        <v>43549.0</v>
      </c>
      <c r="E298" s="193">
        <v>45606.0</v>
      </c>
      <c r="F298" s="194">
        <v>290.0</v>
      </c>
      <c r="G298" s="194">
        <v>3.0</v>
      </c>
      <c r="H298" s="194">
        <v>4.7</v>
      </c>
      <c r="I298" s="194">
        <v>314.0</v>
      </c>
    </row>
    <row r="299">
      <c r="B299" s="195" t="s">
        <v>3362</v>
      </c>
      <c r="C299" s="196">
        <v>49191.0</v>
      </c>
      <c r="D299" s="196">
        <v>50729.0</v>
      </c>
      <c r="E299" s="196">
        <v>53094.0</v>
      </c>
      <c r="F299" s="197">
        <v>139.0</v>
      </c>
      <c r="G299" s="197">
        <v>3.1</v>
      </c>
      <c r="H299" s="197">
        <v>4.7</v>
      </c>
      <c r="I299" s="197">
        <v>318.0</v>
      </c>
    </row>
    <row r="300">
      <c r="A300" s="114" t="s">
        <v>1202</v>
      </c>
      <c r="B300" s="192" t="s">
        <v>3363</v>
      </c>
      <c r="C300" s="193">
        <v>56139.0</v>
      </c>
      <c r="D300" s="193">
        <v>58147.0</v>
      </c>
      <c r="E300" s="193">
        <v>60884.0</v>
      </c>
      <c r="F300" s="194">
        <v>62.0</v>
      </c>
      <c r="G300" s="194">
        <v>3.6</v>
      </c>
      <c r="H300" s="194">
        <v>4.7</v>
      </c>
      <c r="I300" s="194">
        <v>315.0</v>
      </c>
    </row>
    <row r="301">
      <c r="B301" s="195" t="s">
        <v>2420</v>
      </c>
      <c r="C301" s="196">
        <v>50230.0</v>
      </c>
      <c r="D301" s="196">
        <v>52133.0</v>
      </c>
      <c r="E301" s="196">
        <v>55187.0</v>
      </c>
      <c r="F301" s="197">
        <v>114.0</v>
      </c>
      <c r="G301" s="197">
        <v>3.8</v>
      </c>
      <c r="H301" s="197">
        <v>5.9</v>
      </c>
      <c r="I301" s="197">
        <v>244.0</v>
      </c>
    </row>
    <row r="302">
      <c r="B302" s="192" t="s">
        <v>3364</v>
      </c>
      <c r="C302" s="193">
        <v>49549.0</v>
      </c>
      <c r="D302" s="193">
        <v>51606.0</v>
      </c>
      <c r="E302" s="193">
        <v>55953.0</v>
      </c>
      <c r="F302" s="194">
        <v>105.0</v>
      </c>
      <c r="G302" s="194">
        <v>4.2</v>
      </c>
      <c r="H302" s="194">
        <v>8.4</v>
      </c>
      <c r="I302" s="194">
        <v>69.0</v>
      </c>
    </row>
    <row r="303">
      <c r="B303" s="195" t="s">
        <v>3365</v>
      </c>
      <c r="C303" s="196">
        <v>44549.0</v>
      </c>
      <c r="D303" s="196">
        <v>46417.0</v>
      </c>
      <c r="E303" s="196">
        <v>51649.0</v>
      </c>
      <c r="F303" s="197">
        <v>170.0</v>
      </c>
      <c r="G303" s="197">
        <v>4.2</v>
      </c>
      <c r="H303" s="197">
        <v>11.3</v>
      </c>
      <c r="I303" s="197">
        <v>19.0</v>
      </c>
    </row>
    <row r="304">
      <c r="B304" s="192" t="s">
        <v>2443</v>
      </c>
      <c r="C304" s="193">
        <v>61005.0</v>
      </c>
      <c r="D304" s="193">
        <v>62954.0</v>
      </c>
      <c r="E304" s="193">
        <v>66075.0</v>
      </c>
      <c r="F304" s="194">
        <v>33.0</v>
      </c>
      <c r="G304" s="194">
        <v>3.2</v>
      </c>
      <c r="H304" s="194">
        <v>5.0</v>
      </c>
      <c r="I304" s="194">
        <v>303.0</v>
      </c>
    </row>
    <row r="305">
      <c r="B305" s="195" t="s">
        <v>2480</v>
      </c>
      <c r="C305" s="196">
        <v>56101.0</v>
      </c>
      <c r="D305" s="196">
        <v>58111.0</v>
      </c>
      <c r="E305" s="196">
        <v>61148.0</v>
      </c>
      <c r="F305" s="197">
        <v>58.0</v>
      </c>
      <c r="G305" s="197">
        <v>3.6</v>
      </c>
      <c r="H305" s="197">
        <v>5.2</v>
      </c>
      <c r="I305" s="197">
        <v>286.0</v>
      </c>
    </row>
    <row r="306">
      <c r="B306" s="192" t="s">
        <v>3366</v>
      </c>
      <c r="C306" s="193">
        <v>39403.0</v>
      </c>
      <c r="D306" s="193">
        <v>40988.0</v>
      </c>
      <c r="E306" s="193">
        <v>45365.0</v>
      </c>
      <c r="F306" s="194">
        <v>295.0</v>
      </c>
      <c r="G306" s="194">
        <v>4.0</v>
      </c>
      <c r="H306" s="194">
        <v>10.7</v>
      </c>
      <c r="I306" s="194">
        <v>24.0</v>
      </c>
    </row>
    <row r="307">
      <c r="B307" s="195" t="s">
        <v>3367</v>
      </c>
      <c r="C307" s="196">
        <v>46032.0</v>
      </c>
      <c r="D307" s="196">
        <v>46891.0</v>
      </c>
      <c r="E307" s="196">
        <v>50215.0</v>
      </c>
      <c r="F307" s="197">
        <v>197.0</v>
      </c>
      <c r="G307" s="197">
        <v>1.9</v>
      </c>
      <c r="H307" s="197">
        <v>7.1</v>
      </c>
      <c r="I307" s="197">
        <v>148.0</v>
      </c>
    </row>
    <row r="308">
      <c r="B308" s="192" t="s">
        <v>3368</v>
      </c>
      <c r="C308" s="193">
        <v>54635.0</v>
      </c>
      <c r="D308" s="193">
        <v>55770.0</v>
      </c>
      <c r="E308" s="193">
        <v>59842.0</v>
      </c>
      <c r="F308" s="194">
        <v>69.0</v>
      </c>
      <c r="G308" s="194">
        <v>2.1</v>
      </c>
      <c r="H308" s="194">
        <v>7.3</v>
      </c>
      <c r="I308" s="194">
        <v>135.0</v>
      </c>
    </row>
    <row r="309">
      <c r="B309" s="195" t="s">
        <v>2505</v>
      </c>
      <c r="C309" s="196">
        <v>50554.0</v>
      </c>
      <c r="D309" s="196">
        <v>52480.0</v>
      </c>
      <c r="E309" s="196">
        <v>56477.0</v>
      </c>
      <c r="F309" s="197">
        <v>99.0</v>
      </c>
      <c r="G309" s="197">
        <v>3.8</v>
      </c>
      <c r="H309" s="197">
        <v>7.6</v>
      </c>
      <c r="I309" s="197">
        <v>114.0</v>
      </c>
    </row>
    <row r="310">
      <c r="B310" s="192" t="s">
        <v>1587</v>
      </c>
      <c r="C310" s="193">
        <v>43824.0</v>
      </c>
      <c r="D310" s="193">
        <v>44621.0</v>
      </c>
      <c r="E310" s="193">
        <v>47982.0</v>
      </c>
      <c r="F310" s="194">
        <v>244.0</v>
      </c>
      <c r="G310" s="194">
        <v>1.8</v>
      </c>
      <c r="H310" s="194">
        <v>7.5</v>
      </c>
      <c r="I310" s="194">
        <v>117.0</v>
      </c>
    </row>
    <row r="311">
      <c r="B311" s="195" t="s">
        <v>3369</v>
      </c>
      <c r="C311" s="196">
        <v>39030.0</v>
      </c>
      <c r="D311" s="196">
        <v>40816.0</v>
      </c>
      <c r="E311" s="196">
        <v>43623.0</v>
      </c>
      <c r="F311" s="197">
        <v>331.0</v>
      </c>
      <c r="G311" s="197">
        <v>4.6</v>
      </c>
      <c r="H311" s="197">
        <v>6.9</v>
      </c>
      <c r="I311" s="197">
        <v>168.0</v>
      </c>
    </row>
    <row r="312">
      <c r="B312" s="192" t="s">
        <v>3370</v>
      </c>
      <c r="C312" s="193">
        <v>37593.0</v>
      </c>
      <c r="D312" s="193">
        <v>38630.0</v>
      </c>
      <c r="E312" s="193">
        <v>41238.0</v>
      </c>
      <c r="F312" s="194">
        <v>360.0</v>
      </c>
      <c r="G312" s="194">
        <v>2.8</v>
      </c>
      <c r="H312" s="194">
        <v>6.8</v>
      </c>
      <c r="I312" s="194">
        <v>177.0</v>
      </c>
    </row>
    <row r="313">
      <c r="A313" s="114" t="s">
        <v>1076</v>
      </c>
      <c r="B313" s="195" t="s">
        <v>3371</v>
      </c>
      <c r="C313" s="196">
        <v>54832.0</v>
      </c>
      <c r="D313" s="196">
        <v>57014.0</v>
      </c>
      <c r="E313" s="196">
        <v>61852.0</v>
      </c>
      <c r="F313" s="197">
        <v>50.0</v>
      </c>
      <c r="G313" s="197">
        <v>4.0</v>
      </c>
      <c r="H313" s="197">
        <v>8.5</v>
      </c>
      <c r="I313" s="197">
        <v>66.0</v>
      </c>
    </row>
    <row r="314">
      <c r="B314" s="192" t="s">
        <v>3372</v>
      </c>
      <c r="C314" s="193">
        <v>39289.0</v>
      </c>
      <c r="D314" s="193">
        <v>41659.0</v>
      </c>
      <c r="E314" s="193">
        <v>45328.0</v>
      </c>
      <c r="F314" s="194">
        <v>298.0</v>
      </c>
      <c r="G314" s="194">
        <v>6.0</v>
      </c>
      <c r="H314" s="194">
        <v>8.8</v>
      </c>
      <c r="I314" s="194">
        <v>53.0</v>
      </c>
    </row>
    <row r="315">
      <c r="B315" s="195" t="s">
        <v>3373</v>
      </c>
      <c r="C315" s="196">
        <v>45837.0</v>
      </c>
      <c r="D315" s="196">
        <v>47119.0</v>
      </c>
      <c r="E315" s="196">
        <v>50850.0</v>
      </c>
      <c r="F315" s="197">
        <v>183.0</v>
      </c>
      <c r="G315" s="197">
        <v>2.8</v>
      </c>
      <c r="H315" s="197">
        <v>7.9</v>
      </c>
      <c r="I315" s="197">
        <v>96.0</v>
      </c>
    </row>
    <row r="316">
      <c r="B316" s="192" t="s">
        <v>3374</v>
      </c>
      <c r="C316" s="193">
        <v>39964.0</v>
      </c>
      <c r="D316" s="193">
        <v>41869.0</v>
      </c>
      <c r="E316" s="193">
        <v>43782.0</v>
      </c>
      <c r="F316" s="194">
        <v>329.0</v>
      </c>
      <c r="G316" s="194">
        <v>4.8</v>
      </c>
      <c r="H316" s="194">
        <v>4.6</v>
      </c>
      <c r="I316" s="194">
        <v>325.0</v>
      </c>
    </row>
    <row r="317">
      <c r="B317" s="195" t="s">
        <v>3375</v>
      </c>
      <c r="C317" s="196">
        <v>38098.0</v>
      </c>
      <c r="D317" s="196">
        <v>40709.0</v>
      </c>
      <c r="E317" s="196">
        <v>43061.0</v>
      </c>
      <c r="F317" s="197">
        <v>339.0</v>
      </c>
      <c r="G317" s="197">
        <v>6.9</v>
      </c>
      <c r="H317" s="197">
        <v>5.8</v>
      </c>
      <c r="I317" s="197">
        <v>253.0</v>
      </c>
    </row>
    <row r="318">
      <c r="B318" s="192" t="s">
        <v>3376</v>
      </c>
      <c r="C318" s="193">
        <v>55533.0</v>
      </c>
      <c r="D318" s="193">
        <v>57615.0</v>
      </c>
      <c r="E318" s="193">
        <v>60844.0</v>
      </c>
      <c r="F318" s="194">
        <v>63.0</v>
      </c>
      <c r="G318" s="194">
        <v>3.7</v>
      </c>
      <c r="H318" s="194">
        <v>5.6</v>
      </c>
      <c r="I318" s="194">
        <v>266.0</v>
      </c>
    </row>
    <row r="319">
      <c r="B319" s="195" t="s">
        <v>2425</v>
      </c>
      <c r="C319" s="196">
        <v>42119.0</v>
      </c>
      <c r="D319" s="196">
        <v>44118.0</v>
      </c>
      <c r="E319" s="196">
        <v>47638.0</v>
      </c>
      <c r="F319" s="197">
        <v>253.0</v>
      </c>
      <c r="G319" s="197">
        <v>4.7</v>
      </c>
      <c r="H319" s="197">
        <v>8.0</v>
      </c>
      <c r="I319" s="197">
        <v>93.0</v>
      </c>
    </row>
    <row r="320">
      <c r="B320" s="192" t="s">
        <v>3377</v>
      </c>
      <c r="C320" s="193">
        <v>53625.0</v>
      </c>
      <c r="D320" s="193">
        <v>56545.0</v>
      </c>
      <c r="E320" s="193">
        <v>61510.0</v>
      </c>
      <c r="F320" s="194">
        <v>54.0</v>
      </c>
      <c r="G320" s="194">
        <v>5.4</v>
      </c>
      <c r="H320" s="194">
        <v>8.8</v>
      </c>
      <c r="I320" s="194">
        <v>54.0</v>
      </c>
    </row>
    <row r="321">
      <c r="B321" s="195" t="s">
        <v>3378</v>
      </c>
      <c r="C321" s="196">
        <v>48086.0</v>
      </c>
      <c r="D321" s="196">
        <v>49074.0</v>
      </c>
      <c r="E321" s="196">
        <v>51228.0</v>
      </c>
      <c r="F321" s="197">
        <v>176.0</v>
      </c>
      <c r="G321" s="197">
        <v>2.1</v>
      </c>
      <c r="H321" s="197">
        <v>4.4</v>
      </c>
      <c r="I321" s="197">
        <v>333.0</v>
      </c>
    </row>
    <row r="322">
      <c r="B322" s="192" t="s">
        <v>2473</v>
      </c>
      <c r="C322" s="193">
        <v>51253.0</v>
      </c>
      <c r="D322" s="193">
        <v>54456.0</v>
      </c>
      <c r="E322" s="193">
        <v>58008.0</v>
      </c>
      <c r="F322" s="194">
        <v>86.0</v>
      </c>
      <c r="G322" s="194">
        <v>6.2</v>
      </c>
      <c r="H322" s="194">
        <v>6.5</v>
      </c>
      <c r="I322" s="194">
        <v>197.0</v>
      </c>
    </row>
    <row r="323">
      <c r="B323" s="195" t="s">
        <v>3379</v>
      </c>
      <c r="C323" s="196">
        <v>48865.0</v>
      </c>
      <c r="D323" s="196">
        <v>51990.0</v>
      </c>
      <c r="E323" s="196">
        <v>53305.0</v>
      </c>
      <c r="F323" s="197">
        <v>138.0</v>
      </c>
      <c r="G323" s="197">
        <v>6.4</v>
      </c>
      <c r="H323" s="197">
        <v>2.5</v>
      </c>
      <c r="I323" s="197">
        <v>370.0</v>
      </c>
    </row>
    <row r="324">
      <c r="A324" s="114" t="s">
        <v>313</v>
      </c>
      <c r="B324" s="192" t="s">
        <v>3380</v>
      </c>
      <c r="C324" s="193">
        <v>48192.0</v>
      </c>
      <c r="D324" s="193">
        <v>48025.0</v>
      </c>
      <c r="E324" s="193">
        <v>50022.0</v>
      </c>
      <c r="F324" s="194">
        <v>200.0</v>
      </c>
      <c r="G324" s="194">
        <v>-0.3</v>
      </c>
      <c r="H324" s="194">
        <v>4.2</v>
      </c>
      <c r="I324" s="194">
        <v>342.0</v>
      </c>
    </row>
    <row r="325">
      <c r="A325" s="114" t="s">
        <v>370</v>
      </c>
      <c r="B325" s="195" t="s">
        <v>3381</v>
      </c>
      <c r="C325" s="196">
        <v>58719.0</v>
      </c>
      <c r="D325" s="196">
        <v>60845.0</v>
      </c>
      <c r="E325" s="196">
        <v>66266.0</v>
      </c>
      <c r="F325" s="197">
        <v>32.0</v>
      </c>
      <c r="G325" s="197">
        <v>3.6</v>
      </c>
      <c r="H325" s="197">
        <v>8.9</v>
      </c>
      <c r="I325" s="197">
        <v>50.0</v>
      </c>
    </row>
    <row r="326">
      <c r="A326" s="114" t="s">
        <v>1289</v>
      </c>
      <c r="B326" s="192" t="s">
        <v>3382</v>
      </c>
      <c r="C326" s="193">
        <v>97681.0</v>
      </c>
      <c r="D326" s="193">
        <v>102406.0</v>
      </c>
      <c r="E326" s="193">
        <v>111050.0</v>
      </c>
      <c r="F326" s="194">
        <v>4.0</v>
      </c>
      <c r="G326" s="194">
        <v>4.8</v>
      </c>
      <c r="H326" s="194">
        <v>8.4</v>
      </c>
      <c r="I326" s="194">
        <v>68.0</v>
      </c>
    </row>
    <row r="327">
      <c r="A327" s="114" t="s">
        <v>683</v>
      </c>
      <c r="B327" s="192" t="s">
        <v>3382</v>
      </c>
      <c r="C327" s="193">
        <v>97681.0</v>
      </c>
      <c r="D327" s="193">
        <v>102406.0</v>
      </c>
      <c r="E327" s="193">
        <v>111050.0</v>
      </c>
      <c r="F327" s="194">
        <v>4.0</v>
      </c>
      <c r="G327" s="194">
        <v>4.8</v>
      </c>
      <c r="H327" s="194">
        <v>8.4</v>
      </c>
      <c r="I327" s="194">
        <v>68.0</v>
      </c>
    </row>
    <row r="328">
      <c r="A328" s="30" t="s">
        <v>474</v>
      </c>
      <c r="B328" s="195" t="s">
        <v>3383</v>
      </c>
      <c r="C328" s="196">
        <v>106568.0</v>
      </c>
      <c r="D328" s="196">
        <v>112693.0</v>
      </c>
      <c r="E328" s="196">
        <v>121619.0</v>
      </c>
      <c r="F328" s="197">
        <v>2.0</v>
      </c>
      <c r="G328" s="197">
        <v>5.7</v>
      </c>
      <c r="H328" s="197">
        <v>7.9</v>
      </c>
      <c r="I328" s="197">
        <v>95.0</v>
      </c>
    </row>
    <row r="329">
      <c r="B329" s="192" t="s">
        <v>3384</v>
      </c>
      <c r="C329" s="193">
        <v>55913.0</v>
      </c>
      <c r="D329" s="193">
        <v>58693.0</v>
      </c>
      <c r="E329" s="193">
        <v>62342.0</v>
      </c>
      <c r="F329" s="194">
        <v>45.0</v>
      </c>
      <c r="G329" s="194">
        <v>5.0</v>
      </c>
      <c r="H329" s="194">
        <v>6.2</v>
      </c>
      <c r="I329" s="194">
        <v>220.0</v>
      </c>
    </row>
    <row r="330">
      <c r="B330" s="195" t="s">
        <v>3385</v>
      </c>
      <c r="C330" s="196">
        <v>65751.0</v>
      </c>
      <c r="D330" s="196">
        <v>68990.0</v>
      </c>
      <c r="E330" s="196">
        <v>75957.0</v>
      </c>
      <c r="F330" s="197">
        <v>14.0</v>
      </c>
      <c r="G330" s="197">
        <v>4.9</v>
      </c>
      <c r="H330" s="197">
        <v>10.1</v>
      </c>
      <c r="I330" s="197">
        <v>29.0</v>
      </c>
    </row>
    <row r="331">
      <c r="B331" s="192" t="s">
        <v>3386</v>
      </c>
      <c r="C331" s="193">
        <v>58525.0</v>
      </c>
      <c r="D331" s="193">
        <v>60301.0</v>
      </c>
      <c r="E331" s="193">
        <v>63004.0</v>
      </c>
      <c r="F331" s="194">
        <v>42.0</v>
      </c>
      <c r="G331" s="194">
        <v>3.0</v>
      </c>
      <c r="H331" s="194">
        <v>4.5</v>
      </c>
      <c r="I331" s="194">
        <v>331.0</v>
      </c>
    </row>
    <row r="332">
      <c r="B332" s="195" t="s">
        <v>3387</v>
      </c>
      <c r="C332" s="196">
        <v>60818.0</v>
      </c>
      <c r="D332" s="196">
        <v>62715.0</v>
      </c>
      <c r="E332" s="196">
        <v>67879.0</v>
      </c>
      <c r="F332" s="197">
        <v>23.0</v>
      </c>
      <c r="G332" s="197">
        <v>3.1</v>
      </c>
      <c r="H332" s="197">
        <v>8.2</v>
      </c>
      <c r="I332" s="197">
        <v>82.0</v>
      </c>
    </row>
    <row r="333">
      <c r="B333" s="192" t="s">
        <v>3388</v>
      </c>
      <c r="C333" s="193">
        <v>61501.0</v>
      </c>
      <c r="D333" s="193">
        <v>64869.0</v>
      </c>
      <c r="E333" s="193">
        <v>71386.0</v>
      </c>
      <c r="F333" s="194">
        <v>16.0</v>
      </c>
      <c r="G333" s="194">
        <v>5.5</v>
      </c>
      <c r="H333" s="194">
        <v>10.0</v>
      </c>
      <c r="I333" s="194">
        <v>31.0</v>
      </c>
    </row>
    <row r="334">
      <c r="B334" s="195" t="s">
        <v>3389</v>
      </c>
      <c r="C334" s="196">
        <v>46990.0</v>
      </c>
      <c r="D334" s="196">
        <v>47964.0</v>
      </c>
      <c r="E334" s="196">
        <v>51184.0</v>
      </c>
      <c r="F334" s="197">
        <v>177.0</v>
      </c>
      <c r="G334" s="197">
        <v>2.1</v>
      </c>
      <c r="H334" s="197">
        <v>6.7</v>
      </c>
      <c r="I334" s="197">
        <v>182.0</v>
      </c>
    </row>
    <row r="335">
      <c r="B335" s="192" t="s">
        <v>3390</v>
      </c>
      <c r="C335" s="193">
        <v>45522.0</v>
      </c>
      <c r="D335" s="193">
        <v>46925.0</v>
      </c>
      <c r="E335" s="193">
        <v>51246.0</v>
      </c>
      <c r="F335" s="194">
        <v>174.0</v>
      </c>
      <c r="G335" s="194">
        <v>3.1</v>
      </c>
      <c r="H335" s="194">
        <v>9.2</v>
      </c>
      <c r="I335" s="194">
        <v>44.0</v>
      </c>
    </row>
    <row r="336">
      <c r="A336" s="114" t="s">
        <v>709</v>
      </c>
      <c r="B336" s="195" t="s">
        <v>3391</v>
      </c>
      <c r="C336" s="196">
        <v>72685.0</v>
      </c>
      <c r="D336" s="196">
        <v>75970.0</v>
      </c>
      <c r="E336" s="196">
        <v>80420.0</v>
      </c>
      <c r="F336" s="197">
        <v>10.0</v>
      </c>
      <c r="G336" s="197">
        <v>4.5</v>
      </c>
      <c r="H336" s="197">
        <v>5.9</v>
      </c>
      <c r="I336" s="197">
        <v>245.0</v>
      </c>
    </row>
    <row r="337">
      <c r="B337" s="192" t="s">
        <v>3392</v>
      </c>
      <c r="C337" s="193">
        <v>79972.0</v>
      </c>
      <c r="D337" s="193">
        <v>83241.0</v>
      </c>
      <c r="E337" s="193">
        <v>84607.0</v>
      </c>
      <c r="F337" s="194">
        <v>7.0</v>
      </c>
      <c r="G337" s="194">
        <v>4.1</v>
      </c>
      <c r="H337" s="194">
        <v>1.6</v>
      </c>
      <c r="I337" s="194">
        <v>378.0</v>
      </c>
    </row>
    <row r="338">
      <c r="B338" s="195" t="s">
        <v>3393</v>
      </c>
      <c r="C338" s="196">
        <v>33047.0</v>
      </c>
      <c r="D338" s="196">
        <v>34433.0</v>
      </c>
      <c r="E338" s="196">
        <v>37158.0</v>
      </c>
      <c r="F338" s="197">
        <v>380.0</v>
      </c>
      <c r="G338" s="197">
        <v>4.2</v>
      </c>
      <c r="H338" s="197">
        <v>7.9</v>
      </c>
      <c r="I338" s="197">
        <v>97.0</v>
      </c>
    </row>
    <row r="339">
      <c r="B339" s="192" t="s">
        <v>3394</v>
      </c>
      <c r="C339" s="193">
        <v>52880.0</v>
      </c>
      <c r="D339" s="193">
        <v>53217.0</v>
      </c>
      <c r="E339" s="193">
        <v>55616.0</v>
      </c>
      <c r="F339" s="194">
        <v>111.0</v>
      </c>
      <c r="G339" s="194">
        <v>0.6</v>
      </c>
      <c r="H339" s="194">
        <v>4.5</v>
      </c>
      <c r="I339" s="194">
        <v>330.0</v>
      </c>
    </row>
    <row r="340">
      <c r="B340" s="195" t="s">
        <v>3395</v>
      </c>
      <c r="C340" s="196">
        <v>43052.0</v>
      </c>
      <c r="D340" s="196">
        <v>44585.0</v>
      </c>
      <c r="E340" s="196">
        <v>47045.0</v>
      </c>
      <c r="F340" s="197">
        <v>264.0</v>
      </c>
      <c r="G340" s="197">
        <v>3.6</v>
      </c>
      <c r="H340" s="197">
        <v>5.5</v>
      </c>
      <c r="I340" s="197">
        <v>275.0</v>
      </c>
    </row>
    <row r="341">
      <c r="B341" s="192" t="s">
        <v>3396</v>
      </c>
      <c r="C341" s="193">
        <v>46853.0</v>
      </c>
      <c r="D341" s="193">
        <v>48256.0</v>
      </c>
      <c r="E341" s="193">
        <v>52391.0</v>
      </c>
      <c r="F341" s="194">
        <v>153.0</v>
      </c>
      <c r="G341" s="194">
        <v>3.0</v>
      </c>
      <c r="H341" s="194">
        <v>8.6</v>
      </c>
      <c r="I341" s="194">
        <v>62.0</v>
      </c>
    </row>
    <row r="342">
      <c r="B342" s="195" t="s">
        <v>3397</v>
      </c>
      <c r="C342" s="196">
        <v>38892.0</v>
      </c>
      <c r="D342" s="196">
        <v>40546.0</v>
      </c>
      <c r="E342" s="196">
        <v>45786.0</v>
      </c>
      <c r="F342" s="197">
        <v>288.0</v>
      </c>
      <c r="G342" s="197">
        <v>4.3</v>
      </c>
      <c r="H342" s="197">
        <v>12.9</v>
      </c>
      <c r="I342" s="197">
        <v>10.0</v>
      </c>
    </row>
    <row r="343">
      <c r="B343" s="192" t="s">
        <v>3398</v>
      </c>
      <c r="C343" s="193">
        <v>50677.0</v>
      </c>
      <c r="D343" s="193">
        <v>52855.0</v>
      </c>
      <c r="E343" s="193">
        <v>56131.0</v>
      </c>
      <c r="F343" s="194">
        <v>101.0</v>
      </c>
      <c r="G343" s="194">
        <v>4.3</v>
      </c>
      <c r="H343" s="194">
        <v>6.2</v>
      </c>
      <c r="I343" s="194">
        <v>222.0</v>
      </c>
    </row>
    <row r="344">
      <c r="B344" s="195" t="s">
        <v>2424</v>
      </c>
      <c r="C344" s="196">
        <v>60254.0</v>
      </c>
      <c r="D344" s="196">
        <v>64219.0</v>
      </c>
      <c r="E344" s="196">
        <v>67117.0</v>
      </c>
      <c r="F344" s="197">
        <v>29.0</v>
      </c>
      <c r="G344" s="197">
        <v>6.6</v>
      </c>
      <c r="H344" s="197">
        <v>4.5</v>
      </c>
      <c r="I344" s="197">
        <v>329.0</v>
      </c>
    </row>
    <row r="345">
      <c r="B345" s="192" t="s">
        <v>3399</v>
      </c>
      <c r="C345" s="193">
        <v>47206.0</v>
      </c>
      <c r="D345" s="193">
        <v>47759.0</v>
      </c>
      <c r="E345" s="193">
        <v>51017.0</v>
      </c>
      <c r="F345" s="194">
        <v>180.0</v>
      </c>
      <c r="G345" s="194">
        <v>1.2</v>
      </c>
      <c r="H345" s="194">
        <v>6.8</v>
      </c>
      <c r="I345" s="194">
        <v>174.0</v>
      </c>
    </row>
    <row r="346">
      <c r="B346" s="195" t="s">
        <v>3400</v>
      </c>
      <c r="C346" s="196">
        <v>42669.0</v>
      </c>
      <c r="D346" s="196">
        <v>44151.0</v>
      </c>
      <c r="E346" s="196">
        <v>46543.0</v>
      </c>
      <c r="F346" s="197">
        <v>275.0</v>
      </c>
      <c r="G346" s="197">
        <v>3.5</v>
      </c>
      <c r="H346" s="197">
        <v>5.4</v>
      </c>
      <c r="I346" s="197">
        <v>281.0</v>
      </c>
    </row>
    <row r="347">
      <c r="B347" s="192" t="s">
        <v>3401</v>
      </c>
      <c r="C347" s="193">
        <v>44631.0</v>
      </c>
      <c r="D347" s="193">
        <v>46337.0</v>
      </c>
      <c r="E347" s="193">
        <v>49449.0</v>
      </c>
      <c r="F347" s="194">
        <v>214.0</v>
      </c>
      <c r="G347" s="194">
        <v>3.8</v>
      </c>
      <c r="H347" s="194">
        <v>6.7</v>
      </c>
      <c r="I347" s="194">
        <v>181.0</v>
      </c>
    </row>
    <row r="348">
      <c r="B348" s="195" t="s">
        <v>3402</v>
      </c>
      <c r="C348" s="196">
        <v>47642.0</v>
      </c>
      <c r="D348" s="196">
        <v>49212.0</v>
      </c>
      <c r="E348" s="196">
        <v>52782.0</v>
      </c>
      <c r="F348" s="197">
        <v>146.0</v>
      </c>
      <c r="G348" s="197">
        <v>3.3</v>
      </c>
      <c r="H348" s="197">
        <v>7.3</v>
      </c>
      <c r="I348" s="197">
        <v>137.0</v>
      </c>
    </row>
    <row r="349">
      <c r="B349" s="192" t="s">
        <v>2470</v>
      </c>
      <c r="C349" s="193">
        <v>51697.0</v>
      </c>
      <c r="D349" s="193">
        <v>53413.0</v>
      </c>
      <c r="E349" s="193">
        <v>57843.0</v>
      </c>
      <c r="F349" s="194">
        <v>88.0</v>
      </c>
      <c r="G349" s="194">
        <v>3.3</v>
      </c>
      <c r="H349" s="194">
        <v>8.3</v>
      </c>
      <c r="I349" s="194">
        <v>77.0</v>
      </c>
    </row>
    <row r="350">
      <c r="B350" s="195" t="s">
        <v>3403</v>
      </c>
      <c r="C350" s="196">
        <v>41339.0</v>
      </c>
      <c r="D350" s="196">
        <v>42993.0</v>
      </c>
      <c r="E350" s="196">
        <v>44565.0</v>
      </c>
      <c r="F350" s="197">
        <v>310.0</v>
      </c>
      <c r="G350" s="197">
        <v>4.0</v>
      </c>
      <c r="H350" s="197">
        <v>3.7</v>
      </c>
      <c r="I350" s="197">
        <v>352.0</v>
      </c>
    </row>
    <row r="351">
      <c r="B351" s="192" t="s">
        <v>3404</v>
      </c>
      <c r="C351" s="193">
        <v>40263.0</v>
      </c>
      <c r="D351" s="193">
        <v>41625.0</v>
      </c>
      <c r="E351" s="193">
        <v>45363.0</v>
      </c>
      <c r="F351" s="194">
        <v>296.0</v>
      </c>
      <c r="G351" s="194">
        <v>3.4</v>
      </c>
      <c r="H351" s="194">
        <v>9.0</v>
      </c>
      <c r="I351" s="194">
        <v>48.0</v>
      </c>
    </row>
    <row r="352">
      <c r="B352" s="195" t="s">
        <v>3405</v>
      </c>
      <c r="C352" s="196">
        <v>46210.0</v>
      </c>
      <c r="D352" s="196">
        <v>47947.0</v>
      </c>
      <c r="E352" s="196">
        <v>50615.0</v>
      </c>
      <c r="F352" s="197">
        <v>187.0</v>
      </c>
      <c r="G352" s="197">
        <v>3.8</v>
      </c>
      <c r="H352" s="197">
        <v>5.6</v>
      </c>
      <c r="I352" s="197">
        <v>271.0</v>
      </c>
    </row>
    <row r="353">
      <c r="B353" s="192" t="s">
        <v>3406</v>
      </c>
      <c r="C353" s="193">
        <v>43388.0</v>
      </c>
      <c r="D353" s="193">
        <v>44917.0</v>
      </c>
      <c r="E353" s="193">
        <v>47794.0</v>
      </c>
      <c r="F353" s="194">
        <v>248.0</v>
      </c>
      <c r="G353" s="194">
        <v>3.5</v>
      </c>
      <c r="H353" s="194">
        <v>6.4</v>
      </c>
      <c r="I353" s="194">
        <v>207.0</v>
      </c>
    </row>
    <row r="354">
      <c r="B354" s="195" t="s">
        <v>2483</v>
      </c>
      <c r="C354" s="196">
        <v>43077.0</v>
      </c>
      <c r="D354" s="196">
        <v>45075.0</v>
      </c>
      <c r="E354" s="196">
        <v>51816.0</v>
      </c>
      <c r="F354" s="197">
        <v>166.0</v>
      </c>
      <c r="G354" s="197">
        <v>4.6</v>
      </c>
      <c r="H354" s="197">
        <v>15.0</v>
      </c>
      <c r="I354" s="197">
        <v>5.0</v>
      </c>
    </row>
    <row r="355">
      <c r="B355" s="192" t="s">
        <v>3407</v>
      </c>
      <c r="C355" s="193">
        <v>37440.0</v>
      </c>
      <c r="D355" s="193">
        <v>38573.0</v>
      </c>
      <c r="E355" s="193">
        <v>41807.0</v>
      </c>
      <c r="F355" s="194">
        <v>352.0</v>
      </c>
      <c r="G355" s="194">
        <v>3.0</v>
      </c>
      <c r="H355" s="194">
        <v>8.4</v>
      </c>
      <c r="I355" s="194">
        <v>71.0</v>
      </c>
    </row>
    <row r="356">
      <c r="B356" s="195" t="s">
        <v>2498</v>
      </c>
      <c r="C356" s="196">
        <v>49369.0</v>
      </c>
      <c r="D356" s="196">
        <v>51181.0</v>
      </c>
      <c r="E356" s="196">
        <v>55563.0</v>
      </c>
      <c r="F356" s="197">
        <v>112.0</v>
      </c>
      <c r="G356" s="197">
        <v>3.7</v>
      </c>
      <c r="H356" s="197">
        <v>8.6</v>
      </c>
      <c r="I356" s="197">
        <v>63.0</v>
      </c>
    </row>
    <row r="357">
      <c r="B357" s="192" t="s">
        <v>2468</v>
      </c>
      <c r="C357" s="193">
        <v>42507.0</v>
      </c>
      <c r="D357" s="193">
        <v>44003.0</v>
      </c>
      <c r="E357" s="193">
        <v>46685.0</v>
      </c>
      <c r="F357" s="194">
        <v>271.0</v>
      </c>
      <c r="G357" s="194">
        <v>3.5</v>
      </c>
      <c r="H357" s="194">
        <v>6.1</v>
      </c>
      <c r="I357" s="194">
        <v>228.0</v>
      </c>
    </row>
    <row r="358">
      <c r="A358" s="114" t="s">
        <v>1307</v>
      </c>
      <c r="B358" s="195" t="s">
        <v>3408</v>
      </c>
      <c r="C358" s="196">
        <v>47362.0</v>
      </c>
      <c r="D358" s="196">
        <v>49186.0</v>
      </c>
      <c r="E358" s="196">
        <v>52291.0</v>
      </c>
      <c r="F358" s="197">
        <v>156.0</v>
      </c>
      <c r="G358" s="197">
        <v>3.9</v>
      </c>
      <c r="H358" s="197">
        <v>6.3</v>
      </c>
      <c r="I358" s="197">
        <v>216.0</v>
      </c>
    </row>
    <row r="359">
      <c r="B359" s="192" t="s">
        <v>3409</v>
      </c>
      <c r="C359" s="193">
        <v>37284.0</v>
      </c>
      <c r="D359" s="193">
        <v>38502.0</v>
      </c>
      <c r="E359" s="193">
        <v>41658.0</v>
      </c>
      <c r="F359" s="194">
        <v>357.0</v>
      </c>
      <c r="G359" s="194">
        <v>3.3</v>
      </c>
      <c r="H359" s="194">
        <v>8.2</v>
      </c>
      <c r="I359" s="194">
        <v>84.0</v>
      </c>
    </row>
    <row r="360">
      <c r="B360" s="195" t="s">
        <v>3410</v>
      </c>
      <c r="C360" s="196">
        <v>37667.0</v>
      </c>
      <c r="D360" s="196">
        <v>38802.0</v>
      </c>
      <c r="E360" s="196">
        <v>41516.0</v>
      </c>
      <c r="F360" s="197">
        <v>359.0</v>
      </c>
      <c r="G360" s="197">
        <v>3.0</v>
      </c>
      <c r="H360" s="197">
        <v>7.0</v>
      </c>
      <c r="I360" s="197">
        <v>156.0</v>
      </c>
    </row>
    <row r="361">
      <c r="B361" s="192" t="s">
        <v>3411</v>
      </c>
      <c r="C361" s="193">
        <v>48902.0</v>
      </c>
      <c r="D361" s="193">
        <v>53411.0</v>
      </c>
      <c r="E361" s="193">
        <v>54533.0</v>
      </c>
      <c r="F361" s="194">
        <v>128.0</v>
      </c>
      <c r="G361" s="194">
        <v>9.2</v>
      </c>
      <c r="H361" s="194">
        <v>2.1</v>
      </c>
      <c r="I361" s="194">
        <v>374.0</v>
      </c>
    </row>
    <row r="362">
      <c r="B362" s="195" t="s">
        <v>2487</v>
      </c>
      <c r="C362" s="196">
        <v>46790.0</v>
      </c>
      <c r="D362" s="196">
        <v>48252.0</v>
      </c>
      <c r="E362" s="196">
        <v>51408.0</v>
      </c>
      <c r="F362" s="197">
        <v>173.0</v>
      </c>
      <c r="G362" s="197">
        <v>3.1</v>
      </c>
      <c r="H362" s="197">
        <v>6.5</v>
      </c>
      <c r="I362" s="197">
        <v>196.0</v>
      </c>
    </row>
    <row r="363">
      <c r="B363" s="192" t="s">
        <v>2448</v>
      </c>
      <c r="C363" s="193">
        <v>46180.0</v>
      </c>
      <c r="D363" s="193">
        <v>47253.0</v>
      </c>
      <c r="E363" s="193">
        <v>50479.0</v>
      </c>
      <c r="F363" s="194">
        <v>191.0</v>
      </c>
      <c r="G363" s="194">
        <v>2.3</v>
      </c>
      <c r="H363" s="194">
        <v>6.8</v>
      </c>
      <c r="I363" s="194">
        <v>173.0</v>
      </c>
    </row>
    <row r="364">
      <c r="B364" s="195" t="s">
        <v>3412</v>
      </c>
      <c r="C364" s="196">
        <v>68052.0</v>
      </c>
      <c r="D364" s="196">
        <v>70675.0</v>
      </c>
      <c r="E364" s="196">
        <v>74218.0</v>
      </c>
      <c r="F364" s="197">
        <v>15.0</v>
      </c>
      <c r="G364" s="197">
        <v>3.9</v>
      </c>
      <c r="H364" s="197">
        <v>5.0</v>
      </c>
      <c r="I364" s="197">
        <v>301.0</v>
      </c>
    </row>
    <row r="365">
      <c r="A365" s="114" t="s">
        <v>1000</v>
      </c>
      <c r="B365" s="192" t="s">
        <v>1000</v>
      </c>
      <c r="C365" s="193">
        <v>43103.0</v>
      </c>
      <c r="D365" s="193">
        <v>44649.0</v>
      </c>
      <c r="E365" s="193">
        <v>48373.0</v>
      </c>
      <c r="F365" s="194">
        <v>235.0</v>
      </c>
      <c r="G365" s="194">
        <v>3.6</v>
      </c>
      <c r="H365" s="194">
        <v>8.3</v>
      </c>
      <c r="I365" s="194">
        <v>73.0</v>
      </c>
    </row>
    <row r="366">
      <c r="A366" s="114" t="s">
        <v>1332</v>
      </c>
      <c r="B366" s="195" t="s">
        <v>1332</v>
      </c>
      <c r="C366" s="196">
        <v>55350.0</v>
      </c>
      <c r="D366" s="196">
        <v>56680.0</v>
      </c>
      <c r="E366" s="196">
        <v>58071.0</v>
      </c>
      <c r="F366" s="197">
        <v>84.0</v>
      </c>
      <c r="G366" s="197">
        <v>2.4</v>
      </c>
      <c r="H366" s="197">
        <v>2.5</v>
      </c>
      <c r="I366" s="197">
        <v>372.0</v>
      </c>
    </row>
    <row r="367">
      <c r="B367" s="192" t="s">
        <v>3413</v>
      </c>
      <c r="C367" s="193">
        <v>38107.0</v>
      </c>
      <c r="D367" s="193">
        <v>39482.0</v>
      </c>
      <c r="E367" s="193">
        <v>42084.0</v>
      </c>
      <c r="F367" s="194">
        <v>349.0</v>
      </c>
      <c r="G367" s="194">
        <v>3.6</v>
      </c>
      <c r="H367" s="194">
        <v>6.6</v>
      </c>
      <c r="I367" s="194">
        <v>193.0</v>
      </c>
    </row>
    <row r="368">
      <c r="B368" s="195" t="s">
        <v>3414</v>
      </c>
      <c r="C368" s="196">
        <v>38784.0</v>
      </c>
      <c r="D368" s="196">
        <v>40414.0</v>
      </c>
      <c r="E368" s="196">
        <v>43725.0</v>
      </c>
      <c r="F368" s="197">
        <v>330.0</v>
      </c>
      <c r="G368" s="197">
        <v>4.2</v>
      </c>
      <c r="H368" s="197">
        <v>8.2</v>
      </c>
      <c r="I368" s="197">
        <v>85.0</v>
      </c>
    </row>
    <row r="369">
      <c r="B369" s="192" t="s">
        <v>3415</v>
      </c>
      <c r="C369" s="193">
        <v>56084.0</v>
      </c>
      <c r="D369" s="193">
        <v>55986.0</v>
      </c>
      <c r="E369" s="193">
        <v>57076.0</v>
      </c>
      <c r="F369" s="194">
        <v>93.0</v>
      </c>
      <c r="G369" s="194">
        <v>-0.2</v>
      </c>
      <c r="H369" s="194">
        <v>1.9</v>
      </c>
      <c r="I369" s="194">
        <v>375.0</v>
      </c>
    </row>
    <row r="370">
      <c r="B370" s="195" t="s">
        <v>3416</v>
      </c>
      <c r="C370" s="196">
        <v>57468.0</v>
      </c>
      <c r="D370" s="196">
        <v>59329.0</v>
      </c>
      <c r="E370" s="196">
        <v>62793.0</v>
      </c>
      <c r="F370" s="197">
        <v>43.0</v>
      </c>
      <c r="G370" s="197">
        <v>3.2</v>
      </c>
      <c r="H370" s="197">
        <v>5.8</v>
      </c>
      <c r="I370" s="197">
        <v>247.0</v>
      </c>
    </row>
    <row r="371">
      <c r="B371" s="192" t="s">
        <v>3417</v>
      </c>
      <c r="C371" s="193">
        <v>43255.0</v>
      </c>
      <c r="D371" s="193">
        <v>45855.0</v>
      </c>
      <c r="E371" s="193">
        <v>49581.0</v>
      </c>
      <c r="F371" s="194">
        <v>212.0</v>
      </c>
      <c r="G371" s="194">
        <v>6.0</v>
      </c>
      <c r="H371" s="194">
        <v>8.1</v>
      </c>
      <c r="I371" s="194">
        <v>87.0</v>
      </c>
    </row>
    <row r="372">
      <c r="B372" s="195" t="s">
        <v>3418</v>
      </c>
      <c r="C372" s="196">
        <v>35953.0</v>
      </c>
      <c r="D372" s="196">
        <v>37045.0</v>
      </c>
      <c r="E372" s="196">
        <v>40046.0</v>
      </c>
      <c r="F372" s="197">
        <v>373.0</v>
      </c>
      <c r="G372" s="197">
        <v>3.0</v>
      </c>
      <c r="H372" s="197">
        <v>8.1</v>
      </c>
      <c r="I372" s="197">
        <v>89.0</v>
      </c>
    </row>
    <row r="373">
      <c r="B373" s="192" t="s">
        <v>3419</v>
      </c>
      <c r="C373" s="193">
        <v>49336.0</v>
      </c>
      <c r="D373" s="193">
        <v>51889.0</v>
      </c>
      <c r="E373" s="193">
        <v>58688.0</v>
      </c>
      <c r="F373" s="194">
        <v>76.0</v>
      </c>
      <c r="G373" s="194">
        <v>5.2</v>
      </c>
      <c r="H373" s="194">
        <v>13.1</v>
      </c>
      <c r="I373" s="194">
        <v>8.0</v>
      </c>
    </row>
    <row r="374">
      <c r="B374" s="195" t="s">
        <v>3420</v>
      </c>
      <c r="C374" s="196">
        <v>47647.0</v>
      </c>
      <c r="D374" s="196">
        <v>52268.0</v>
      </c>
      <c r="E374" s="196">
        <v>53547.0</v>
      </c>
      <c r="F374" s="197">
        <v>136.0</v>
      </c>
      <c r="G374" s="197">
        <v>9.7</v>
      </c>
      <c r="H374" s="197">
        <v>2.4</v>
      </c>
      <c r="I374" s="197">
        <v>373.0</v>
      </c>
    </row>
    <row r="375">
      <c r="B375" s="192" t="s">
        <v>3421</v>
      </c>
      <c r="C375" s="193">
        <v>39448.0</v>
      </c>
      <c r="D375" s="193">
        <v>41327.0</v>
      </c>
      <c r="E375" s="193">
        <v>45498.0</v>
      </c>
      <c r="F375" s="194">
        <v>293.0</v>
      </c>
      <c r="G375" s="194">
        <v>4.8</v>
      </c>
      <c r="H375" s="194">
        <v>10.1</v>
      </c>
      <c r="I375" s="194">
        <v>30.0</v>
      </c>
    </row>
    <row r="376">
      <c r="A376" s="114" t="s">
        <v>1243</v>
      </c>
      <c r="B376" s="195" t="s">
        <v>3422</v>
      </c>
      <c r="C376" s="196">
        <v>48322.0</v>
      </c>
      <c r="D376" s="196">
        <v>49792.0</v>
      </c>
      <c r="E376" s="196">
        <v>53310.0</v>
      </c>
      <c r="F376" s="197">
        <v>137.0</v>
      </c>
      <c r="G376" s="197">
        <v>3.0</v>
      </c>
      <c r="H376" s="197">
        <v>7.1</v>
      </c>
      <c r="I376" s="197">
        <v>152.0</v>
      </c>
    </row>
    <row r="377">
      <c r="B377" s="192" t="s">
        <v>3423</v>
      </c>
      <c r="C377" s="193">
        <v>38613.0</v>
      </c>
      <c r="D377" s="193">
        <v>40040.0</v>
      </c>
      <c r="E377" s="193">
        <v>46348.0</v>
      </c>
      <c r="F377" s="194">
        <v>280.0</v>
      </c>
      <c r="G377" s="194">
        <v>3.7</v>
      </c>
      <c r="H377" s="194">
        <v>15.8</v>
      </c>
      <c r="I377" s="194">
        <v>3.0</v>
      </c>
    </row>
    <row r="378">
      <c r="B378" s="195" t="s">
        <v>3424</v>
      </c>
      <c r="C378" s="196">
        <v>41319.0</v>
      </c>
      <c r="D378" s="196">
        <v>42274.0</v>
      </c>
      <c r="E378" s="196">
        <v>45403.0</v>
      </c>
      <c r="F378" s="197">
        <v>294.0</v>
      </c>
      <c r="G378" s="197">
        <v>2.3</v>
      </c>
      <c r="H378" s="197">
        <v>7.4</v>
      </c>
      <c r="I378" s="197">
        <v>129.0</v>
      </c>
    </row>
    <row r="379">
      <c r="B379" s="192" t="s">
        <v>3425</v>
      </c>
      <c r="C379" s="193">
        <v>44521.0</v>
      </c>
      <c r="D379" s="193">
        <v>46648.0</v>
      </c>
      <c r="E379" s="193">
        <v>51767.0</v>
      </c>
      <c r="F379" s="194">
        <v>167.0</v>
      </c>
      <c r="G379" s="194">
        <v>4.8</v>
      </c>
      <c r="H379" s="194">
        <v>11.0</v>
      </c>
      <c r="I379" s="194">
        <v>22.0</v>
      </c>
    </row>
    <row r="380">
      <c r="B380" s="195" t="s">
        <v>3426</v>
      </c>
      <c r="C380" s="196">
        <v>41902.0</v>
      </c>
      <c r="D380" s="196">
        <v>43109.0</v>
      </c>
      <c r="E380" s="196">
        <v>45888.0</v>
      </c>
      <c r="F380" s="197">
        <v>286.0</v>
      </c>
      <c r="G380" s="197">
        <v>2.9</v>
      </c>
      <c r="H380" s="197">
        <v>6.4</v>
      </c>
      <c r="I380" s="197">
        <v>204.0</v>
      </c>
    </row>
    <row r="381">
      <c r="A381" s="114" t="s">
        <v>747</v>
      </c>
      <c r="B381" s="192" t="s">
        <v>3427</v>
      </c>
      <c r="C381" s="193">
        <v>71615.0</v>
      </c>
      <c r="D381" s="193">
        <v>73059.0</v>
      </c>
      <c r="E381" s="193">
        <v>76771.0</v>
      </c>
      <c r="F381" s="194">
        <v>13.0</v>
      </c>
      <c r="G381" s="194">
        <v>2.0</v>
      </c>
      <c r="H381" s="194">
        <v>5.1</v>
      </c>
      <c r="I381" s="194">
        <v>296.0</v>
      </c>
    </row>
    <row r="382">
      <c r="B382" s="195" t="s">
        <v>3428</v>
      </c>
      <c r="C382" s="196">
        <v>46002.0</v>
      </c>
      <c r="D382" s="196">
        <v>46971.0</v>
      </c>
      <c r="E382" s="196">
        <v>50126.0</v>
      </c>
      <c r="F382" s="197">
        <v>198.0</v>
      </c>
      <c r="G382" s="197">
        <v>2.1</v>
      </c>
      <c r="H382" s="197">
        <v>6.7</v>
      </c>
      <c r="I382" s="197">
        <v>180.0</v>
      </c>
    </row>
    <row r="383">
      <c r="B383" s="192" t="s">
        <v>3429</v>
      </c>
      <c r="C383" s="193">
        <v>46375.0</v>
      </c>
      <c r="D383" s="193">
        <v>48896.0</v>
      </c>
      <c r="E383" s="193">
        <v>53964.0</v>
      </c>
      <c r="F383" s="194">
        <v>134.0</v>
      </c>
      <c r="G383" s="194">
        <v>5.4</v>
      </c>
      <c r="H383" s="194">
        <v>10.4</v>
      </c>
      <c r="I383" s="194">
        <v>27.0</v>
      </c>
    </row>
    <row r="384">
      <c r="B384" s="195" t="s">
        <v>3430</v>
      </c>
      <c r="C384" s="196">
        <v>49489.0</v>
      </c>
      <c r="D384" s="196">
        <v>51329.0</v>
      </c>
      <c r="E384" s="196">
        <v>54305.0</v>
      </c>
      <c r="F384" s="197">
        <v>130.0</v>
      </c>
      <c r="G384" s="197">
        <v>3.7</v>
      </c>
      <c r="H384" s="197">
        <v>5.8</v>
      </c>
      <c r="I384" s="197">
        <v>251.0</v>
      </c>
    </row>
    <row r="385">
      <c r="B385" s="192" t="s">
        <v>3431</v>
      </c>
      <c r="C385" s="193">
        <v>40431.0</v>
      </c>
      <c r="D385" s="193">
        <v>42338.0</v>
      </c>
      <c r="E385" s="193">
        <v>46007.0</v>
      </c>
      <c r="F385" s="194">
        <v>285.0</v>
      </c>
      <c r="G385" s="194">
        <v>4.7</v>
      </c>
      <c r="H385" s="194">
        <v>8.7</v>
      </c>
      <c r="I385" s="194">
        <v>56.0</v>
      </c>
    </row>
    <row r="386">
      <c r="B386" s="195" t="s">
        <v>3432</v>
      </c>
      <c r="C386" s="196">
        <v>48047.0</v>
      </c>
      <c r="D386" s="196">
        <v>50227.0</v>
      </c>
      <c r="E386" s="196">
        <v>55047.0</v>
      </c>
      <c r="F386" s="197">
        <v>120.0</v>
      </c>
      <c r="G386" s="197">
        <v>4.5</v>
      </c>
      <c r="H386" s="197">
        <v>9.6</v>
      </c>
      <c r="I386" s="197">
        <v>38.0</v>
      </c>
    </row>
    <row r="387">
      <c r="B387" s="192" t="s">
        <v>3433</v>
      </c>
      <c r="C387" s="193">
        <v>48907.0</v>
      </c>
      <c r="D387" s="193">
        <v>47341.0</v>
      </c>
      <c r="E387" s="193">
        <v>48947.0</v>
      </c>
      <c r="F387" s="194">
        <v>223.0</v>
      </c>
      <c r="G387" s="194">
        <v>-3.2</v>
      </c>
      <c r="H387" s="194">
        <v>3.4</v>
      </c>
      <c r="I387" s="194">
        <v>362.0</v>
      </c>
    </row>
    <row r="388">
      <c r="A388" s="114" t="s">
        <v>1367</v>
      </c>
      <c r="B388" s="195" t="s">
        <v>1367</v>
      </c>
      <c r="C388" s="196">
        <v>50308.0</v>
      </c>
      <c r="D388" s="196">
        <v>52706.0</v>
      </c>
      <c r="E388" s="196">
        <v>55000.0</v>
      </c>
      <c r="F388" s="197">
        <v>121.0</v>
      </c>
      <c r="G388" s="197">
        <v>4.8</v>
      </c>
      <c r="H388" s="197">
        <v>4.4</v>
      </c>
      <c r="I388" s="197">
        <v>334.0</v>
      </c>
    </row>
    <row r="389">
      <c r="B389" s="192" t="s">
        <v>3434</v>
      </c>
      <c r="C389" s="193">
        <v>43262.0</v>
      </c>
      <c r="D389" s="193">
        <v>44754.0</v>
      </c>
      <c r="E389" s="193">
        <v>46954.0</v>
      </c>
      <c r="F389" s="194">
        <v>266.0</v>
      </c>
      <c r="G389" s="194">
        <v>3.4</v>
      </c>
      <c r="H389" s="194">
        <v>4.9</v>
      </c>
      <c r="I389" s="194">
        <v>307.0</v>
      </c>
    </row>
    <row r="390">
      <c r="B390" s="195" t="s">
        <v>3435</v>
      </c>
      <c r="C390" s="196">
        <v>43070.0</v>
      </c>
      <c r="D390" s="196">
        <v>44688.0</v>
      </c>
      <c r="E390" s="196">
        <v>48721.0</v>
      </c>
      <c r="F390" s="197">
        <v>228.0</v>
      </c>
      <c r="G390" s="197">
        <v>3.8</v>
      </c>
      <c r="H390" s="197">
        <v>9.0</v>
      </c>
      <c r="I390" s="197">
        <v>46.0</v>
      </c>
    </row>
    <row r="391">
      <c r="B391" s="192" t="s">
        <v>3436</v>
      </c>
      <c r="C391" s="193">
        <v>44226.0</v>
      </c>
      <c r="D391" s="193">
        <v>46620.0</v>
      </c>
      <c r="E391" s="193">
        <v>48744.0</v>
      </c>
      <c r="F391" s="194">
        <v>227.0</v>
      </c>
      <c r="G391" s="194">
        <v>5.4</v>
      </c>
      <c r="H391" s="194">
        <v>4.6</v>
      </c>
      <c r="I391" s="194">
        <v>327.0</v>
      </c>
    </row>
    <row r="392">
      <c r="B392" s="195" t="s">
        <v>3437</v>
      </c>
      <c r="C392" s="196">
        <v>47879.0</v>
      </c>
      <c r="D392" s="196">
        <v>49538.0</v>
      </c>
      <c r="E392" s="196">
        <v>52377.0</v>
      </c>
      <c r="F392" s="197">
        <v>154.0</v>
      </c>
      <c r="G392" s="197">
        <v>3.5</v>
      </c>
      <c r="H392" s="197">
        <v>5.7</v>
      </c>
      <c r="I392" s="197">
        <v>255.0</v>
      </c>
    </row>
    <row r="393">
      <c r="B393" s="192" t="s">
        <v>3438</v>
      </c>
      <c r="C393" s="193">
        <v>43881.0</v>
      </c>
      <c r="D393" s="193">
        <v>45600.0</v>
      </c>
      <c r="E393" s="193">
        <v>48151.0</v>
      </c>
      <c r="F393" s="194">
        <v>239.0</v>
      </c>
      <c r="G393" s="194">
        <v>3.9</v>
      </c>
      <c r="H393" s="194">
        <v>5.6</v>
      </c>
      <c r="I393" s="194">
        <v>267.0</v>
      </c>
    </row>
    <row r="394">
      <c r="B394" s="195" t="s">
        <v>3439</v>
      </c>
      <c r="C394" s="196">
        <v>54581.0</v>
      </c>
      <c r="D394" s="196">
        <v>56846.0</v>
      </c>
      <c r="E394" s="196">
        <v>61741.0</v>
      </c>
      <c r="F394" s="197">
        <v>52.0</v>
      </c>
      <c r="G394" s="197">
        <v>4.1</v>
      </c>
      <c r="H394" s="197">
        <v>8.6</v>
      </c>
      <c r="I394" s="197">
        <v>59.0</v>
      </c>
    </row>
    <row r="395">
      <c r="B395" s="192" t="s">
        <v>3440</v>
      </c>
      <c r="C395" s="193">
        <v>41740.0</v>
      </c>
      <c r="D395" s="193">
        <v>43910.0</v>
      </c>
      <c r="E395" s="193">
        <v>49099.0</v>
      </c>
      <c r="F395" s="194">
        <v>218.0</v>
      </c>
      <c r="G395" s="194">
        <v>5.2</v>
      </c>
      <c r="H395" s="194">
        <v>11.8</v>
      </c>
      <c r="I395" s="194">
        <v>15.0</v>
      </c>
    </row>
    <row r="396">
      <c r="B396" s="195" t="s">
        <v>3441</v>
      </c>
      <c r="C396" s="196">
        <v>50069.0</v>
      </c>
      <c r="D396" s="196">
        <v>52015.0</v>
      </c>
      <c r="E396" s="196">
        <v>55761.0</v>
      </c>
      <c r="F396" s="197">
        <v>109.0</v>
      </c>
      <c r="G396" s="197">
        <v>3.9</v>
      </c>
      <c r="H396" s="197">
        <v>7.2</v>
      </c>
      <c r="I396" s="197">
        <v>140.0</v>
      </c>
    </row>
    <row r="397">
      <c r="B397" s="192" t="s">
        <v>3442</v>
      </c>
      <c r="C397" s="193">
        <v>42094.0</v>
      </c>
      <c r="D397" s="193">
        <v>43047.0</v>
      </c>
      <c r="E397" s="193">
        <v>46635.0</v>
      </c>
      <c r="F397" s="194">
        <v>272.0</v>
      </c>
      <c r="G397" s="194">
        <v>2.3</v>
      </c>
      <c r="H397" s="194">
        <v>8.3</v>
      </c>
      <c r="I397" s="194">
        <v>74.0</v>
      </c>
    </row>
    <row r="398">
      <c r="B398" s="195" t="s">
        <v>3443</v>
      </c>
      <c r="C398" s="196">
        <v>41937.0</v>
      </c>
      <c r="D398" s="196">
        <v>43411.0</v>
      </c>
      <c r="E398" s="196">
        <v>48752.0</v>
      </c>
      <c r="F398" s="197">
        <v>226.0</v>
      </c>
      <c r="G398" s="197">
        <v>3.5</v>
      </c>
      <c r="H398" s="197">
        <v>12.3</v>
      </c>
      <c r="I398" s="197">
        <v>13.0</v>
      </c>
    </row>
    <row r="399">
      <c r="B399" s="200" t="s">
        <v>3444</v>
      </c>
      <c r="C399" s="201">
        <v>33672.0</v>
      </c>
      <c r="D399" s="201">
        <v>35065.0</v>
      </c>
      <c r="E399" s="201">
        <v>40800.0</v>
      </c>
      <c r="F399" s="202">
        <v>366.0</v>
      </c>
      <c r="G399" s="202">
        <v>4.1</v>
      </c>
      <c r="H399" s="202">
        <v>16.4</v>
      </c>
      <c r="I399" s="202">
        <v>2.0</v>
      </c>
    </row>
    <row r="400">
      <c r="B400" s="203" t="s">
        <v>3445</v>
      </c>
    </row>
    <row r="401">
      <c r="B401" s="203" t="s">
        <v>3446</v>
      </c>
    </row>
    <row r="402">
      <c r="B402" s="203" t="s">
        <v>3447</v>
      </c>
    </row>
  </sheetData>
  <mergeCells count="9">
    <mergeCell ref="B401:I401"/>
    <mergeCell ref="B402:I402"/>
    <mergeCell ref="B3:I3"/>
    <mergeCell ref="B4:B6"/>
    <mergeCell ref="C4:F4"/>
    <mergeCell ref="G4:I4"/>
    <mergeCell ref="C5:E5"/>
    <mergeCell ref="G5:H5"/>
    <mergeCell ref="B400:I40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62" t="s">
        <v>1382</v>
      </c>
      <c r="C1" s="63"/>
      <c r="D1" s="63"/>
      <c r="E1" s="63"/>
      <c r="F1" s="64" t="s">
        <v>1383</v>
      </c>
      <c r="G1" s="65" t="s">
        <v>1384</v>
      </c>
    </row>
    <row r="2">
      <c r="A2" s="66" t="s">
        <v>1385</v>
      </c>
      <c r="E2" s="63"/>
      <c r="F2" s="64" t="s">
        <v>1386</v>
      </c>
    </row>
    <row r="3">
      <c r="A3" s="63"/>
      <c r="B3" s="63"/>
      <c r="C3" s="63"/>
      <c r="D3" s="63"/>
      <c r="E3" s="63"/>
      <c r="F3" s="63"/>
      <c r="G3" s="63"/>
    </row>
    <row r="4">
      <c r="A4" s="67" t="s">
        <v>1387</v>
      </c>
      <c r="B4" s="68" t="s">
        <v>1</v>
      </c>
      <c r="C4" s="69" t="s">
        <v>1388</v>
      </c>
      <c r="D4" s="69" t="s">
        <v>1389</v>
      </c>
      <c r="E4" s="69" t="s">
        <v>1390</v>
      </c>
      <c r="F4" s="69" t="s">
        <v>1391</v>
      </c>
      <c r="G4" s="68" t="s">
        <v>1392</v>
      </c>
    </row>
    <row r="5">
      <c r="A5" s="70" t="s">
        <v>1393</v>
      </c>
      <c r="B5" s="71" t="s">
        <v>566</v>
      </c>
      <c r="C5" s="72">
        <v>0.49</v>
      </c>
      <c r="D5" s="72">
        <v>0.12</v>
      </c>
      <c r="E5" s="72">
        <v>0.14</v>
      </c>
      <c r="F5" s="72">
        <v>0.25</v>
      </c>
      <c r="G5" s="73">
        <v>837.0</v>
      </c>
    </row>
    <row r="6">
      <c r="A6" s="74" t="s">
        <v>1394</v>
      </c>
      <c r="B6" s="75" t="s">
        <v>20</v>
      </c>
      <c r="C6" s="76">
        <v>0.15</v>
      </c>
      <c r="D6" s="76">
        <v>0.2</v>
      </c>
      <c r="E6" s="76">
        <v>0.2</v>
      </c>
      <c r="F6" s="76">
        <v>0.45</v>
      </c>
      <c r="G6" s="77">
        <v>352.0</v>
      </c>
    </row>
    <row r="7">
      <c r="A7" s="70" t="s">
        <v>1395</v>
      </c>
      <c r="B7" s="71" t="s">
        <v>981</v>
      </c>
      <c r="C7" s="72">
        <v>0.27</v>
      </c>
      <c r="D7" s="72">
        <v>0.27</v>
      </c>
      <c r="E7" s="72">
        <v>0.13</v>
      </c>
      <c r="F7" s="72">
        <v>0.32</v>
      </c>
      <c r="G7" s="73">
        <v>696.0</v>
      </c>
    </row>
    <row r="8">
      <c r="A8" s="70" t="s">
        <v>1396</v>
      </c>
      <c r="B8" s="71" t="s">
        <v>1397</v>
      </c>
      <c r="C8" s="72">
        <v>0.27</v>
      </c>
      <c r="D8" s="72">
        <v>0.27</v>
      </c>
      <c r="E8" s="72">
        <v>0.2</v>
      </c>
      <c r="F8" s="72">
        <v>0.25</v>
      </c>
      <c r="G8" s="73">
        <v>555.0</v>
      </c>
    </row>
    <row r="9">
      <c r="A9" s="78" t="s">
        <v>1398</v>
      </c>
      <c r="B9" s="79" t="s">
        <v>406</v>
      </c>
      <c r="C9" s="80">
        <v>0.08</v>
      </c>
      <c r="D9" s="80">
        <v>0.12</v>
      </c>
      <c r="E9" s="80">
        <v>0.14</v>
      </c>
      <c r="F9" s="80">
        <v>0.66</v>
      </c>
      <c r="G9" s="81">
        <v>269.0</v>
      </c>
    </row>
    <row r="10">
      <c r="A10" s="78" t="s">
        <v>1399</v>
      </c>
      <c r="B10" s="79" t="s">
        <v>106</v>
      </c>
      <c r="C10" s="80">
        <v>0.16</v>
      </c>
      <c r="D10" s="80">
        <v>0.32</v>
      </c>
      <c r="E10" s="80">
        <v>0.08</v>
      </c>
      <c r="F10" s="80">
        <v>0.44</v>
      </c>
      <c r="G10" s="81">
        <v>507.0</v>
      </c>
    </row>
    <row r="11">
      <c r="A11" s="70" t="s">
        <v>1400</v>
      </c>
      <c r="B11" s="71" t="s">
        <v>36</v>
      </c>
      <c r="C11" s="72">
        <v>0.26</v>
      </c>
      <c r="D11" s="72">
        <v>0.27</v>
      </c>
      <c r="E11" s="72">
        <v>0.19</v>
      </c>
      <c r="F11" s="72">
        <v>0.28</v>
      </c>
      <c r="G11" s="73">
        <v>579.0</v>
      </c>
    </row>
    <row r="12">
      <c r="A12" s="70" t="s">
        <v>1401</v>
      </c>
      <c r="B12" s="71" t="s">
        <v>967</v>
      </c>
      <c r="C12" s="72">
        <v>0.36</v>
      </c>
      <c r="D12" s="72">
        <v>0.23</v>
      </c>
      <c r="E12" s="72">
        <v>0.14</v>
      </c>
      <c r="F12" s="72">
        <v>0.27</v>
      </c>
      <c r="G12" s="73">
        <v>693.0</v>
      </c>
    </row>
    <row r="13">
      <c r="A13" s="74" t="s">
        <v>1402</v>
      </c>
      <c r="B13" s="75" t="s">
        <v>1368</v>
      </c>
      <c r="C13" s="76">
        <v>0.38</v>
      </c>
      <c r="D13" s="76">
        <v>0.27</v>
      </c>
      <c r="E13" s="76">
        <v>0.15</v>
      </c>
      <c r="F13" s="76">
        <v>0.21</v>
      </c>
      <c r="G13" s="77">
        <v>755.0</v>
      </c>
    </row>
    <row r="14">
      <c r="A14" s="70" t="s">
        <v>1403</v>
      </c>
      <c r="B14" s="71" t="s">
        <v>1404</v>
      </c>
      <c r="C14" s="72">
        <v>0.18</v>
      </c>
      <c r="D14" s="72">
        <v>0.18</v>
      </c>
      <c r="E14" s="72">
        <v>0.15</v>
      </c>
      <c r="F14" s="72">
        <v>0.49</v>
      </c>
      <c r="G14" s="73">
        <v>487.0</v>
      </c>
    </row>
    <row r="15">
      <c r="A15" s="70" t="s">
        <v>1405</v>
      </c>
      <c r="B15" s="82" t="s">
        <v>1406</v>
      </c>
      <c r="C15" s="72">
        <v>0.14</v>
      </c>
      <c r="D15" s="72">
        <v>0.13</v>
      </c>
      <c r="E15" s="72">
        <v>0.08</v>
      </c>
      <c r="F15" s="72">
        <v>0.65</v>
      </c>
      <c r="G15" s="73">
        <v>306.0</v>
      </c>
    </row>
    <row r="16">
      <c r="A16" s="70" t="s">
        <v>1407</v>
      </c>
      <c r="B16" s="71" t="s">
        <v>1408</v>
      </c>
      <c r="C16" s="72">
        <v>0.4</v>
      </c>
      <c r="D16" s="72">
        <v>0.29</v>
      </c>
      <c r="E16" s="72">
        <v>0.15</v>
      </c>
      <c r="F16" s="72">
        <v>0.16</v>
      </c>
      <c r="G16" s="73">
        <v>730.0</v>
      </c>
    </row>
    <row r="17">
      <c r="A17" s="70" t="s">
        <v>1409</v>
      </c>
      <c r="B17" s="71" t="s">
        <v>20</v>
      </c>
      <c r="C17" s="72">
        <v>0.15</v>
      </c>
      <c r="D17" s="72">
        <v>0.25</v>
      </c>
      <c r="E17" s="72">
        <v>0.21</v>
      </c>
      <c r="F17" s="72">
        <v>0.39</v>
      </c>
      <c r="G17" s="73">
        <v>382.0</v>
      </c>
    </row>
    <row r="18">
      <c r="A18" s="70" t="s">
        <v>1410</v>
      </c>
      <c r="B18" s="71" t="s">
        <v>554</v>
      </c>
      <c r="C18" s="72">
        <v>0.06</v>
      </c>
      <c r="D18" s="72">
        <v>0.45</v>
      </c>
      <c r="E18" s="72">
        <v>0.03</v>
      </c>
      <c r="F18" s="72">
        <v>0.46</v>
      </c>
      <c r="G18" s="73">
        <v>384.0</v>
      </c>
    </row>
    <row r="19">
      <c r="A19" s="70" t="s">
        <v>1411</v>
      </c>
      <c r="B19" s="71" t="s">
        <v>1412</v>
      </c>
      <c r="C19" s="72">
        <v>0.12</v>
      </c>
      <c r="D19" s="72">
        <v>0.27</v>
      </c>
      <c r="E19" s="72">
        <v>0.19</v>
      </c>
      <c r="F19" s="72">
        <v>0.43</v>
      </c>
      <c r="G19" s="73">
        <v>405.0</v>
      </c>
    </row>
    <row r="20">
      <c r="A20" s="70" t="s">
        <v>1413</v>
      </c>
      <c r="B20" s="71" t="s">
        <v>1414</v>
      </c>
      <c r="C20" s="72">
        <v>0.21</v>
      </c>
      <c r="D20" s="72">
        <v>0.23</v>
      </c>
      <c r="E20" s="72">
        <v>0.23</v>
      </c>
      <c r="F20" s="72">
        <v>0.33</v>
      </c>
      <c r="G20" s="73">
        <v>551.0</v>
      </c>
    </row>
    <row r="21">
      <c r="A21" s="70" t="s">
        <v>1415</v>
      </c>
      <c r="B21" s="71" t="s">
        <v>1416</v>
      </c>
      <c r="C21" s="72">
        <v>0.28</v>
      </c>
      <c r="D21" s="72">
        <v>0.35</v>
      </c>
      <c r="E21" s="72">
        <v>0.14</v>
      </c>
      <c r="F21" s="72">
        <v>0.22</v>
      </c>
      <c r="G21" s="73">
        <v>627.0</v>
      </c>
    </row>
    <row r="22">
      <c r="A22" s="70" t="s">
        <v>1417</v>
      </c>
      <c r="B22" s="71" t="s">
        <v>1418</v>
      </c>
      <c r="C22" s="72">
        <v>0.25</v>
      </c>
      <c r="D22" s="72">
        <v>0.25</v>
      </c>
      <c r="E22" s="72">
        <v>0.14</v>
      </c>
      <c r="F22" s="72">
        <v>0.36</v>
      </c>
      <c r="G22" s="73">
        <v>574.0</v>
      </c>
    </row>
    <row r="23">
      <c r="A23" s="70" t="s">
        <v>1419</v>
      </c>
      <c r="B23" s="71" t="s">
        <v>566</v>
      </c>
      <c r="C23" s="72">
        <v>0.49</v>
      </c>
      <c r="D23" s="72">
        <v>0.26</v>
      </c>
      <c r="E23" s="72">
        <v>0.07</v>
      </c>
      <c r="F23" s="72">
        <v>0.19</v>
      </c>
      <c r="G23" s="73">
        <v>887.0</v>
      </c>
    </row>
    <row r="24">
      <c r="A24" s="70" t="s">
        <v>1420</v>
      </c>
      <c r="B24" s="71" t="s">
        <v>710</v>
      </c>
      <c r="C24" s="72">
        <v>0.37</v>
      </c>
      <c r="D24" s="72">
        <v>0.25</v>
      </c>
      <c r="E24" s="72">
        <v>0.16</v>
      </c>
      <c r="F24" s="72">
        <v>0.21</v>
      </c>
      <c r="G24" s="73">
        <v>702.0</v>
      </c>
    </row>
    <row r="25">
      <c r="A25" s="70" t="s">
        <v>1421</v>
      </c>
      <c r="B25" s="71" t="s">
        <v>1412</v>
      </c>
      <c r="C25" s="72">
        <v>0.18</v>
      </c>
      <c r="D25" s="72">
        <v>0.34</v>
      </c>
      <c r="E25" s="72">
        <v>0.23</v>
      </c>
      <c r="F25" s="72">
        <v>0.25</v>
      </c>
      <c r="G25" s="73">
        <v>548.0</v>
      </c>
    </row>
    <row r="26">
      <c r="A26" s="70" t="s">
        <v>1422</v>
      </c>
      <c r="B26" s="71" t="s">
        <v>566</v>
      </c>
      <c r="C26" s="72">
        <v>0.24</v>
      </c>
      <c r="D26" s="72">
        <v>0.24</v>
      </c>
      <c r="E26" s="72">
        <v>0.14</v>
      </c>
      <c r="F26" s="72">
        <v>0.39</v>
      </c>
      <c r="G26" s="73">
        <v>557.0</v>
      </c>
    </row>
    <row r="27">
      <c r="A27" s="78" t="s">
        <v>1423</v>
      </c>
      <c r="B27" s="79" t="s">
        <v>106</v>
      </c>
      <c r="C27" s="80">
        <v>0.21</v>
      </c>
      <c r="D27" s="80">
        <v>0.31</v>
      </c>
      <c r="E27" s="80">
        <v>0.2</v>
      </c>
      <c r="F27" s="80">
        <v>0.28</v>
      </c>
      <c r="G27" s="81">
        <v>609.0</v>
      </c>
    </row>
    <row r="28">
      <c r="A28" s="74" t="s">
        <v>1424</v>
      </c>
      <c r="B28" s="75" t="s">
        <v>566</v>
      </c>
      <c r="C28" s="76">
        <v>0.28</v>
      </c>
      <c r="D28" s="76">
        <v>0.24</v>
      </c>
      <c r="E28" s="76">
        <v>0.25</v>
      </c>
      <c r="F28" s="76">
        <v>0.22</v>
      </c>
      <c r="G28" s="77">
        <v>649.0</v>
      </c>
    </row>
    <row r="29">
      <c r="A29" s="70" t="s">
        <v>1425</v>
      </c>
      <c r="B29" s="71" t="s">
        <v>710</v>
      </c>
      <c r="C29" s="72">
        <v>0.4</v>
      </c>
      <c r="D29" s="72">
        <v>0.28</v>
      </c>
      <c r="E29" s="72">
        <v>0.14</v>
      </c>
      <c r="F29" s="72">
        <v>0.18</v>
      </c>
      <c r="G29" s="73">
        <v>739.0</v>
      </c>
    </row>
    <row r="30">
      <c r="A30" s="70" t="s">
        <v>1426</v>
      </c>
      <c r="B30" s="71" t="s">
        <v>791</v>
      </c>
      <c r="C30" s="72">
        <v>0.32</v>
      </c>
      <c r="D30" s="72">
        <v>0.45</v>
      </c>
      <c r="E30" s="72">
        <v>0.06</v>
      </c>
      <c r="F30" s="72">
        <v>0.17</v>
      </c>
      <c r="G30" s="73">
        <v>732.0</v>
      </c>
    </row>
    <row r="31">
      <c r="A31" s="70" t="s">
        <v>1427</v>
      </c>
      <c r="B31" s="71" t="s">
        <v>1428</v>
      </c>
      <c r="C31" s="72">
        <v>0.35</v>
      </c>
      <c r="D31" s="72">
        <v>0.32</v>
      </c>
      <c r="E31" s="72">
        <v>0.09</v>
      </c>
      <c r="F31" s="72">
        <v>0.25</v>
      </c>
      <c r="G31" s="73">
        <v>788.0</v>
      </c>
    </row>
    <row r="32">
      <c r="A32" s="70" t="s">
        <v>1429</v>
      </c>
      <c r="B32" s="71" t="s">
        <v>36</v>
      </c>
      <c r="C32" s="72">
        <v>0.4</v>
      </c>
      <c r="D32" s="72">
        <v>0.29</v>
      </c>
      <c r="E32" s="72">
        <v>0.15</v>
      </c>
      <c r="F32" s="72">
        <v>0.15</v>
      </c>
      <c r="G32" s="73">
        <v>755.0</v>
      </c>
    </row>
    <row r="33">
      <c r="A33" s="70" t="s">
        <v>1430</v>
      </c>
      <c r="B33" s="71" t="s">
        <v>791</v>
      </c>
      <c r="C33" s="72">
        <v>0.29</v>
      </c>
      <c r="D33" s="72">
        <v>0.25</v>
      </c>
      <c r="E33" s="72">
        <v>0.06</v>
      </c>
      <c r="F33" s="72">
        <v>0.41</v>
      </c>
      <c r="G33" s="73">
        <v>594.0</v>
      </c>
    </row>
    <row r="34">
      <c r="A34" s="70" t="s">
        <v>1431</v>
      </c>
      <c r="B34" s="71" t="s">
        <v>1432</v>
      </c>
      <c r="C34" s="72">
        <v>0.32</v>
      </c>
      <c r="D34" s="72">
        <v>0.3</v>
      </c>
      <c r="E34" s="72">
        <v>0.16</v>
      </c>
      <c r="F34" s="72">
        <v>0.21</v>
      </c>
      <c r="G34" s="73">
        <v>644.0</v>
      </c>
    </row>
    <row r="35">
      <c r="A35" s="70" t="s">
        <v>1433</v>
      </c>
      <c r="B35" s="71" t="s">
        <v>1434</v>
      </c>
      <c r="C35" s="72">
        <v>0.54</v>
      </c>
      <c r="D35" s="72">
        <v>0.27</v>
      </c>
      <c r="E35" s="72">
        <v>0.1</v>
      </c>
      <c r="F35" s="72">
        <v>0.09</v>
      </c>
      <c r="G35" s="73">
        <v>851.0</v>
      </c>
    </row>
    <row r="36">
      <c r="A36" s="78" t="s">
        <v>1435</v>
      </c>
      <c r="B36" s="79" t="s">
        <v>106</v>
      </c>
      <c r="C36" s="80">
        <v>0.24</v>
      </c>
      <c r="D36" s="80">
        <v>0.28</v>
      </c>
      <c r="E36" s="80">
        <v>0.11</v>
      </c>
      <c r="F36" s="80">
        <v>0.38</v>
      </c>
      <c r="G36" s="81">
        <v>610.0</v>
      </c>
    </row>
    <row r="37">
      <c r="A37" s="70" t="s">
        <v>1436</v>
      </c>
      <c r="B37" s="71" t="s">
        <v>641</v>
      </c>
      <c r="C37" s="72">
        <v>0.22</v>
      </c>
      <c r="D37" s="72">
        <v>0.22</v>
      </c>
      <c r="E37" s="72">
        <v>0.15</v>
      </c>
      <c r="F37" s="72">
        <v>0.42</v>
      </c>
      <c r="G37" s="73">
        <v>575.0</v>
      </c>
    </row>
    <row r="38">
      <c r="A38" s="70" t="s">
        <v>1437</v>
      </c>
      <c r="B38" s="71" t="s">
        <v>554</v>
      </c>
      <c r="C38" s="72">
        <v>0.04</v>
      </c>
      <c r="D38" s="72">
        <v>0.33</v>
      </c>
      <c r="E38" s="72">
        <v>0.08</v>
      </c>
      <c r="F38" s="72">
        <v>0.55</v>
      </c>
      <c r="G38" s="73">
        <v>297.0</v>
      </c>
    </row>
    <row r="39">
      <c r="A39" s="70" t="s">
        <v>1438</v>
      </c>
      <c r="B39" s="71" t="s">
        <v>1439</v>
      </c>
      <c r="C39" s="72">
        <v>0.26</v>
      </c>
      <c r="D39" s="72">
        <v>0.27</v>
      </c>
      <c r="E39" s="72">
        <v>0.17</v>
      </c>
      <c r="F39" s="72">
        <v>0.3</v>
      </c>
      <c r="G39" s="73">
        <v>667.0</v>
      </c>
    </row>
    <row r="40">
      <c r="A40" s="70" t="s">
        <v>1440</v>
      </c>
      <c r="B40" s="71" t="s">
        <v>778</v>
      </c>
      <c r="C40" s="72">
        <v>0.06</v>
      </c>
      <c r="D40" s="72">
        <v>0.37</v>
      </c>
      <c r="E40" s="72">
        <v>0.19</v>
      </c>
      <c r="F40" s="72">
        <v>0.37</v>
      </c>
      <c r="G40" s="73">
        <v>388.0</v>
      </c>
    </row>
    <row r="41">
      <c r="A41" s="70" t="s">
        <v>1441</v>
      </c>
      <c r="B41" s="71" t="s">
        <v>809</v>
      </c>
      <c r="C41" s="72">
        <v>0.14</v>
      </c>
      <c r="D41" s="72">
        <v>0.18</v>
      </c>
      <c r="E41" s="72">
        <v>0.17</v>
      </c>
      <c r="F41" s="72">
        <v>0.51</v>
      </c>
      <c r="G41" s="73">
        <v>379.0</v>
      </c>
    </row>
    <row r="42">
      <c r="A42" s="78" t="s">
        <v>1442</v>
      </c>
      <c r="B42" s="79" t="s">
        <v>36</v>
      </c>
      <c r="C42" s="80">
        <v>0.57</v>
      </c>
      <c r="D42" s="80">
        <v>0.22</v>
      </c>
      <c r="E42" s="80">
        <v>0.11</v>
      </c>
      <c r="F42" s="80">
        <v>0.1</v>
      </c>
      <c r="G42" s="81">
        <v>921.0</v>
      </c>
    </row>
    <row r="43">
      <c r="A43" s="78" t="s">
        <v>1443</v>
      </c>
      <c r="B43" s="79" t="s">
        <v>1444</v>
      </c>
      <c r="C43" s="80">
        <v>0.26</v>
      </c>
      <c r="D43" s="80">
        <v>0.26</v>
      </c>
      <c r="E43" s="80">
        <v>0.17</v>
      </c>
      <c r="F43" s="80">
        <v>0.31</v>
      </c>
      <c r="G43" s="81">
        <v>628.0</v>
      </c>
    </row>
    <row r="44">
      <c r="A44" s="70" t="s">
        <v>1445</v>
      </c>
      <c r="B44" s="71" t="s">
        <v>106</v>
      </c>
      <c r="C44" s="72">
        <v>0.22</v>
      </c>
      <c r="D44" s="72">
        <v>0.3</v>
      </c>
      <c r="E44" s="72">
        <v>0.07</v>
      </c>
      <c r="F44" s="72">
        <v>0.43</v>
      </c>
      <c r="G44" s="73">
        <v>573.0</v>
      </c>
    </row>
    <row r="45">
      <c r="A45" s="70" t="s">
        <v>1446</v>
      </c>
      <c r="B45" s="82" t="s">
        <v>1447</v>
      </c>
      <c r="C45" s="72">
        <v>0.4</v>
      </c>
      <c r="D45" s="72">
        <v>0.17</v>
      </c>
      <c r="E45" s="72">
        <v>0.14</v>
      </c>
      <c r="F45" s="72">
        <v>0.29</v>
      </c>
      <c r="G45" s="73">
        <v>746.0</v>
      </c>
    </row>
    <row r="46">
      <c r="A46" s="70" t="s">
        <v>1448</v>
      </c>
      <c r="B46" s="71" t="s">
        <v>554</v>
      </c>
      <c r="C46" s="72">
        <v>0.08</v>
      </c>
      <c r="D46" s="72">
        <v>0.48</v>
      </c>
      <c r="E46" s="72">
        <v>0.04</v>
      </c>
      <c r="F46" s="72">
        <v>0.4</v>
      </c>
      <c r="G46" s="73">
        <v>427.0</v>
      </c>
    </row>
    <row r="47">
      <c r="A47" s="78" t="s">
        <v>1449</v>
      </c>
      <c r="B47" s="79" t="s">
        <v>951</v>
      </c>
      <c r="C47" s="80">
        <v>0.54</v>
      </c>
      <c r="D47" s="80">
        <v>0.18</v>
      </c>
      <c r="E47" s="80">
        <v>0.12</v>
      </c>
      <c r="F47" s="80">
        <v>0.16</v>
      </c>
      <c r="G47" s="81">
        <v>944.0</v>
      </c>
    </row>
    <row r="48">
      <c r="A48" s="74" t="s">
        <v>1450</v>
      </c>
      <c r="B48" s="75" t="s">
        <v>1451</v>
      </c>
      <c r="C48" s="76">
        <v>0.25</v>
      </c>
      <c r="D48" s="76">
        <v>0.19</v>
      </c>
      <c r="E48" s="76">
        <v>0.18</v>
      </c>
      <c r="F48" s="76">
        <v>0.39</v>
      </c>
      <c r="G48" s="77">
        <v>600.0</v>
      </c>
    </row>
    <row r="49">
      <c r="A49" s="74" t="s">
        <v>1452</v>
      </c>
      <c r="B49" s="75" t="s">
        <v>36</v>
      </c>
      <c r="C49" s="76">
        <v>0.32</v>
      </c>
      <c r="D49" s="76">
        <v>0.33</v>
      </c>
      <c r="E49" s="76">
        <v>0.18</v>
      </c>
      <c r="F49" s="76">
        <v>0.17</v>
      </c>
      <c r="G49" s="77">
        <v>682.0</v>
      </c>
    </row>
    <row r="50">
      <c r="A50" s="70" t="s">
        <v>1453</v>
      </c>
      <c r="B50" s="71" t="s">
        <v>778</v>
      </c>
      <c r="C50" s="72">
        <v>0.08</v>
      </c>
      <c r="D50" s="72">
        <v>0.27</v>
      </c>
      <c r="E50" s="72">
        <v>0.13</v>
      </c>
      <c r="F50" s="72">
        <v>0.52</v>
      </c>
      <c r="G50" s="73">
        <v>338.0</v>
      </c>
    </row>
    <row r="51">
      <c r="A51" s="74" t="s">
        <v>1454</v>
      </c>
      <c r="B51" s="75" t="s">
        <v>1432</v>
      </c>
      <c r="C51" s="76">
        <v>0.33</v>
      </c>
      <c r="D51" s="76">
        <v>0.24</v>
      </c>
      <c r="E51" s="76">
        <v>0.15</v>
      </c>
      <c r="F51" s="76">
        <v>0.28</v>
      </c>
      <c r="G51" s="77">
        <v>621.0</v>
      </c>
    </row>
    <row r="52">
      <c r="A52" s="74" t="s">
        <v>1455</v>
      </c>
      <c r="B52" s="75" t="s">
        <v>1368</v>
      </c>
      <c r="C52" s="76">
        <v>0.37</v>
      </c>
      <c r="D52" s="76">
        <v>0.22</v>
      </c>
      <c r="E52" s="76">
        <v>0.14</v>
      </c>
      <c r="F52" s="76">
        <v>0.27</v>
      </c>
      <c r="G52" s="77">
        <v>716.0</v>
      </c>
    </row>
    <row r="53">
      <c r="A53" s="74" t="s">
        <v>1456</v>
      </c>
      <c r="B53" s="75" t="s">
        <v>1457</v>
      </c>
      <c r="C53" s="76">
        <v>0.46</v>
      </c>
      <c r="D53" s="76">
        <v>0.23</v>
      </c>
      <c r="E53" s="76">
        <v>0.13</v>
      </c>
      <c r="F53" s="76">
        <v>0.18</v>
      </c>
      <c r="G53" s="77">
        <v>719.0</v>
      </c>
    </row>
    <row r="54">
      <c r="A54" s="74" t="s">
        <v>1458</v>
      </c>
      <c r="B54" s="75" t="s">
        <v>1459</v>
      </c>
      <c r="C54" s="76">
        <v>0.08</v>
      </c>
      <c r="D54" s="76">
        <v>0.17</v>
      </c>
      <c r="E54" s="76">
        <v>0.33</v>
      </c>
      <c r="F54" s="76">
        <v>0.43</v>
      </c>
      <c r="G54" s="77">
        <v>339.0</v>
      </c>
    </row>
    <row r="55">
      <c r="A55" s="74" t="s">
        <v>1460</v>
      </c>
      <c r="B55" s="75" t="s">
        <v>830</v>
      </c>
      <c r="C55" s="76">
        <v>0.37</v>
      </c>
      <c r="D55" s="76">
        <v>0.31</v>
      </c>
      <c r="E55" s="76">
        <v>0.11</v>
      </c>
      <c r="F55" s="76">
        <v>0.2</v>
      </c>
      <c r="G55" s="77">
        <v>897.0</v>
      </c>
    </row>
    <row r="56">
      <c r="A56" s="70" t="s">
        <v>1461</v>
      </c>
      <c r="B56" s="71" t="s">
        <v>1462</v>
      </c>
      <c r="C56" s="72">
        <v>0.32</v>
      </c>
      <c r="D56" s="72">
        <v>0.18</v>
      </c>
      <c r="E56" s="72">
        <v>0.11</v>
      </c>
      <c r="F56" s="72">
        <v>0.38</v>
      </c>
      <c r="G56" s="73">
        <v>635.0</v>
      </c>
    </row>
    <row r="57">
      <c r="A57" s="74" t="s">
        <v>1463</v>
      </c>
      <c r="B57" s="75" t="s">
        <v>554</v>
      </c>
      <c r="C57" s="76">
        <v>0.21</v>
      </c>
      <c r="D57" s="76">
        <v>0.06</v>
      </c>
      <c r="E57" s="76">
        <v>0.04</v>
      </c>
      <c r="F57" s="76">
        <v>0.69</v>
      </c>
      <c r="G57" s="77">
        <v>383.0</v>
      </c>
    </row>
    <row r="58">
      <c r="A58" s="74" t="s">
        <v>1464</v>
      </c>
      <c r="B58" s="83" t="s">
        <v>1465</v>
      </c>
      <c r="C58" s="76">
        <v>0.43</v>
      </c>
      <c r="D58" s="76">
        <v>0.28</v>
      </c>
      <c r="E58" s="76">
        <v>0.11</v>
      </c>
      <c r="F58" s="76">
        <v>0.17</v>
      </c>
      <c r="G58" s="77">
        <v>732.0</v>
      </c>
    </row>
    <row r="59">
      <c r="A59" s="74" t="s">
        <v>1466</v>
      </c>
      <c r="B59" s="75" t="s">
        <v>161</v>
      </c>
      <c r="C59" s="76">
        <v>0.23</v>
      </c>
      <c r="D59" s="76">
        <v>0.29</v>
      </c>
      <c r="E59" s="76">
        <v>0.2</v>
      </c>
      <c r="F59" s="76">
        <v>0.27</v>
      </c>
      <c r="G59" s="77">
        <v>550.0</v>
      </c>
    </row>
    <row r="60">
      <c r="A60" s="74" t="s">
        <v>1467</v>
      </c>
      <c r="B60" s="75" t="s">
        <v>243</v>
      </c>
      <c r="C60" s="76">
        <v>0.25</v>
      </c>
      <c r="D60" s="76">
        <v>0.22</v>
      </c>
      <c r="E60" s="76">
        <v>0.18</v>
      </c>
      <c r="F60" s="76">
        <v>0.36</v>
      </c>
      <c r="G60" s="77">
        <v>495.0</v>
      </c>
    </row>
    <row r="61">
      <c r="A61" s="74" t="s">
        <v>1468</v>
      </c>
      <c r="B61" s="75" t="s">
        <v>1469</v>
      </c>
      <c r="C61" s="76">
        <v>0.12</v>
      </c>
      <c r="D61" s="76">
        <v>0.13</v>
      </c>
      <c r="E61" s="76">
        <v>0.2</v>
      </c>
      <c r="F61" s="76">
        <v>0.55</v>
      </c>
      <c r="G61" s="77">
        <v>309.0</v>
      </c>
    </row>
    <row r="62">
      <c r="A62" s="70" t="s">
        <v>1470</v>
      </c>
      <c r="B62" s="71" t="s">
        <v>1471</v>
      </c>
      <c r="C62" s="72">
        <v>0.46</v>
      </c>
      <c r="D62" s="72">
        <v>0.25</v>
      </c>
      <c r="E62" s="72">
        <v>0.1</v>
      </c>
      <c r="F62" s="72">
        <v>0.19</v>
      </c>
      <c r="G62" s="73">
        <v>724.0</v>
      </c>
    </row>
    <row r="63">
      <c r="A63" s="74" t="s">
        <v>1472</v>
      </c>
      <c r="B63" s="75" t="s">
        <v>627</v>
      </c>
      <c r="C63" s="76">
        <v>0.1</v>
      </c>
      <c r="D63" s="76">
        <v>0.16</v>
      </c>
      <c r="E63" s="76">
        <v>0.25</v>
      </c>
      <c r="F63" s="76">
        <v>0.49</v>
      </c>
      <c r="G63" s="77">
        <v>348.0</v>
      </c>
    </row>
    <row r="64">
      <c r="A64" s="70" t="s">
        <v>1473</v>
      </c>
      <c r="B64" s="71" t="s">
        <v>740</v>
      </c>
      <c r="C64" s="72">
        <v>0.26</v>
      </c>
      <c r="D64" s="72">
        <v>0.35</v>
      </c>
      <c r="E64" s="72">
        <v>0.19</v>
      </c>
      <c r="F64" s="72">
        <v>0.2</v>
      </c>
      <c r="G64" s="73">
        <v>640.0</v>
      </c>
    </row>
    <row r="65">
      <c r="A65" s="70" t="s">
        <v>1474</v>
      </c>
      <c r="B65" s="71" t="s">
        <v>36</v>
      </c>
      <c r="C65" s="72">
        <v>0.4</v>
      </c>
      <c r="D65" s="72">
        <v>0.38</v>
      </c>
      <c r="E65" s="72">
        <v>0.12</v>
      </c>
      <c r="F65" s="72">
        <v>0.09</v>
      </c>
      <c r="G65" s="73">
        <v>795.0</v>
      </c>
    </row>
    <row r="66">
      <c r="A66" s="70" t="s">
        <v>1475</v>
      </c>
      <c r="B66" s="71" t="s">
        <v>20</v>
      </c>
      <c r="C66" s="72">
        <v>0.11</v>
      </c>
      <c r="D66" s="72">
        <v>0.18</v>
      </c>
      <c r="E66" s="72">
        <v>0.24</v>
      </c>
      <c r="F66" s="72">
        <v>0.47</v>
      </c>
      <c r="G66" s="73">
        <v>305.0</v>
      </c>
    </row>
    <row r="67">
      <c r="A67" s="74" t="s">
        <v>1476</v>
      </c>
      <c r="B67" s="75" t="s">
        <v>36</v>
      </c>
      <c r="C67" s="76">
        <v>0.41</v>
      </c>
      <c r="D67" s="76">
        <v>0.29</v>
      </c>
      <c r="E67" s="76">
        <v>0.12</v>
      </c>
      <c r="F67" s="76">
        <v>0.18</v>
      </c>
      <c r="G67" s="77">
        <v>754.0</v>
      </c>
    </row>
    <row r="68">
      <c r="A68" s="70" t="s">
        <v>1477</v>
      </c>
      <c r="B68" s="71" t="s">
        <v>1478</v>
      </c>
      <c r="C68" s="72">
        <v>0.22</v>
      </c>
      <c r="D68" s="72">
        <v>0.29</v>
      </c>
      <c r="E68" s="72">
        <v>0.17</v>
      </c>
      <c r="F68" s="72">
        <v>0.32</v>
      </c>
      <c r="G68" s="73">
        <v>611.0</v>
      </c>
    </row>
    <row r="69">
      <c r="A69" s="74" t="s">
        <v>1479</v>
      </c>
      <c r="B69" s="75" t="s">
        <v>1459</v>
      </c>
      <c r="C69" s="76">
        <v>0.09</v>
      </c>
      <c r="D69" s="76">
        <v>0.16</v>
      </c>
      <c r="E69" s="76">
        <v>0.45</v>
      </c>
      <c r="F69" s="76">
        <v>0.31</v>
      </c>
      <c r="G69" s="77">
        <v>382.0</v>
      </c>
    </row>
    <row r="70">
      <c r="A70" s="70" t="s">
        <v>1480</v>
      </c>
      <c r="B70" s="71" t="s">
        <v>106</v>
      </c>
      <c r="C70" s="72">
        <v>0.29</v>
      </c>
      <c r="D70" s="72">
        <v>0.31</v>
      </c>
      <c r="E70" s="72">
        <v>0.11</v>
      </c>
      <c r="F70" s="72">
        <v>0.29</v>
      </c>
      <c r="G70" s="73">
        <v>710.0</v>
      </c>
    </row>
    <row r="71">
      <c r="A71" s="74" t="s">
        <v>1481</v>
      </c>
      <c r="B71" s="75" t="s">
        <v>36</v>
      </c>
      <c r="C71" s="76">
        <v>0.34</v>
      </c>
      <c r="D71" s="76">
        <v>0.3</v>
      </c>
      <c r="E71" s="76">
        <v>0.19</v>
      </c>
      <c r="F71" s="76">
        <v>0.17</v>
      </c>
      <c r="G71" s="77">
        <v>694.0</v>
      </c>
    </row>
    <row r="72">
      <c r="A72" s="78" t="s">
        <v>1482</v>
      </c>
      <c r="B72" s="79" t="s">
        <v>36</v>
      </c>
      <c r="C72" s="80">
        <v>0.71</v>
      </c>
      <c r="D72" s="80">
        <v>0.16</v>
      </c>
      <c r="E72" s="80">
        <v>0.06</v>
      </c>
      <c r="F72" s="80">
        <v>0.06</v>
      </c>
      <c r="G72" s="81">
        <v>1049.0</v>
      </c>
    </row>
    <row r="73">
      <c r="A73" s="74" t="s">
        <v>1483</v>
      </c>
      <c r="B73" s="75" t="s">
        <v>36</v>
      </c>
      <c r="C73" s="76">
        <v>0.64</v>
      </c>
      <c r="D73" s="76">
        <v>0.18</v>
      </c>
      <c r="E73" s="76">
        <v>0.09</v>
      </c>
      <c r="F73" s="76">
        <v>0.09</v>
      </c>
      <c r="G73" s="77">
        <v>983.0</v>
      </c>
    </row>
    <row r="74">
      <c r="A74" s="74" t="s">
        <v>1484</v>
      </c>
      <c r="B74" s="75" t="s">
        <v>554</v>
      </c>
      <c r="C74" s="76">
        <v>0.04</v>
      </c>
      <c r="D74" s="76">
        <v>0.47</v>
      </c>
      <c r="E74" s="76">
        <v>0.05</v>
      </c>
      <c r="F74" s="76">
        <v>0.44</v>
      </c>
      <c r="G74" s="77">
        <v>371.0</v>
      </c>
    </row>
    <row r="75">
      <c r="A75" s="74" t="s">
        <v>1485</v>
      </c>
      <c r="B75" s="75" t="s">
        <v>684</v>
      </c>
      <c r="C75" s="76">
        <v>0.41</v>
      </c>
      <c r="D75" s="76">
        <v>0.23</v>
      </c>
      <c r="E75" s="76">
        <v>0.17</v>
      </c>
      <c r="F75" s="76">
        <v>0.19</v>
      </c>
      <c r="G75" s="77">
        <v>684.0</v>
      </c>
    </row>
    <row r="76">
      <c r="A76" s="74" t="s">
        <v>1486</v>
      </c>
      <c r="B76" s="75" t="s">
        <v>1487</v>
      </c>
      <c r="C76" s="76">
        <v>0.15</v>
      </c>
      <c r="D76" s="76">
        <v>0.2</v>
      </c>
      <c r="E76" s="76">
        <v>0.12</v>
      </c>
      <c r="F76" s="76">
        <v>0.53</v>
      </c>
      <c r="G76" s="77">
        <v>366.0</v>
      </c>
    </row>
    <row r="77">
      <c r="A77" s="78" t="s">
        <v>1488</v>
      </c>
      <c r="B77" s="79" t="s">
        <v>554</v>
      </c>
      <c r="C77" s="80">
        <v>0.16</v>
      </c>
      <c r="D77" s="80">
        <v>0.22</v>
      </c>
      <c r="E77" s="80">
        <v>0.1</v>
      </c>
      <c r="F77" s="80">
        <v>0.51</v>
      </c>
      <c r="G77" s="81">
        <v>424.0</v>
      </c>
    </row>
    <row r="78">
      <c r="A78" s="70" t="s">
        <v>1489</v>
      </c>
      <c r="B78" s="71" t="s">
        <v>1490</v>
      </c>
      <c r="C78" s="72">
        <v>0.19</v>
      </c>
      <c r="D78" s="72">
        <v>0.19</v>
      </c>
      <c r="E78" s="72">
        <v>0.16</v>
      </c>
      <c r="F78" s="72">
        <v>0.46</v>
      </c>
      <c r="G78" s="73">
        <v>468.0</v>
      </c>
    </row>
    <row r="79">
      <c r="A79" s="74" t="s">
        <v>1491</v>
      </c>
      <c r="B79" s="75" t="s">
        <v>161</v>
      </c>
      <c r="C79" s="76">
        <v>0.33</v>
      </c>
      <c r="D79" s="76">
        <v>0.28</v>
      </c>
      <c r="E79" s="76">
        <v>0.15</v>
      </c>
      <c r="F79" s="76">
        <v>0.24</v>
      </c>
      <c r="G79" s="77">
        <v>661.0</v>
      </c>
    </row>
    <row r="80">
      <c r="A80" s="74" t="s">
        <v>1492</v>
      </c>
      <c r="B80" s="75" t="s">
        <v>830</v>
      </c>
      <c r="C80" s="76">
        <v>0.36</v>
      </c>
      <c r="D80" s="76">
        <v>0.37</v>
      </c>
      <c r="E80" s="76">
        <v>0.06</v>
      </c>
      <c r="F80" s="76">
        <v>0.21</v>
      </c>
      <c r="G80" s="77">
        <v>898.0</v>
      </c>
    </row>
    <row r="81">
      <c r="A81" s="74" t="s">
        <v>1493</v>
      </c>
      <c r="B81" s="75" t="s">
        <v>740</v>
      </c>
      <c r="C81" s="76">
        <v>0.32</v>
      </c>
      <c r="D81" s="76">
        <v>0.3</v>
      </c>
      <c r="E81" s="76">
        <v>0.17</v>
      </c>
      <c r="F81" s="76">
        <v>0.22</v>
      </c>
      <c r="G81" s="77">
        <v>686.0</v>
      </c>
    </row>
    <row r="82">
      <c r="A82" s="70" t="s">
        <v>1494</v>
      </c>
      <c r="B82" s="82" t="s">
        <v>1495</v>
      </c>
      <c r="C82" s="72">
        <v>0.3</v>
      </c>
      <c r="D82" s="72">
        <v>0.25</v>
      </c>
      <c r="E82" s="72">
        <v>0.17</v>
      </c>
      <c r="F82" s="72">
        <v>0.29</v>
      </c>
      <c r="G82" s="73">
        <v>562.0</v>
      </c>
    </row>
    <row r="83">
      <c r="A83" s="63"/>
      <c r="B83" s="63"/>
      <c r="C83" s="63"/>
      <c r="D83" s="63"/>
      <c r="E83" s="63"/>
      <c r="F83" s="63"/>
      <c r="G83" s="63"/>
    </row>
    <row r="84">
      <c r="A84" s="62" t="s">
        <v>1496</v>
      </c>
      <c r="C84" s="63"/>
      <c r="D84" s="63"/>
      <c r="E84" s="63"/>
      <c r="F84" s="63"/>
      <c r="G84" s="63"/>
    </row>
    <row r="85">
      <c r="A85" s="66" t="s">
        <v>1497</v>
      </c>
      <c r="F85" s="63"/>
      <c r="G85" s="63"/>
    </row>
    <row r="86">
      <c r="A86" s="63"/>
      <c r="B86" s="63"/>
      <c r="C86" s="63"/>
      <c r="D86" s="63"/>
      <c r="E86" s="63"/>
      <c r="F86" s="63"/>
      <c r="G86" s="63"/>
    </row>
    <row r="87">
      <c r="A87" s="67" t="s">
        <v>1387</v>
      </c>
      <c r="B87" s="68" t="s">
        <v>1</v>
      </c>
      <c r="C87" s="69" t="s">
        <v>1388</v>
      </c>
      <c r="D87" s="69" t="s">
        <v>1389</v>
      </c>
      <c r="E87" s="69" t="s">
        <v>1390</v>
      </c>
      <c r="F87" s="69" t="s">
        <v>1391</v>
      </c>
      <c r="G87" s="68" t="s">
        <v>1392</v>
      </c>
    </row>
    <row r="88">
      <c r="A88" s="70" t="s">
        <v>1498</v>
      </c>
      <c r="B88" s="71" t="s">
        <v>967</v>
      </c>
      <c r="C88" s="72">
        <v>0.07</v>
      </c>
      <c r="D88" s="72">
        <v>0.18</v>
      </c>
      <c r="E88" s="72">
        <v>0.2</v>
      </c>
      <c r="F88" s="72">
        <v>0.55</v>
      </c>
      <c r="G88" s="73">
        <v>278.0</v>
      </c>
    </row>
    <row r="89">
      <c r="A89" s="78" t="s">
        <v>1499</v>
      </c>
      <c r="B89" s="79" t="s">
        <v>1500</v>
      </c>
      <c r="C89" s="80">
        <v>0.21</v>
      </c>
      <c r="D89" s="80">
        <v>0.22</v>
      </c>
      <c r="E89" s="80">
        <v>0.18</v>
      </c>
      <c r="F89" s="80">
        <v>0.39</v>
      </c>
      <c r="G89" s="81">
        <v>423.0</v>
      </c>
    </row>
    <row r="90">
      <c r="A90" s="70" t="s">
        <v>1501</v>
      </c>
      <c r="B90" s="71" t="s">
        <v>791</v>
      </c>
      <c r="C90" s="72">
        <v>0.17</v>
      </c>
      <c r="D90" s="72">
        <v>0.35</v>
      </c>
      <c r="E90" s="72">
        <v>0.04</v>
      </c>
      <c r="F90" s="72">
        <v>0.44</v>
      </c>
      <c r="G90" s="73">
        <v>475.0</v>
      </c>
    </row>
    <row r="91">
      <c r="A91" s="70" t="s">
        <v>1502</v>
      </c>
      <c r="B91" s="71" t="s">
        <v>36</v>
      </c>
      <c r="C91" s="72">
        <v>0.57</v>
      </c>
      <c r="D91" s="72">
        <v>0.28</v>
      </c>
      <c r="E91" s="72">
        <v>0.08</v>
      </c>
      <c r="F91" s="72">
        <v>0.07</v>
      </c>
      <c r="G91" s="73">
        <v>942.0</v>
      </c>
    </row>
    <row r="92">
      <c r="A92" s="70" t="s">
        <v>1503</v>
      </c>
      <c r="B92" s="71" t="s">
        <v>951</v>
      </c>
      <c r="C92" s="72">
        <v>0.41</v>
      </c>
      <c r="D92" s="72">
        <v>0.36</v>
      </c>
      <c r="E92" s="72">
        <v>0.08</v>
      </c>
      <c r="F92" s="72">
        <v>0.14</v>
      </c>
      <c r="G92" s="73">
        <v>855.0</v>
      </c>
    </row>
    <row r="93">
      <c r="A93" s="70" t="s">
        <v>1504</v>
      </c>
      <c r="B93" s="71" t="s">
        <v>627</v>
      </c>
      <c r="C93" s="72">
        <v>0.15</v>
      </c>
      <c r="D93" s="72">
        <v>0.17</v>
      </c>
      <c r="E93" s="72">
        <v>0.2</v>
      </c>
      <c r="F93" s="72">
        <v>0.48</v>
      </c>
      <c r="G93" s="73">
        <v>420.0</v>
      </c>
    </row>
    <row r="94">
      <c r="A94" s="74" t="s">
        <v>1505</v>
      </c>
      <c r="B94" s="75" t="s">
        <v>27</v>
      </c>
      <c r="C94" s="76">
        <v>0.29</v>
      </c>
      <c r="D94" s="76">
        <v>0.31</v>
      </c>
      <c r="E94" s="76">
        <v>0.08</v>
      </c>
      <c r="F94" s="76">
        <v>0.32</v>
      </c>
      <c r="G94" s="77">
        <v>591.0</v>
      </c>
    </row>
    <row r="95">
      <c r="A95" s="70" t="s">
        <v>1506</v>
      </c>
      <c r="B95" s="71" t="s">
        <v>1507</v>
      </c>
      <c r="C95" s="72">
        <v>0.1</v>
      </c>
      <c r="D95" s="72">
        <v>0.19</v>
      </c>
      <c r="E95" s="72">
        <v>0.24</v>
      </c>
      <c r="F95" s="72">
        <v>0.48</v>
      </c>
      <c r="G95" s="73">
        <v>381.0</v>
      </c>
    </row>
    <row r="96">
      <c r="A96" s="70" t="s">
        <v>1508</v>
      </c>
      <c r="B96" s="71" t="s">
        <v>748</v>
      </c>
      <c r="C96" s="72">
        <v>0.11</v>
      </c>
      <c r="D96" s="72">
        <v>0.16</v>
      </c>
      <c r="E96" s="72">
        <v>0.17</v>
      </c>
      <c r="F96" s="72">
        <v>0.57</v>
      </c>
      <c r="G96" s="73">
        <v>295.0</v>
      </c>
    </row>
    <row r="97">
      <c r="A97" s="78" t="s">
        <v>1509</v>
      </c>
      <c r="B97" s="79" t="s">
        <v>1510</v>
      </c>
      <c r="C97" s="80">
        <v>0.11</v>
      </c>
      <c r="D97" s="80">
        <v>0.2</v>
      </c>
      <c r="E97" s="80">
        <v>0.07</v>
      </c>
      <c r="F97" s="80">
        <v>0.62</v>
      </c>
      <c r="G97" s="81">
        <v>321.0</v>
      </c>
    </row>
    <row r="98">
      <c r="A98" s="74" t="s">
        <v>1511</v>
      </c>
      <c r="B98" s="75" t="s">
        <v>554</v>
      </c>
      <c r="C98" s="76">
        <v>0.02</v>
      </c>
      <c r="D98" s="76">
        <v>0.14</v>
      </c>
      <c r="E98" s="76">
        <v>0.06</v>
      </c>
      <c r="F98" s="76">
        <v>0.78</v>
      </c>
      <c r="G98" s="77">
        <v>138.0</v>
      </c>
    </row>
    <row r="99">
      <c r="A99" s="70" t="s">
        <v>1512</v>
      </c>
      <c r="B99" s="71" t="s">
        <v>106</v>
      </c>
      <c r="C99" s="72">
        <v>0.15</v>
      </c>
      <c r="D99" s="72">
        <v>0.33</v>
      </c>
      <c r="E99" s="72">
        <v>0.14</v>
      </c>
      <c r="F99" s="72">
        <v>0.38</v>
      </c>
      <c r="G99" s="73">
        <v>512.0</v>
      </c>
    </row>
    <row r="100">
      <c r="A100" s="78" t="s">
        <v>1513</v>
      </c>
      <c r="B100" s="79" t="s">
        <v>566</v>
      </c>
      <c r="C100" s="80">
        <v>0.38</v>
      </c>
      <c r="D100" s="80">
        <v>0.11</v>
      </c>
      <c r="E100" s="80">
        <v>0.08</v>
      </c>
      <c r="F100" s="80">
        <v>0.43</v>
      </c>
      <c r="G100" s="81">
        <v>668.0</v>
      </c>
    </row>
    <row r="101">
      <c r="A101" s="74" t="s">
        <v>1514</v>
      </c>
      <c r="B101" s="75" t="s">
        <v>778</v>
      </c>
      <c r="C101" s="76">
        <v>0.19</v>
      </c>
      <c r="D101" s="76">
        <v>0.25</v>
      </c>
      <c r="E101" s="76">
        <v>0.2</v>
      </c>
      <c r="F101" s="76">
        <v>0.36</v>
      </c>
      <c r="G101" s="77">
        <v>503.0</v>
      </c>
    </row>
    <row r="102">
      <c r="A102" s="78" t="s">
        <v>1422</v>
      </c>
      <c r="B102" s="79" t="s">
        <v>1515</v>
      </c>
      <c r="C102" s="80">
        <v>0.11</v>
      </c>
      <c r="D102" s="80">
        <v>0.16</v>
      </c>
      <c r="E102" s="80">
        <v>0.12</v>
      </c>
      <c r="F102" s="80">
        <v>0.61</v>
      </c>
      <c r="G102" s="81">
        <v>344.0</v>
      </c>
    </row>
    <row r="103">
      <c r="A103" s="70" t="s">
        <v>1516</v>
      </c>
      <c r="B103" s="71" t="s">
        <v>36</v>
      </c>
      <c r="C103" s="72">
        <v>0.56</v>
      </c>
      <c r="D103" s="72">
        <v>0.27</v>
      </c>
      <c r="E103" s="72">
        <v>0.1</v>
      </c>
      <c r="F103" s="72">
        <v>0.08</v>
      </c>
      <c r="G103" s="73">
        <v>923.0</v>
      </c>
    </row>
    <row r="104">
      <c r="A104" s="70" t="s">
        <v>1517</v>
      </c>
      <c r="B104" s="71" t="s">
        <v>106</v>
      </c>
      <c r="C104" s="72">
        <v>0.2</v>
      </c>
      <c r="D104" s="72">
        <v>0.25</v>
      </c>
      <c r="E104" s="72">
        <v>0.09</v>
      </c>
      <c r="F104" s="72">
        <v>0.46</v>
      </c>
      <c r="G104" s="73">
        <v>531.0</v>
      </c>
    </row>
    <row r="105">
      <c r="A105" s="74" t="s">
        <v>1518</v>
      </c>
      <c r="B105" s="75" t="s">
        <v>106</v>
      </c>
      <c r="C105" s="76">
        <v>0.14</v>
      </c>
      <c r="D105" s="76">
        <v>0.16</v>
      </c>
      <c r="E105" s="76">
        <v>0.18</v>
      </c>
      <c r="F105" s="76">
        <v>0.53</v>
      </c>
      <c r="G105" s="77">
        <v>398.0</v>
      </c>
    </row>
    <row r="106">
      <c r="A106" s="74" t="s">
        <v>1519</v>
      </c>
      <c r="B106" s="75" t="s">
        <v>1520</v>
      </c>
      <c r="C106" s="76">
        <v>0.26</v>
      </c>
      <c r="D106" s="76">
        <v>0.17</v>
      </c>
      <c r="E106" s="76">
        <v>0.12</v>
      </c>
      <c r="F106" s="76">
        <v>0.45</v>
      </c>
      <c r="G106" s="77">
        <v>545.0</v>
      </c>
    </row>
    <row r="107">
      <c r="A107" s="70" t="s">
        <v>1521</v>
      </c>
      <c r="B107" s="71" t="s">
        <v>106</v>
      </c>
      <c r="C107" s="72">
        <v>0.13</v>
      </c>
      <c r="D107" s="72">
        <v>0.21</v>
      </c>
      <c r="E107" s="72">
        <v>0.18</v>
      </c>
      <c r="F107" s="72">
        <v>0.49</v>
      </c>
      <c r="G107" s="73">
        <v>415.0</v>
      </c>
    </row>
    <row r="108">
      <c r="A108" s="78" t="s">
        <v>1522</v>
      </c>
      <c r="B108" s="79" t="s">
        <v>1523</v>
      </c>
      <c r="C108" s="80">
        <v>0.16</v>
      </c>
      <c r="D108" s="80">
        <v>0.22</v>
      </c>
      <c r="E108" s="80">
        <v>0.18</v>
      </c>
      <c r="F108" s="80">
        <v>0.44</v>
      </c>
      <c r="G108" s="81">
        <v>438.0</v>
      </c>
    </row>
    <row r="109">
      <c r="A109" s="70" t="s">
        <v>1524</v>
      </c>
      <c r="B109" s="71" t="s">
        <v>627</v>
      </c>
      <c r="C109" s="72">
        <v>0.2</v>
      </c>
      <c r="D109" s="72">
        <v>0.21</v>
      </c>
      <c r="E109" s="72">
        <v>0.23</v>
      </c>
      <c r="F109" s="72">
        <v>0.37</v>
      </c>
      <c r="G109" s="73">
        <v>522.0</v>
      </c>
    </row>
    <row r="110">
      <c r="A110" s="78" t="s">
        <v>1525</v>
      </c>
      <c r="B110" s="79" t="s">
        <v>889</v>
      </c>
      <c r="C110" s="80">
        <v>0.06</v>
      </c>
      <c r="D110" s="80">
        <v>0.08</v>
      </c>
      <c r="E110" s="80">
        <v>0.16</v>
      </c>
      <c r="F110" s="80">
        <v>0.7</v>
      </c>
      <c r="G110" s="81">
        <v>188.0</v>
      </c>
    </row>
    <row r="111">
      <c r="A111" s="70" t="s">
        <v>1526</v>
      </c>
      <c r="B111" s="71" t="s">
        <v>1527</v>
      </c>
      <c r="C111" s="72">
        <v>0.16</v>
      </c>
      <c r="D111" s="72">
        <v>0.25</v>
      </c>
      <c r="E111" s="72">
        <v>0.22</v>
      </c>
      <c r="F111" s="72">
        <v>0.36</v>
      </c>
      <c r="G111" s="73">
        <v>530.0</v>
      </c>
    </row>
    <row r="112">
      <c r="A112" s="78" t="s">
        <v>1528</v>
      </c>
      <c r="B112" s="79" t="s">
        <v>627</v>
      </c>
      <c r="C112" s="80">
        <v>0.11</v>
      </c>
      <c r="D112" s="80">
        <v>0.21</v>
      </c>
      <c r="E112" s="80">
        <v>0.22</v>
      </c>
      <c r="F112" s="80">
        <v>0.46</v>
      </c>
      <c r="G112" s="81">
        <v>383.0</v>
      </c>
    </row>
    <row r="113">
      <c r="A113" s="74" t="s">
        <v>1529</v>
      </c>
      <c r="B113" s="83" t="s">
        <v>1530</v>
      </c>
      <c r="C113" s="76">
        <v>0.38</v>
      </c>
      <c r="D113" s="76">
        <v>0.25</v>
      </c>
      <c r="E113" s="76">
        <v>0.24</v>
      </c>
      <c r="F113" s="76">
        <v>0.13</v>
      </c>
      <c r="G113" s="77">
        <v>782.0</v>
      </c>
    </row>
    <row r="114">
      <c r="A114" s="70" t="s">
        <v>1531</v>
      </c>
      <c r="B114" s="71" t="s">
        <v>791</v>
      </c>
      <c r="C114" s="72">
        <v>0.35</v>
      </c>
      <c r="D114" s="72">
        <v>0.31</v>
      </c>
      <c r="E114" s="72">
        <v>0.05</v>
      </c>
      <c r="F114" s="72">
        <v>0.29</v>
      </c>
      <c r="G114" s="73">
        <v>701.0</v>
      </c>
    </row>
    <row r="115">
      <c r="A115" s="70" t="s">
        <v>1532</v>
      </c>
      <c r="B115" s="71" t="s">
        <v>710</v>
      </c>
      <c r="C115" s="72">
        <v>0.22</v>
      </c>
      <c r="D115" s="72">
        <v>0.25</v>
      </c>
      <c r="E115" s="72">
        <v>0.18</v>
      </c>
      <c r="F115" s="72">
        <v>0.35</v>
      </c>
      <c r="G115" s="73">
        <v>509.0</v>
      </c>
    </row>
    <row r="116">
      <c r="A116" s="74" t="s">
        <v>1533</v>
      </c>
      <c r="B116" s="75" t="s">
        <v>641</v>
      </c>
      <c r="C116" s="76">
        <v>0.32</v>
      </c>
      <c r="D116" s="76">
        <v>0.18</v>
      </c>
      <c r="E116" s="76">
        <v>0.15</v>
      </c>
      <c r="F116" s="76">
        <v>0.35</v>
      </c>
      <c r="G116" s="77">
        <v>719.0</v>
      </c>
    </row>
    <row r="117">
      <c r="A117" s="74" t="s">
        <v>1534</v>
      </c>
      <c r="B117" s="75" t="s">
        <v>951</v>
      </c>
      <c r="C117" s="76">
        <v>0.43</v>
      </c>
      <c r="D117" s="76">
        <v>0.2</v>
      </c>
      <c r="E117" s="76">
        <v>0.08</v>
      </c>
      <c r="F117" s="76">
        <v>0.29</v>
      </c>
      <c r="G117" s="77">
        <v>795.0</v>
      </c>
    </row>
    <row r="118">
      <c r="A118" s="70" t="s">
        <v>1535</v>
      </c>
      <c r="B118" s="71" t="s">
        <v>627</v>
      </c>
      <c r="C118" s="72">
        <v>0.17</v>
      </c>
      <c r="D118" s="72">
        <v>0.29</v>
      </c>
      <c r="E118" s="72">
        <v>0.21</v>
      </c>
      <c r="F118" s="72">
        <v>0.33</v>
      </c>
      <c r="G118" s="73">
        <v>521.0</v>
      </c>
    </row>
    <row r="119">
      <c r="A119" s="70" t="s">
        <v>1536</v>
      </c>
      <c r="B119" s="71" t="s">
        <v>1412</v>
      </c>
      <c r="C119" s="72">
        <v>0.18</v>
      </c>
      <c r="D119" s="72">
        <v>0.33</v>
      </c>
      <c r="E119" s="72">
        <v>0.23</v>
      </c>
      <c r="F119" s="72">
        <v>0.26</v>
      </c>
      <c r="G119" s="73">
        <v>531.0</v>
      </c>
    </row>
    <row r="120">
      <c r="A120" s="70" t="s">
        <v>1537</v>
      </c>
      <c r="B120" s="71" t="s">
        <v>1538</v>
      </c>
      <c r="C120" s="72">
        <v>0.21</v>
      </c>
      <c r="D120" s="72">
        <v>0.22</v>
      </c>
      <c r="E120" s="72">
        <v>0.15</v>
      </c>
      <c r="F120" s="72">
        <v>0.42</v>
      </c>
      <c r="G120" s="73">
        <v>603.0</v>
      </c>
    </row>
    <row r="121">
      <c r="A121" s="74" t="s">
        <v>1539</v>
      </c>
      <c r="B121" s="75" t="s">
        <v>243</v>
      </c>
      <c r="C121" s="76">
        <v>0.16</v>
      </c>
      <c r="D121" s="76">
        <v>0.25</v>
      </c>
      <c r="E121" s="76">
        <v>0.19</v>
      </c>
      <c r="F121" s="76">
        <v>0.4</v>
      </c>
      <c r="G121" s="77">
        <v>405.0</v>
      </c>
    </row>
    <row r="122">
      <c r="A122" s="70" t="s">
        <v>1540</v>
      </c>
      <c r="B122" s="71" t="s">
        <v>627</v>
      </c>
      <c r="C122" s="72">
        <v>0.11</v>
      </c>
      <c r="D122" s="72">
        <v>0.18</v>
      </c>
      <c r="E122" s="72">
        <v>0.25</v>
      </c>
      <c r="F122" s="72">
        <v>0.47</v>
      </c>
      <c r="G122" s="73">
        <v>370.0</v>
      </c>
    </row>
    <row r="123">
      <c r="A123" s="70" t="s">
        <v>1541</v>
      </c>
      <c r="B123" s="82" t="s">
        <v>1542</v>
      </c>
      <c r="C123" s="72">
        <v>0.17</v>
      </c>
      <c r="D123" s="72">
        <v>0.21</v>
      </c>
      <c r="E123" s="72">
        <v>0.13</v>
      </c>
      <c r="F123" s="72">
        <v>0.49</v>
      </c>
      <c r="G123" s="73">
        <v>473.0</v>
      </c>
    </row>
    <row r="124">
      <c r="A124" s="70" t="s">
        <v>1543</v>
      </c>
      <c r="B124" s="71" t="s">
        <v>1404</v>
      </c>
      <c r="C124" s="72">
        <v>0.16</v>
      </c>
      <c r="D124" s="72">
        <v>0.18</v>
      </c>
      <c r="E124" s="72">
        <v>0.19</v>
      </c>
      <c r="F124" s="72">
        <v>0.46</v>
      </c>
      <c r="G124" s="73">
        <v>465.0</v>
      </c>
    </row>
    <row r="125">
      <c r="A125" s="74" t="s">
        <v>1544</v>
      </c>
      <c r="B125" s="75" t="s">
        <v>36</v>
      </c>
      <c r="C125" s="76">
        <v>0.3</v>
      </c>
      <c r="D125" s="76">
        <v>0.23</v>
      </c>
      <c r="E125" s="76">
        <v>0.15</v>
      </c>
      <c r="F125" s="76">
        <v>0.33</v>
      </c>
      <c r="G125" s="77">
        <v>593.0</v>
      </c>
    </row>
    <row r="126">
      <c r="A126" s="70" t="s">
        <v>1545</v>
      </c>
      <c r="B126" s="71" t="s">
        <v>1538</v>
      </c>
      <c r="C126" s="72">
        <v>0.44</v>
      </c>
      <c r="D126" s="72">
        <v>0.19</v>
      </c>
      <c r="E126" s="72">
        <v>0.12</v>
      </c>
      <c r="F126" s="72">
        <v>0.26</v>
      </c>
      <c r="G126" s="73">
        <v>944.0</v>
      </c>
    </row>
    <row r="127">
      <c r="A127" s="70" t="s">
        <v>1546</v>
      </c>
      <c r="B127" s="71" t="s">
        <v>791</v>
      </c>
      <c r="C127" s="72">
        <v>0.25</v>
      </c>
      <c r="D127" s="72">
        <v>0.36</v>
      </c>
      <c r="E127" s="72">
        <v>0.05</v>
      </c>
      <c r="F127" s="72">
        <v>0.35</v>
      </c>
      <c r="G127" s="73">
        <v>590.0</v>
      </c>
    </row>
    <row r="128">
      <c r="A128" s="70" t="s">
        <v>1547</v>
      </c>
      <c r="B128" s="71" t="s">
        <v>684</v>
      </c>
      <c r="C128" s="72">
        <v>0.11</v>
      </c>
      <c r="D128" s="72">
        <v>0.17</v>
      </c>
      <c r="E128" s="72">
        <v>0.19</v>
      </c>
      <c r="F128" s="72">
        <v>0.53</v>
      </c>
      <c r="G128" s="73">
        <v>297.0</v>
      </c>
    </row>
    <row r="129">
      <c r="A129" s="78" t="s">
        <v>1548</v>
      </c>
      <c r="B129" s="79" t="s">
        <v>106</v>
      </c>
      <c r="C129" s="80">
        <v>0.2</v>
      </c>
      <c r="D129" s="80">
        <v>0.22</v>
      </c>
      <c r="E129" s="80">
        <v>0.16</v>
      </c>
      <c r="F129" s="80">
        <v>0.42</v>
      </c>
      <c r="G129" s="81">
        <v>526.0</v>
      </c>
    </row>
    <row r="130">
      <c r="A130" s="70" t="s">
        <v>1549</v>
      </c>
      <c r="B130" s="71" t="s">
        <v>554</v>
      </c>
      <c r="C130" s="72">
        <v>0.06</v>
      </c>
      <c r="D130" s="72">
        <v>0.1</v>
      </c>
      <c r="E130" s="72">
        <v>0.07</v>
      </c>
      <c r="F130" s="72">
        <v>0.76</v>
      </c>
      <c r="G130" s="73">
        <v>193.0</v>
      </c>
    </row>
    <row r="131">
      <c r="A131" s="70" t="s">
        <v>1550</v>
      </c>
      <c r="B131" s="71" t="s">
        <v>1368</v>
      </c>
      <c r="C131" s="72">
        <v>0.4</v>
      </c>
      <c r="D131" s="72">
        <v>0.24</v>
      </c>
      <c r="E131" s="72">
        <v>0.16</v>
      </c>
      <c r="F131" s="72">
        <v>0.21</v>
      </c>
      <c r="G131" s="73">
        <v>765.0</v>
      </c>
    </row>
    <row r="132">
      <c r="A132" s="78" t="s">
        <v>1551</v>
      </c>
      <c r="B132" s="79" t="s">
        <v>554</v>
      </c>
      <c r="C132" s="80">
        <v>0.09</v>
      </c>
      <c r="D132" s="80">
        <v>0.12</v>
      </c>
      <c r="E132" s="80">
        <v>0.12</v>
      </c>
      <c r="F132" s="80">
        <v>0.68</v>
      </c>
      <c r="G132" s="81">
        <v>249.0</v>
      </c>
    </row>
    <row r="133">
      <c r="A133" s="74" t="s">
        <v>1552</v>
      </c>
      <c r="B133" s="75" t="s">
        <v>243</v>
      </c>
      <c r="C133" s="76">
        <v>0.21</v>
      </c>
      <c r="D133" s="76">
        <v>0.19</v>
      </c>
      <c r="E133" s="76">
        <v>0.21</v>
      </c>
      <c r="F133" s="76">
        <v>0.39</v>
      </c>
      <c r="G133" s="77">
        <v>439.0</v>
      </c>
    </row>
    <row r="134">
      <c r="A134" s="70" t="s">
        <v>1553</v>
      </c>
      <c r="B134" s="71" t="s">
        <v>36</v>
      </c>
      <c r="C134" s="72">
        <v>0.3</v>
      </c>
      <c r="D134" s="72">
        <v>0.4</v>
      </c>
      <c r="E134" s="72">
        <v>0.13</v>
      </c>
      <c r="F134" s="72">
        <v>0.18</v>
      </c>
      <c r="G134" s="73">
        <v>668.0</v>
      </c>
    </row>
    <row r="135">
      <c r="A135" s="70" t="s">
        <v>1554</v>
      </c>
      <c r="B135" s="71" t="s">
        <v>791</v>
      </c>
      <c r="C135" s="72">
        <v>0.22</v>
      </c>
      <c r="D135" s="72">
        <v>0.38</v>
      </c>
      <c r="E135" s="72">
        <v>0.06</v>
      </c>
      <c r="F135" s="72">
        <v>0.33</v>
      </c>
      <c r="G135" s="73">
        <v>571.0</v>
      </c>
    </row>
    <row r="136">
      <c r="A136" s="70" t="s">
        <v>1555</v>
      </c>
      <c r="B136" s="71" t="s">
        <v>106</v>
      </c>
      <c r="C136" s="72">
        <v>0.4</v>
      </c>
      <c r="D136" s="72">
        <v>0.28</v>
      </c>
      <c r="E136" s="72">
        <v>0.14</v>
      </c>
      <c r="F136" s="72">
        <v>0.18</v>
      </c>
      <c r="G136" s="73">
        <v>858.0</v>
      </c>
    </row>
    <row r="137">
      <c r="A137" s="74" t="s">
        <v>1556</v>
      </c>
      <c r="B137" s="75" t="s">
        <v>937</v>
      </c>
      <c r="C137" s="76">
        <v>0.17</v>
      </c>
      <c r="D137" s="76">
        <v>0.18</v>
      </c>
      <c r="E137" s="76">
        <v>0.13</v>
      </c>
      <c r="F137" s="76">
        <v>0.53</v>
      </c>
      <c r="G137" s="77">
        <v>435.0</v>
      </c>
    </row>
    <row r="138">
      <c r="A138" s="70" t="s">
        <v>1557</v>
      </c>
      <c r="B138" s="71" t="s">
        <v>1161</v>
      </c>
      <c r="C138" s="72">
        <v>0.17</v>
      </c>
      <c r="D138" s="72">
        <v>0.24</v>
      </c>
      <c r="E138" s="72">
        <v>0.13</v>
      </c>
      <c r="F138" s="72">
        <v>0.47</v>
      </c>
      <c r="G138" s="73">
        <v>446.0</v>
      </c>
    </row>
    <row r="139">
      <c r="A139" s="78" t="s">
        <v>1558</v>
      </c>
      <c r="B139" s="79" t="s">
        <v>1559</v>
      </c>
      <c r="C139" s="80">
        <v>0.38</v>
      </c>
      <c r="D139" s="80">
        <v>0.21</v>
      </c>
      <c r="E139" s="80">
        <v>0.28</v>
      </c>
      <c r="F139" s="80">
        <v>0.12</v>
      </c>
      <c r="G139" s="81">
        <v>771.0</v>
      </c>
    </row>
    <row r="140">
      <c r="A140" s="70" t="s">
        <v>1560</v>
      </c>
      <c r="B140" s="71" t="s">
        <v>106</v>
      </c>
      <c r="C140" s="72">
        <v>0.39</v>
      </c>
      <c r="D140" s="72">
        <v>0.24</v>
      </c>
      <c r="E140" s="72">
        <v>0.05</v>
      </c>
      <c r="F140" s="72">
        <v>0.32</v>
      </c>
      <c r="G140" s="73">
        <v>801.0</v>
      </c>
    </row>
    <row r="141">
      <c r="A141" s="70" t="s">
        <v>1561</v>
      </c>
      <c r="B141" s="71" t="s">
        <v>951</v>
      </c>
      <c r="C141" s="72">
        <v>0.49</v>
      </c>
      <c r="D141" s="72">
        <v>0.26</v>
      </c>
      <c r="E141" s="72">
        <v>0.13</v>
      </c>
      <c r="F141" s="72">
        <v>0.12</v>
      </c>
      <c r="G141" s="73">
        <v>910.0</v>
      </c>
    </row>
    <row r="142">
      <c r="A142" s="70" t="s">
        <v>1562</v>
      </c>
      <c r="B142" s="71" t="s">
        <v>1404</v>
      </c>
      <c r="C142" s="72">
        <v>0.15</v>
      </c>
      <c r="D142" s="72">
        <v>0.16</v>
      </c>
      <c r="E142" s="72">
        <v>0.15</v>
      </c>
      <c r="F142" s="72">
        <v>0.54</v>
      </c>
      <c r="G142" s="73">
        <v>423.0</v>
      </c>
    </row>
    <row r="143">
      <c r="A143" s="70" t="s">
        <v>1563</v>
      </c>
      <c r="B143" s="71" t="s">
        <v>36</v>
      </c>
      <c r="C143" s="72">
        <v>0.37</v>
      </c>
      <c r="D143" s="72">
        <v>0.3</v>
      </c>
      <c r="E143" s="72">
        <v>0.14</v>
      </c>
      <c r="F143" s="72">
        <v>0.19</v>
      </c>
      <c r="G143" s="73">
        <v>716.0</v>
      </c>
    </row>
    <row r="144">
      <c r="A144" s="78" t="s">
        <v>1564</v>
      </c>
      <c r="B144" s="79" t="s">
        <v>36</v>
      </c>
      <c r="C144" s="80">
        <v>0.28</v>
      </c>
      <c r="D144" s="80">
        <v>0.28</v>
      </c>
      <c r="E144" s="80">
        <v>0.19</v>
      </c>
      <c r="F144" s="80">
        <v>0.25</v>
      </c>
      <c r="G144" s="81">
        <v>610.0</v>
      </c>
    </row>
    <row r="145">
      <c r="A145" s="78" t="s">
        <v>1564</v>
      </c>
      <c r="B145" s="79" t="s">
        <v>36</v>
      </c>
      <c r="C145" s="80">
        <v>0.28</v>
      </c>
      <c r="D145" s="80">
        <v>0.28</v>
      </c>
      <c r="E145" s="80">
        <v>0.19</v>
      </c>
      <c r="F145" s="80">
        <v>0.25</v>
      </c>
      <c r="G145" s="81">
        <v>610.0</v>
      </c>
    </row>
    <row r="146">
      <c r="A146" s="74" t="s">
        <v>1565</v>
      </c>
      <c r="B146" s="75" t="s">
        <v>1566</v>
      </c>
      <c r="C146" s="76">
        <v>0.3</v>
      </c>
      <c r="D146" s="76">
        <v>0.32</v>
      </c>
      <c r="E146" s="76">
        <v>0.16</v>
      </c>
      <c r="F146" s="76">
        <v>0.22</v>
      </c>
      <c r="G146" s="77">
        <v>678.0</v>
      </c>
    </row>
    <row r="147">
      <c r="A147" s="70" t="s">
        <v>1567</v>
      </c>
      <c r="B147" s="82" t="s">
        <v>1568</v>
      </c>
      <c r="C147" s="72">
        <v>0.06</v>
      </c>
      <c r="D147" s="72">
        <v>0.51</v>
      </c>
      <c r="E147" s="72">
        <v>0.24</v>
      </c>
      <c r="F147" s="72">
        <v>0.19</v>
      </c>
      <c r="G147" s="73">
        <v>431.0</v>
      </c>
    </row>
    <row r="148">
      <c r="A148" s="70" t="s">
        <v>1569</v>
      </c>
      <c r="B148" s="71" t="s">
        <v>1570</v>
      </c>
      <c r="C148" s="72">
        <v>0.21</v>
      </c>
      <c r="D148" s="72">
        <v>0.31</v>
      </c>
      <c r="E148" s="72">
        <v>0.18</v>
      </c>
      <c r="F148" s="72">
        <v>0.31</v>
      </c>
      <c r="G148" s="73">
        <v>504.0</v>
      </c>
    </row>
    <row r="149">
      <c r="A149" s="70" t="s">
        <v>1571</v>
      </c>
      <c r="B149" s="71" t="s">
        <v>36</v>
      </c>
      <c r="C149" s="72">
        <v>0.48</v>
      </c>
      <c r="D149" s="72">
        <v>0.31</v>
      </c>
      <c r="E149" s="72">
        <v>0.12</v>
      </c>
      <c r="F149" s="72">
        <v>0.1</v>
      </c>
      <c r="G149" s="73">
        <v>852.0</v>
      </c>
    </row>
    <row r="150">
      <c r="A150" s="74" t="s">
        <v>1572</v>
      </c>
      <c r="B150" s="75" t="s">
        <v>554</v>
      </c>
      <c r="C150" s="76">
        <v>0.17</v>
      </c>
      <c r="D150" s="76">
        <v>0.23</v>
      </c>
      <c r="E150" s="76">
        <v>0.06</v>
      </c>
      <c r="F150" s="76">
        <v>0.55</v>
      </c>
      <c r="G150" s="77">
        <v>421.0</v>
      </c>
    </row>
    <row r="151">
      <c r="A151" s="70" t="s">
        <v>1573</v>
      </c>
      <c r="B151" s="71" t="s">
        <v>554</v>
      </c>
      <c r="C151" s="72">
        <v>0.13</v>
      </c>
      <c r="D151" s="72">
        <v>0.39</v>
      </c>
      <c r="E151" s="72">
        <v>0.07</v>
      </c>
      <c r="F151" s="72">
        <v>0.4</v>
      </c>
      <c r="G151" s="73">
        <v>468.0</v>
      </c>
    </row>
    <row r="152">
      <c r="A152" s="70" t="s">
        <v>1574</v>
      </c>
      <c r="B152" s="71" t="s">
        <v>1575</v>
      </c>
      <c r="C152" s="72">
        <v>0.04</v>
      </c>
      <c r="D152" s="72">
        <v>0.2</v>
      </c>
      <c r="E152" s="72">
        <v>0.11</v>
      </c>
      <c r="F152" s="72">
        <v>0.65</v>
      </c>
      <c r="G152" s="73">
        <v>232.0</v>
      </c>
    </row>
    <row r="153">
      <c r="A153" s="74" t="s">
        <v>1576</v>
      </c>
      <c r="B153" s="75" t="s">
        <v>74</v>
      </c>
      <c r="C153" s="76">
        <v>0.31</v>
      </c>
      <c r="D153" s="76">
        <v>0.23</v>
      </c>
      <c r="E153" s="76">
        <v>0.1</v>
      </c>
      <c r="F153" s="76">
        <v>0.36</v>
      </c>
      <c r="G153" s="77">
        <v>591.0</v>
      </c>
    </row>
    <row r="154">
      <c r="A154" s="74" t="s">
        <v>1577</v>
      </c>
      <c r="B154" s="75" t="s">
        <v>554</v>
      </c>
      <c r="C154" s="76">
        <v>0.06</v>
      </c>
      <c r="D154" s="76">
        <v>0.26</v>
      </c>
      <c r="E154" s="76">
        <v>0.17</v>
      </c>
      <c r="F154" s="76">
        <v>0.51</v>
      </c>
      <c r="G154" s="77">
        <v>307.0</v>
      </c>
    </row>
    <row r="155">
      <c r="A155" s="70" t="s">
        <v>1578</v>
      </c>
      <c r="B155" s="71" t="s">
        <v>1579</v>
      </c>
      <c r="C155" s="72">
        <v>0.28</v>
      </c>
      <c r="D155" s="72">
        <v>0.24</v>
      </c>
      <c r="E155" s="72">
        <v>0.17</v>
      </c>
      <c r="F155" s="72">
        <v>0.31</v>
      </c>
      <c r="G155" s="73">
        <v>617.0</v>
      </c>
    </row>
    <row r="156">
      <c r="A156" s="70" t="s">
        <v>1580</v>
      </c>
      <c r="B156" s="71" t="s">
        <v>1581</v>
      </c>
      <c r="C156" s="72">
        <v>0.13</v>
      </c>
      <c r="D156" s="72">
        <v>0.23</v>
      </c>
      <c r="E156" s="72">
        <v>0.19</v>
      </c>
      <c r="F156" s="72">
        <v>0.46</v>
      </c>
      <c r="G156" s="73">
        <v>341.0</v>
      </c>
    </row>
    <row r="157">
      <c r="A157" s="74" t="s">
        <v>1582</v>
      </c>
      <c r="B157" s="75" t="s">
        <v>1459</v>
      </c>
      <c r="C157" s="76">
        <v>0.07</v>
      </c>
      <c r="D157" s="76">
        <v>0.18</v>
      </c>
      <c r="E157" s="76">
        <v>0.52</v>
      </c>
      <c r="F157" s="76">
        <v>0.24</v>
      </c>
      <c r="G157" s="77">
        <v>380.0</v>
      </c>
    </row>
    <row r="158">
      <c r="A158" s="78" t="s">
        <v>1583</v>
      </c>
      <c r="B158" s="79" t="s">
        <v>243</v>
      </c>
      <c r="C158" s="80">
        <v>0.37</v>
      </c>
      <c r="D158" s="80">
        <v>0.27</v>
      </c>
      <c r="E158" s="80">
        <v>0.21</v>
      </c>
      <c r="F158" s="80">
        <v>0.16</v>
      </c>
      <c r="G158" s="81">
        <v>668.0</v>
      </c>
    </row>
    <row r="159">
      <c r="A159" s="70" t="s">
        <v>1584</v>
      </c>
      <c r="B159" s="71" t="s">
        <v>1585</v>
      </c>
      <c r="C159" s="72">
        <v>0.23</v>
      </c>
      <c r="D159" s="72">
        <v>0.3</v>
      </c>
      <c r="E159" s="72">
        <v>0.13</v>
      </c>
      <c r="F159" s="72">
        <v>0.34</v>
      </c>
      <c r="G159" s="73">
        <v>564.0</v>
      </c>
    </row>
    <row r="160">
      <c r="A160" s="70" t="s">
        <v>1586</v>
      </c>
      <c r="B160" s="71" t="s">
        <v>740</v>
      </c>
      <c r="C160" s="72">
        <v>0.14</v>
      </c>
      <c r="D160" s="72">
        <v>0.27</v>
      </c>
      <c r="E160" s="72">
        <v>0.18</v>
      </c>
      <c r="F160" s="72">
        <v>0.41</v>
      </c>
      <c r="G160" s="73">
        <v>434.0</v>
      </c>
    </row>
    <row r="161">
      <c r="A161" s="74" t="s">
        <v>1587</v>
      </c>
      <c r="B161" s="75" t="s">
        <v>74</v>
      </c>
      <c r="C161" s="76">
        <v>0.32</v>
      </c>
      <c r="D161" s="76">
        <v>0.29</v>
      </c>
      <c r="E161" s="76">
        <v>0.15</v>
      </c>
      <c r="F161" s="76">
        <v>0.25</v>
      </c>
      <c r="G161" s="77">
        <v>639.0</v>
      </c>
    </row>
    <row r="162">
      <c r="A162" s="70" t="s">
        <v>1588</v>
      </c>
      <c r="B162" s="71" t="s">
        <v>1589</v>
      </c>
      <c r="C162" s="72">
        <v>0.44</v>
      </c>
      <c r="D162" s="72">
        <v>0.13</v>
      </c>
      <c r="E162" s="72">
        <v>0.13</v>
      </c>
      <c r="F162" s="72">
        <v>0.3</v>
      </c>
      <c r="G162" s="73">
        <v>716.0</v>
      </c>
    </row>
    <row r="163">
      <c r="A163" s="78" t="s">
        <v>1590</v>
      </c>
      <c r="B163" s="79" t="s">
        <v>889</v>
      </c>
      <c r="C163" s="80">
        <v>0.08</v>
      </c>
      <c r="D163" s="80">
        <v>0.17</v>
      </c>
      <c r="E163" s="80">
        <v>0.12</v>
      </c>
      <c r="F163" s="80">
        <v>0.62</v>
      </c>
      <c r="G163" s="81">
        <v>257.0</v>
      </c>
    </row>
    <row r="164">
      <c r="A164" s="70" t="s">
        <v>1591</v>
      </c>
      <c r="B164" s="71" t="s">
        <v>36</v>
      </c>
      <c r="C164" s="72">
        <v>0.41</v>
      </c>
      <c r="D164" s="72">
        <v>0.32</v>
      </c>
      <c r="E164" s="72">
        <v>0.17</v>
      </c>
      <c r="F164" s="72">
        <v>0.1</v>
      </c>
      <c r="G164" s="73">
        <v>780.0</v>
      </c>
    </row>
    <row r="165">
      <c r="A165" s="74" t="s">
        <v>1592</v>
      </c>
      <c r="B165" s="75" t="s">
        <v>36</v>
      </c>
      <c r="C165" s="76">
        <v>0.43</v>
      </c>
      <c r="D165" s="76">
        <v>0.26</v>
      </c>
      <c r="E165" s="76">
        <v>0.11</v>
      </c>
      <c r="F165" s="76">
        <v>0.19</v>
      </c>
      <c r="G165" s="77">
        <v>776.0</v>
      </c>
    </row>
    <row r="166">
      <c r="A166" s="78" t="s">
        <v>1593</v>
      </c>
      <c r="B166" s="79" t="s">
        <v>406</v>
      </c>
      <c r="C166" s="80">
        <v>0.1</v>
      </c>
      <c r="D166" s="80">
        <v>0.13</v>
      </c>
      <c r="E166" s="80">
        <v>0.11</v>
      </c>
      <c r="F166" s="80">
        <v>0.66</v>
      </c>
      <c r="G166" s="81">
        <v>305.0</v>
      </c>
    </row>
    <row r="167">
      <c r="A167" s="70" t="s">
        <v>1594</v>
      </c>
      <c r="B167" s="71" t="s">
        <v>243</v>
      </c>
      <c r="C167" s="72">
        <v>0.34</v>
      </c>
      <c r="D167" s="72">
        <v>0.2</v>
      </c>
      <c r="E167" s="72">
        <v>0.19</v>
      </c>
      <c r="F167" s="72">
        <v>0.27</v>
      </c>
      <c r="G167" s="73">
        <v>606.0</v>
      </c>
    </row>
    <row r="168">
      <c r="A168" s="70" t="s">
        <v>1595</v>
      </c>
      <c r="B168" s="71" t="s">
        <v>1368</v>
      </c>
      <c r="C168" s="72">
        <v>0.36</v>
      </c>
      <c r="D168" s="72">
        <v>0.27</v>
      </c>
      <c r="E168" s="72">
        <v>0.15</v>
      </c>
      <c r="F168" s="72">
        <v>0.23</v>
      </c>
      <c r="G168" s="73">
        <v>727.0</v>
      </c>
    </row>
    <row r="169">
      <c r="A169" s="70" t="s">
        <v>1596</v>
      </c>
      <c r="B169" s="71" t="s">
        <v>1597</v>
      </c>
      <c r="C169" s="72">
        <v>0.31</v>
      </c>
      <c r="D169" s="72">
        <v>0.21</v>
      </c>
      <c r="E169" s="72">
        <v>0.19</v>
      </c>
      <c r="F169" s="72">
        <v>0.3</v>
      </c>
      <c r="G169" s="73">
        <v>720.0</v>
      </c>
    </row>
    <row r="170">
      <c r="A170" s="70" t="s">
        <v>1598</v>
      </c>
      <c r="B170" s="71" t="s">
        <v>684</v>
      </c>
      <c r="C170" s="72">
        <v>0.31</v>
      </c>
      <c r="D170" s="72">
        <v>0.28</v>
      </c>
      <c r="E170" s="72">
        <v>0.14</v>
      </c>
      <c r="F170" s="72">
        <v>0.27</v>
      </c>
      <c r="G170" s="73">
        <v>583.0</v>
      </c>
    </row>
    <row r="171">
      <c r="A171" s="78" t="s">
        <v>1486</v>
      </c>
      <c r="B171" s="79" t="s">
        <v>1098</v>
      </c>
      <c r="C171" s="80">
        <v>0.21</v>
      </c>
      <c r="D171" s="80">
        <v>0.22</v>
      </c>
      <c r="E171" s="80">
        <v>0.16</v>
      </c>
      <c r="F171" s="80">
        <v>0.41</v>
      </c>
      <c r="G171" s="81">
        <v>558.0</v>
      </c>
    </row>
    <row r="172">
      <c r="A172" s="70" t="s">
        <v>1599</v>
      </c>
      <c r="B172" s="71" t="s">
        <v>36</v>
      </c>
      <c r="C172" s="72">
        <v>0.43</v>
      </c>
      <c r="D172" s="72">
        <v>0.21</v>
      </c>
      <c r="E172" s="72">
        <v>0.13</v>
      </c>
      <c r="F172" s="72">
        <v>0.24</v>
      </c>
      <c r="G172" s="73">
        <v>743.0</v>
      </c>
    </row>
    <row r="173">
      <c r="A173" s="74" t="s">
        <v>1600</v>
      </c>
      <c r="B173" s="75" t="s">
        <v>20</v>
      </c>
      <c r="C173" s="76">
        <v>0.22</v>
      </c>
      <c r="D173" s="76">
        <v>0.19</v>
      </c>
      <c r="E173" s="76">
        <v>0.15</v>
      </c>
      <c r="F173" s="76">
        <v>0.43</v>
      </c>
      <c r="G173" s="77">
        <v>429.0</v>
      </c>
    </row>
    <row r="174">
      <c r="A174" s="70" t="s">
        <v>1601</v>
      </c>
      <c r="B174" s="71" t="s">
        <v>554</v>
      </c>
      <c r="C174" s="72">
        <v>0.09</v>
      </c>
      <c r="D174" s="72">
        <v>0.23</v>
      </c>
      <c r="E174" s="72">
        <v>0.11</v>
      </c>
      <c r="F174" s="72">
        <v>0.58</v>
      </c>
      <c r="G174" s="73">
        <v>319.0</v>
      </c>
    </row>
    <row r="175">
      <c r="A175" s="70" t="s">
        <v>1602</v>
      </c>
      <c r="B175" s="71" t="s">
        <v>36</v>
      </c>
      <c r="C175" s="72">
        <v>0.38</v>
      </c>
      <c r="D175" s="72">
        <v>0.39</v>
      </c>
      <c r="E175" s="72">
        <v>0.12</v>
      </c>
      <c r="F175" s="72">
        <v>0.12</v>
      </c>
      <c r="G175" s="73">
        <v>765.0</v>
      </c>
    </row>
    <row r="176">
      <c r="A176" s="74" t="s">
        <v>1603</v>
      </c>
      <c r="B176" s="75" t="s">
        <v>27</v>
      </c>
      <c r="C176" s="76">
        <v>0.34</v>
      </c>
      <c r="D176" s="76">
        <v>0.31</v>
      </c>
      <c r="E176" s="76">
        <v>0.12</v>
      </c>
      <c r="F176" s="76">
        <v>0.22</v>
      </c>
      <c r="G176" s="77">
        <v>670.0</v>
      </c>
    </row>
    <row r="177">
      <c r="A177" s="74" t="s">
        <v>1604</v>
      </c>
      <c r="B177" s="75" t="s">
        <v>36</v>
      </c>
      <c r="C177" s="76">
        <v>0.42</v>
      </c>
      <c r="D177" s="76">
        <v>0.28</v>
      </c>
      <c r="E177" s="76">
        <v>0.15</v>
      </c>
      <c r="F177" s="76">
        <v>0.16</v>
      </c>
      <c r="G177" s="77">
        <v>768.0</v>
      </c>
    </row>
    <row r="178">
      <c r="A178" s="70" t="s">
        <v>1605</v>
      </c>
      <c r="B178" s="71" t="s">
        <v>36</v>
      </c>
      <c r="C178" s="72">
        <v>0.3</v>
      </c>
      <c r="D178" s="72">
        <v>0.22</v>
      </c>
      <c r="E178" s="72">
        <v>0.15</v>
      </c>
      <c r="F178" s="72">
        <v>0.33</v>
      </c>
      <c r="G178" s="73">
        <v>594.0</v>
      </c>
    </row>
    <row r="179">
      <c r="A179" s="78" t="s">
        <v>1606</v>
      </c>
      <c r="B179" s="79" t="s">
        <v>1348</v>
      </c>
      <c r="C179" s="80">
        <v>0.26</v>
      </c>
      <c r="D179" s="80">
        <v>0.16</v>
      </c>
      <c r="E179" s="80">
        <v>0.1</v>
      </c>
      <c r="F179" s="80">
        <v>0.48</v>
      </c>
      <c r="G179" s="81">
        <v>549.0</v>
      </c>
    </row>
    <row r="180">
      <c r="A180" s="70" t="s">
        <v>1607</v>
      </c>
      <c r="B180" s="71" t="s">
        <v>627</v>
      </c>
      <c r="C180" s="72">
        <v>0.17</v>
      </c>
      <c r="D180" s="72">
        <v>0.26</v>
      </c>
      <c r="E180" s="72">
        <v>0.21</v>
      </c>
      <c r="F180" s="72">
        <v>0.36</v>
      </c>
      <c r="G180" s="73">
        <v>509.0</v>
      </c>
    </row>
    <row r="181">
      <c r="A181" s="70" t="s">
        <v>1608</v>
      </c>
      <c r="B181" s="71" t="s">
        <v>627</v>
      </c>
      <c r="C181" s="72">
        <v>0.12</v>
      </c>
      <c r="D181" s="72">
        <v>0.25</v>
      </c>
      <c r="E181" s="72">
        <v>0.25</v>
      </c>
      <c r="F181" s="72">
        <v>0.38</v>
      </c>
      <c r="G181" s="73">
        <v>435.0</v>
      </c>
    </row>
    <row r="182">
      <c r="A182" s="78" t="s">
        <v>1609</v>
      </c>
      <c r="B182" s="79" t="s">
        <v>554</v>
      </c>
      <c r="C182" s="80">
        <v>0.03</v>
      </c>
      <c r="D182" s="80">
        <v>0.2</v>
      </c>
      <c r="E182" s="80">
        <v>0.1</v>
      </c>
      <c r="F182" s="80">
        <v>0.66</v>
      </c>
      <c r="G182" s="81">
        <v>215.0</v>
      </c>
    </row>
    <row r="183">
      <c r="A183" s="70" t="s">
        <v>1610</v>
      </c>
      <c r="B183" s="71" t="s">
        <v>1487</v>
      </c>
      <c r="C183" s="72">
        <v>0.15</v>
      </c>
      <c r="D183" s="72">
        <v>0.16</v>
      </c>
      <c r="E183" s="72">
        <v>0.13</v>
      </c>
      <c r="F183" s="72">
        <v>0.55</v>
      </c>
      <c r="G183" s="73">
        <v>349.0</v>
      </c>
    </row>
    <row r="184">
      <c r="A184" s="70" t="s">
        <v>1611</v>
      </c>
      <c r="B184" s="71" t="s">
        <v>243</v>
      </c>
      <c r="C184" s="72">
        <v>0.23</v>
      </c>
      <c r="D184" s="72">
        <v>0.3</v>
      </c>
      <c r="E184" s="72">
        <v>0.16</v>
      </c>
      <c r="F184" s="72">
        <v>0.3</v>
      </c>
      <c r="G184" s="73">
        <v>515.0</v>
      </c>
    </row>
    <row r="185">
      <c r="A185" s="70" t="s">
        <v>1612</v>
      </c>
      <c r="B185" s="82" t="s">
        <v>1613</v>
      </c>
      <c r="C185" s="72">
        <v>0.22</v>
      </c>
      <c r="D185" s="72">
        <v>0.14</v>
      </c>
      <c r="E185" s="72">
        <v>0.1</v>
      </c>
      <c r="F185" s="72">
        <v>0.54</v>
      </c>
      <c r="G185" s="73">
        <v>468.0</v>
      </c>
    </row>
    <row r="186">
      <c r="A186" s="63"/>
      <c r="B186" s="63"/>
      <c r="C186" s="63"/>
      <c r="D186" s="63"/>
      <c r="E186" s="63"/>
      <c r="F186" s="63"/>
      <c r="G186" s="63"/>
    </row>
    <row r="187">
      <c r="A187" s="63"/>
      <c r="B187" s="63"/>
      <c r="C187" s="63"/>
      <c r="D187" s="63"/>
      <c r="E187" s="63"/>
      <c r="F187" s="63"/>
      <c r="G187" s="63"/>
    </row>
    <row r="188">
      <c r="A188" s="63"/>
      <c r="B188" s="63"/>
      <c r="C188" s="63"/>
      <c r="D188" s="63"/>
      <c r="E188" s="63"/>
      <c r="F188" s="63"/>
      <c r="G188" s="63"/>
    </row>
    <row r="189">
      <c r="A189" s="84"/>
      <c r="B189" s="63"/>
      <c r="C189" s="63"/>
      <c r="D189" s="63"/>
      <c r="E189" s="63"/>
      <c r="F189" s="63"/>
      <c r="G189" s="63"/>
    </row>
    <row r="190">
      <c r="A190" s="63"/>
      <c r="B190" s="63"/>
      <c r="C190" s="63"/>
      <c r="D190" s="63"/>
      <c r="E190" s="63"/>
      <c r="F190" s="63"/>
      <c r="G190" s="63"/>
    </row>
    <row r="191">
      <c r="A191" s="63"/>
      <c r="B191" s="63"/>
      <c r="C191" s="63"/>
      <c r="D191" s="63"/>
      <c r="E191" s="63"/>
      <c r="F191" s="63"/>
      <c r="G191" s="63"/>
    </row>
    <row r="192">
      <c r="A192" s="63"/>
      <c r="B192" s="63"/>
      <c r="C192" s="63"/>
      <c r="D192" s="63"/>
      <c r="E192" s="63"/>
      <c r="F192" s="63"/>
      <c r="G192" s="63"/>
    </row>
    <row r="193">
      <c r="A193" s="63"/>
      <c r="B193" s="63"/>
      <c r="C193" s="63"/>
      <c r="D193" s="63"/>
      <c r="E193" s="63"/>
      <c r="F193" s="63"/>
      <c r="G193" s="63"/>
    </row>
    <row r="194">
      <c r="A194" s="63"/>
      <c r="B194" s="63"/>
      <c r="C194" s="63"/>
      <c r="D194" s="63"/>
      <c r="E194" s="63"/>
      <c r="F194" s="63"/>
      <c r="G194" s="63"/>
    </row>
    <row r="195">
      <c r="A195" s="63"/>
      <c r="B195" s="63"/>
      <c r="C195" s="63"/>
      <c r="D195" s="63"/>
      <c r="E195" s="63"/>
      <c r="F195" s="63"/>
      <c r="G195" s="63"/>
    </row>
    <row r="196">
      <c r="A196" s="63"/>
      <c r="B196" s="63"/>
      <c r="C196" s="63"/>
      <c r="D196" s="63"/>
      <c r="E196" s="63"/>
      <c r="F196" s="63"/>
      <c r="G196" s="63"/>
    </row>
  </sheetData>
  <mergeCells count="5">
    <mergeCell ref="A1:B1"/>
    <mergeCell ref="A2:D2"/>
    <mergeCell ref="F2:G2"/>
    <mergeCell ref="A84:B84"/>
    <mergeCell ref="A85:E85"/>
  </mergeCells>
  <hyperlinks>
    <hyperlink r:id="rId1" ref="G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33"/>
    <col customWidth="1" min="2" max="2" width="45.11"/>
    <col customWidth="1" min="3" max="3" width="13.33"/>
    <col customWidth="1" min="4" max="4" width="17.44"/>
    <col customWidth="1" min="5" max="5" width="12.56"/>
    <col customWidth="1" min="6" max="6" width="17.56"/>
  </cols>
  <sheetData>
    <row r="1">
      <c r="A1" s="1" t="s">
        <v>3</v>
      </c>
      <c r="B1" s="1" t="s">
        <v>4</v>
      </c>
      <c r="C1" s="1" t="s">
        <v>5</v>
      </c>
      <c r="D1" s="30" t="s">
        <v>1614</v>
      </c>
      <c r="E1" s="30" t="s">
        <v>1615</v>
      </c>
      <c r="F1" s="30" t="s">
        <v>1616</v>
      </c>
      <c r="G1" s="30" t="s">
        <v>1617</v>
      </c>
    </row>
    <row r="2">
      <c r="A2" s="85" t="s">
        <v>1618</v>
      </c>
      <c r="B2" s="25" t="s">
        <v>46</v>
      </c>
      <c r="C2" s="6" t="s">
        <v>47</v>
      </c>
      <c r="D2" s="86">
        <v>0.48</v>
      </c>
      <c r="E2" s="86">
        <v>0.32</v>
      </c>
      <c r="F2" s="86">
        <v>0.2</v>
      </c>
      <c r="G2" s="87" t="s">
        <v>1619</v>
      </c>
    </row>
    <row r="3">
      <c r="A3" s="85" t="s">
        <v>1415</v>
      </c>
      <c r="B3" s="6" t="s">
        <v>82</v>
      </c>
      <c r="C3" s="6" t="s">
        <v>47</v>
      </c>
      <c r="D3" s="86">
        <v>0.69</v>
      </c>
      <c r="E3" s="86">
        <v>0.19</v>
      </c>
      <c r="F3" s="86">
        <v>0.12</v>
      </c>
      <c r="G3" s="87" t="s">
        <v>1620</v>
      </c>
    </row>
    <row r="4">
      <c r="A4" s="7" t="s">
        <v>1435</v>
      </c>
      <c r="B4" s="25" t="s">
        <v>118</v>
      </c>
      <c r="C4" s="6" t="s">
        <v>47</v>
      </c>
    </row>
    <row r="5">
      <c r="A5" s="7" t="s">
        <v>1435</v>
      </c>
      <c r="B5" s="25" t="s">
        <v>121</v>
      </c>
      <c r="C5" s="6" t="s">
        <v>47</v>
      </c>
    </row>
    <row r="6">
      <c r="A6" s="7" t="s">
        <v>1435</v>
      </c>
      <c r="B6" s="25" t="s">
        <v>124</v>
      </c>
      <c r="C6" s="6" t="s">
        <v>47</v>
      </c>
    </row>
    <row r="7">
      <c r="A7" s="7" t="s">
        <v>1435</v>
      </c>
      <c r="B7" s="25" t="s">
        <v>126</v>
      </c>
      <c r="C7" s="6" t="s">
        <v>47</v>
      </c>
    </row>
    <row r="8">
      <c r="A8" s="7" t="s">
        <v>1435</v>
      </c>
      <c r="B8" s="25" t="s">
        <v>129</v>
      </c>
      <c r="C8" s="6" t="s">
        <v>47</v>
      </c>
    </row>
    <row r="9">
      <c r="A9" s="7" t="s">
        <v>1435</v>
      </c>
      <c r="B9" s="25" t="s">
        <v>131</v>
      </c>
      <c r="C9" s="6" t="s">
        <v>47</v>
      </c>
    </row>
    <row r="10">
      <c r="A10" s="7" t="s">
        <v>1435</v>
      </c>
      <c r="B10" s="25" t="s">
        <v>132</v>
      </c>
      <c r="C10" s="6" t="s">
        <v>47</v>
      </c>
    </row>
    <row r="11">
      <c r="A11" s="7" t="s">
        <v>1435</v>
      </c>
      <c r="B11" s="25" t="s">
        <v>134</v>
      </c>
      <c r="C11" s="6" t="s">
        <v>47</v>
      </c>
    </row>
    <row r="12">
      <c r="A12" s="7" t="s">
        <v>1435</v>
      </c>
      <c r="B12" s="25" t="s">
        <v>136</v>
      </c>
      <c r="C12" s="6" t="s">
        <v>47</v>
      </c>
    </row>
    <row r="13">
      <c r="A13" s="7" t="s">
        <v>1435</v>
      </c>
      <c r="B13" s="25" t="s">
        <v>139</v>
      </c>
      <c r="C13" s="6" t="s">
        <v>47</v>
      </c>
    </row>
    <row r="14">
      <c r="A14" s="7" t="s">
        <v>1435</v>
      </c>
      <c r="B14" s="25" t="s">
        <v>142</v>
      </c>
      <c r="C14" s="6" t="s">
        <v>47</v>
      </c>
    </row>
    <row r="15">
      <c r="A15" s="7" t="s">
        <v>1435</v>
      </c>
      <c r="B15" s="25" t="s">
        <v>144</v>
      </c>
      <c r="C15" s="6" t="s">
        <v>47</v>
      </c>
    </row>
    <row r="16">
      <c r="A16" s="7" t="s">
        <v>1435</v>
      </c>
      <c r="B16" s="25" t="s">
        <v>146</v>
      </c>
      <c r="C16" s="6" t="s">
        <v>47</v>
      </c>
    </row>
    <row r="17">
      <c r="A17" s="7" t="s">
        <v>1435</v>
      </c>
      <c r="B17" s="25" t="s">
        <v>148</v>
      </c>
      <c r="C17" s="6" t="s">
        <v>47</v>
      </c>
    </row>
    <row r="18">
      <c r="A18" s="7" t="s">
        <v>1621</v>
      </c>
      <c r="B18" s="25" t="s">
        <v>170</v>
      </c>
      <c r="C18" s="25" t="s">
        <v>47</v>
      </c>
    </row>
    <row r="19">
      <c r="A19" s="7" t="s">
        <v>1621</v>
      </c>
      <c r="B19" s="25" t="s">
        <v>173</v>
      </c>
      <c r="C19" s="25" t="s">
        <v>47</v>
      </c>
    </row>
    <row r="20">
      <c r="A20" s="7" t="s">
        <v>1621</v>
      </c>
      <c r="B20" s="25" t="s">
        <v>175</v>
      </c>
      <c r="C20" s="25" t="s">
        <v>47</v>
      </c>
    </row>
    <row r="21">
      <c r="A21" s="7" t="s">
        <v>1621</v>
      </c>
      <c r="B21" s="25" t="s">
        <v>177</v>
      </c>
      <c r="C21" s="25" t="s">
        <v>47</v>
      </c>
    </row>
    <row r="22">
      <c r="A22" s="7" t="s">
        <v>1621</v>
      </c>
      <c r="B22" s="25" t="s">
        <v>180</v>
      </c>
      <c r="C22" s="25" t="s">
        <v>47</v>
      </c>
    </row>
    <row r="23">
      <c r="A23" s="7" t="s">
        <v>1621</v>
      </c>
      <c r="B23" s="25" t="s">
        <v>182</v>
      </c>
      <c r="C23" s="25" t="s">
        <v>47</v>
      </c>
    </row>
    <row r="24">
      <c r="A24" s="7" t="s">
        <v>1621</v>
      </c>
      <c r="B24" s="25" t="s">
        <v>185</v>
      </c>
      <c r="C24" s="25" t="s">
        <v>47</v>
      </c>
    </row>
    <row r="25">
      <c r="A25" s="7" t="s">
        <v>1621</v>
      </c>
      <c r="B25" s="25" t="s">
        <v>187</v>
      </c>
      <c r="C25" s="25" t="s">
        <v>47</v>
      </c>
    </row>
    <row r="26">
      <c r="A26" s="7" t="s">
        <v>1621</v>
      </c>
      <c r="B26" s="25" t="s">
        <v>189</v>
      </c>
      <c r="C26" s="25" t="s">
        <v>47</v>
      </c>
    </row>
    <row r="27">
      <c r="A27" s="7" t="s">
        <v>1621</v>
      </c>
      <c r="B27" s="25" t="s">
        <v>191</v>
      </c>
      <c r="C27" s="25" t="s">
        <v>47</v>
      </c>
    </row>
    <row r="28">
      <c r="A28" s="7" t="s">
        <v>1621</v>
      </c>
      <c r="B28" s="25" t="s">
        <v>193</v>
      </c>
      <c r="C28" s="25" t="s">
        <v>47</v>
      </c>
    </row>
    <row r="29">
      <c r="A29" s="7" t="s">
        <v>1621</v>
      </c>
      <c r="B29" s="25" t="s">
        <v>195</v>
      </c>
      <c r="C29" s="25" t="s">
        <v>47</v>
      </c>
    </row>
    <row r="30">
      <c r="A30" s="7" t="s">
        <v>1621</v>
      </c>
      <c r="B30" s="25" t="s">
        <v>197</v>
      </c>
      <c r="C30" s="25" t="s">
        <v>47</v>
      </c>
    </row>
    <row r="31">
      <c r="A31" s="7" t="s">
        <v>1621</v>
      </c>
      <c r="B31" s="25" t="s">
        <v>199</v>
      </c>
      <c r="C31" s="25" t="s">
        <v>47</v>
      </c>
    </row>
    <row r="32">
      <c r="A32" s="7" t="s">
        <v>1621</v>
      </c>
      <c r="B32" s="25" t="s">
        <v>202</v>
      </c>
      <c r="C32" s="25" t="s">
        <v>47</v>
      </c>
    </row>
    <row r="33">
      <c r="A33" s="7" t="s">
        <v>1621</v>
      </c>
      <c r="B33" s="25" t="s">
        <v>204</v>
      </c>
      <c r="C33" s="25" t="s">
        <v>47</v>
      </c>
    </row>
    <row r="34">
      <c r="A34" s="7" t="s">
        <v>1621</v>
      </c>
      <c r="B34" s="25" t="s">
        <v>207</v>
      </c>
      <c r="C34" s="25" t="s">
        <v>47</v>
      </c>
    </row>
    <row r="35">
      <c r="A35" s="7" t="s">
        <v>1621</v>
      </c>
      <c r="B35" s="25" t="s">
        <v>210</v>
      </c>
      <c r="C35" s="25" t="s">
        <v>47</v>
      </c>
    </row>
    <row r="36">
      <c r="A36" s="7" t="s">
        <v>1621</v>
      </c>
      <c r="B36" s="25" t="s">
        <v>213</v>
      </c>
      <c r="C36" s="25" t="s">
        <v>47</v>
      </c>
    </row>
    <row r="37">
      <c r="A37" s="7" t="s">
        <v>1621</v>
      </c>
      <c r="B37" s="25" t="s">
        <v>215</v>
      </c>
      <c r="C37" s="25" t="s">
        <v>47</v>
      </c>
    </row>
    <row r="38">
      <c r="A38" s="7" t="s">
        <v>1621</v>
      </c>
      <c r="B38" s="25" t="s">
        <v>217</v>
      </c>
      <c r="C38" s="25" t="s">
        <v>47</v>
      </c>
    </row>
    <row r="39">
      <c r="A39" s="7" t="s">
        <v>1621</v>
      </c>
      <c r="B39" s="25" t="s">
        <v>219</v>
      </c>
      <c r="C39" s="25" t="s">
        <v>47</v>
      </c>
    </row>
    <row r="40">
      <c r="A40" s="7" t="s">
        <v>1621</v>
      </c>
      <c r="B40" s="25" t="s">
        <v>221</v>
      </c>
      <c r="C40" s="25" t="s">
        <v>47</v>
      </c>
    </row>
    <row r="41">
      <c r="A41" s="7" t="s">
        <v>1621</v>
      </c>
      <c r="B41" s="25" t="s">
        <v>223</v>
      </c>
      <c r="C41" s="25" t="s">
        <v>47</v>
      </c>
    </row>
    <row r="42">
      <c r="A42" s="7" t="s">
        <v>1621</v>
      </c>
      <c r="B42" s="25" t="s">
        <v>225</v>
      </c>
      <c r="C42" s="25" t="s">
        <v>47</v>
      </c>
    </row>
    <row r="43">
      <c r="A43" s="7" t="s">
        <v>1621</v>
      </c>
      <c r="B43" s="25" t="s">
        <v>227</v>
      </c>
      <c r="C43" s="25" t="s">
        <v>47</v>
      </c>
    </row>
    <row r="44">
      <c r="A44" s="7" t="s">
        <v>1621</v>
      </c>
      <c r="B44" s="25" t="s">
        <v>229</v>
      </c>
      <c r="C44" s="25" t="s">
        <v>47</v>
      </c>
    </row>
    <row r="45">
      <c r="A45" s="7" t="s">
        <v>1621</v>
      </c>
      <c r="B45" s="25" t="s">
        <v>231</v>
      </c>
      <c r="C45" s="25" t="s">
        <v>47</v>
      </c>
    </row>
    <row r="46">
      <c r="A46" s="7" t="s">
        <v>1621</v>
      </c>
      <c r="B46" s="25" t="s">
        <v>233</v>
      </c>
      <c r="C46" s="25" t="s">
        <v>47</v>
      </c>
    </row>
    <row r="47">
      <c r="A47" s="7" t="s">
        <v>1464</v>
      </c>
      <c r="B47" s="25" t="s">
        <v>250</v>
      </c>
      <c r="C47" s="6" t="s">
        <v>47</v>
      </c>
    </row>
    <row r="48">
      <c r="A48" s="7" t="s">
        <v>1480</v>
      </c>
      <c r="B48" s="25" t="s">
        <v>276</v>
      </c>
      <c r="C48" s="6" t="s">
        <v>47</v>
      </c>
    </row>
    <row r="49">
      <c r="A49" s="7" t="s">
        <v>1480</v>
      </c>
      <c r="B49" s="25" t="s">
        <v>279</v>
      </c>
      <c r="C49" s="6" t="s">
        <v>47</v>
      </c>
    </row>
    <row r="50">
      <c r="A50" s="7" t="s">
        <v>1480</v>
      </c>
      <c r="B50" s="25" t="s">
        <v>281</v>
      </c>
      <c r="C50" s="6" t="s">
        <v>47</v>
      </c>
    </row>
    <row r="51">
      <c r="A51" s="7" t="s">
        <v>1480</v>
      </c>
      <c r="B51" s="25" t="s">
        <v>284</v>
      </c>
      <c r="C51" s="6" t="s">
        <v>47</v>
      </c>
    </row>
    <row r="52">
      <c r="A52" s="7" t="s">
        <v>1480</v>
      </c>
      <c r="B52" s="25" t="s">
        <v>287</v>
      </c>
      <c r="C52" s="6" t="s">
        <v>47</v>
      </c>
    </row>
    <row r="53">
      <c r="A53" s="7" t="s">
        <v>1480</v>
      </c>
      <c r="B53" s="25" t="s">
        <v>289</v>
      </c>
      <c r="C53" s="6" t="s">
        <v>47</v>
      </c>
    </row>
    <row r="54">
      <c r="A54" s="7" t="s">
        <v>1480</v>
      </c>
      <c r="B54" s="25" t="s">
        <v>291</v>
      </c>
      <c r="C54" s="6" t="s">
        <v>47</v>
      </c>
    </row>
    <row r="55">
      <c r="A55" s="7" t="s">
        <v>1480</v>
      </c>
      <c r="B55" s="25" t="s">
        <v>293</v>
      </c>
      <c r="C55" s="6" t="s">
        <v>47</v>
      </c>
    </row>
    <row r="56">
      <c r="A56" s="7" t="s">
        <v>1480</v>
      </c>
      <c r="B56" s="25" t="s">
        <v>296</v>
      </c>
      <c r="C56" s="6" t="s">
        <v>47</v>
      </c>
    </row>
    <row r="57">
      <c r="A57" s="7" t="s">
        <v>1480</v>
      </c>
      <c r="B57" s="25" t="s">
        <v>299</v>
      </c>
      <c r="C57" s="6" t="s">
        <v>47</v>
      </c>
    </row>
    <row r="58">
      <c r="A58" s="7" t="s">
        <v>1480</v>
      </c>
      <c r="B58" s="25" t="s">
        <v>301</v>
      </c>
      <c r="C58" s="6" t="s">
        <v>47</v>
      </c>
    </row>
    <row r="59">
      <c r="A59" s="7" t="s">
        <v>1480</v>
      </c>
      <c r="B59" s="25" t="s">
        <v>303</v>
      </c>
      <c r="C59" s="6" t="s">
        <v>47</v>
      </c>
    </row>
    <row r="60">
      <c r="A60" s="7" t="s">
        <v>1481</v>
      </c>
      <c r="B60" s="35" t="s">
        <v>319</v>
      </c>
      <c r="C60" s="6" t="s">
        <v>47</v>
      </c>
    </row>
    <row r="61">
      <c r="A61" s="7" t="s">
        <v>1481</v>
      </c>
      <c r="B61" s="35" t="s">
        <v>322</v>
      </c>
      <c r="C61" s="6" t="s">
        <v>47</v>
      </c>
    </row>
    <row r="62">
      <c r="A62" s="7" t="s">
        <v>1481</v>
      </c>
      <c r="B62" s="35" t="s">
        <v>325</v>
      </c>
      <c r="C62" s="6" t="s">
        <v>47</v>
      </c>
    </row>
    <row r="63">
      <c r="A63" s="7" t="s">
        <v>1481</v>
      </c>
      <c r="B63" s="35" t="s">
        <v>328</v>
      </c>
      <c r="C63" s="6" t="s">
        <v>47</v>
      </c>
    </row>
    <row r="64">
      <c r="A64" s="7" t="s">
        <v>1481</v>
      </c>
      <c r="B64" s="35" t="s">
        <v>331</v>
      </c>
      <c r="C64" s="6" t="s">
        <v>47</v>
      </c>
    </row>
    <row r="65">
      <c r="A65" s="7" t="s">
        <v>1481</v>
      </c>
      <c r="B65" s="35" t="s">
        <v>334</v>
      </c>
      <c r="C65" s="6" t="s">
        <v>47</v>
      </c>
    </row>
    <row r="66">
      <c r="A66" s="7" t="s">
        <v>1481</v>
      </c>
      <c r="B66" s="35" t="s">
        <v>336</v>
      </c>
      <c r="C66" s="6" t="s">
        <v>47</v>
      </c>
    </row>
    <row r="67">
      <c r="A67" s="7" t="s">
        <v>1481</v>
      </c>
      <c r="B67" s="35" t="s">
        <v>338</v>
      </c>
      <c r="C67" s="6" t="s">
        <v>47</v>
      </c>
    </row>
    <row r="68">
      <c r="A68" s="7" t="s">
        <v>1481</v>
      </c>
      <c r="B68" s="35" t="s">
        <v>340</v>
      </c>
      <c r="C68" s="6" t="s">
        <v>47</v>
      </c>
    </row>
    <row r="69">
      <c r="A69" s="7" t="s">
        <v>1481</v>
      </c>
      <c r="B69" s="35" t="s">
        <v>342</v>
      </c>
      <c r="C69" s="6" t="s">
        <v>47</v>
      </c>
    </row>
    <row r="70">
      <c r="A70" s="7" t="s">
        <v>1481</v>
      </c>
      <c r="B70" s="35" t="s">
        <v>345</v>
      </c>
      <c r="C70" s="6" t="s">
        <v>47</v>
      </c>
    </row>
    <row r="71">
      <c r="A71" s="7" t="s">
        <v>1481</v>
      </c>
      <c r="B71" s="35" t="s">
        <v>348</v>
      </c>
      <c r="C71" s="6" t="s">
        <v>47</v>
      </c>
    </row>
    <row r="72">
      <c r="A72" s="7" t="s">
        <v>1481</v>
      </c>
      <c r="B72" s="35" t="s">
        <v>1622</v>
      </c>
      <c r="C72" s="6" t="s">
        <v>47</v>
      </c>
    </row>
    <row r="73">
      <c r="A73" s="7" t="s">
        <v>1481</v>
      </c>
      <c r="B73" s="35" t="s">
        <v>353</v>
      </c>
      <c r="C73" s="6" t="s">
        <v>47</v>
      </c>
    </row>
    <row r="74">
      <c r="A74" s="7" t="s">
        <v>1623</v>
      </c>
      <c r="B74" s="25" t="s">
        <v>380</v>
      </c>
      <c r="C74" s="6" t="s">
        <v>47</v>
      </c>
    </row>
    <row r="75">
      <c r="A75" s="7" t="s">
        <v>1623</v>
      </c>
      <c r="B75" s="25" t="s">
        <v>383</v>
      </c>
      <c r="C75" s="6" t="s">
        <v>47</v>
      </c>
    </row>
    <row r="76">
      <c r="A76" s="7" t="s">
        <v>1623</v>
      </c>
      <c r="B76" s="25" t="s">
        <v>385</v>
      </c>
      <c r="C76" s="6" t="s">
        <v>47</v>
      </c>
    </row>
    <row r="77">
      <c r="A77" s="7" t="s">
        <v>1623</v>
      </c>
      <c r="B77" s="25" t="s">
        <v>387</v>
      </c>
      <c r="C77" s="6" t="s">
        <v>47</v>
      </c>
    </row>
    <row r="78">
      <c r="A78" s="7" t="s">
        <v>1623</v>
      </c>
      <c r="B78" s="25" t="s">
        <v>389</v>
      </c>
      <c r="C78" s="6" t="s">
        <v>47</v>
      </c>
      <c r="D78" s="86">
        <v>0.39</v>
      </c>
      <c r="E78" s="86">
        <v>0.39</v>
      </c>
      <c r="F78" s="86">
        <v>0.22</v>
      </c>
      <c r="G78" s="87" t="s">
        <v>1624</v>
      </c>
    </row>
    <row r="79">
      <c r="A79" s="7" t="s">
        <v>1623</v>
      </c>
      <c r="B79" s="25" t="s">
        <v>392</v>
      </c>
      <c r="C79" s="6" t="s">
        <v>47</v>
      </c>
    </row>
    <row r="80">
      <c r="A80" s="7" t="s">
        <v>1623</v>
      </c>
      <c r="B80" s="25" t="s">
        <v>394</v>
      </c>
      <c r="C80" s="6" t="s">
        <v>47</v>
      </c>
    </row>
    <row r="81">
      <c r="A81" s="7" t="s">
        <v>1623</v>
      </c>
      <c r="B81" s="25" t="s">
        <v>396</v>
      </c>
      <c r="C81" s="6" t="s">
        <v>47</v>
      </c>
    </row>
    <row r="82">
      <c r="A82" s="7" t="s">
        <v>1623</v>
      </c>
      <c r="B82" s="25" t="s">
        <v>398</v>
      </c>
      <c r="C82" s="6" t="s">
        <v>47</v>
      </c>
    </row>
    <row r="83">
      <c r="A83" s="7" t="s">
        <v>1623</v>
      </c>
      <c r="B83" s="25" t="s">
        <v>400</v>
      </c>
      <c r="C83" s="6" t="s">
        <v>47</v>
      </c>
    </row>
    <row r="84">
      <c r="A84" s="7" t="s">
        <v>1623</v>
      </c>
      <c r="B84" s="25" t="s">
        <v>402</v>
      </c>
      <c r="C84" s="6" t="s">
        <v>47</v>
      </c>
    </row>
    <row r="85">
      <c r="A85" s="42" t="s">
        <v>1483</v>
      </c>
      <c r="B85" s="25" t="s">
        <v>419</v>
      </c>
      <c r="C85" s="25" t="s">
        <v>47</v>
      </c>
    </row>
    <row r="86">
      <c r="A86" s="42" t="s">
        <v>1483</v>
      </c>
      <c r="B86" s="25" t="s">
        <v>421</v>
      </c>
      <c r="C86" s="25" t="s">
        <v>47</v>
      </c>
    </row>
    <row r="87">
      <c r="A87" s="42" t="s">
        <v>1483</v>
      </c>
      <c r="B87" s="25" t="s">
        <v>423</v>
      </c>
      <c r="C87" s="25" t="s">
        <v>47</v>
      </c>
    </row>
    <row r="88">
      <c r="A88" s="42" t="s">
        <v>1483</v>
      </c>
      <c r="B88" s="25" t="s">
        <v>426</v>
      </c>
      <c r="C88" s="25" t="s">
        <v>47</v>
      </c>
    </row>
    <row r="89">
      <c r="A89" s="42" t="s">
        <v>1483</v>
      </c>
      <c r="B89" s="25" t="s">
        <v>428</v>
      </c>
      <c r="C89" s="25" t="s">
        <v>47</v>
      </c>
    </row>
    <row r="90">
      <c r="A90" s="42" t="s">
        <v>1483</v>
      </c>
      <c r="B90" s="25" t="s">
        <v>430</v>
      </c>
      <c r="C90" s="25" t="s">
        <v>47</v>
      </c>
    </row>
    <row r="91">
      <c r="A91" s="42" t="s">
        <v>1483</v>
      </c>
      <c r="B91" s="25" t="s">
        <v>432</v>
      </c>
      <c r="C91" s="25" t="s">
        <v>47</v>
      </c>
    </row>
    <row r="92">
      <c r="A92" s="42" t="s">
        <v>1483</v>
      </c>
      <c r="B92" s="25" t="s">
        <v>435</v>
      </c>
      <c r="C92" s="25" t="s">
        <v>47</v>
      </c>
    </row>
    <row r="93">
      <c r="A93" s="42" t="s">
        <v>1483</v>
      </c>
      <c r="B93" s="25" t="s">
        <v>437</v>
      </c>
      <c r="C93" s="25" t="s">
        <v>47</v>
      </c>
    </row>
    <row r="94">
      <c r="A94" s="42" t="s">
        <v>1483</v>
      </c>
      <c r="B94" s="25" t="s">
        <v>440</v>
      </c>
      <c r="C94" s="25" t="s">
        <v>47</v>
      </c>
    </row>
    <row r="95">
      <c r="A95" s="42" t="s">
        <v>1483</v>
      </c>
      <c r="B95" s="25" t="s">
        <v>442</v>
      </c>
      <c r="C95" s="25" t="s">
        <v>47</v>
      </c>
    </row>
    <row r="96">
      <c r="A96" s="42" t="s">
        <v>1483</v>
      </c>
      <c r="B96" s="25" t="s">
        <v>444</v>
      </c>
      <c r="C96" s="25" t="s">
        <v>47</v>
      </c>
    </row>
    <row r="97">
      <c r="A97" s="42" t="s">
        <v>1483</v>
      </c>
      <c r="B97" s="25" t="s">
        <v>446</v>
      </c>
      <c r="C97" s="25" t="s">
        <v>47</v>
      </c>
    </row>
    <row r="98">
      <c r="A98" s="42" t="s">
        <v>1483</v>
      </c>
      <c r="B98" s="25" t="s">
        <v>448</v>
      </c>
      <c r="C98" s="25" t="s">
        <v>47</v>
      </c>
    </row>
    <row r="99">
      <c r="A99" s="42" t="s">
        <v>1483</v>
      </c>
      <c r="B99" s="25" t="s">
        <v>451</v>
      </c>
      <c r="C99" s="25" t="s">
        <v>47</v>
      </c>
    </row>
    <row r="100">
      <c r="A100" s="42" t="s">
        <v>1483</v>
      </c>
      <c r="B100" s="25" t="s">
        <v>453</v>
      </c>
      <c r="C100" s="25" t="s">
        <v>47</v>
      </c>
    </row>
    <row r="101">
      <c r="A101" s="42" t="s">
        <v>1483</v>
      </c>
      <c r="B101" s="25" t="s">
        <v>455</v>
      </c>
      <c r="C101" s="25" t="s">
        <v>47</v>
      </c>
    </row>
    <row r="102">
      <c r="A102" s="42" t="s">
        <v>1483</v>
      </c>
      <c r="B102" s="25" t="s">
        <v>458</v>
      </c>
      <c r="C102" s="25" t="s">
        <v>47</v>
      </c>
    </row>
    <row r="103">
      <c r="A103" s="42" t="s">
        <v>1399</v>
      </c>
      <c r="B103" s="25" t="s">
        <v>484</v>
      </c>
      <c r="C103" s="25" t="s">
        <v>47</v>
      </c>
    </row>
    <row r="104">
      <c r="A104" s="25"/>
      <c r="B104" s="25" t="s">
        <v>487</v>
      </c>
      <c r="C104" s="25" t="s">
        <v>47</v>
      </c>
    </row>
    <row r="105">
      <c r="A105" s="25"/>
      <c r="B105" s="25" t="s">
        <v>490</v>
      </c>
      <c r="C105" s="25" t="s">
        <v>47</v>
      </c>
    </row>
    <row r="106">
      <c r="A106" s="25"/>
      <c r="B106" s="25" t="s">
        <v>492</v>
      </c>
      <c r="C106" s="25" t="s">
        <v>47</v>
      </c>
    </row>
    <row r="107">
      <c r="A107" s="25"/>
      <c r="B107" s="25" t="s">
        <v>494</v>
      </c>
      <c r="C107" s="25" t="s">
        <v>47</v>
      </c>
    </row>
    <row r="108">
      <c r="A108" s="25"/>
      <c r="B108" s="25" t="s">
        <v>496</v>
      </c>
      <c r="C108" s="25" t="s">
        <v>47</v>
      </c>
    </row>
    <row r="109">
      <c r="A109" s="25"/>
      <c r="B109" s="25" t="s">
        <v>499</v>
      </c>
      <c r="C109" s="25" t="s">
        <v>47</v>
      </c>
    </row>
    <row r="110">
      <c r="A110" s="25"/>
      <c r="B110" s="25" t="s">
        <v>518</v>
      </c>
      <c r="C110" s="25" t="s">
        <v>47</v>
      </c>
    </row>
    <row r="111">
      <c r="A111" s="25"/>
      <c r="B111" s="25" t="s">
        <v>521</v>
      </c>
      <c r="C111" s="25" t="s">
        <v>47</v>
      </c>
    </row>
    <row r="112">
      <c r="A112" s="25"/>
      <c r="B112" s="25" t="s">
        <v>524</v>
      </c>
      <c r="C112" s="25" t="s">
        <v>47</v>
      </c>
    </row>
    <row r="113">
      <c r="A113" s="25"/>
      <c r="B113" s="25" t="s">
        <v>527</v>
      </c>
      <c r="C113" s="25" t="s">
        <v>47</v>
      </c>
    </row>
    <row r="114">
      <c r="A114" s="25"/>
      <c r="B114" s="25" t="s">
        <v>530</v>
      </c>
      <c r="C114" s="25" t="s">
        <v>47</v>
      </c>
    </row>
    <row r="115">
      <c r="A115" s="25"/>
      <c r="B115" s="25" t="s">
        <v>532</v>
      </c>
      <c r="C115" s="25" t="s">
        <v>47</v>
      </c>
    </row>
    <row r="116">
      <c r="A116" s="25"/>
      <c r="B116" s="25" t="s">
        <v>534</v>
      </c>
      <c r="C116" s="25" t="s">
        <v>47</v>
      </c>
    </row>
    <row r="117">
      <c r="A117" s="25"/>
      <c r="B117" s="25" t="s">
        <v>537</v>
      </c>
      <c r="C117" s="25" t="s">
        <v>47</v>
      </c>
    </row>
    <row r="118">
      <c r="A118" s="25"/>
      <c r="B118" s="25" t="s">
        <v>539</v>
      </c>
      <c r="C118" s="25" t="s">
        <v>47</v>
      </c>
    </row>
    <row r="119">
      <c r="A119" s="25"/>
      <c r="B119" s="25" t="s">
        <v>542</v>
      </c>
      <c r="C119" s="25" t="s">
        <v>47</v>
      </c>
    </row>
    <row r="120">
      <c r="A120" s="25"/>
      <c r="B120" s="25" t="s">
        <v>545</v>
      </c>
      <c r="C120" s="25" t="s">
        <v>47</v>
      </c>
    </row>
    <row r="121">
      <c r="A121" s="25"/>
      <c r="B121" s="25" t="s">
        <v>560</v>
      </c>
      <c r="C121" s="25" t="s">
        <v>47</v>
      </c>
    </row>
    <row r="122">
      <c r="A122" s="25"/>
      <c r="B122" s="25" t="s">
        <v>579</v>
      </c>
      <c r="C122" s="25" t="s">
        <v>47</v>
      </c>
    </row>
    <row r="123">
      <c r="A123" s="25"/>
      <c r="B123" s="25" t="s">
        <v>582</v>
      </c>
      <c r="C123" s="25" t="s">
        <v>47</v>
      </c>
    </row>
    <row r="124">
      <c r="A124" s="25"/>
      <c r="B124" s="25" t="s">
        <v>585</v>
      </c>
      <c r="C124" s="25" t="s">
        <v>47</v>
      </c>
    </row>
    <row r="125">
      <c r="A125" s="25"/>
      <c r="B125" s="25" t="s">
        <v>588</v>
      </c>
      <c r="C125" s="25" t="s">
        <v>47</v>
      </c>
    </row>
    <row r="126">
      <c r="A126" s="25"/>
      <c r="B126" s="25" t="s">
        <v>591</v>
      </c>
      <c r="C126" s="25" t="s">
        <v>47</v>
      </c>
    </row>
    <row r="127">
      <c r="A127" s="25"/>
      <c r="B127" s="25" t="s">
        <v>594</v>
      </c>
      <c r="C127" s="25" t="s">
        <v>47</v>
      </c>
    </row>
    <row r="128">
      <c r="A128" s="25"/>
      <c r="B128" s="25" t="s">
        <v>597</v>
      </c>
      <c r="C128" s="25" t="s">
        <v>47</v>
      </c>
    </row>
    <row r="129">
      <c r="A129" s="25"/>
      <c r="B129" s="25" t="s">
        <v>599</v>
      </c>
      <c r="C129" s="25" t="s">
        <v>47</v>
      </c>
    </row>
    <row r="130">
      <c r="A130" s="25"/>
      <c r="B130" s="25" t="s">
        <v>601</v>
      </c>
      <c r="C130" s="25" t="s">
        <v>47</v>
      </c>
    </row>
    <row r="131">
      <c r="A131" s="25"/>
      <c r="B131" s="25" t="s">
        <v>603</v>
      </c>
      <c r="C131" s="25" t="s">
        <v>47</v>
      </c>
    </row>
    <row r="132">
      <c r="A132" s="25"/>
      <c r="B132" s="25" t="s">
        <v>606</v>
      </c>
      <c r="C132" s="25" t="s">
        <v>47</v>
      </c>
    </row>
    <row r="133">
      <c r="A133" s="25"/>
      <c r="B133" s="25" t="s">
        <v>609</v>
      </c>
      <c r="C133" s="25" t="s">
        <v>47</v>
      </c>
    </row>
    <row r="134">
      <c r="A134" s="25"/>
      <c r="B134" s="25" t="s">
        <v>611</v>
      </c>
      <c r="C134" s="25" t="s">
        <v>47</v>
      </c>
    </row>
    <row r="135">
      <c r="A135" s="25"/>
      <c r="B135" s="25" t="s">
        <v>647</v>
      </c>
      <c r="C135" s="25" t="s">
        <v>47</v>
      </c>
    </row>
    <row r="136">
      <c r="A136" s="25"/>
      <c r="B136" s="25" t="s">
        <v>648</v>
      </c>
      <c r="C136" s="25" t="s">
        <v>47</v>
      </c>
    </row>
    <row r="137">
      <c r="A137" s="25"/>
      <c r="B137" s="25" t="s">
        <v>651</v>
      </c>
      <c r="C137" s="25" t="s">
        <v>47</v>
      </c>
    </row>
    <row r="138">
      <c r="A138" s="25"/>
      <c r="B138" s="25" t="s">
        <v>654</v>
      </c>
      <c r="C138" s="25" t="s">
        <v>47</v>
      </c>
    </row>
    <row r="139">
      <c r="A139" s="25"/>
      <c r="B139" s="25" t="s">
        <v>655</v>
      </c>
      <c r="C139" s="25" t="s">
        <v>47</v>
      </c>
    </row>
    <row r="140">
      <c r="A140" s="25"/>
      <c r="B140" s="25" t="s">
        <v>656</v>
      </c>
      <c r="C140" s="25" t="s">
        <v>47</v>
      </c>
    </row>
    <row r="141">
      <c r="A141" s="25"/>
      <c r="B141" s="25" t="s">
        <v>657</v>
      </c>
      <c r="C141" s="25" t="s">
        <v>47</v>
      </c>
    </row>
    <row r="142">
      <c r="A142" s="25"/>
      <c r="B142" s="25" t="s">
        <v>659</v>
      </c>
      <c r="C142" s="25" t="s">
        <v>47</v>
      </c>
    </row>
    <row r="143">
      <c r="A143" s="25"/>
      <c r="B143" s="25" t="s">
        <v>661</v>
      </c>
      <c r="C143" s="25" t="s">
        <v>47</v>
      </c>
    </row>
    <row r="144">
      <c r="A144" s="25"/>
      <c r="B144" s="25" t="s">
        <v>671</v>
      </c>
      <c r="C144" s="25" t="s">
        <v>47</v>
      </c>
    </row>
    <row r="145">
      <c r="A145" s="25"/>
      <c r="B145" s="25" t="s">
        <v>692</v>
      </c>
      <c r="C145" s="25" t="s">
        <v>47</v>
      </c>
    </row>
    <row r="146">
      <c r="A146" s="25"/>
      <c r="B146" s="25" t="s">
        <v>717</v>
      </c>
      <c r="C146" s="25" t="s">
        <v>47</v>
      </c>
    </row>
    <row r="147">
      <c r="A147" s="25"/>
      <c r="B147" s="25" t="s">
        <v>764</v>
      </c>
      <c r="C147" s="25" t="s">
        <v>47</v>
      </c>
    </row>
    <row r="148">
      <c r="A148" s="25"/>
      <c r="B148" s="25" t="s">
        <v>766</v>
      </c>
      <c r="C148" s="25" t="s">
        <v>47</v>
      </c>
    </row>
    <row r="149">
      <c r="A149" s="25"/>
      <c r="B149" s="25" t="s">
        <v>769</v>
      </c>
      <c r="C149" s="25" t="s">
        <v>47</v>
      </c>
    </row>
    <row r="150">
      <c r="A150" s="25"/>
      <c r="B150" s="25" t="s">
        <v>772</v>
      </c>
      <c r="C150" s="25" t="s">
        <v>47</v>
      </c>
    </row>
    <row r="151">
      <c r="A151" s="25"/>
      <c r="B151" s="25" t="s">
        <v>801</v>
      </c>
      <c r="C151" s="25" t="s">
        <v>47</v>
      </c>
    </row>
    <row r="152">
      <c r="A152" s="25"/>
      <c r="B152" s="25" t="s">
        <v>818</v>
      </c>
      <c r="C152" s="25" t="s">
        <v>47</v>
      </c>
    </row>
    <row r="153">
      <c r="A153" s="25"/>
      <c r="B153" s="25" t="s">
        <v>843</v>
      </c>
      <c r="C153" s="25" t="s">
        <v>47</v>
      </c>
    </row>
    <row r="154">
      <c r="A154" s="25"/>
      <c r="B154" s="25" t="s">
        <v>846</v>
      </c>
      <c r="C154" s="25" t="s">
        <v>47</v>
      </c>
    </row>
    <row r="155">
      <c r="A155" s="25"/>
      <c r="B155" s="25" t="s">
        <v>848</v>
      </c>
      <c r="C155" s="25" t="s">
        <v>47</v>
      </c>
    </row>
    <row r="156">
      <c r="A156" s="25"/>
      <c r="B156" s="25" t="s">
        <v>851</v>
      </c>
      <c r="C156" s="25" t="s">
        <v>47</v>
      </c>
    </row>
    <row r="157">
      <c r="A157" s="25"/>
      <c r="B157" s="25" t="s">
        <v>853</v>
      </c>
      <c r="C157" s="25" t="s">
        <v>47</v>
      </c>
    </row>
    <row r="158">
      <c r="A158" s="25"/>
      <c r="B158" s="25" t="s">
        <v>855</v>
      </c>
      <c r="C158" s="25" t="s">
        <v>47</v>
      </c>
    </row>
    <row r="159">
      <c r="A159" s="25"/>
      <c r="B159" s="25" t="s">
        <v>857</v>
      </c>
      <c r="C159" s="25" t="s">
        <v>47</v>
      </c>
    </row>
    <row r="160">
      <c r="A160" s="25"/>
      <c r="B160" s="25" t="s">
        <v>859</v>
      </c>
      <c r="C160" s="25" t="s">
        <v>47</v>
      </c>
    </row>
    <row r="161">
      <c r="A161" s="25"/>
      <c r="B161" s="25" t="s">
        <v>861</v>
      </c>
      <c r="C161" s="25" t="s">
        <v>47</v>
      </c>
    </row>
    <row r="162">
      <c r="A162" s="25"/>
      <c r="B162" s="25" t="s">
        <v>863</v>
      </c>
      <c r="C162" s="25" t="s">
        <v>47</v>
      </c>
    </row>
    <row r="163">
      <c r="A163" s="25"/>
      <c r="B163" s="25" t="s">
        <v>866</v>
      </c>
      <c r="C163" s="25" t="s">
        <v>47</v>
      </c>
    </row>
    <row r="164">
      <c r="A164" s="25"/>
      <c r="B164" s="25" t="s">
        <v>868</v>
      </c>
      <c r="C164" s="25" t="s">
        <v>47</v>
      </c>
    </row>
    <row r="165">
      <c r="A165" s="25"/>
      <c r="B165" s="25" t="s">
        <v>871</v>
      </c>
      <c r="C165" s="25" t="s">
        <v>47</v>
      </c>
    </row>
    <row r="166">
      <c r="A166" s="25"/>
      <c r="B166" s="25" t="s">
        <v>874</v>
      </c>
      <c r="C166" s="25" t="s">
        <v>47</v>
      </c>
    </row>
    <row r="167">
      <c r="A167" s="25"/>
      <c r="B167" s="25" t="s">
        <v>876</v>
      </c>
      <c r="C167" s="25" t="s">
        <v>47</v>
      </c>
    </row>
    <row r="168">
      <c r="A168" s="25"/>
      <c r="B168" s="25" t="s">
        <v>878</v>
      </c>
      <c r="C168" s="25" t="s">
        <v>47</v>
      </c>
    </row>
    <row r="169">
      <c r="A169" s="25"/>
      <c r="B169" s="25" t="s">
        <v>881</v>
      </c>
      <c r="C169" s="25" t="s">
        <v>47</v>
      </c>
    </row>
    <row r="170">
      <c r="A170" s="25"/>
      <c r="B170" s="25" t="s">
        <v>884</v>
      </c>
      <c r="C170" s="25" t="s">
        <v>47</v>
      </c>
    </row>
    <row r="171">
      <c r="A171" s="25"/>
      <c r="B171" s="25" t="s">
        <v>902</v>
      </c>
      <c r="C171" s="25" t="s">
        <v>47</v>
      </c>
    </row>
    <row r="172">
      <c r="A172" s="25"/>
      <c r="B172" s="25" t="s">
        <v>905</v>
      </c>
      <c r="C172" s="25" t="s">
        <v>47</v>
      </c>
    </row>
    <row r="173">
      <c r="A173" s="25"/>
      <c r="B173" s="25" t="s">
        <v>908</v>
      </c>
      <c r="C173" s="25" t="s">
        <v>47</v>
      </c>
    </row>
    <row r="174">
      <c r="A174" s="25"/>
      <c r="B174" s="25" t="s">
        <v>911</v>
      </c>
      <c r="C174" s="25" t="s">
        <v>47</v>
      </c>
    </row>
    <row r="175">
      <c r="A175" s="25"/>
      <c r="B175" s="25" t="s">
        <v>912</v>
      </c>
      <c r="C175" s="25" t="s">
        <v>47</v>
      </c>
    </row>
    <row r="176">
      <c r="A176" s="25"/>
      <c r="B176" s="25" t="s">
        <v>945</v>
      </c>
      <c r="C176" s="25" t="s">
        <v>47</v>
      </c>
    </row>
    <row r="177">
      <c r="A177" s="25"/>
      <c r="B177" s="25" t="s">
        <v>961</v>
      </c>
      <c r="C177" s="25" t="s">
        <v>47</v>
      </c>
    </row>
    <row r="178">
      <c r="A178" s="25"/>
      <c r="B178" s="25" t="s">
        <v>989</v>
      </c>
      <c r="C178" s="25" t="s">
        <v>47</v>
      </c>
    </row>
    <row r="179">
      <c r="A179" s="25"/>
      <c r="B179" s="25" t="s">
        <v>997</v>
      </c>
      <c r="C179" s="25" t="s">
        <v>47</v>
      </c>
    </row>
    <row r="180">
      <c r="A180" s="25"/>
      <c r="B180" s="25" t="s">
        <v>1005</v>
      </c>
      <c r="C180" s="25" t="s">
        <v>47</v>
      </c>
    </row>
    <row r="181">
      <c r="A181" s="25"/>
      <c r="B181" s="25" t="s">
        <v>1007</v>
      </c>
      <c r="C181" s="25" t="s">
        <v>47</v>
      </c>
    </row>
    <row r="182">
      <c r="A182" s="25"/>
      <c r="B182" s="25" t="s">
        <v>1009</v>
      </c>
      <c r="C182" s="25" t="s">
        <v>47</v>
      </c>
    </row>
    <row r="183">
      <c r="A183" s="25"/>
      <c r="B183" s="25" t="s">
        <v>1010</v>
      </c>
      <c r="C183" s="25" t="s">
        <v>47</v>
      </c>
    </row>
    <row r="184">
      <c r="A184" s="25"/>
      <c r="B184" s="25" t="s">
        <v>1013</v>
      </c>
      <c r="C184" s="25" t="s">
        <v>47</v>
      </c>
    </row>
    <row r="185">
      <c r="A185" s="25"/>
      <c r="B185" s="25" t="s">
        <v>1014</v>
      </c>
      <c r="C185" s="25" t="s">
        <v>47</v>
      </c>
    </row>
    <row r="186">
      <c r="A186" s="25"/>
      <c r="B186" s="25" t="s">
        <v>1017</v>
      </c>
      <c r="C186" s="25" t="s">
        <v>47</v>
      </c>
    </row>
    <row r="187">
      <c r="A187" s="25"/>
      <c r="B187" s="25" t="s">
        <v>1028</v>
      </c>
      <c r="C187" s="25" t="s">
        <v>47</v>
      </c>
    </row>
    <row r="188">
      <c r="A188" s="25"/>
      <c r="B188" s="25" t="s">
        <v>1031</v>
      </c>
      <c r="C188" s="25" t="s">
        <v>47</v>
      </c>
    </row>
    <row r="189">
      <c r="A189" s="25"/>
      <c r="B189" s="25" t="s">
        <v>1033</v>
      </c>
      <c r="C189" s="25" t="s">
        <v>47</v>
      </c>
    </row>
    <row r="190">
      <c r="A190" s="25"/>
      <c r="B190" s="25" t="s">
        <v>1044</v>
      </c>
      <c r="C190" s="25" t="s">
        <v>47</v>
      </c>
    </row>
    <row r="191">
      <c r="A191" s="25"/>
      <c r="B191" s="25" t="s">
        <v>1047</v>
      </c>
      <c r="C191" s="25" t="s">
        <v>47</v>
      </c>
    </row>
    <row r="192">
      <c r="A192" s="25"/>
      <c r="B192" s="25" t="s">
        <v>1050</v>
      </c>
      <c r="C192" s="25" t="s">
        <v>47</v>
      </c>
    </row>
    <row r="193">
      <c r="A193" s="25"/>
      <c r="B193" s="25" t="s">
        <v>1053</v>
      </c>
      <c r="C193" s="25" t="s">
        <v>47</v>
      </c>
    </row>
    <row r="194">
      <c r="A194" s="25"/>
      <c r="B194" s="25" t="s">
        <v>1055</v>
      </c>
      <c r="C194" s="25" t="s">
        <v>47</v>
      </c>
    </row>
    <row r="195">
      <c r="A195" s="25"/>
      <c r="B195" s="25" t="s">
        <v>1057</v>
      </c>
      <c r="C195" s="25" t="s">
        <v>47</v>
      </c>
    </row>
    <row r="196">
      <c r="A196" s="25"/>
      <c r="B196" s="25" t="s">
        <v>1089</v>
      </c>
      <c r="C196" s="25" t="s">
        <v>47</v>
      </c>
    </row>
    <row r="197">
      <c r="A197" s="25"/>
      <c r="B197" s="25" t="s">
        <v>1111</v>
      </c>
      <c r="C197" s="25" t="s">
        <v>47</v>
      </c>
    </row>
    <row r="198">
      <c r="A198" s="25"/>
      <c r="B198" s="25" t="s">
        <v>1113</v>
      </c>
      <c r="C198" s="25" t="s">
        <v>47</v>
      </c>
    </row>
    <row r="199">
      <c r="A199" s="25"/>
      <c r="B199" s="25" t="s">
        <v>1116</v>
      </c>
      <c r="C199" s="25" t="s">
        <v>47</v>
      </c>
    </row>
    <row r="200">
      <c r="A200" s="25"/>
      <c r="B200" s="25" t="s">
        <v>1119</v>
      </c>
      <c r="C200" s="25" t="s">
        <v>47</v>
      </c>
    </row>
    <row r="201">
      <c r="A201" s="25"/>
      <c r="B201" s="25" t="s">
        <v>1120</v>
      </c>
      <c r="C201" s="25" t="s">
        <v>47</v>
      </c>
    </row>
    <row r="202">
      <c r="A202" s="25"/>
      <c r="B202" s="25" t="s">
        <v>1122</v>
      </c>
      <c r="C202" s="25" t="s">
        <v>47</v>
      </c>
    </row>
    <row r="203">
      <c r="A203" s="25"/>
      <c r="B203" s="25" t="s">
        <v>1125</v>
      </c>
      <c r="C203" s="25" t="s">
        <v>47</v>
      </c>
    </row>
    <row r="204">
      <c r="A204" s="25"/>
      <c r="B204" s="25" t="s">
        <v>1128</v>
      </c>
      <c r="C204" s="25" t="s">
        <v>47</v>
      </c>
    </row>
    <row r="205">
      <c r="A205" s="25"/>
      <c r="B205" s="25" t="s">
        <v>1131</v>
      </c>
      <c r="C205" s="25" t="s">
        <v>47</v>
      </c>
    </row>
    <row r="206">
      <c r="A206" s="25"/>
      <c r="B206" s="25" t="s">
        <v>1134</v>
      </c>
      <c r="C206" s="25" t="s">
        <v>47</v>
      </c>
    </row>
    <row r="207">
      <c r="A207" s="25"/>
      <c r="B207" s="25" t="s">
        <v>1146</v>
      </c>
      <c r="C207" s="25" t="s">
        <v>47</v>
      </c>
    </row>
    <row r="208">
      <c r="A208" s="25"/>
      <c r="B208" s="25" t="s">
        <v>1148</v>
      </c>
      <c r="C208" s="25" t="s">
        <v>47</v>
      </c>
    </row>
    <row r="209">
      <c r="A209" s="25"/>
      <c r="B209" s="25" t="s">
        <v>1150</v>
      </c>
      <c r="C209" s="25" t="s">
        <v>47</v>
      </c>
    </row>
    <row r="210">
      <c r="A210" s="25"/>
      <c r="B210" s="25" t="s">
        <v>1151</v>
      </c>
      <c r="C210" s="25" t="s">
        <v>47</v>
      </c>
    </row>
    <row r="211">
      <c r="A211" s="25"/>
      <c r="B211" s="25" t="s">
        <v>1154</v>
      </c>
      <c r="C211" s="25" t="s">
        <v>47</v>
      </c>
    </row>
    <row r="212">
      <c r="A212" s="25"/>
      <c r="B212" s="25" t="s">
        <v>1156</v>
      </c>
      <c r="C212" s="25" t="s">
        <v>47</v>
      </c>
    </row>
    <row r="213">
      <c r="A213" s="25"/>
      <c r="B213" s="25" t="s">
        <v>1169</v>
      </c>
      <c r="C213" s="25" t="s">
        <v>47</v>
      </c>
    </row>
    <row r="214">
      <c r="A214" s="25"/>
      <c r="B214" s="25" t="s">
        <v>1172</v>
      </c>
      <c r="C214" s="25" t="s">
        <v>47</v>
      </c>
    </row>
    <row r="215">
      <c r="A215" s="25"/>
      <c r="B215" s="25" t="s">
        <v>1175</v>
      </c>
      <c r="C215" s="25" t="s">
        <v>47</v>
      </c>
    </row>
    <row r="216">
      <c r="A216" s="25"/>
      <c r="B216" s="25" t="s">
        <v>1177</v>
      </c>
      <c r="C216" s="25" t="s">
        <v>47</v>
      </c>
    </row>
    <row r="217">
      <c r="A217" s="25"/>
      <c r="B217" s="25" t="s">
        <v>1180</v>
      </c>
      <c r="C217" s="25" t="s">
        <v>47</v>
      </c>
    </row>
    <row r="218">
      <c r="A218" s="25"/>
      <c r="B218" s="25" t="s">
        <v>1209</v>
      </c>
      <c r="C218" s="25" t="s">
        <v>47</v>
      </c>
    </row>
    <row r="219">
      <c r="A219" s="25"/>
      <c r="B219" s="25" t="s">
        <v>1220</v>
      </c>
      <c r="C219" s="25" t="s">
        <v>47</v>
      </c>
    </row>
    <row r="220">
      <c r="A220" s="25"/>
      <c r="B220" s="25" t="s">
        <v>1223</v>
      </c>
      <c r="C220" s="25" t="s">
        <v>47</v>
      </c>
    </row>
    <row r="221">
      <c r="A221" s="25"/>
      <c r="B221" s="25" t="s">
        <v>1253</v>
      </c>
      <c r="C221" s="25" t="s">
        <v>47</v>
      </c>
    </row>
    <row r="222">
      <c r="A222" s="25"/>
      <c r="B222" s="25" t="s">
        <v>1267</v>
      </c>
      <c r="C222" s="25" t="s">
        <v>47</v>
      </c>
    </row>
    <row r="223">
      <c r="A223" s="25"/>
      <c r="B223" s="25" t="s">
        <v>1295</v>
      </c>
      <c r="C223" s="25" t="s">
        <v>47</v>
      </c>
    </row>
    <row r="224">
      <c r="A224" s="25"/>
      <c r="B224" s="25" t="s">
        <v>1317</v>
      </c>
      <c r="C224" s="25" t="s">
        <v>47</v>
      </c>
    </row>
    <row r="225">
      <c r="A225" s="25"/>
      <c r="B225" s="25" t="s">
        <v>1320</v>
      </c>
      <c r="C225" s="25" t="s">
        <v>47</v>
      </c>
    </row>
    <row r="226">
      <c r="A226" s="25"/>
      <c r="B226" s="25" t="s">
        <v>1322</v>
      </c>
      <c r="C226" s="25" t="s">
        <v>47</v>
      </c>
    </row>
    <row r="227">
      <c r="A227" s="25"/>
      <c r="B227" s="25" t="s">
        <v>1325</v>
      </c>
      <c r="C227" s="25" t="s">
        <v>47</v>
      </c>
    </row>
    <row r="228">
      <c r="A228" s="25"/>
      <c r="B228" s="25" t="s">
        <v>1328</v>
      </c>
      <c r="C228" s="25" t="s">
        <v>47</v>
      </c>
    </row>
    <row r="229">
      <c r="A229" s="25"/>
      <c r="B229" s="25" t="s">
        <v>1335</v>
      </c>
      <c r="C229" s="25" t="s">
        <v>47</v>
      </c>
    </row>
    <row r="230">
      <c r="A230" s="25"/>
      <c r="B230" s="25" t="s">
        <v>532</v>
      </c>
      <c r="C230" s="25" t="s">
        <v>47</v>
      </c>
    </row>
    <row r="231">
      <c r="A231" s="25"/>
      <c r="B231" s="25" t="s">
        <v>534</v>
      </c>
      <c r="C231" s="25" t="s">
        <v>47</v>
      </c>
    </row>
    <row r="232">
      <c r="A232" s="25"/>
      <c r="B232" s="25" t="s">
        <v>1340</v>
      </c>
      <c r="C232" s="25" t="s">
        <v>47</v>
      </c>
    </row>
    <row r="233">
      <c r="A233" s="25"/>
      <c r="B233" s="25" t="s">
        <v>1342</v>
      </c>
      <c r="C233" s="25" t="s">
        <v>47</v>
      </c>
    </row>
    <row r="234">
      <c r="A234" s="25"/>
      <c r="B234" s="25" t="s">
        <v>1355</v>
      </c>
      <c r="C234" s="25" t="s">
        <v>47</v>
      </c>
    </row>
    <row r="235">
      <c r="A235" s="25"/>
      <c r="B235" s="25" t="s">
        <v>1357</v>
      </c>
      <c r="C235" s="25" t="s">
        <v>47</v>
      </c>
    </row>
    <row r="236">
      <c r="A236" s="25"/>
      <c r="B236" s="25" t="s">
        <v>1360</v>
      </c>
      <c r="C236" s="25" t="s">
        <v>47</v>
      </c>
    </row>
    <row r="237">
      <c r="A237" s="25"/>
      <c r="B237" s="25" t="s">
        <v>1362</v>
      </c>
      <c r="C237" s="25" t="s">
        <v>47</v>
      </c>
    </row>
    <row r="238">
      <c r="A238" s="25"/>
      <c r="B238" s="25" t="s">
        <v>1364</v>
      </c>
      <c r="C238" s="25" t="s">
        <v>47</v>
      </c>
    </row>
    <row r="239">
      <c r="A239" s="6"/>
      <c r="B239" s="58" t="s">
        <v>1374</v>
      </c>
      <c r="C239" s="25" t="s">
        <v>47</v>
      </c>
    </row>
    <row r="240">
      <c r="A240" s="6"/>
      <c r="B240" s="6"/>
      <c r="C240" s="6"/>
    </row>
    <row r="241">
      <c r="A241" s="6"/>
      <c r="B241" s="7" t="s">
        <v>1381</v>
      </c>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sheetData>
  <hyperlinks>
    <hyperlink r:id="rId1" ref="G2"/>
    <hyperlink r:id="rId2" ref="G3"/>
    <hyperlink r:id="rId3" ref="G7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78"/>
    <col customWidth="1" min="2" max="2" width="44.56"/>
    <col customWidth="1" min="3" max="3" width="20.78"/>
    <col customWidth="1" min="4" max="4" width="25.67"/>
    <col customWidth="1" min="5" max="5" width="13.78"/>
  </cols>
  <sheetData>
    <row r="1">
      <c r="A1" s="88" t="s">
        <v>1625</v>
      </c>
      <c r="B1" s="88" t="s">
        <v>1626</v>
      </c>
      <c r="C1" s="88" t="s">
        <v>1627</v>
      </c>
      <c r="D1" s="88" t="s">
        <v>1628</v>
      </c>
      <c r="E1" s="89" t="s">
        <v>1629</v>
      </c>
      <c r="G1" s="30" t="s">
        <v>1383</v>
      </c>
    </row>
    <row r="2">
      <c r="A2" s="90" t="s">
        <v>1630</v>
      </c>
      <c r="B2" s="90" t="s">
        <v>1631</v>
      </c>
      <c r="C2" s="91">
        <v>1058.0</v>
      </c>
      <c r="D2" s="92">
        <v>819.0</v>
      </c>
      <c r="E2" s="93">
        <f t="shared" ref="E2:E389" si="1">D2/C2</f>
        <v>0.7741020794</v>
      </c>
      <c r="G2" s="94" t="s">
        <v>1632</v>
      </c>
    </row>
    <row r="3">
      <c r="A3" s="90" t="s">
        <v>1633</v>
      </c>
      <c r="B3" s="90" t="s">
        <v>1634</v>
      </c>
      <c r="C3" s="92">
        <v>891.0</v>
      </c>
      <c r="D3" s="92">
        <v>528.0</v>
      </c>
      <c r="E3" s="93">
        <f t="shared" si="1"/>
        <v>0.5925925926</v>
      </c>
      <c r="G3" s="95" t="s">
        <v>1635</v>
      </c>
    </row>
    <row r="4">
      <c r="A4" s="90" t="s">
        <v>1636</v>
      </c>
      <c r="B4" s="90" t="s">
        <v>1637</v>
      </c>
      <c r="C4" s="92">
        <v>848.0</v>
      </c>
      <c r="D4" s="92">
        <v>381.0</v>
      </c>
      <c r="E4" s="93">
        <f t="shared" si="1"/>
        <v>0.4492924528</v>
      </c>
      <c r="G4" s="95" t="s">
        <v>1638</v>
      </c>
    </row>
    <row r="5">
      <c r="A5" s="90" t="s">
        <v>1639</v>
      </c>
      <c r="B5" s="90" t="s">
        <v>1640</v>
      </c>
      <c r="C5" s="92">
        <v>631.0</v>
      </c>
      <c r="D5" s="92">
        <v>165.0</v>
      </c>
      <c r="E5" s="93">
        <f t="shared" si="1"/>
        <v>0.2614896989</v>
      </c>
    </row>
    <row r="6">
      <c r="A6" s="90" t="s">
        <v>1641</v>
      </c>
      <c r="B6" s="90" t="s">
        <v>1642</v>
      </c>
      <c r="C6" s="92">
        <v>215.0</v>
      </c>
      <c r="D6" s="92">
        <v>73.0</v>
      </c>
      <c r="E6" s="93">
        <f t="shared" si="1"/>
        <v>0.3395348837</v>
      </c>
    </row>
    <row r="7">
      <c r="A7" s="90" t="s">
        <v>1643</v>
      </c>
      <c r="B7" s="90" t="s">
        <v>1644</v>
      </c>
      <c r="C7" s="92">
        <v>561.0</v>
      </c>
      <c r="D7" s="92">
        <v>368.0</v>
      </c>
      <c r="E7" s="93">
        <f t="shared" si="1"/>
        <v>0.6559714795</v>
      </c>
    </row>
    <row r="8">
      <c r="A8" s="90" t="s">
        <v>1645</v>
      </c>
      <c r="B8" s="90" t="s">
        <v>1646</v>
      </c>
      <c r="C8" s="92">
        <v>351.0</v>
      </c>
      <c r="D8" s="92">
        <v>215.0</v>
      </c>
      <c r="E8" s="93">
        <f t="shared" si="1"/>
        <v>0.6125356125</v>
      </c>
    </row>
    <row r="9">
      <c r="A9" s="90" t="s">
        <v>1647</v>
      </c>
      <c r="B9" s="90" t="s">
        <v>1648</v>
      </c>
      <c r="C9" s="92">
        <v>280.0</v>
      </c>
      <c r="D9" s="92">
        <v>72.0</v>
      </c>
      <c r="E9" s="93">
        <f t="shared" si="1"/>
        <v>0.2571428571</v>
      </c>
    </row>
    <row r="10">
      <c r="A10" s="90" t="s">
        <v>1649</v>
      </c>
      <c r="B10" s="90" t="s">
        <v>1650</v>
      </c>
      <c r="C10" s="92">
        <v>67.0</v>
      </c>
      <c r="D10" s="92">
        <v>35.0</v>
      </c>
      <c r="E10" s="93">
        <f t="shared" si="1"/>
        <v>0.5223880597</v>
      </c>
    </row>
    <row r="11">
      <c r="A11" s="90" t="s">
        <v>1651</v>
      </c>
      <c r="B11" s="90" t="s">
        <v>1652</v>
      </c>
      <c r="C11" s="92">
        <v>398.0</v>
      </c>
      <c r="D11" s="92">
        <v>112.0</v>
      </c>
      <c r="E11" s="93">
        <f t="shared" si="1"/>
        <v>0.2814070352</v>
      </c>
    </row>
    <row r="12">
      <c r="A12" s="90" t="s">
        <v>1653</v>
      </c>
      <c r="B12" s="90" t="s">
        <v>1654</v>
      </c>
      <c r="C12" s="91">
        <v>1186.0</v>
      </c>
      <c r="D12" s="92">
        <v>484.0</v>
      </c>
      <c r="E12" s="93">
        <f t="shared" si="1"/>
        <v>0.4080944351</v>
      </c>
    </row>
    <row r="13">
      <c r="A13" s="90" t="s">
        <v>1655</v>
      </c>
      <c r="B13" s="90" t="s">
        <v>1656</v>
      </c>
      <c r="C13" s="92">
        <v>352.0</v>
      </c>
      <c r="D13" s="92">
        <v>172.0</v>
      </c>
      <c r="E13" s="93">
        <f t="shared" si="1"/>
        <v>0.4886363636</v>
      </c>
    </row>
    <row r="14">
      <c r="A14" s="90" t="s">
        <v>1657</v>
      </c>
      <c r="B14" s="90" t="s">
        <v>1658</v>
      </c>
      <c r="C14" s="92">
        <v>773.0</v>
      </c>
      <c r="D14" s="92">
        <v>205.0</v>
      </c>
      <c r="E14" s="93">
        <f t="shared" si="1"/>
        <v>0.2652005175</v>
      </c>
    </row>
    <row r="15">
      <c r="A15" s="90" t="s">
        <v>1659</v>
      </c>
      <c r="B15" s="90" t="s">
        <v>1660</v>
      </c>
      <c r="C15" s="92">
        <v>55.0</v>
      </c>
      <c r="D15" s="92">
        <v>51.0</v>
      </c>
      <c r="E15" s="93">
        <f t="shared" si="1"/>
        <v>0.9272727273</v>
      </c>
    </row>
    <row r="16">
      <c r="A16" s="90" t="s">
        <v>1661</v>
      </c>
      <c r="B16" s="90" t="s">
        <v>1662</v>
      </c>
      <c r="C16" s="91">
        <v>2236.0</v>
      </c>
      <c r="D16" s="92">
        <v>830.0</v>
      </c>
      <c r="E16" s="93">
        <f t="shared" si="1"/>
        <v>0.3711985689</v>
      </c>
    </row>
    <row r="17">
      <c r="A17" s="90" t="s">
        <v>1663</v>
      </c>
      <c r="B17" s="90" t="s">
        <v>1664</v>
      </c>
      <c r="C17" s="91">
        <v>1324.0</v>
      </c>
      <c r="D17" s="92">
        <v>481.0</v>
      </c>
      <c r="E17" s="93">
        <f t="shared" si="1"/>
        <v>0.3632930514</v>
      </c>
    </row>
    <row r="18">
      <c r="A18" s="90" t="s">
        <v>1665</v>
      </c>
      <c r="B18" s="90" t="s">
        <v>1666</v>
      </c>
      <c r="C18" s="91">
        <v>7419.0</v>
      </c>
      <c r="D18" s="91">
        <v>2172.0</v>
      </c>
      <c r="E18" s="93">
        <f t="shared" si="1"/>
        <v>0.2927618277</v>
      </c>
    </row>
    <row r="19">
      <c r="A19" s="90" t="s">
        <v>1667</v>
      </c>
      <c r="B19" s="90" t="s">
        <v>1668</v>
      </c>
      <c r="C19" s="91">
        <v>9605.0</v>
      </c>
      <c r="D19" s="91">
        <v>1245.0</v>
      </c>
      <c r="E19" s="93">
        <f t="shared" si="1"/>
        <v>0.1296199896</v>
      </c>
    </row>
    <row r="20">
      <c r="A20" s="90" t="s">
        <v>1669</v>
      </c>
      <c r="B20" s="90" t="s">
        <v>1670</v>
      </c>
      <c r="C20" s="91">
        <v>8124.0</v>
      </c>
      <c r="D20" s="91">
        <v>2471.0</v>
      </c>
      <c r="E20" s="93">
        <f t="shared" si="1"/>
        <v>0.3041605121</v>
      </c>
    </row>
    <row r="21">
      <c r="A21" s="90" t="s">
        <v>1671</v>
      </c>
      <c r="B21" s="90" t="s">
        <v>1672</v>
      </c>
      <c r="C21" s="91">
        <v>8137.0</v>
      </c>
      <c r="D21" s="91">
        <v>1289.0</v>
      </c>
      <c r="E21" s="93">
        <f t="shared" si="1"/>
        <v>0.1584121912</v>
      </c>
    </row>
    <row r="22">
      <c r="A22" s="90" t="s">
        <v>1673</v>
      </c>
      <c r="B22" s="90" t="s">
        <v>1674</v>
      </c>
      <c r="C22" s="91">
        <v>5511.0</v>
      </c>
      <c r="D22" s="91">
        <v>1125.0</v>
      </c>
      <c r="E22" s="93">
        <f t="shared" si="1"/>
        <v>0.2041371802</v>
      </c>
    </row>
    <row r="23">
      <c r="A23" s="90" t="s">
        <v>1675</v>
      </c>
      <c r="B23" s="90" t="s">
        <v>1676</v>
      </c>
      <c r="C23" s="91">
        <v>2745.0</v>
      </c>
      <c r="D23" s="92">
        <v>738.0</v>
      </c>
      <c r="E23" s="93">
        <f t="shared" si="1"/>
        <v>0.268852459</v>
      </c>
    </row>
    <row r="24">
      <c r="A24" s="90" t="s">
        <v>1677</v>
      </c>
      <c r="B24" s="90" t="s">
        <v>1678</v>
      </c>
      <c r="C24" s="91">
        <v>2277.0</v>
      </c>
      <c r="D24" s="92">
        <v>550.0</v>
      </c>
      <c r="E24" s="93">
        <f t="shared" si="1"/>
        <v>0.2415458937</v>
      </c>
    </row>
    <row r="25">
      <c r="A25" s="90" t="s">
        <v>1679</v>
      </c>
      <c r="B25" s="90" t="s">
        <v>1680</v>
      </c>
      <c r="C25" s="91">
        <v>2683.0</v>
      </c>
      <c r="D25" s="92">
        <v>397.0</v>
      </c>
      <c r="E25" s="93">
        <f t="shared" si="1"/>
        <v>0.1479686918</v>
      </c>
    </row>
    <row r="26">
      <c r="A26" s="90" t="s">
        <v>1681</v>
      </c>
      <c r="B26" s="90" t="s">
        <v>1682</v>
      </c>
      <c r="C26" s="91">
        <v>1032.0</v>
      </c>
      <c r="D26" s="92">
        <v>160.0</v>
      </c>
      <c r="E26" s="93">
        <f t="shared" si="1"/>
        <v>0.1550387597</v>
      </c>
    </row>
    <row r="27">
      <c r="A27" s="90" t="s">
        <v>1683</v>
      </c>
      <c r="B27" s="90" t="s">
        <v>1684</v>
      </c>
      <c r="C27" s="91">
        <v>2256.0</v>
      </c>
      <c r="D27" s="92">
        <v>403.0</v>
      </c>
      <c r="E27" s="93">
        <f t="shared" si="1"/>
        <v>0.1786347518</v>
      </c>
    </row>
    <row r="28">
      <c r="A28" s="90" t="s">
        <v>1685</v>
      </c>
      <c r="B28" s="90" t="s">
        <v>1686</v>
      </c>
      <c r="C28" s="92">
        <v>751.0</v>
      </c>
      <c r="D28" s="92">
        <v>70.0</v>
      </c>
      <c r="E28" s="93">
        <f t="shared" si="1"/>
        <v>0.09320905459</v>
      </c>
    </row>
    <row r="29">
      <c r="A29" s="90" t="s">
        <v>1687</v>
      </c>
      <c r="B29" s="90" t="s">
        <v>1688</v>
      </c>
      <c r="C29" s="91">
        <v>2107.0</v>
      </c>
      <c r="D29" s="92">
        <v>803.0</v>
      </c>
      <c r="E29" s="93">
        <f t="shared" si="1"/>
        <v>0.3811105838</v>
      </c>
    </row>
    <row r="30">
      <c r="A30" s="90" t="s">
        <v>1689</v>
      </c>
      <c r="B30" s="90" t="s">
        <v>1690</v>
      </c>
      <c r="C30" s="91">
        <v>2677.0</v>
      </c>
      <c r="D30" s="92">
        <v>847.0</v>
      </c>
      <c r="E30" s="93">
        <f t="shared" si="1"/>
        <v>0.3163989541</v>
      </c>
    </row>
    <row r="31">
      <c r="A31" s="90" t="s">
        <v>1691</v>
      </c>
      <c r="B31" s="90" t="s">
        <v>1692</v>
      </c>
      <c r="C31" s="91">
        <v>1572.0</v>
      </c>
      <c r="D31" s="92">
        <v>514.0</v>
      </c>
      <c r="E31" s="93">
        <f t="shared" si="1"/>
        <v>0.3269720102</v>
      </c>
    </row>
    <row r="32">
      <c r="A32" s="90" t="s">
        <v>1693</v>
      </c>
      <c r="B32" s="90" t="s">
        <v>1694</v>
      </c>
      <c r="C32" s="91">
        <v>1297.0</v>
      </c>
      <c r="D32" s="92">
        <v>205.0</v>
      </c>
      <c r="E32" s="93">
        <f t="shared" si="1"/>
        <v>0.1580570547</v>
      </c>
    </row>
    <row r="33">
      <c r="A33" s="90" t="s">
        <v>1695</v>
      </c>
      <c r="B33" s="90" t="s">
        <v>1696</v>
      </c>
      <c r="C33" s="91">
        <v>3641.0</v>
      </c>
      <c r="D33" s="92">
        <v>815.0</v>
      </c>
      <c r="E33" s="93">
        <f t="shared" si="1"/>
        <v>0.2238396045</v>
      </c>
    </row>
    <row r="34">
      <c r="A34" s="90" t="s">
        <v>1697</v>
      </c>
      <c r="B34" s="90" t="s">
        <v>1698</v>
      </c>
      <c r="C34" s="92">
        <v>744.0</v>
      </c>
      <c r="D34" s="92">
        <v>199.0</v>
      </c>
      <c r="E34" s="93">
        <f t="shared" si="1"/>
        <v>0.2674731183</v>
      </c>
    </row>
    <row r="35">
      <c r="A35" s="90" t="s">
        <v>1699</v>
      </c>
      <c r="B35" s="90" t="s">
        <v>1700</v>
      </c>
      <c r="C35" s="91">
        <v>1529.0</v>
      </c>
      <c r="D35" s="92">
        <v>358.0</v>
      </c>
      <c r="E35" s="93">
        <f t="shared" si="1"/>
        <v>0.2341399608</v>
      </c>
    </row>
    <row r="36">
      <c r="A36" s="90" t="s">
        <v>1701</v>
      </c>
      <c r="B36" s="90" t="s">
        <v>1702</v>
      </c>
      <c r="C36" s="92">
        <v>464.0</v>
      </c>
      <c r="D36" s="92">
        <v>124.0</v>
      </c>
      <c r="E36" s="93">
        <f t="shared" si="1"/>
        <v>0.2672413793</v>
      </c>
    </row>
    <row r="37">
      <c r="A37" s="90" t="s">
        <v>1703</v>
      </c>
      <c r="B37" s="90" t="s">
        <v>1704</v>
      </c>
      <c r="C37" s="91">
        <v>1162.0</v>
      </c>
      <c r="D37" s="92">
        <v>145.0</v>
      </c>
      <c r="E37" s="93">
        <f t="shared" si="1"/>
        <v>0.1247848537</v>
      </c>
    </row>
    <row r="38">
      <c r="A38" s="90" t="s">
        <v>1705</v>
      </c>
      <c r="B38" s="90" t="s">
        <v>1706</v>
      </c>
      <c r="C38" s="91">
        <v>1274.0</v>
      </c>
      <c r="D38" s="92">
        <v>280.0</v>
      </c>
      <c r="E38" s="93">
        <f t="shared" si="1"/>
        <v>0.2197802198</v>
      </c>
    </row>
    <row r="39">
      <c r="A39" s="90" t="s">
        <v>1707</v>
      </c>
      <c r="B39" s="90" t="s">
        <v>1708</v>
      </c>
      <c r="C39" s="92">
        <v>636.0</v>
      </c>
      <c r="D39" s="92">
        <v>184.0</v>
      </c>
      <c r="E39" s="93">
        <f t="shared" si="1"/>
        <v>0.2893081761</v>
      </c>
    </row>
    <row r="40">
      <c r="A40" s="90" t="s">
        <v>1709</v>
      </c>
      <c r="B40" s="90" t="s">
        <v>1710</v>
      </c>
      <c r="C40" s="92">
        <v>641.0</v>
      </c>
      <c r="D40" s="92">
        <v>201.0</v>
      </c>
      <c r="E40" s="93">
        <f t="shared" si="1"/>
        <v>0.3135725429</v>
      </c>
    </row>
    <row r="41">
      <c r="A41" s="90" t="s">
        <v>1711</v>
      </c>
      <c r="B41" s="90" t="s">
        <v>1712</v>
      </c>
      <c r="C41" s="91">
        <v>1701.0</v>
      </c>
      <c r="D41" s="92">
        <v>238.0</v>
      </c>
      <c r="E41" s="93">
        <f t="shared" si="1"/>
        <v>0.1399176955</v>
      </c>
    </row>
    <row r="42">
      <c r="A42" s="90" t="s">
        <v>1713</v>
      </c>
      <c r="B42" s="90" t="s">
        <v>1714</v>
      </c>
      <c r="C42" s="92">
        <v>261.0</v>
      </c>
      <c r="D42" s="92">
        <v>60.0</v>
      </c>
      <c r="E42" s="93">
        <f t="shared" si="1"/>
        <v>0.2298850575</v>
      </c>
    </row>
    <row r="43">
      <c r="A43" s="90" t="s">
        <v>1715</v>
      </c>
      <c r="B43" s="90" t="s">
        <v>1716</v>
      </c>
      <c r="C43" s="92">
        <v>721.0</v>
      </c>
      <c r="D43" s="92">
        <v>199.0</v>
      </c>
      <c r="E43" s="93">
        <f t="shared" si="1"/>
        <v>0.2760055479</v>
      </c>
    </row>
    <row r="44">
      <c r="A44" s="90" t="s">
        <v>1717</v>
      </c>
      <c r="B44" s="90" t="s">
        <v>1718</v>
      </c>
      <c r="C44" s="92">
        <v>663.0</v>
      </c>
      <c r="D44" s="92">
        <v>145.0</v>
      </c>
      <c r="E44" s="93">
        <f t="shared" si="1"/>
        <v>0.2187028658</v>
      </c>
    </row>
    <row r="45">
      <c r="A45" s="90" t="s">
        <v>1719</v>
      </c>
      <c r="B45" s="90" t="s">
        <v>1720</v>
      </c>
      <c r="C45" s="92">
        <v>834.0</v>
      </c>
      <c r="D45" s="92">
        <v>118.0</v>
      </c>
      <c r="E45" s="93">
        <f t="shared" si="1"/>
        <v>0.1414868106</v>
      </c>
    </row>
    <row r="46">
      <c r="A46" s="90" t="s">
        <v>1721</v>
      </c>
      <c r="B46" s="90" t="s">
        <v>1722</v>
      </c>
      <c r="C46" s="92">
        <v>300.0</v>
      </c>
      <c r="D46" s="92">
        <v>50.0</v>
      </c>
      <c r="E46" s="93">
        <f t="shared" si="1"/>
        <v>0.1666666667</v>
      </c>
    </row>
    <row r="47">
      <c r="A47" s="90" t="s">
        <v>1723</v>
      </c>
      <c r="B47" s="90" t="s">
        <v>1724</v>
      </c>
      <c r="C47" s="92">
        <v>357.0</v>
      </c>
      <c r="D47" s="92">
        <v>8.0</v>
      </c>
      <c r="E47" s="93">
        <f t="shared" si="1"/>
        <v>0.02240896359</v>
      </c>
    </row>
    <row r="48">
      <c r="A48" s="90" t="s">
        <v>1725</v>
      </c>
      <c r="B48" s="90" t="s">
        <v>1726</v>
      </c>
      <c r="C48" s="92">
        <v>184.0</v>
      </c>
      <c r="D48" s="92">
        <v>4.0</v>
      </c>
      <c r="E48" s="93">
        <f t="shared" si="1"/>
        <v>0.02173913043</v>
      </c>
    </row>
    <row r="49">
      <c r="A49" s="90" t="s">
        <v>1727</v>
      </c>
      <c r="B49" s="90" t="s">
        <v>1728</v>
      </c>
      <c r="C49" s="92">
        <v>387.0</v>
      </c>
      <c r="D49" s="92">
        <v>102.0</v>
      </c>
      <c r="E49" s="93">
        <f t="shared" si="1"/>
        <v>0.2635658915</v>
      </c>
    </row>
    <row r="50">
      <c r="A50" s="90" t="s">
        <v>1729</v>
      </c>
      <c r="B50" s="90" t="s">
        <v>1730</v>
      </c>
      <c r="C50" s="91">
        <v>63706.0</v>
      </c>
      <c r="D50" s="91">
        <v>14077.0</v>
      </c>
      <c r="E50" s="93">
        <f t="shared" si="1"/>
        <v>0.2209681977</v>
      </c>
    </row>
    <row r="51">
      <c r="A51" s="90" t="s">
        <v>1731</v>
      </c>
      <c r="B51" s="90" t="s">
        <v>1732</v>
      </c>
      <c r="C51" s="91">
        <v>7638.0</v>
      </c>
      <c r="D51" s="91">
        <v>2307.0</v>
      </c>
      <c r="E51" s="93">
        <f t="shared" si="1"/>
        <v>0.3020424195</v>
      </c>
    </row>
    <row r="52">
      <c r="A52" s="90" t="s">
        <v>1733</v>
      </c>
      <c r="B52" s="90" t="s">
        <v>1734</v>
      </c>
      <c r="C52" s="91">
        <v>6978.0</v>
      </c>
      <c r="D52" s="91">
        <v>2202.0</v>
      </c>
      <c r="E52" s="93">
        <f t="shared" si="1"/>
        <v>0.3155631986</v>
      </c>
    </row>
    <row r="53">
      <c r="A53" s="90" t="s">
        <v>1735</v>
      </c>
      <c r="B53" s="90" t="s">
        <v>1736</v>
      </c>
      <c r="C53" s="91">
        <v>1897.0</v>
      </c>
      <c r="D53" s="92">
        <v>575.0</v>
      </c>
      <c r="E53" s="93">
        <f t="shared" si="1"/>
        <v>0.303110174</v>
      </c>
    </row>
    <row r="54">
      <c r="A54" s="90" t="s">
        <v>1737</v>
      </c>
      <c r="B54" s="90" t="s">
        <v>1738</v>
      </c>
      <c r="C54" s="91">
        <v>1580.0</v>
      </c>
      <c r="D54" s="92">
        <v>378.0</v>
      </c>
      <c r="E54" s="93">
        <f t="shared" si="1"/>
        <v>0.2392405063</v>
      </c>
    </row>
    <row r="55">
      <c r="A55" s="90" t="s">
        <v>1739</v>
      </c>
      <c r="B55" s="90" t="s">
        <v>1740</v>
      </c>
      <c r="C55" s="91">
        <v>2034.0</v>
      </c>
      <c r="D55" s="92">
        <v>249.0</v>
      </c>
      <c r="E55" s="93">
        <f t="shared" si="1"/>
        <v>0.1224188791</v>
      </c>
    </row>
    <row r="56">
      <c r="A56" s="90" t="s">
        <v>1741</v>
      </c>
      <c r="B56" s="90" t="s">
        <v>1742</v>
      </c>
      <c r="C56" s="92">
        <v>527.0</v>
      </c>
      <c r="D56" s="92">
        <v>194.0</v>
      </c>
      <c r="E56" s="93">
        <f t="shared" si="1"/>
        <v>0.3681214421</v>
      </c>
    </row>
    <row r="57">
      <c r="A57" s="90" t="s">
        <v>1743</v>
      </c>
      <c r="B57" s="90" t="s">
        <v>1744</v>
      </c>
      <c r="C57" s="91">
        <v>2884.0</v>
      </c>
      <c r="D57" s="92">
        <v>670.0</v>
      </c>
      <c r="E57" s="93">
        <f t="shared" si="1"/>
        <v>0.2323162275</v>
      </c>
    </row>
    <row r="58">
      <c r="A58" s="90" t="s">
        <v>1745</v>
      </c>
      <c r="B58" s="90" t="s">
        <v>1746</v>
      </c>
      <c r="C58" s="91">
        <v>3125.0</v>
      </c>
      <c r="D58" s="92">
        <v>537.0</v>
      </c>
      <c r="E58" s="93">
        <f t="shared" si="1"/>
        <v>0.17184</v>
      </c>
    </row>
    <row r="59">
      <c r="A59" s="90" t="s">
        <v>1747</v>
      </c>
      <c r="B59" s="90" t="s">
        <v>1748</v>
      </c>
      <c r="C59" s="91">
        <v>1787.0</v>
      </c>
      <c r="D59" s="92">
        <v>330.0</v>
      </c>
      <c r="E59" s="93">
        <f t="shared" si="1"/>
        <v>0.1846670397</v>
      </c>
    </row>
    <row r="60">
      <c r="A60" s="90" t="s">
        <v>1749</v>
      </c>
      <c r="B60" s="90" t="s">
        <v>1750</v>
      </c>
      <c r="C60" s="92">
        <v>169.0</v>
      </c>
      <c r="D60" s="92">
        <v>47.0</v>
      </c>
      <c r="E60" s="93">
        <f t="shared" si="1"/>
        <v>0.2781065089</v>
      </c>
    </row>
    <row r="61">
      <c r="A61" s="90" t="s">
        <v>1751</v>
      </c>
      <c r="B61" s="90" t="s">
        <v>1752</v>
      </c>
      <c r="C61" s="91">
        <v>1527.0</v>
      </c>
      <c r="D61" s="92">
        <v>125.0</v>
      </c>
      <c r="E61" s="93">
        <f t="shared" si="1"/>
        <v>0.08185985593</v>
      </c>
    </row>
    <row r="62">
      <c r="A62" s="90" t="s">
        <v>1753</v>
      </c>
      <c r="B62" s="90" t="s">
        <v>1754</v>
      </c>
      <c r="C62" s="91">
        <v>1423.0</v>
      </c>
      <c r="D62" s="92">
        <v>228.0</v>
      </c>
      <c r="E62" s="93">
        <f t="shared" si="1"/>
        <v>0.160224877</v>
      </c>
    </row>
    <row r="63">
      <c r="A63" s="90" t="s">
        <v>1755</v>
      </c>
      <c r="B63" s="90" t="s">
        <v>1756</v>
      </c>
      <c r="C63" s="91">
        <v>1638.0</v>
      </c>
      <c r="D63" s="92">
        <v>525.0</v>
      </c>
      <c r="E63" s="93">
        <f t="shared" si="1"/>
        <v>0.3205128205</v>
      </c>
    </row>
    <row r="64">
      <c r="A64" s="90" t="s">
        <v>1757</v>
      </c>
      <c r="B64" s="90" t="s">
        <v>1758</v>
      </c>
      <c r="C64" s="91">
        <v>6104.0</v>
      </c>
      <c r="D64" s="91">
        <v>2911.0</v>
      </c>
      <c r="E64" s="93">
        <f t="shared" si="1"/>
        <v>0.4769003932</v>
      </c>
    </row>
    <row r="65">
      <c r="A65" s="90" t="s">
        <v>1759</v>
      </c>
      <c r="B65" s="90" t="s">
        <v>1760</v>
      </c>
      <c r="C65" s="91">
        <v>1339.0</v>
      </c>
      <c r="D65" s="92">
        <v>621.0</v>
      </c>
      <c r="E65" s="93">
        <f t="shared" si="1"/>
        <v>0.4637789395</v>
      </c>
    </row>
    <row r="66">
      <c r="A66" s="90" t="s">
        <v>1761</v>
      </c>
      <c r="B66" s="90" t="s">
        <v>1762</v>
      </c>
      <c r="C66" s="92">
        <v>765.0</v>
      </c>
      <c r="D66" s="92">
        <v>496.0</v>
      </c>
      <c r="E66" s="93">
        <f t="shared" si="1"/>
        <v>0.6483660131</v>
      </c>
    </row>
    <row r="67">
      <c r="A67" s="90" t="s">
        <v>1763</v>
      </c>
      <c r="B67" s="90" t="s">
        <v>1764</v>
      </c>
      <c r="C67" s="92">
        <v>697.0</v>
      </c>
      <c r="D67" s="92">
        <v>499.0</v>
      </c>
      <c r="E67" s="93">
        <f t="shared" si="1"/>
        <v>0.7159253945</v>
      </c>
    </row>
    <row r="68">
      <c r="A68" s="90" t="s">
        <v>1765</v>
      </c>
      <c r="B68" s="90" t="s">
        <v>1766</v>
      </c>
      <c r="C68" s="91">
        <v>2208.0</v>
      </c>
      <c r="D68" s="91">
        <v>1642.0</v>
      </c>
      <c r="E68" s="93">
        <f t="shared" si="1"/>
        <v>0.7436594203</v>
      </c>
    </row>
    <row r="69">
      <c r="A69" s="90" t="s">
        <v>1767</v>
      </c>
      <c r="B69" s="90" t="s">
        <v>1768</v>
      </c>
      <c r="C69" s="91">
        <v>6380.0</v>
      </c>
      <c r="D69" s="91">
        <v>4526.0</v>
      </c>
      <c r="E69" s="93">
        <f t="shared" si="1"/>
        <v>0.7094043887</v>
      </c>
    </row>
    <row r="70">
      <c r="A70" s="90" t="s">
        <v>1769</v>
      </c>
      <c r="B70" s="90" t="s">
        <v>1770</v>
      </c>
      <c r="C70" s="91">
        <v>1165.0</v>
      </c>
      <c r="D70" s="92">
        <v>739.0</v>
      </c>
      <c r="E70" s="93">
        <f t="shared" si="1"/>
        <v>0.6343347639</v>
      </c>
    </row>
    <row r="71">
      <c r="A71" s="90" t="s">
        <v>1771</v>
      </c>
      <c r="B71" s="90" t="s">
        <v>1772</v>
      </c>
      <c r="C71" s="91">
        <v>1044.0</v>
      </c>
      <c r="D71" s="92">
        <v>429.0</v>
      </c>
      <c r="E71" s="93">
        <f t="shared" si="1"/>
        <v>0.4109195402</v>
      </c>
    </row>
    <row r="72">
      <c r="A72" s="90" t="s">
        <v>1773</v>
      </c>
      <c r="B72" s="90" t="s">
        <v>1774</v>
      </c>
      <c r="C72" s="91">
        <v>1452.0</v>
      </c>
      <c r="D72" s="92">
        <v>619.0</v>
      </c>
      <c r="E72" s="93">
        <f t="shared" si="1"/>
        <v>0.4263085399</v>
      </c>
    </row>
    <row r="73">
      <c r="A73" s="90" t="s">
        <v>1775</v>
      </c>
      <c r="B73" s="90" t="s">
        <v>1776</v>
      </c>
      <c r="C73" s="91">
        <v>2226.0</v>
      </c>
      <c r="D73" s="91">
        <v>1049.0</v>
      </c>
      <c r="E73" s="93">
        <f t="shared" si="1"/>
        <v>0.4712488769</v>
      </c>
    </row>
    <row r="74">
      <c r="A74" s="90" t="s">
        <v>1777</v>
      </c>
      <c r="B74" s="90" t="s">
        <v>1778</v>
      </c>
      <c r="C74" s="92">
        <v>612.0</v>
      </c>
      <c r="D74" s="92">
        <v>208.0</v>
      </c>
      <c r="E74" s="93">
        <f t="shared" si="1"/>
        <v>0.339869281</v>
      </c>
    </row>
    <row r="75">
      <c r="A75" s="90" t="s">
        <v>1779</v>
      </c>
      <c r="B75" s="90" t="s">
        <v>1780</v>
      </c>
      <c r="C75" s="92">
        <v>904.0</v>
      </c>
      <c r="D75" s="92">
        <v>223.0</v>
      </c>
      <c r="E75" s="93">
        <f t="shared" si="1"/>
        <v>0.2466814159</v>
      </c>
    </row>
    <row r="76">
      <c r="A76" s="90" t="s">
        <v>1781</v>
      </c>
      <c r="B76" s="90" t="s">
        <v>1782</v>
      </c>
      <c r="C76" s="92">
        <v>351.0</v>
      </c>
      <c r="D76" s="92">
        <v>96.0</v>
      </c>
      <c r="E76" s="93">
        <f t="shared" si="1"/>
        <v>0.2735042735</v>
      </c>
    </row>
    <row r="77">
      <c r="A77" s="90" t="s">
        <v>1783</v>
      </c>
      <c r="B77" s="90" t="s">
        <v>1784</v>
      </c>
      <c r="C77" s="92">
        <v>805.0</v>
      </c>
      <c r="D77" s="92">
        <v>551.0</v>
      </c>
      <c r="E77" s="93">
        <f t="shared" si="1"/>
        <v>0.6844720497</v>
      </c>
    </row>
    <row r="78">
      <c r="A78" s="90" t="s">
        <v>1785</v>
      </c>
      <c r="B78" s="90" t="s">
        <v>1786</v>
      </c>
      <c r="C78" s="91">
        <v>2007.0</v>
      </c>
      <c r="D78" s="92">
        <v>993.0</v>
      </c>
      <c r="E78" s="93">
        <f t="shared" si="1"/>
        <v>0.4947683109</v>
      </c>
    </row>
    <row r="79">
      <c r="A79" s="90" t="s">
        <v>1787</v>
      </c>
      <c r="B79" s="90" t="s">
        <v>1788</v>
      </c>
      <c r="C79" s="92">
        <v>880.0</v>
      </c>
      <c r="D79" s="92">
        <v>219.0</v>
      </c>
      <c r="E79" s="93">
        <f t="shared" si="1"/>
        <v>0.2488636364</v>
      </c>
    </row>
    <row r="80">
      <c r="A80" s="90" t="s">
        <v>1789</v>
      </c>
      <c r="B80" s="90" t="s">
        <v>1790</v>
      </c>
      <c r="C80" s="91">
        <v>1379.0</v>
      </c>
      <c r="D80" s="92">
        <v>107.0</v>
      </c>
      <c r="E80" s="93">
        <f t="shared" si="1"/>
        <v>0.0775924583</v>
      </c>
    </row>
    <row r="81">
      <c r="A81" s="90" t="s">
        <v>1791</v>
      </c>
      <c r="B81" s="90" t="s">
        <v>1792</v>
      </c>
      <c r="C81" s="91">
        <v>1366.0</v>
      </c>
      <c r="D81" s="92">
        <v>545.0</v>
      </c>
      <c r="E81" s="93">
        <f t="shared" si="1"/>
        <v>0.3989751098</v>
      </c>
    </row>
    <row r="82">
      <c r="A82" s="90" t="s">
        <v>1793</v>
      </c>
      <c r="B82" s="90" t="s">
        <v>1794</v>
      </c>
      <c r="C82" s="92">
        <v>746.0</v>
      </c>
      <c r="D82" s="92">
        <v>203.0</v>
      </c>
      <c r="E82" s="93">
        <f t="shared" si="1"/>
        <v>0.2721179625</v>
      </c>
    </row>
    <row r="83">
      <c r="A83" s="90" t="s">
        <v>1795</v>
      </c>
      <c r="B83" s="90" t="s">
        <v>1796</v>
      </c>
      <c r="C83" s="92">
        <v>367.0</v>
      </c>
      <c r="D83" s="92">
        <v>101.0</v>
      </c>
      <c r="E83" s="93">
        <f t="shared" si="1"/>
        <v>0.2752043597</v>
      </c>
    </row>
    <row r="84">
      <c r="A84" s="90" t="s">
        <v>1797</v>
      </c>
      <c r="B84" s="90" t="s">
        <v>1798</v>
      </c>
      <c r="C84" s="92">
        <v>940.0</v>
      </c>
      <c r="D84" s="92">
        <v>57.0</v>
      </c>
      <c r="E84" s="93">
        <f t="shared" si="1"/>
        <v>0.06063829787</v>
      </c>
    </row>
    <row r="85">
      <c r="A85" s="90" t="s">
        <v>1799</v>
      </c>
      <c r="B85" s="90" t="s">
        <v>1800</v>
      </c>
      <c r="C85" s="92">
        <v>523.0</v>
      </c>
      <c r="D85" s="92">
        <v>226.0</v>
      </c>
      <c r="E85" s="93">
        <f t="shared" si="1"/>
        <v>0.4321223709</v>
      </c>
    </row>
    <row r="86">
      <c r="A86" s="90" t="s">
        <v>1801</v>
      </c>
      <c r="B86" s="90" t="s">
        <v>1802</v>
      </c>
      <c r="C86" s="92">
        <v>385.0</v>
      </c>
      <c r="D86" s="92">
        <v>39.0</v>
      </c>
      <c r="E86" s="93">
        <f t="shared" si="1"/>
        <v>0.1012987013</v>
      </c>
    </row>
    <row r="87">
      <c r="A87" s="90" t="s">
        <v>1803</v>
      </c>
      <c r="B87" s="90" t="s">
        <v>1804</v>
      </c>
      <c r="C87" s="92">
        <v>403.0</v>
      </c>
      <c r="D87" s="92">
        <v>14.0</v>
      </c>
      <c r="E87" s="93">
        <f t="shared" si="1"/>
        <v>0.03473945409</v>
      </c>
    </row>
    <row r="88">
      <c r="A88" s="90" t="s">
        <v>1805</v>
      </c>
      <c r="B88" s="90" t="s">
        <v>1806</v>
      </c>
      <c r="C88" s="92">
        <v>578.0</v>
      </c>
      <c r="D88" s="92">
        <v>57.0</v>
      </c>
      <c r="E88" s="93">
        <f t="shared" si="1"/>
        <v>0.09861591696</v>
      </c>
    </row>
    <row r="89">
      <c r="A89" s="90" t="s">
        <v>1807</v>
      </c>
      <c r="B89" s="90" t="s">
        <v>1808</v>
      </c>
      <c r="C89" s="92">
        <v>898.0</v>
      </c>
      <c r="D89" s="92">
        <v>133.0</v>
      </c>
      <c r="E89" s="93">
        <f t="shared" si="1"/>
        <v>0.1481069042</v>
      </c>
    </row>
    <row r="90">
      <c r="A90" s="90" t="s">
        <v>1809</v>
      </c>
      <c r="B90" s="90" t="s">
        <v>1810</v>
      </c>
      <c r="C90" s="92">
        <v>703.0</v>
      </c>
      <c r="D90" s="92">
        <v>118.0</v>
      </c>
      <c r="E90" s="93">
        <f t="shared" si="1"/>
        <v>0.1678520626</v>
      </c>
    </row>
    <row r="91">
      <c r="A91" s="90" t="s">
        <v>1811</v>
      </c>
      <c r="B91" s="90" t="s">
        <v>1812</v>
      </c>
      <c r="C91" s="91">
        <v>3560.0</v>
      </c>
      <c r="D91" s="91">
        <v>1998.0</v>
      </c>
      <c r="E91" s="93">
        <f t="shared" si="1"/>
        <v>0.5612359551</v>
      </c>
    </row>
    <row r="92">
      <c r="A92" s="90" t="s">
        <v>1813</v>
      </c>
      <c r="B92" s="90" t="s">
        <v>1814</v>
      </c>
      <c r="C92" s="91">
        <v>2211.0</v>
      </c>
      <c r="D92" s="92">
        <v>857.0</v>
      </c>
      <c r="E92" s="93">
        <f t="shared" si="1"/>
        <v>0.3876074175</v>
      </c>
    </row>
    <row r="93">
      <c r="A93" s="90" t="s">
        <v>1815</v>
      </c>
      <c r="B93" s="90" t="s">
        <v>1816</v>
      </c>
      <c r="C93" s="92">
        <v>169.0</v>
      </c>
      <c r="D93" s="92">
        <v>70.0</v>
      </c>
      <c r="E93" s="93">
        <f t="shared" si="1"/>
        <v>0.4142011834</v>
      </c>
    </row>
    <row r="94">
      <c r="A94" s="90" t="s">
        <v>1817</v>
      </c>
      <c r="B94" s="90" t="s">
        <v>1818</v>
      </c>
      <c r="C94" s="92">
        <v>444.0</v>
      </c>
      <c r="D94" s="92">
        <v>229.0</v>
      </c>
      <c r="E94" s="93">
        <f t="shared" si="1"/>
        <v>0.5157657658</v>
      </c>
    </row>
    <row r="95">
      <c r="A95" s="90" t="s">
        <v>1819</v>
      </c>
      <c r="B95" s="90" t="s">
        <v>1820</v>
      </c>
      <c r="C95" s="92">
        <v>421.0</v>
      </c>
      <c r="D95" s="92">
        <v>145.0</v>
      </c>
      <c r="E95" s="93">
        <f t="shared" si="1"/>
        <v>0.3444180523</v>
      </c>
    </row>
    <row r="96">
      <c r="A96" s="90" t="s">
        <v>1821</v>
      </c>
      <c r="B96" s="90" t="s">
        <v>1822</v>
      </c>
      <c r="C96" s="91">
        <v>1510.0</v>
      </c>
      <c r="D96" s="92">
        <v>361.0</v>
      </c>
      <c r="E96" s="93">
        <f t="shared" si="1"/>
        <v>0.2390728477</v>
      </c>
    </row>
    <row r="97">
      <c r="A97" s="90" t="s">
        <v>1823</v>
      </c>
      <c r="B97" s="90" t="s">
        <v>1824</v>
      </c>
      <c r="C97" s="92">
        <v>603.0</v>
      </c>
      <c r="D97" s="92">
        <v>252.0</v>
      </c>
      <c r="E97" s="93">
        <f t="shared" si="1"/>
        <v>0.4179104478</v>
      </c>
    </row>
    <row r="98">
      <c r="A98" s="90" t="s">
        <v>1825</v>
      </c>
      <c r="B98" s="90" t="s">
        <v>1826</v>
      </c>
      <c r="C98" s="91">
        <v>3240.0</v>
      </c>
      <c r="D98" s="91">
        <v>1319.0</v>
      </c>
      <c r="E98" s="93">
        <f t="shared" si="1"/>
        <v>0.4070987654</v>
      </c>
    </row>
    <row r="99">
      <c r="A99" s="90" t="s">
        <v>1827</v>
      </c>
      <c r="B99" s="90" t="s">
        <v>1828</v>
      </c>
      <c r="C99" s="91">
        <v>4349.0</v>
      </c>
      <c r="D99" s="91">
        <v>1441.0</v>
      </c>
      <c r="E99" s="93">
        <f t="shared" si="1"/>
        <v>0.3313405381</v>
      </c>
    </row>
    <row r="100">
      <c r="A100" s="90" t="s">
        <v>1829</v>
      </c>
      <c r="B100" s="90" t="s">
        <v>1830</v>
      </c>
      <c r="C100" s="92">
        <v>276.0</v>
      </c>
      <c r="D100" s="92">
        <v>68.0</v>
      </c>
      <c r="E100" s="93">
        <f t="shared" si="1"/>
        <v>0.2463768116</v>
      </c>
    </row>
    <row r="101">
      <c r="A101" s="90" t="s">
        <v>1831</v>
      </c>
      <c r="B101" s="90" t="s">
        <v>1832</v>
      </c>
      <c r="C101" s="92">
        <v>210.0</v>
      </c>
      <c r="D101" s="92">
        <v>125.0</v>
      </c>
      <c r="E101" s="93">
        <f t="shared" si="1"/>
        <v>0.5952380952</v>
      </c>
    </row>
    <row r="102">
      <c r="A102" s="90" t="s">
        <v>1833</v>
      </c>
      <c r="B102" s="90" t="s">
        <v>1834</v>
      </c>
      <c r="C102" s="92">
        <v>470.0</v>
      </c>
      <c r="D102" s="92">
        <v>181.0</v>
      </c>
      <c r="E102" s="93">
        <f t="shared" si="1"/>
        <v>0.385106383</v>
      </c>
    </row>
    <row r="103">
      <c r="A103" s="90" t="s">
        <v>1835</v>
      </c>
      <c r="B103" s="90" t="s">
        <v>1836</v>
      </c>
      <c r="C103" s="92">
        <v>249.0</v>
      </c>
      <c r="D103" s="92">
        <v>175.0</v>
      </c>
      <c r="E103" s="93">
        <f t="shared" si="1"/>
        <v>0.702811245</v>
      </c>
    </row>
    <row r="104">
      <c r="A104" s="90" t="s">
        <v>1837</v>
      </c>
      <c r="B104" s="90" t="s">
        <v>1838</v>
      </c>
      <c r="C104" s="92">
        <v>424.0</v>
      </c>
      <c r="D104" s="92">
        <v>135.0</v>
      </c>
      <c r="E104" s="93">
        <f t="shared" si="1"/>
        <v>0.3183962264</v>
      </c>
    </row>
    <row r="105">
      <c r="A105" s="90" t="s">
        <v>1839</v>
      </c>
      <c r="B105" s="90" t="s">
        <v>1840</v>
      </c>
      <c r="C105" s="92">
        <v>672.0</v>
      </c>
      <c r="D105" s="92">
        <v>226.0</v>
      </c>
      <c r="E105" s="93">
        <f t="shared" si="1"/>
        <v>0.3363095238</v>
      </c>
    </row>
    <row r="106">
      <c r="A106" s="90" t="s">
        <v>1841</v>
      </c>
      <c r="B106" s="90" t="s">
        <v>1842</v>
      </c>
      <c r="C106" s="92">
        <v>344.0</v>
      </c>
      <c r="D106" s="92">
        <v>66.0</v>
      </c>
      <c r="E106" s="93">
        <f t="shared" si="1"/>
        <v>0.1918604651</v>
      </c>
    </row>
    <row r="107">
      <c r="A107" s="90" t="s">
        <v>1843</v>
      </c>
      <c r="B107" s="90" t="s">
        <v>1844</v>
      </c>
      <c r="C107" s="92">
        <v>790.0</v>
      </c>
      <c r="D107" s="92">
        <v>101.0</v>
      </c>
      <c r="E107" s="93">
        <f t="shared" si="1"/>
        <v>0.1278481013</v>
      </c>
    </row>
    <row r="108">
      <c r="A108" s="90" t="s">
        <v>1845</v>
      </c>
      <c r="B108" s="90" t="s">
        <v>1846</v>
      </c>
      <c r="C108" s="91">
        <v>2010.0</v>
      </c>
      <c r="D108" s="92">
        <v>399.0</v>
      </c>
      <c r="E108" s="93">
        <f t="shared" si="1"/>
        <v>0.1985074627</v>
      </c>
    </row>
    <row r="109">
      <c r="A109" s="90" t="s">
        <v>1847</v>
      </c>
      <c r="B109" s="90" t="s">
        <v>1848</v>
      </c>
      <c r="C109" s="91">
        <v>4448.0</v>
      </c>
      <c r="D109" s="91">
        <v>1297.0</v>
      </c>
      <c r="E109" s="93">
        <f t="shared" si="1"/>
        <v>0.2915917266</v>
      </c>
    </row>
    <row r="110">
      <c r="A110" s="90" t="s">
        <v>1849</v>
      </c>
      <c r="B110" s="90" t="s">
        <v>1850</v>
      </c>
      <c r="C110" s="92">
        <v>305.0</v>
      </c>
      <c r="D110" s="92">
        <v>224.0</v>
      </c>
      <c r="E110" s="93">
        <f t="shared" si="1"/>
        <v>0.7344262295</v>
      </c>
    </row>
    <row r="111">
      <c r="A111" s="90" t="s">
        <v>1851</v>
      </c>
      <c r="B111" s="90" t="s">
        <v>1852</v>
      </c>
      <c r="C111" s="91">
        <v>1696.0</v>
      </c>
      <c r="D111" s="91">
        <v>1006.0</v>
      </c>
      <c r="E111" s="93">
        <f t="shared" si="1"/>
        <v>0.5931603774</v>
      </c>
    </row>
    <row r="112">
      <c r="A112" s="90" t="s">
        <v>1853</v>
      </c>
      <c r="B112" s="90" t="s">
        <v>1854</v>
      </c>
      <c r="C112" s="92">
        <v>646.0</v>
      </c>
      <c r="D112" s="92">
        <v>376.0</v>
      </c>
      <c r="E112" s="93">
        <f t="shared" si="1"/>
        <v>0.5820433437</v>
      </c>
    </row>
    <row r="113">
      <c r="A113" s="90" t="s">
        <v>1855</v>
      </c>
      <c r="B113" s="90" t="s">
        <v>1856</v>
      </c>
      <c r="C113" s="92">
        <v>647.0</v>
      </c>
      <c r="D113" s="92">
        <v>497.0</v>
      </c>
      <c r="E113" s="93">
        <f t="shared" si="1"/>
        <v>0.7681607419</v>
      </c>
    </row>
    <row r="114">
      <c r="A114" s="90" t="s">
        <v>1857</v>
      </c>
      <c r="B114" s="90" t="s">
        <v>1858</v>
      </c>
      <c r="C114" s="91">
        <v>1668.0</v>
      </c>
      <c r="D114" s="92">
        <v>495.0</v>
      </c>
      <c r="E114" s="93">
        <f t="shared" si="1"/>
        <v>0.2967625899</v>
      </c>
    </row>
    <row r="115">
      <c r="A115" s="90" t="s">
        <v>1859</v>
      </c>
      <c r="B115" s="90" t="s">
        <v>1860</v>
      </c>
      <c r="C115" s="92">
        <v>155.0</v>
      </c>
      <c r="D115" s="92">
        <v>87.0</v>
      </c>
      <c r="E115" s="93">
        <f t="shared" si="1"/>
        <v>0.5612903226</v>
      </c>
    </row>
    <row r="116">
      <c r="A116" s="90" t="s">
        <v>1861</v>
      </c>
      <c r="B116" s="90" t="s">
        <v>1862</v>
      </c>
      <c r="C116" s="92">
        <v>465.0</v>
      </c>
      <c r="D116" s="92">
        <v>320.0</v>
      </c>
      <c r="E116" s="93">
        <f t="shared" si="1"/>
        <v>0.688172043</v>
      </c>
    </row>
    <row r="117">
      <c r="A117" s="90" t="s">
        <v>1863</v>
      </c>
      <c r="B117" s="90" t="s">
        <v>1864</v>
      </c>
      <c r="C117" s="92">
        <v>292.0</v>
      </c>
      <c r="D117" s="92">
        <v>172.0</v>
      </c>
      <c r="E117" s="93">
        <f t="shared" si="1"/>
        <v>0.5890410959</v>
      </c>
    </row>
    <row r="118">
      <c r="A118" s="90" t="s">
        <v>1865</v>
      </c>
      <c r="B118" s="90" t="s">
        <v>1866</v>
      </c>
      <c r="C118" s="92">
        <v>140.0</v>
      </c>
      <c r="D118" s="92">
        <v>95.0</v>
      </c>
      <c r="E118" s="93">
        <f t="shared" si="1"/>
        <v>0.6785714286</v>
      </c>
    </row>
    <row r="119">
      <c r="A119" s="90" t="s">
        <v>1867</v>
      </c>
      <c r="B119" s="90" t="s">
        <v>1868</v>
      </c>
      <c r="C119" s="92">
        <v>79.0</v>
      </c>
      <c r="D119" s="92">
        <v>37.0</v>
      </c>
      <c r="E119" s="93">
        <f t="shared" si="1"/>
        <v>0.4683544304</v>
      </c>
    </row>
    <row r="120">
      <c r="A120" s="90" t="s">
        <v>1869</v>
      </c>
      <c r="B120" s="90" t="s">
        <v>1870</v>
      </c>
      <c r="C120" s="92">
        <v>276.0</v>
      </c>
      <c r="D120" s="92">
        <v>168.0</v>
      </c>
      <c r="E120" s="93">
        <f t="shared" si="1"/>
        <v>0.6086956522</v>
      </c>
    </row>
    <row r="121">
      <c r="A121" s="90" t="s">
        <v>1871</v>
      </c>
      <c r="B121" s="90" t="s">
        <v>1872</v>
      </c>
      <c r="C121" s="92">
        <v>311.0</v>
      </c>
      <c r="D121" s="92">
        <v>246.0</v>
      </c>
      <c r="E121" s="93">
        <f t="shared" si="1"/>
        <v>0.7909967846</v>
      </c>
    </row>
    <row r="122">
      <c r="A122" s="90" t="s">
        <v>1873</v>
      </c>
      <c r="B122" s="90" t="s">
        <v>1874</v>
      </c>
      <c r="C122" s="92">
        <v>298.0</v>
      </c>
      <c r="D122" s="92">
        <v>84.0</v>
      </c>
      <c r="E122" s="93">
        <f t="shared" si="1"/>
        <v>0.2818791946</v>
      </c>
    </row>
    <row r="123">
      <c r="A123" s="90" t="s">
        <v>1875</v>
      </c>
      <c r="B123" s="90" t="s">
        <v>1876</v>
      </c>
      <c r="C123" s="91">
        <v>5390.0</v>
      </c>
      <c r="D123" s="91">
        <v>2833.0</v>
      </c>
      <c r="E123" s="93">
        <f t="shared" si="1"/>
        <v>0.5256029685</v>
      </c>
    </row>
    <row r="124">
      <c r="A124" s="90" t="s">
        <v>1877</v>
      </c>
      <c r="B124" s="90" t="s">
        <v>1878</v>
      </c>
      <c r="C124" s="92">
        <v>846.0</v>
      </c>
      <c r="D124" s="92">
        <v>490.0</v>
      </c>
      <c r="E124" s="93">
        <f t="shared" si="1"/>
        <v>0.5791962175</v>
      </c>
    </row>
    <row r="125">
      <c r="A125" s="90" t="s">
        <v>1879</v>
      </c>
      <c r="B125" s="90" t="s">
        <v>1880</v>
      </c>
      <c r="C125" s="92">
        <v>408.0</v>
      </c>
      <c r="D125" s="92">
        <v>226.0</v>
      </c>
      <c r="E125" s="93">
        <f t="shared" si="1"/>
        <v>0.5539215686</v>
      </c>
    </row>
    <row r="126">
      <c r="A126" s="90" t="s">
        <v>1881</v>
      </c>
      <c r="B126" s="90" t="s">
        <v>1882</v>
      </c>
      <c r="C126" s="92">
        <v>294.0</v>
      </c>
      <c r="D126" s="92">
        <v>153.0</v>
      </c>
      <c r="E126" s="93">
        <f t="shared" si="1"/>
        <v>0.5204081633</v>
      </c>
    </row>
    <row r="127">
      <c r="A127" s="90" t="s">
        <v>1883</v>
      </c>
      <c r="B127" s="90" t="s">
        <v>1884</v>
      </c>
      <c r="C127" s="92">
        <v>328.0</v>
      </c>
      <c r="D127" s="92">
        <v>177.0</v>
      </c>
      <c r="E127" s="93">
        <f t="shared" si="1"/>
        <v>0.5396341463</v>
      </c>
    </row>
    <row r="128">
      <c r="A128" s="90" t="s">
        <v>1885</v>
      </c>
      <c r="B128" s="90" t="s">
        <v>1886</v>
      </c>
      <c r="C128" s="92">
        <v>123.0</v>
      </c>
      <c r="D128" s="92">
        <v>69.0</v>
      </c>
      <c r="E128" s="93">
        <f t="shared" si="1"/>
        <v>0.5609756098</v>
      </c>
    </row>
    <row r="129">
      <c r="A129" s="90" t="s">
        <v>1887</v>
      </c>
      <c r="B129" s="90" t="s">
        <v>1888</v>
      </c>
      <c r="C129" s="92">
        <v>135.0</v>
      </c>
      <c r="D129" s="92">
        <v>82.0</v>
      </c>
      <c r="E129" s="93">
        <f t="shared" si="1"/>
        <v>0.6074074074</v>
      </c>
    </row>
    <row r="130">
      <c r="A130" s="90" t="s">
        <v>1889</v>
      </c>
      <c r="B130" s="90" t="s">
        <v>1890</v>
      </c>
      <c r="C130" s="92">
        <v>410.0</v>
      </c>
      <c r="D130" s="92">
        <v>328.0</v>
      </c>
      <c r="E130" s="93">
        <f t="shared" si="1"/>
        <v>0.8</v>
      </c>
    </row>
    <row r="131">
      <c r="A131" s="90" t="s">
        <v>1891</v>
      </c>
      <c r="B131" s="90" t="s">
        <v>1892</v>
      </c>
      <c r="C131" s="92">
        <v>135.0</v>
      </c>
      <c r="D131" s="92">
        <v>85.0</v>
      </c>
      <c r="E131" s="93">
        <f t="shared" si="1"/>
        <v>0.6296296296</v>
      </c>
    </row>
    <row r="132">
      <c r="A132" s="90" t="s">
        <v>1893</v>
      </c>
      <c r="B132" s="90" t="s">
        <v>1894</v>
      </c>
      <c r="C132" s="92">
        <v>113.0</v>
      </c>
      <c r="D132" s="92">
        <v>58.0</v>
      </c>
      <c r="E132" s="93">
        <f t="shared" si="1"/>
        <v>0.5132743363</v>
      </c>
    </row>
    <row r="133">
      <c r="A133" s="90" t="s">
        <v>1895</v>
      </c>
      <c r="B133" s="90" t="s">
        <v>1896</v>
      </c>
      <c r="C133" s="92">
        <v>233.0</v>
      </c>
      <c r="D133" s="92">
        <v>136.0</v>
      </c>
      <c r="E133" s="93">
        <f t="shared" si="1"/>
        <v>0.5836909871</v>
      </c>
    </row>
    <row r="134">
      <c r="A134" s="90" t="s">
        <v>1897</v>
      </c>
      <c r="B134" s="90" t="s">
        <v>1898</v>
      </c>
      <c r="C134" s="91">
        <v>4037.0</v>
      </c>
      <c r="D134" s="91">
        <v>2499.0</v>
      </c>
      <c r="E134" s="93">
        <f t="shared" si="1"/>
        <v>0.6190240277</v>
      </c>
    </row>
    <row r="135">
      <c r="A135" s="90" t="s">
        <v>1899</v>
      </c>
      <c r="B135" s="90" t="s">
        <v>1900</v>
      </c>
      <c r="C135" s="91">
        <v>1588.0</v>
      </c>
      <c r="D135" s="92">
        <v>997.0</v>
      </c>
      <c r="E135" s="93">
        <f t="shared" si="1"/>
        <v>0.6278337531</v>
      </c>
    </row>
    <row r="136">
      <c r="A136" s="90" t="s">
        <v>1901</v>
      </c>
      <c r="B136" s="90" t="s">
        <v>1902</v>
      </c>
      <c r="C136" s="92">
        <v>619.0</v>
      </c>
      <c r="D136" s="92">
        <v>379.0</v>
      </c>
      <c r="E136" s="93">
        <f t="shared" si="1"/>
        <v>0.6122778675</v>
      </c>
    </row>
    <row r="137">
      <c r="A137" s="90" t="s">
        <v>1903</v>
      </c>
      <c r="B137" s="90" t="s">
        <v>1904</v>
      </c>
      <c r="C137" s="92">
        <v>467.0</v>
      </c>
      <c r="D137" s="92">
        <v>283.0</v>
      </c>
      <c r="E137" s="93">
        <f t="shared" si="1"/>
        <v>0.6059957173</v>
      </c>
    </row>
    <row r="138">
      <c r="A138" s="90" t="s">
        <v>1905</v>
      </c>
      <c r="B138" s="90" t="s">
        <v>1906</v>
      </c>
      <c r="C138" s="92">
        <v>180.0</v>
      </c>
      <c r="D138" s="92">
        <v>133.0</v>
      </c>
      <c r="E138" s="93">
        <f t="shared" si="1"/>
        <v>0.7388888889</v>
      </c>
    </row>
    <row r="139">
      <c r="A139" s="90" t="s">
        <v>1907</v>
      </c>
      <c r="B139" s="90" t="s">
        <v>1908</v>
      </c>
      <c r="C139" s="92">
        <v>943.0</v>
      </c>
      <c r="D139" s="92">
        <v>456.0</v>
      </c>
      <c r="E139" s="93">
        <f t="shared" si="1"/>
        <v>0.4835630965</v>
      </c>
    </row>
    <row r="140">
      <c r="A140" s="90" t="s">
        <v>1909</v>
      </c>
      <c r="B140" s="90" t="s">
        <v>1910</v>
      </c>
      <c r="C140" s="91">
        <v>2220.0</v>
      </c>
      <c r="D140" s="91">
        <v>1267.0</v>
      </c>
      <c r="E140" s="93">
        <f t="shared" si="1"/>
        <v>0.5707207207</v>
      </c>
    </row>
    <row r="141">
      <c r="A141" s="90" t="s">
        <v>1911</v>
      </c>
      <c r="B141" s="90" t="s">
        <v>1912</v>
      </c>
      <c r="C141" s="91">
        <v>1102.0</v>
      </c>
      <c r="D141" s="92">
        <v>722.0</v>
      </c>
      <c r="E141" s="93">
        <f t="shared" si="1"/>
        <v>0.6551724138</v>
      </c>
    </row>
    <row r="142">
      <c r="A142" s="90" t="s">
        <v>1913</v>
      </c>
      <c r="B142" s="90" t="s">
        <v>1914</v>
      </c>
      <c r="C142" s="92">
        <v>689.0</v>
      </c>
      <c r="D142" s="92">
        <v>600.0</v>
      </c>
      <c r="E142" s="93">
        <f t="shared" si="1"/>
        <v>0.8708272859</v>
      </c>
    </row>
    <row r="143">
      <c r="A143" s="90" t="s">
        <v>1915</v>
      </c>
      <c r="B143" s="90" t="s">
        <v>1916</v>
      </c>
      <c r="C143" s="92">
        <v>417.0</v>
      </c>
      <c r="D143" s="92">
        <v>174.0</v>
      </c>
      <c r="E143" s="93">
        <f t="shared" si="1"/>
        <v>0.4172661871</v>
      </c>
    </row>
    <row r="144">
      <c r="A144" s="90" t="s">
        <v>1917</v>
      </c>
      <c r="B144" s="90" t="s">
        <v>1918</v>
      </c>
      <c r="C144" s="92">
        <v>298.0</v>
      </c>
      <c r="D144" s="92">
        <v>192.0</v>
      </c>
      <c r="E144" s="93">
        <f t="shared" si="1"/>
        <v>0.644295302</v>
      </c>
    </row>
    <row r="145">
      <c r="A145" s="90" t="s">
        <v>1919</v>
      </c>
      <c r="B145" s="90" t="s">
        <v>1920</v>
      </c>
      <c r="C145" s="91">
        <v>1314.0</v>
      </c>
      <c r="D145" s="92">
        <v>529.0</v>
      </c>
      <c r="E145" s="93">
        <f t="shared" si="1"/>
        <v>0.402587519</v>
      </c>
    </row>
    <row r="146">
      <c r="A146" s="90" t="s">
        <v>1921</v>
      </c>
      <c r="B146" s="90" t="s">
        <v>1922</v>
      </c>
      <c r="C146" s="92">
        <v>162.0</v>
      </c>
      <c r="D146" s="92">
        <v>66.0</v>
      </c>
      <c r="E146" s="93">
        <f t="shared" si="1"/>
        <v>0.4074074074</v>
      </c>
    </row>
    <row r="147">
      <c r="A147" s="90" t="s">
        <v>1923</v>
      </c>
      <c r="B147" s="90" t="s">
        <v>1924</v>
      </c>
      <c r="C147" s="92">
        <v>118.0</v>
      </c>
      <c r="D147" s="92">
        <v>37.0</v>
      </c>
      <c r="E147" s="93">
        <f t="shared" si="1"/>
        <v>0.313559322</v>
      </c>
    </row>
    <row r="148">
      <c r="A148" s="90" t="s">
        <v>1925</v>
      </c>
      <c r="B148" s="90" t="s">
        <v>1926</v>
      </c>
      <c r="C148" s="92">
        <v>107.0</v>
      </c>
      <c r="D148" s="92">
        <v>40.0</v>
      </c>
      <c r="E148" s="93">
        <f t="shared" si="1"/>
        <v>0.3738317757</v>
      </c>
    </row>
    <row r="149">
      <c r="A149" s="90" t="s">
        <v>1927</v>
      </c>
      <c r="B149" s="90" t="s">
        <v>1928</v>
      </c>
      <c r="C149" s="92">
        <v>757.0</v>
      </c>
      <c r="D149" s="92">
        <v>317.0</v>
      </c>
      <c r="E149" s="93">
        <f t="shared" si="1"/>
        <v>0.4187582563</v>
      </c>
    </row>
    <row r="150">
      <c r="A150" s="90" t="s">
        <v>1929</v>
      </c>
      <c r="B150" s="90" t="s">
        <v>1930</v>
      </c>
      <c r="C150" s="91">
        <v>6134.0</v>
      </c>
      <c r="D150" s="91">
        <v>5461.0</v>
      </c>
      <c r="E150" s="93">
        <f t="shared" si="1"/>
        <v>0.8902836648</v>
      </c>
    </row>
    <row r="151">
      <c r="A151" s="90" t="s">
        <v>1931</v>
      </c>
      <c r="B151" s="90" t="s">
        <v>1932</v>
      </c>
      <c r="C151" s="91">
        <v>1040.0</v>
      </c>
      <c r="D151" s="91">
        <v>1027.0</v>
      </c>
      <c r="E151" s="93">
        <f t="shared" si="1"/>
        <v>0.9875</v>
      </c>
    </row>
    <row r="152">
      <c r="A152" s="90" t="s">
        <v>1933</v>
      </c>
      <c r="B152" s="90" t="s">
        <v>1934</v>
      </c>
      <c r="C152" s="92">
        <v>336.0</v>
      </c>
      <c r="D152" s="92">
        <v>232.0</v>
      </c>
      <c r="E152" s="93">
        <f t="shared" si="1"/>
        <v>0.6904761905</v>
      </c>
    </row>
    <row r="153">
      <c r="A153" s="90" t="s">
        <v>1935</v>
      </c>
      <c r="B153" s="90" t="s">
        <v>1936</v>
      </c>
      <c r="C153" s="91">
        <v>2257.0</v>
      </c>
      <c r="D153" s="91">
        <v>2031.0</v>
      </c>
      <c r="E153" s="93">
        <f t="shared" si="1"/>
        <v>0.8998670802</v>
      </c>
    </row>
    <row r="154">
      <c r="A154" s="90" t="s">
        <v>1937</v>
      </c>
      <c r="B154" s="90" t="s">
        <v>1938</v>
      </c>
      <c r="C154" s="92">
        <v>398.0</v>
      </c>
      <c r="D154" s="92">
        <v>278.0</v>
      </c>
      <c r="E154" s="93">
        <f t="shared" si="1"/>
        <v>0.6984924623</v>
      </c>
    </row>
    <row r="155">
      <c r="A155" s="90" t="s">
        <v>1939</v>
      </c>
      <c r="B155" s="90" t="s">
        <v>1940</v>
      </c>
      <c r="C155" s="91">
        <v>1401.0</v>
      </c>
      <c r="D155" s="92">
        <v>862.0</v>
      </c>
      <c r="E155" s="93">
        <f t="shared" si="1"/>
        <v>0.6152748037</v>
      </c>
    </row>
    <row r="156">
      <c r="A156" s="90" t="s">
        <v>1941</v>
      </c>
      <c r="B156" s="90" t="s">
        <v>1942</v>
      </c>
      <c r="C156" s="92">
        <v>591.0</v>
      </c>
      <c r="D156" s="92">
        <v>302.0</v>
      </c>
      <c r="E156" s="93">
        <f t="shared" si="1"/>
        <v>0.510998308</v>
      </c>
    </row>
    <row r="157">
      <c r="A157" s="90" t="s">
        <v>1943</v>
      </c>
      <c r="B157" s="90" t="s">
        <v>1944</v>
      </c>
      <c r="C157" s="92">
        <v>501.0</v>
      </c>
      <c r="D157" s="92">
        <v>346.0</v>
      </c>
      <c r="E157" s="93">
        <f t="shared" si="1"/>
        <v>0.6906187625</v>
      </c>
    </row>
    <row r="158">
      <c r="A158" s="90" t="s">
        <v>1945</v>
      </c>
      <c r="B158" s="90" t="s">
        <v>1946</v>
      </c>
      <c r="C158" s="91">
        <v>1079.0</v>
      </c>
      <c r="D158" s="91">
        <v>1036.0</v>
      </c>
      <c r="E158" s="93">
        <f t="shared" si="1"/>
        <v>0.9601482854</v>
      </c>
    </row>
    <row r="159">
      <c r="A159" s="90" t="s">
        <v>1947</v>
      </c>
      <c r="B159" s="90" t="s">
        <v>1948</v>
      </c>
      <c r="C159" s="92">
        <v>357.0</v>
      </c>
      <c r="D159" s="92">
        <v>278.0</v>
      </c>
      <c r="E159" s="93">
        <f t="shared" si="1"/>
        <v>0.7787114846</v>
      </c>
    </row>
    <row r="160">
      <c r="A160" s="90" t="s">
        <v>1949</v>
      </c>
      <c r="B160" s="90" t="s">
        <v>1950</v>
      </c>
      <c r="C160" s="91">
        <v>3631.0</v>
      </c>
      <c r="D160" s="91">
        <v>2783.0</v>
      </c>
      <c r="E160" s="93">
        <f t="shared" si="1"/>
        <v>0.7664555219</v>
      </c>
    </row>
    <row r="161">
      <c r="A161" s="90" t="s">
        <v>1951</v>
      </c>
      <c r="B161" s="90" t="s">
        <v>1952</v>
      </c>
      <c r="C161" s="92">
        <v>250.0</v>
      </c>
      <c r="D161" s="92">
        <v>187.0</v>
      </c>
      <c r="E161" s="93">
        <f t="shared" si="1"/>
        <v>0.748</v>
      </c>
    </row>
    <row r="162">
      <c r="A162" s="90" t="s">
        <v>1953</v>
      </c>
      <c r="B162" s="90" t="s">
        <v>1954</v>
      </c>
      <c r="C162" s="91">
        <v>2193.0</v>
      </c>
      <c r="D162" s="91">
        <v>1127.0</v>
      </c>
      <c r="E162" s="93">
        <f t="shared" si="1"/>
        <v>0.5139078887</v>
      </c>
    </row>
    <row r="163">
      <c r="A163" s="90" t="s">
        <v>1955</v>
      </c>
      <c r="B163" s="90" t="s">
        <v>1956</v>
      </c>
      <c r="C163" s="92">
        <v>166.0</v>
      </c>
      <c r="D163" s="92">
        <v>129.0</v>
      </c>
      <c r="E163" s="93">
        <f t="shared" si="1"/>
        <v>0.7771084337</v>
      </c>
    </row>
    <row r="164">
      <c r="A164" s="90" t="s">
        <v>1957</v>
      </c>
      <c r="B164" s="90" t="s">
        <v>1958</v>
      </c>
      <c r="C164" s="92">
        <v>319.0</v>
      </c>
      <c r="D164" s="92">
        <v>218.0</v>
      </c>
      <c r="E164" s="93">
        <f t="shared" si="1"/>
        <v>0.6833855799</v>
      </c>
    </row>
    <row r="165">
      <c r="A165" s="90" t="s">
        <v>1959</v>
      </c>
      <c r="B165" s="90" t="s">
        <v>1960</v>
      </c>
      <c r="C165" s="92">
        <v>139.0</v>
      </c>
      <c r="D165" s="92">
        <v>84.0</v>
      </c>
      <c r="E165" s="93">
        <f t="shared" si="1"/>
        <v>0.6043165468</v>
      </c>
    </row>
    <row r="166">
      <c r="A166" s="90" t="s">
        <v>1961</v>
      </c>
      <c r="B166" s="90" t="s">
        <v>1962</v>
      </c>
      <c r="C166" s="92">
        <v>712.0</v>
      </c>
      <c r="D166" s="92">
        <v>446.0</v>
      </c>
      <c r="E166" s="93">
        <f t="shared" si="1"/>
        <v>0.6264044944</v>
      </c>
    </row>
    <row r="167">
      <c r="A167" s="90" t="s">
        <v>1963</v>
      </c>
      <c r="B167" s="90" t="s">
        <v>1964</v>
      </c>
      <c r="C167" s="92">
        <v>130.0</v>
      </c>
      <c r="D167" s="92">
        <v>84.0</v>
      </c>
      <c r="E167" s="93">
        <f t="shared" si="1"/>
        <v>0.6461538462</v>
      </c>
    </row>
    <row r="168">
      <c r="A168" s="90" t="s">
        <v>1965</v>
      </c>
      <c r="B168" s="90" t="s">
        <v>1966</v>
      </c>
      <c r="C168" s="92">
        <v>299.0</v>
      </c>
      <c r="D168" s="92">
        <v>192.0</v>
      </c>
      <c r="E168" s="93">
        <f t="shared" si="1"/>
        <v>0.6421404682</v>
      </c>
    </row>
    <row r="169">
      <c r="A169" s="90" t="s">
        <v>1967</v>
      </c>
      <c r="B169" s="90" t="s">
        <v>1968</v>
      </c>
      <c r="C169" s="92">
        <v>157.0</v>
      </c>
      <c r="D169" s="92">
        <v>106.0</v>
      </c>
      <c r="E169" s="93">
        <f t="shared" si="1"/>
        <v>0.6751592357</v>
      </c>
    </row>
    <row r="170">
      <c r="A170" s="90" t="s">
        <v>1969</v>
      </c>
      <c r="B170" s="90" t="s">
        <v>1970</v>
      </c>
      <c r="C170" s="92">
        <v>310.0</v>
      </c>
      <c r="D170" s="92">
        <v>223.0</v>
      </c>
      <c r="E170" s="93">
        <f t="shared" si="1"/>
        <v>0.7193548387</v>
      </c>
    </row>
    <row r="171">
      <c r="A171" s="90" t="s">
        <v>1971</v>
      </c>
      <c r="B171" s="90" t="s">
        <v>1972</v>
      </c>
      <c r="C171" s="92">
        <v>799.0</v>
      </c>
      <c r="D171" s="92">
        <v>410.0</v>
      </c>
      <c r="E171" s="93">
        <f t="shared" si="1"/>
        <v>0.5131414268</v>
      </c>
    </row>
    <row r="172">
      <c r="A172" s="90" t="s">
        <v>1973</v>
      </c>
      <c r="B172" s="90" t="s">
        <v>1974</v>
      </c>
      <c r="C172" s="92">
        <v>466.0</v>
      </c>
      <c r="D172" s="92">
        <v>229.0</v>
      </c>
      <c r="E172" s="93">
        <f t="shared" si="1"/>
        <v>0.491416309</v>
      </c>
    </row>
    <row r="173">
      <c r="A173" s="90" t="s">
        <v>1975</v>
      </c>
      <c r="B173" s="90" t="s">
        <v>1976</v>
      </c>
      <c r="C173" s="92">
        <v>670.0</v>
      </c>
      <c r="D173" s="92">
        <v>483.0</v>
      </c>
      <c r="E173" s="93">
        <f t="shared" si="1"/>
        <v>0.7208955224</v>
      </c>
    </row>
    <row r="174">
      <c r="A174" s="90" t="s">
        <v>1977</v>
      </c>
      <c r="B174" s="90" t="s">
        <v>1978</v>
      </c>
      <c r="C174" s="91">
        <v>2097.0</v>
      </c>
      <c r="D174" s="91">
        <v>1000.0</v>
      </c>
      <c r="E174" s="93">
        <f t="shared" si="1"/>
        <v>0.4768717215</v>
      </c>
    </row>
    <row r="175">
      <c r="A175" s="90" t="s">
        <v>1979</v>
      </c>
      <c r="B175" s="90" t="s">
        <v>1980</v>
      </c>
      <c r="C175" s="91">
        <v>1502.0</v>
      </c>
      <c r="D175" s="92">
        <v>937.0</v>
      </c>
      <c r="E175" s="93">
        <f t="shared" si="1"/>
        <v>0.6238348868</v>
      </c>
    </row>
    <row r="176">
      <c r="A176" s="90" t="s">
        <v>1981</v>
      </c>
      <c r="B176" s="90" t="s">
        <v>1982</v>
      </c>
      <c r="C176" s="91">
        <v>1589.0</v>
      </c>
      <c r="D176" s="92">
        <v>990.0</v>
      </c>
      <c r="E176" s="93">
        <f t="shared" si="1"/>
        <v>0.6230333543</v>
      </c>
    </row>
    <row r="177">
      <c r="A177" s="90" t="s">
        <v>1983</v>
      </c>
      <c r="B177" s="90" t="s">
        <v>1984</v>
      </c>
      <c r="C177" s="92">
        <v>260.0</v>
      </c>
      <c r="D177" s="92">
        <v>151.0</v>
      </c>
      <c r="E177" s="93">
        <f t="shared" si="1"/>
        <v>0.5807692308</v>
      </c>
    </row>
    <row r="178">
      <c r="A178" s="90" t="s">
        <v>1985</v>
      </c>
      <c r="B178" s="90" t="s">
        <v>1986</v>
      </c>
      <c r="C178" s="92">
        <v>251.0</v>
      </c>
      <c r="D178" s="92">
        <v>191.0</v>
      </c>
      <c r="E178" s="93">
        <f t="shared" si="1"/>
        <v>0.7609561753</v>
      </c>
    </row>
    <row r="179">
      <c r="A179" s="90" t="s">
        <v>1987</v>
      </c>
      <c r="B179" s="90" t="s">
        <v>1988</v>
      </c>
      <c r="C179" s="92">
        <v>459.0</v>
      </c>
      <c r="D179" s="92">
        <v>221.0</v>
      </c>
      <c r="E179" s="93">
        <f t="shared" si="1"/>
        <v>0.4814814815</v>
      </c>
    </row>
    <row r="180">
      <c r="A180" s="90" t="s">
        <v>1989</v>
      </c>
      <c r="B180" s="90" t="s">
        <v>1990</v>
      </c>
      <c r="C180" s="92">
        <v>349.0</v>
      </c>
      <c r="D180" s="92">
        <v>252.0</v>
      </c>
      <c r="E180" s="93">
        <f t="shared" si="1"/>
        <v>0.7220630372</v>
      </c>
    </row>
    <row r="181">
      <c r="A181" s="90" t="s">
        <v>1991</v>
      </c>
      <c r="B181" s="90" t="s">
        <v>1992</v>
      </c>
      <c r="C181" s="92">
        <v>923.0</v>
      </c>
      <c r="D181" s="92">
        <v>644.0</v>
      </c>
      <c r="E181" s="93">
        <f t="shared" si="1"/>
        <v>0.6977248104</v>
      </c>
    </row>
    <row r="182">
      <c r="A182" s="90" t="s">
        <v>1993</v>
      </c>
      <c r="B182" s="90" t="s">
        <v>1994</v>
      </c>
      <c r="C182" s="92">
        <v>639.0</v>
      </c>
      <c r="D182" s="92">
        <v>439.0</v>
      </c>
      <c r="E182" s="93">
        <f t="shared" si="1"/>
        <v>0.6870109546</v>
      </c>
    </row>
    <row r="183">
      <c r="A183" s="90" t="s">
        <v>1995</v>
      </c>
      <c r="B183" s="90" t="s">
        <v>1996</v>
      </c>
      <c r="C183" s="92">
        <v>512.0</v>
      </c>
      <c r="D183" s="92">
        <v>438.0</v>
      </c>
      <c r="E183" s="93">
        <f t="shared" si="1"/>
        <v>0.85546875</v>
      </c>
    </row>
    <row r="184">
      <c r="A184" s="90" t="s">
        <v>1997</v>
      </c>
      <c r="B184" s="90" t="s">
        <v>1998</v>
      </c>
      <c r="C184" s="92">
        <v>274.0</v>
      </c>
      <c r="D184" s="92">
        <v>228.0</v>
      </c>
      <c r="E184" s="93">
        <f t="shared" si="1"/>
        <v>0.8321167883</v>
      </c>
    </row>
    <row r="185">
      <c r="A185" s="90" t="s">
        <v>1999</v>
      </c>
      <c r="B185" s="90" t="s">
        <v>2000</v>
      </c>
      <c r="C185" s="92">
        <v>431.0</v>
      </c>
      <c r="D185" s="92">
        <v>280.0</v>
      </c>
      <c r="E185" s="93">
        <f t="shared" si="1"/>
        <v>0.6496519722</v>
      </c>
    </row>
    <row r="186">
      <c r="A186" s="90" t="s">
        <v>2001</v>
      </c>
      <c r="B186" s="90" t="s">
        <v>2002</v>
      </c>
      <c r="C186" s="92">
        <v>168.0</v>
      </c>
      <c r="D186" s="92">
        <v>101.0</v>
      </c>
      <c r="E186" s="93">
        <f t="shared" si="1"/>
        <v>0.6011904762</v>
      </c>
    </row>
    <row r="187">
      <c r="A187" s="90" t="s">
        <v>2003</v>
      </c>
      <c r="B187" s="90" t="s">
        <v>2004</v>
      </c>
      <c r="C187" s="92">
        <v>211.0</v>
      </c>
      <c r="D187" s="92">
        <v>180.0</v>
      </c>
      <c r="E187" s="93">
        <f t="shared" si="1"/>
        <v>0.8530805687</v>
      </c>
    </row>
    <row r="188">
      <c r="A188" s="90" t="s">
        <v>2005</v>
      </c>
      <c r="B188" s="90" t="s">
        <v>2006</v>
      </c>
      <c r="C188" s="92">
        <v>229.0</v>
      </c>
      <c r="D188" s="92">
        <v>144.0</v>
      </c>
      <c r="E188" s="93">
        <f t="shared" si="1"/>
        <v>0.6288209607</v>
      </c>
    </row>
    <row r="189">
      <c r="A189" s="90" t="s">
        <v>2007</v>
      </c>
      <c r="B189" s="90" t="s">
        <v>2008</v>
      </c>
      <c r="C189" s="92">
        <v>184.0</v>
      </c>
      <c r="D189" s="92">
        <v>136.0</v>
      </c>
      <c r="E189" s="93">
        <f t="shared" si="1"/>
        <v>0.7391304348</v>
      </c>
    </row>
    <row r="190">
      <c r="A190" s="90" t="s">
        <v>2009</v>
      </c>
      <c r="B190" s="90" t="s">
        <v>2010</v>
      </c>
      <c r="C190" s="92">
        <v>129.0</v>
      </c>
      <c r="D190" s="92">
        <v>122.0</v>
      </c>
      <c r="E190" s="93">
        <f t="shared" si="1"/>
        <v>0.9457364341</v>
      </c>
    </row>
    <row r="191">
      <c r="A191" s="90" t="s">
        <v>2011</v>
      </c>
      <c r="B191" s="90" t="s">
        <v>2012</v>
      </c>
      <c r="C191" s="92">
        <v>100.0</v>
      </c>
      <c r="D191" s="92">
        <v>75.0</v>
      </c>
      <c r="E191" s="93">
        <f t="shared" si="1"/>
        <v>0.75</v>
      </c>
    </row>
    <row r="192">
      <c r="A192" s="90" t="s">
        <v>2013</v>
      </c>
      <c r="B192" s="90" t="s">
        <v>2014</v>
      </c>
      <c r="C192" s="92">
        <v>47.0</v>
      </c>
      <c r="D192" s="92">
        <v>22.0</v>
      </c>
      <c r="E192" s="93">
        <f t="shared" si="1"/>
        <v>0.4680851064</v>
      </c>
    </row>
    <row r="193">
      <c r="A193" s="90" t="s">
        <v>2015</v>
      </c>
      <c r="B193" s="90" t="s">
        <v>2016</v>
      </c>
      <c r="C193" s="92">
        <v>270.0</v>
      </c>
      <c r="D193" s="92">
        <v>147.0</v>
      </c>
      <c r="E193" s="93">
        <f t="shared" si="1"/>
        <v>0.5444444444</v>
      </c>
    </row>
    <row r="194">
      <c r="A194" s="90" t="s">
        <v>2017</v>
      </c>
      <c r="B194" s="90" t="s">
        <v>2018</v>
      </c>
      <c r="C194" s="92">
        <v>111.0</v>
      </c>
      <c r="D194" s="92">
        <v>45.0</v>
      </c>
      <c r="E194" s="93">
        <f t="shared" si="1"/>
        <v>0.4054054054</v>
      </c>
    </row>
    <row r="195">
      <c r="A195" s="90" t="s">
        <v>2019</v>
      </c>
      <c r="B195" s="90" t="s">
        <v>2020</v>
      </c>
      <c r="C195" s="91">
        <v>3049.0</v>
      </c>
      <c r="D195" s="91">
        <v>1796.0</v>
      </c>
      <c r="E195" s="93">
        <f t="shared" si="1"/>
        <v>0.5890455887</v>
      </c>
    </row>
    <row r="196">
      <c r="A196" s="90" t="s">
        <v>2021</v>
      </c>
      <c r="B196" s="90" t="s">
        <v>2022</v>
      </c>
      <c r="C196" s="91">
        <v>1630.0</v>
      </c>
      <c r="D196" s="92">
        <v>898.0</v>
      </c>
      <c r="E196" s="93">
        <f t="shared" si="1"/>
        <v>0.5509202454</v>
      </c>
    </row>
    <row r="197">
      <c r="A197" s="90" t="s">
        <v>2023</v>
      </c>
      <c r="B197" s="90" t="s">
        <v>2024</v>
      </c>
      <c r="C197" s="92">
        <v>459.0</v>
      </c>
      <c r="D197" s="92">
        <v>244.0</v>
      </c>
      <c r="E197" s="93">
        <f t="shared" si="1"/>
        <v>0.5315904139</v>
      </c>
    </row>
    <row r="198">
      <c r="A198" s="90" t="s">
        <v>2025</v>
      </c>
      <c r="B198" s="90" t="s">
        <v>2026</v>
      </c>
      <c r="C198" s="92">
        <v>561.0</v>
      </c>
      <c r="D198" s="92">
        <v>311.0</v>
      </c>
      <c r="E198" s="93">
        <f t="shared" si="1"/>
        <v>0.5543672014</v>
      </c>
    </row>
    <row r="199">
      <c r="A199" s="90" t="s">
        <v>2027</v>
      </c>
      <c r="B199" s="90" t="s">
        <v>2028</v>
      </c>
      <c r="C199" s="92">
        <v>143.0</v>
      </c>
      <c r="D199" s="92">
        <v>31.0</v>
      </c>
      <c r="E199" s="93">
        <f t="shared" si="1"/>
        <v>0.2167832168</v>
      </c>
    </row>
    <row r="200">
      <c r="A200" s="90" t="s">
        <v>2029</v>
      </c>
      <c r="B200" s="90" t="s">
        <v>2030</v>
      </c>
      <c r="C200" s="92">
        <v>864.0</v>
      </c>
      <c r="D200" s="92">
        <v>250.0</v>
      </c>
      <c r="E200" s="93">
        <f t="shared" si="1"/>
        <v>0.2893518519</v>
      </c>
    </row>
    <row r="201">
      <c r="A201" s="90" t="s">
        <v>2031</v>
      </c>
      <c r="B201" s="90" t="s">
        <v>2032</v>
      </c>
      <c r="C201" s="92">
        <v>320.0</v>
      </c>
      <c r="D201" s="92">
        <v>166.0</v>
      </c>
      <c r="E201" s="93">
        <f t="shared" si="1"/>
        <v>0.51875</v>
      </c>
    </row>
    <row r="202">
      <c r="A202" s="90" t="s">
        <v>2033</v>
      </c>
      <c r="B202" s="90" t="s">
        <v>2034</v>
      </c>
      <c r="C202" s="92">
        <v>223.0</v>
      </c>
      <c r="D202" s="92">
        <v>108.0</v>
      </c>
      <c r="E202" s="93">
        <f t="shared" si="1"/>
        <v>0.4843049327</v>
      </c>
    </row>
    <row r="203">
      <c r="A203" s="90" t="s">
        <v>2035</v>
      </c>
      <c r="B203" s="90" t="s">
        <v>2036</v>
      </c>
      <c r="C203" s="92">
        <v>612.0</v>
      </c>
      <c r="D203" s="92">
        <v>192.0</v>
      </c>
      <c r="E203" s="93">
        <f t="shared" si="1"/>
        <v>0.3137254902</v>
      </c>
    </row>
    <row r="204">
      <c r="A204" s="90" t="s">
        <v>2037</v>
      </c>
      <c r="B204" s="90" t="s">
        <v>2038</v>
      </c>
      <c r="C204" s="92">
        <v>79.0</v>
      </c>
      <c r="D204" s="92">
        <v>40.0</v>
      </c>
      <c r="E204" s="93">
        <f t="shared" si="1"/>
        <v>0.5063291139</v>
      </c>
    </row>
    <row r="205">
      <c r="A205" s="90" t="s">
        <v>2039</v>
      </c>
      <c r="B205" s="90" t="s">
        <v>2040</v>
      </c>
      <c r="C205" s="92">
        <v>479.0</v>
      </c>
      <c r="D205" s="92">
        <v>232.0</v>
      </c>
      <c r="E205" s="93">
        <f t="shared" si="1"/>
        <v>0.48434238</v>
      </c>
    </row>
    <row r="206">
      <c r="A206" s="90" t="s">
        <v>2041</v>
      </c>
      <c r="B206" s="90" t="s">
        <v>2042</v>
      </c>
      <c r="C206" s="91">
        <v>1260.0</v>
      </c>
      <c r="D206" s="92">
        <v>682.0</v>
      </c>
      <c r="E206" s="93">
        <f t="shared" si="1"/>
        <v>0.5412698413</v>
      </c>
    </row>
    <row r="207">
      <c r="A207" s="90" t="s">
        <v>2043</v>
      </c>
      <c r="B207" s="90" t="s">
        <v>2044</v>
      </c>
      <c r="C207" s="92">
        <v>392.0</v>
      </c>
      <c r="D207" s="92">
        <v>242.0</v>
      </c>
      <c r="E207" s="93">
        <f t="shared" si="1"/>
        <v>0.6173469388</v>
      </c>
    </row>
    <row r="208">
      <c r="A208" s="90" t="s">
        <v>2045</v>
      </c>
      <c r="B208" s="90" t="s">
        <v>2046</v>
      </c>
      <c r="C208" s="92">
        <v>540.0</v>
      </c>
      <c r="D208" s="92">
        <v>414.0</v>
      </c>
      <c r="E208" s="93">
        <f t="shared" si="1"/>
        <v>0.7666666667</v>
      </c>
    </row>
    <row r="209">
      <c r="A209" s="90" t="s">
        <v>2047</v>
      </c>
      <c r="B209" s="90" t="s">
        <v>2048</v>
      </c>
      <c r="C209" s="92">
        <v>313.0</v>
      </c>
      <c r="D209" s="92">
        <v>173.0</v>
      </c>
      <c r="E209" s="93">
        <f t="shared" si="1"/>
        <v>0.552715655</v>
      </c>
    </row>
    <row r="210">
      <c r="A210" s="90" t="s">
        <v>2049</v>
      </c>
      <c r="B210" s="90" t="s">
        <v>2050</v>
      </c>
      <c r="C210" s="92">
        <v>241.0</v>
      </c>
      <c r="D210" s="92">
        <v>122.0</v>
      </c>
      <c r="E210" s="93">
        <f t="shared" si="1"/>
        <v>0.5062240664</v>
      </c>
    </row>
    <row r="211">
      <c r="A211" s="90" t="s">
        <v>2051</v>
      </c>
      <c r="B211" s="90" t="s">
        <v>2052</v>
      </c>
      <c r="C211" s="91">
        <v>1973.0</v>
      </c>
      <c r="D211" s="92">
        <v>904.0</v>
      </c>
      <c r="E211" s="93">
        <f t="shared" si="1"/>
        <v>0.4581855043</v>
      </c>
    </row>
    <row r="212">
      <c r="A212" s="90" t="s">
        <v>2053</v>
      </c>
      <c r="B212" s="90" t="s">
        <v>2054</v>
      </c>
      <c r="C212" s="91">
        <v>1569.0</v>
      </c>
      <c r="D212" s="92">
        <v>753.0</v>
      </c>
      <c r="E212" s="93">
        <f t="shared" si="1"/>
        <v>0.4799235182</v>
      </c>
    </row>
    <row r="213">
      <c r="A213" s="90" t="s">
        <v>2055</v>
      </c>
      <c r="B213" s="90" t="s">
        <v>2056</v>
      </c>
      <c r="C213" s="91">
        <v>1207.0</v>
      </c>
      <c r="D213" s="92">
        <v>2.0</v>
      </c>
      <c r="E213" s="93">
        <f t="shared" si="1"/>
        <v>0.001657000829</v>
      </c>
    </row>
    <row r="214">
      <c r="A214" s="90" t="s">
        <v>2057</v>
      </c>
      <c r="B214" s="90" t="s">
        <v>2058</v>
      </c>
      <c r="C214" s="92">
        <v>406.0</v>
      </c>
      <c r="D214" s="92">
        <v>94.0</v>
      </c>
      <c r="E214" s="93">
        <f t="shared" si="1"/>
        <v>0.2315270936</v>
      </c>
    </row>
    <row r="215">
      <c r="A215" s="90" t="s">
        <v>2059</v>
      </c>
      <c r="B215" s="90" t="s">
        <v>2060</v>
      </c>
      <c r="C215" s="92">
        <v>447.0</v>
      </c>
      <c r="D215" s="92">
        <v>202.0</v>
      </c>
      <c r="E215" s="93">
        <f t="shared" si="1"/>
        <v>0.451901566</v>
      </c>
    </row>
    <row r="216">
      <c r="A216" s="90" t="s">
        <v>2061</v>
      </c>
      <c r="B216" s="90" t="s">
        <v>2062</v>
      </c>
      <c r="C216" s="92">
        <v>254.0</v>
      </c>
      <c r="D216" s="92">
        <v>36.0</v>
      </c>
      <c r="E216" s="93">
        <f t="shared" si="1"/>
        <v>0.1417322835</v>
      </c>
    </row>
    <row r="217">
      <c r="A217" s="90" t="s">
        <v>2063</v>
      </c>
      <c r="B217" s="90" t="s">
        <v>2064</v>
      </c>
      <c r="C217" s="91">
        <v>1545.0</v>
      </c>
      <c r="D217" s="92">
        <v>767.0</v>
      </c>
      <c r="E217" s="93">
        <f t="shared" si="1"/>
        <v>0.4964401294</v>
      </c>
    </row>
    <row r="218">
      <c r="A218" s="90" t="s">
        <v>2065</v>
      </c>
      <c r="B218" s="90" t="s">
        <v>2066</v>
      </c>
      <c r="C218" s="92">
        <v>504.0</v>
      </c>
      <c r="D218" s="92">
        <v>392.0</v>
      </c>
      <c r="E218" s="93">
        <f t="shared" si="1"/>
        <v>0.7777777778</v>
      </c>
    </row>
    <row r="219">
      <c r="A219" s="90" t="s">
        <v>2067</v>
      </c>
      <c r="B219" s="90" t="s">
        <v>2068</v>
      </c>
      <c r="C219" s="92">
        <v>547.0</v>
      </c>
      <c r="D219" s="92">
        <v>246.0</v>
      </c>
      <c r="E219" s="93">
        <f t="shared" si="1"/>
        <v>0.449725777</v>
      </c>
    </row>
    <row r="220">
      <c r="A220" s="90" t="s">
        <v>2069</v>
      </c>
      <c r="B220" s="90" t="s">
        <v>2070</v>
      </c>
      <c r="C220" s="92">
        <v>349.0</v>
      </c>
      <c r="D220" s="92">
        <v>239.0</v>
      </c>
      <c r="E220" s="93">
        <f t="shared" si="1"/>
        <v>0.6848137536</v>
      </c>
    </row>
    <row r="221">
      <c r="A221" s="90" t="s">
        <v>2071</v>
      </c>
      <c r="B221" s="90" t="s">
        <v>2072</v>
      </c>
      <c r="C221" s="91">
        <v>3185.0</v>
      </c>
      <c r="D221" s="91">
        <v>1719.0</v>
      </c>
      <c r="E221" s="93">
        <f t="shared" si="1"/>
        <v>0.5397174254</v>
      </c>
    </row>
    <row r="222">
      <c r="A222" s="90" t="s">
        <v>2073</v>
      </c>
      <c r="B222" s="90" t="s">
        <v>2074</v>
      </c>
      <c r="C222" s="92">
        <v>624.0</v>
      </c>
      <c r="D222" s="92">
        <v>359.0</v>
      </c>
      <c r="E222" s="93">
        <f t="shared" si="1"/>
        <v>0.5753205128</v>
      </c>
    </row>
    <row r="223">
      <c r="A223" s="90" t="s">
        <v>2075</v>
      </c>
      <c r="B223" s="90" t="s">
        <v>2076</v>
      </c>
      <c r="C223" s="91">
        <v>1604.0</v>
      </c>
      <c r="D223" s="91">
        <v>1108.0</v>
      </c>
      <c r="E223" s="93">
        <f t="shared" si="1"/>
        <v>0.6907730673</v>
      </c>
    </row>
    <row r="224">
      <c r="A224" s="90" t="s">
        <v>2077</v>
      </c>
      <c r="B224" s="90" t="s">
        <v>2078</v>
      </c>
      <c r="C224" s="92">
        <v>350.0</v>
      </c>
      <c r="D224" s="92">
        <v>168.0</v>
      </c>
      <c r="E224" s="93">
        <f t="shared" si="1"/>
        <v>0.48</v>
      </c>
    </row>
    <row r="225">
      <c r="A225" s="90" t="s">
        <v>2079</v>
      </c>
      <c r="B225" s="90" t="s">
        <v>2080</v>
      </c>
      <c r="C225" s="92">
        <v>974.0</v>
      </c>
      <c r="D225" s="92">
        <v>526.0</v>
      </c>
      <c r="E225" s="93">
        <f t="shared" si="1"/>
        <v>0.5400410678</v>
      </c>
    </row>
    <row r="226">
      <c r="A226" s="90" t="s">
        <v>2081</v>
      </c>
      <c r="B226" s="90" t="s">
        <v>2082</v>
      </c>
      <c r="C226" s="92">
        <v>325.0</v>
      </c>
      <c r="D226" s="92">
        <v>121.0</v>
      </c>
      <c r="E226" s="93">
        <f t="shared" si="1"/>
        <v>0.3723076923</v>
      </c>
    </row>
    <row r="227">
      <c r="A227" s="90" t="s">
        <v>2083</v>
      </c>
      <c r="B227" s="90" t="s">
        <v>2084</v>
      </c>
      <c r="C227" s="92">
        <v>297.0</v>
      </c>
      <c r="D227" s="92">
        <v>38.0</v>
      </c>
      <c r="E227" s="93">
        <f t="shared" si="1"/>
        <v>0.1279461279</v>
      </c>
    </row>
    <row r="228">
      <c r="A228" s="90" t="s">
        <v>2085</v>
      </c>
      <c r="B228" s="90" t="s">
        <v>2086</v>
      </c>
      <c r="C228" s="92">
        <v>124.0</v>
      </c>
      <c r="D228" s="92">
        <v>57.0</v>
      </c>
      <c r="E228" s="93">
        <f t="shared" si="1"/>
        <v>0.4596774194</v>
      </c>
    </row>
    <row r="229">
      <c r="A229" s="90" t="s">
        <v>2087</v>
      </c>
      <c r="B229" s="90" t="s">
        <v>2088</v>
      </c>
      <c r="C229" s="92">
        <v>397.0</v>
      </c>
      <c r="D229" s="92">
        <v>139.0</v>
      </c>
      <c r="E229" s="93">
        <f t="shared" si="1"/>
        <v>0.3501259446</v>
      </c>
    </row>
    <row r="230">
      <c r="A230" s="90" t="s">
        <v>2089</v>
      </c>
      <c r="B230" s="90" t="s">
        <v>2090</v>
      </c>
      <c r="C230" s="92">
        <v>541.0</v>
      </c>
      <c r="D230" s="92">
        <v>369.0</v>
      </c>
      <c r="E230" s="93">
        <f t="shared" si="1"/>
        <v>0.6820702403</v>
      </c>
    </row>
    <row r="231">
      <c r="A231" s="90" t="s">
        <v>2091</v>
      </c>
      <c r="B231" s="90" t="s">
        <v>2092</v>
      </c>
      <c r="C231" s="92">
        <v>542.0</v>
      </c>
      <c r="D231" s="92">
        <v>260.0</v>
      </c>
      <c r="E231" s="93">
        <f t="shared" si="1"/>
        <v>0.479704797</v>
      </c>
    </row>
    <row r="232">
      <c r="A232" s="90" t="s">
        <v>2093</v>
      </c>
      <c r="B232" s="90" t="s">
        <v>2094</v>
      </c>
      <c r="C232" s="91">
        <v>1405.0</v>
      </c>
      <c r="D232" s="91">
        <v>1065.0</v>
      </c>
      <c r="E232" s="93">
        <f t="shared" si="1"/>
        <v>0.7580071174</v>
      </c>
    </row>
    <row r="233">
      <c r="A233" s="90" t="s">
        <v>2095</v>
      </c>
      <c r="B233" s="90" t="s">
        <v>2096</v>
      </c>
      <c r="C233" s="92">
        <v>457.0</v>
      </c>
      <c r="D233" s="92">
        <v>333.0</v>
      </c>
      <c r="E233" s="93">
        <f t="shared" si="1"/>
        <v>0.7286652079</v>
      </c>
    </row>
    <row r="234">
      <c r="A234" s="90" t="s">
        <v>2097</v>
      </c>
      <c r="B234" s="90" t="s">
        <v>2098</v>
      </c>
      <c r="C234" s="92">
        <v>877.0</v>
      </c>
      <c r="D234" s="92">
        <v>565.0</v>
      </c>
      <c r="E234" s="93">
        <f t="shared" si="1"/>
        <v>0.6442417332</v>
      </c>
    </row>
    <row r="235">
      <c r="A235" s="90" t="s">
        <v>2099</v>
      </c>
      <c r="B235" s="90" t="s">
        <v>2100</v>
      </c>
      <c r="C235" s="92">
        <v>498.0</v>
      </c>
      <c r="D235" s="92">
        <v>237.0</v>
      </c>
      <c r="E235" s="93">
        <f t="shared" si="1"/>
        <v>0.4759036145</v>
      </c>
    </row>
    <row r="236">
      <c r="A236" s="90" t="s">
        <v>2101</v>
      </c>
      <c r="B236" s="90" t="s">
        <v>2102</v>
      </c>
      <c r="C236" s="92">
        <v>300.0</v>
      </c>
      <c r="D236" s="92">
        <v>127.0</v>
      </c>
      <c r="E236" s="93">
        <f t="shared" si="1"/>
        <v>0.4233333333</v>
      </c>
    </row>
    <row r="237">
      <c r="A237" s="90" t="s">
        <v>2103</v>
      </c>
      <c r="B237" s="90" t="s">
        <v>2104</v>
      </c>
      <c r="C237" s="92">
        <v>443.0</v>
      </c>
      <c r="D237" s="92">
        <v>233.0</v>
      </c>
      <c r="E237" s="93">
        <f t="shared" si="1"/>
        <v>0.5259593679</v>
      </c>
    </row>
    <row r="238">
      <c r="A238" s="90" t="s">
        <v>2105</v>
      </c>
      <c r="B238" s="90" t="s">
        <v>2106</v>
      </c>
      <c r="C238" s="92">
        <v>352.0</v>
      </c>
      <c r="D238" s="92">
        <v>159.0</v>
      </c>
      <c r="E238" s="93">
        <f t="shared" si="1"/>
        <v>0.4517045455</v>
      </c>
    </row>
    <row r="239">
      <c r="A239" s="90" t="s">
        <v>2107</v>
      </c>
      <c r="B239" s="90" t="s">
        <v>2108</v>
      </c>
      <c r="C239" s="92">
        <v>553.0</v>
      </c>
      <c r="D239" s="92">
        <v>498.0</v>
      </c>
      <c r="E239" s="93">
        <f t="shared" si="1"/>
        <v>0.9005424955</v>
      </c>
    </row>
    <row r="240">
      <c r="A240" s="90" t="s">
        <v>2109</v>
      </c>
      <c r="B240" s="90" t="s">
        <v>2110</v>
      </c>
      <c r="C240" s="91">
        <v>1047.0</v>
      </c>
      <c r="D240" s="92">
        <v>597.0</v>
      </c>
      <c r="E240" s="93">
        <f t="shared" si="1"/>
        <v>0.5702005731</v>
      </c>
    </row>
    <row r="241">
      <c r="A241" s="90" t="s">
        <v>2111</v>
      </c>
      <c r="B241" s="90" t="s">
        <v>2112</v>
      </c>
      <c r="C241" s="91">
        <v>2209.0</v>
      </c>
      <c r="D241" s="91">
        <v>1258.0</v>
      </c>
      <c r="E241" s="93">
        <f t="shared" si="1"/>
        <v>0.5694884563</v>
      </c>
    </row>
    <row r="242">
      <c r="A242" s="90" t="s">
        <v>2113</v>
      </c>
      <c r="B242" s="90" t="s">
        <v>2114</v>
      </c>
      <c r="C242" s="92">
        <v>944.0</v>
      </c>
      <c r="D242" s="92">
        <v>602.0</v>
      </c>
      <c r="E242" s="93">
        <f t="shared" si="1"/>
        <v>0.6377118644</v>
      </c>
    </row>
    <row r="243">
      <c r="A243" s="90" t="s">
        <v>2115</v>
      </c>
      <c r="B243" s="90" t="s">
        <v>2116</v>
      </c>
      <c r="C243" s="92">
        <v>666.0</v>
      </c>
      <c r="D243" s="92">
        <v>545.0</v>
      </c>
      <c r="E243" s="93">
        <f t="shared" si="1"/>
        <v>0.8183183183</v>
      </c>
    </row>
    <row r="244">
      <c r="A244" s="90" t="s">
        <v>2117</v>
      </c>
      <c r="B244" s="90" t="s">
        <v>2118</v>
      </c>
      <c r="C244" s="92">
        <v>399.0</v>
      </c>
      <c r="D244" s="92">
        <v>236.0</v>
      </c>
      <c r="E244" s="93">
        <f t="shared" si="1"/>
        <v>0.5914786967</v>
      </c>
    </row>
    <row r="245">
      <c r="A245" s="90" t="s">
        <v>2119</v>
      </c>
      <c r="B245" s="90" t="s">
        <v>2120</v>
      </c>
      <c r="C245" s="92">
        <v>354.0</v>
      </c>
      <c r="D245" s="92">
        <v>204.0</v>
      </c>
      <c r="E245" s="93">
        <f t="shared" si="1"/>
        <v>0.5762711864</v>
      </c>
    </row>
    <row r="246">
      <c r="A246" s="90" t="s">
        <v>2121</v>
      </c>
      <c r="B246" s="90" t="s">
        <v>2122</v>
      </c>
      <c r="C246" s="92">
        <v>349.0</v>
      </c>
      <c r="D246" s="92">
        <v>274.0</v>
      </c>
      <c r="E246" s="93">
        <f t="shared" si="1"/>
        <v>0.7851002865</v>
      </c>
    </row>
    <row r="247">
      <c r="A247" s="90" t="s">
        <v>2123</v>
      </c>
      <c r="B247" s="90" t="s">
        <v>2124</v>
      </c>
      <c r="C247" s="92">
        <v>583.0</v>
      </c>
      <c r="D247" s="92">
        <v>365.0</v>
      </c>
      <c r="E247" s="93">
        <f t="shared" si="1"/>
        <v>0.6260720412</v>
      </c>
    </row>
    <row r="248">
      <c r="A248" s="90" t="s">
        <v>2125</v>
      </c>
      <c r="B248" s="90" t="s">
        <v>2126</v>
      </c>
      <c r="C248" s="92">
        <v>32.0</v>
      </c>
      <c r="D248" s="92">
        <v>13.0</v>
      </c>
      <c r="E248" s="93">
        <f t="shared" si="1"/>
        <v>0.40625</v>
      </c>
    </row>
    <row r="249">
      <c r="A249" s="90" t="s">
        <v>2127</v>
      </c>
      <c r="B249" s="90" t="s">
        <v>2128</v>
      </c>
      <c r="C249" s="92">
        <v>342.0</v>
      </c>
      <c r="D249" s="92">
        <v>167.0</v>
      </c>
      <c r="E249" s="93">
        <f t="shared" si="1"/>
        <v>0.4883040936</v>
      </c>
    </row>
    <row r="250">
      <c r="A250" s="90" t="s">
        <v>2129</v>
      </c>
      <c r="B250" s="90" t="s">
        <v>2130</v>
      </c>
      <c r="C250" s="92">
        <v>556.0</v>
      </c>
      <c r="D250" s="92">
        <v>355.0</v>
      </c>
      <c r="E250" s="93">
        <f t="shared" si="1"/>
        <v>0.6384892086</v>
      </c>
    </row>
    <row r="251">
      <c r="A251" s="90" t="s">
        <v>2131</v>
      </c>
      <c r="B251" s="90" t="s">
        <v>2132</v>
      </c>
      <c r="C251" s="92">
        <v>484.0</v>
      </c>
      <c r="D251" s="92">
        <v>324.0</v>
      </c>
      <c r="E251" s="93">
        <f t="shared" si="1"/>
        <v>0.6694214876</v>
      </c>
    </row>
    <row r="252">
      <c r="A252" s="90" t="s">
        <v>2133</v>
      </c>
      <c r="B252" s="90" t="s">
        <v>2134</v>
      </c>
      <c r="C252" s="92">
        <v>349.0</v>
      </c>
      <c r="D252" s="92">
        <v>200.0</v>
      </c>
      <c r="E252" s="93">
        <f t="shared" si="1"/>
        <v>0.5730659026</v>
      </c>
    </row>
    <row r="253">
      <c r="A253" s="90" t="s">
        <v>2135</v>
      </c>
      <c r="B253" s="90" t="s">
        <v>2136</v>
      </c>
      <c r="C253" s="91">
        <v>1586.0</v>
      </c>
      <c r="D253" s="92">
        <v>808.0</v>
      </c>
      <c r="E253" s="93">
        <f t="shared" si="1"/>
        <v>0.5094577554</v>
      </c>
    </row>
    <row r="254">
      <c r="A254" s="90" t="s">
        <v>2137</v>
      </c>
      <c r="B254" s="90" t="s">
        <v>2138</v>
      </c>
      <c r="C254" s="91">
        <v>1747.0</v>
      </c>
      <c r="D254" s="92">
        <v>895.0</v>
      </c>
      <c r="E254" s="93">
        <f t="shared" si="1"/>
        <v>0.5123068117</v>
      </c>
    </row>
    <row r="255">
      <c r="A255" s="90" t="s">
        <v>2139</v>
      </c>
      <c r="B255" s="90" t="s">
        <v>2140</v>
      </c>
      <c r="C255" s="91">
        <v>5283.0</v>
      </c>
      <c r="D255" s="91">
        <v>1273.0</v>
      </c>
      <c r="E255" s="93">
        <f t="shared" si="1"/>
        <v>0.2409615749</v>
      </c>
    </row>
    <row r="256">
      <c r="A256" s="90" t="s">
        <v>2141</v>
      </c>
      <c r="B256" s="90" t="s">
        <v>2142</v>
      </c>
      <c r="C256" s="91">
        <v>1231.0</v>
      </c>
      <c r="D256" s="92">
        <v>514.0</v>
      </c>
      <c r="E256" s="93">
        <f t="shared" si="1"/>
        <v>0.41754671</v>
      </c>
    </row>
    <row r="257">
      <c r="A257" s="90" t="s">
        <v>2143</v>
      </c>
      <c r="B257" s="90" t="s">
        <v>2144</v>
      </c>
      <c r="C257" s="92">
        <v>386.0</v>
      </c>
      <c r="D257" s="92">
        <v>86.0</v>
      </c>
      <c r="E257" s="93">
        <f t="shared" si="1"/>
        <v>0.2227979275</v>
      </c>
    </row>
    <row r="258">
      <c r="A258" s="90" t="s">
        <v>2145</v>
      </c>
      <c r="B258" s="90" t="s">
        <v>2146</v>
      </c>
      <c r="C258" s="92">
        <v>815.0</v>
      </c>
      <c r="D258" s="92">
        <v>602.0</v>
      </c>
      <c r="E258" s="93">
        <f t="shared" si="1"/>
        <v>0.7386503067</v>
      </c>
    </row>
    <row r="259">
      <c r="A259" s="90" t="s">
        <v>2147</v>
      </c>
      <c r="B259" s="90" t="s">
        <v>2148</v>
      </c>
      <c r="C259" s="92">
        <v>252.0</v>
      </c>
      <c r="D259" s="92">
        <v>197.0</v>
      </c>
      <c r="E259" s="93">
        <f t="shared" si="1"/>
        <v>0.7817460317</v>
      </c>
    </row>
    <row r="260">
      <c r="A260" s="90" t="s">
        <v>2149</v>
      </c>
      <c r="B260" s="90" t="s">
        <v>2150</v>
      </c>
      <c r="C260" s="92">
        <v>820.0</v>
      </c>
      <c r="D260" s="92">
        <v>622.0</v>
      </c>
      <c r="E260" s="93">
        <f t="shared" si="1"/>
        <v>0.7585365854</v>
      </c>
    </row>
    <row r="261">
      <c r="A261" s="90" t="s">
        <v>2151</v>
      </c>
      <c r="B261" s="90" t="s">
        <v>2152</v>
      </c>
      <c r="C261" s="92">
        <v>618.0</v>
      </c>
      <c r="D261" s="92">
        <v>460.0</v>
      </c>
      <c r="E261" s="93">
        <f t="shared" si="1"/>
        <v>0.7443365696</v>
      </c>
    </row>
    <row r="262">
      <c r="A262" s="90" t="s">
        <v>2153</v>
      </c>
      <c r="B262" s="90" t="s">
        <v>2154</v>
      </c>
      <c r="C262" s="92">
        <v>434.0</v>
      </c>
      <c r="D262" s="92">
        <v>363.0</v>
      </c>
      <c r="E262" s="93">
        <f t="shared" si="1"/>
        <v>0.83640553</v>
      </c>
    </row>
    <row r="263">
      <c r="A263" s="90" t="s">
        <v>2155</v>
      </c>
      <c r="B263" s="90" t="s">
        <v>2156</v>
      </c>
      <c r="C263" s="92">
        <v>872.0</v>
      </c>
      <c r="D263" s="92">
        <v>621.0</v>
      </c>
      <c r="E263" s="93">
        <f t="shared" si="1"/>
        <v>0.7121559633</v>
      </c>
    </row>
    <row r="264">
      <c r="A264" s="90" t="s">
        <v>2157</v>
      </c>
      <c r="B264" s="90" t="s">
        <v>2158</v>
      </c>
      <c r="C264" s="92">
        <v>133.0</v>
      </c>
      <c r="D264" s="92">
        <v>80.0</v>
      </c>
      <c r="E264" s="93">
        <f t="shared" si="1"/>
        <v>0.6015037594</v>
      </c>
    </row>
    <row r="265">
      <c r="A265" s="90" t="s">
        <v>2159</v>
      </c>
      <c r="B265" s="90" t="s">
        <v>2160</v>
      </c>
      <c r="C265" s="92">
        <v>317.0</v>
      </c>
      <c r="D265" s="92">
        <v>235.0</v>
      </c>
      <c r="E265" s="93">
        <f t="shared" si="1"/>
        <v>0.7413249211</v>
      </c>
    </row>
    <row r="266">
      <c r="A266" s="90" t="s">
        <v>2161</v>
      </c>
      <c r="B266" s="90" t="s">
        <v>2162</v>
      </c>
      <c r="C266" s="92">
        <v>232.0</v>
      </c>
      <c r="D266" s="92">
        <v>177.0</v>
      </c>
      <c r="E266" s="93">
        <f t="shared" si="1"/>
        <v>0.7629310345</v>
      </c>
    </row>
    <row r="267">
      <c r="A267" s="90" t="s">
        <v>2163</v>
      </c>
      <c r="B267" s="90" t="s">
        <v>2164</v>
      </c>
      <c r="C267" s="92">
        <v>301.0</v>
      </c>
      <c r="D267" s="92">
        <v>183.0</v>
      </c>
      <c r="E267" s="93">
        <f t="shared" si="1"/>
        <v>0.6079734219</v>
      </c>
    </row>
    <row r="268">
      <c r="A268" s="90" t="s">
        <v>2165</v>
      </c>
      <c r="B268" s="90" t="s">
        <v>2166</v>
      </c>
      <c r="C268" s="92">
        <v>112.0</v>
      </c>
      <c r="D268" s="92">
        <v>79.0</v>
      </c>
      <c r="E268" s="93">
        <f t="shared" si="1"/>
        <v>0.7053571429</v>
      </c>
    </row>
    <row r="269">
      <c r="A269" s="90" t="s">
        <v>2167</v>
      </c>
      <c r="B269" s="90" t="s">
        <v>2168</v>
      </c>
      <c r="C269" s="92">
        <v>191.0</v>
      </c>
      <c r="D269" s="92">
        <v>123.0</v>
      </c>
      <c r="E269" s="93">
        <f t="shared" si="1"/>
        <v>0.6439790576</v>
      </c>
    </row>
    <row r="270">
      <c r="A270" s="90" t="s">
        <v>2169</v>
      </c>
      <c r="B270" s="90" t="s">
        <v>2170</v>
      </c>
      <c r="C270" s="92">
        <v>170.0</v>
      </c>
      <c r="D270" s="92">
        <v>165.0</v>
      </c>
      <c r="E270" s="93">
        <f t="shared" si="1"/>
        <v>0.9705882353</v>
      </c>
    </row>
    <row r="271">
      <c r="A271" s="90" t="s">
        <v>2171</v>
      </c>
      <c r="B271" s="90" t="s">
        <v>2172</v>
      </c>
      <c r="C271" s="92">
        <v>39.0</v>
      </c>
      <c r="D271" s="92">
        <v>31.0</v>
      </c>
      <c r="E271" s="93">
        <f t="shared" si="1"/>
        <v>0.7948717949</v>
      </c>
    </row>
    <row r="272">
      <c r="A272" s="90" t="s">
        <v>2173</v>
      </c>
      <c r="B272" s="90" t="s">
        <v>2174</v>
      </c>
      <c r="C272" s="92">
        <v>67.0</v>
      </c>
      <c r="D272" s="92">
        <v>31.0</v>
      </c>
      <c r="E272" s="93">
        <f t="shared" si="1"/>
        <v>0.4626865672</v>
      </c>
    </row>
    <row r="273">
      <c r="A273" s="90" t="s">
        <v>2175</v>
      </c>
      <c r="B273" s="90" t="s">
        <v>2176</v>
      </c>
      <c r="C273" s="92">
        <v>308.0</v>
      </c>
      <c r="D273" s="92">
        <v>277.0</v>
      </c>
      <c r="E273" s="93">
        <f t="shared" si="1"/>
        <v>0.8993506494</v>
      </c>
    </row>
    <row r="274">
      <c r="A274" s="90" t="s">
        <v>2177</v>
      </c>
      <c r="B274" s="90" t="s">
        <v>2178</v>
      </c>
      <c r="C274" s="92">
        <v>463.0</v>
      </c>
      <c r="D274" s="92">
        <v>387.0</v>
      </c>
      <c r="E274" s="93">
        <f t="shared" si="1"/>
        <v>0.8358531317</v>
      </c>
    </row>
    <row r="275">
      <c r="A275" s="90" t="s">
        <v>2179</v>
      </c>
      <c r="B275" s="90" t="s">
        <v>2180</v>
      </c>
      <c r="C275" s="91">
        <v>77943.0</v>
      </c>
      <c r="D275" s="91">
        <v>70875.0</v>
      </c>
      <c r="E275" s="93">
        <f t="shared" si="1"/>
        <v>0.909318348</v>
      </c>
    </row>
    <row r="276">
      <c r="A276" s="90" t="s">
        <v>2181</v>
      </c>
      <c r="B276" s="90" t="s">
        <v>2182</v>
      </c>
      <c r="C276" s="92">
        <v>591.0</v>
      </c>
      <c r="D276" s="92">
        <v>409.0</v>
      </c>
      <c r="E276" s="93">
        <f t="shared" si="1"/>
        <v>0.6920473773</v>
      </c>
    </row>
    <row r="277">
      <c r="A277" s="90" t="s">
        <v>2183</v>
      </c>
      <c r="B277" s="90" t="s">
        <v>2184</v>
      </c>
      <c r="C277" s="92">
        <v>471.0</v>
      </c>
      <c r="D277" s="92">
        <v>331.0</v>
      </c>
      <c r="E277" s="93">
        <f t="shared" si="1"/>
        <v>0.7027600849</v>
      </c>
    </row>
    <row r="278">
      <c r="A278" s="90" t="s">
        <v>2185</v>
      </c>
      <c r="B278" s="90" t="s">
        <v>2186</v>
      </c>
      <c r="C278" s="91">
        <v>3807.0</v>
      </c>
      <c r="D278" s="91">
        <v>3540.0</v>
      </c>
      <c r="E278" s="93">
        <f t="shared" si="1"/>
        <v>0.9298660362</v>
      </c>
    </row>
    <row r="279">
      <c r="A279" s="90" t="s">
        <v>2187</v>
      </c>
      <c r="B279" s="90" t="s">
        <v>2188</v>
      </c>
      <c r="C279" s="91">
        <v>1683.0</v>
      </c>
      <c r="D279" s="91">
        <v>1068.0</v>
      </c>
      <c r="E279" s="93">
        <f t="shared" si="1"/>
        <v>0.6345811052</v>
      </c>
    </row>
    <row r="280">
      <c r="A280" s="90" t="s">
        <v>2189</v>
      </c>
      <c r="B280" s="90" t="s">
        <v>2190</v>
      </c>
      <c r="C280" s="92">
        <v>193.0</v>
      </c>
      <c r="D280" s="92">
        <v>88.0</v>
      </c>
      <c r="E280" s="93">
        <f t="shared" si="1"/>
        <v>0.4559585492</v>
      </c>
    </row>
    <row r="281">
      <c r="A281" s="90" t="s">
        <v>2191</v>
      </c>
      <c r="B281" s="90" t="s">
        <v>2192</v>
      </c>
      <c r="C281" s="92">
        <v>439.0</v>
      </c>
      <c r="D281" s="92">
        <v>398.0</v>
      </c>
      <c r="E281" s="93">
        <f t="shared" si="1"/>
        <v>0.9066059226</v>
      </c>
    </row>
    <row r="282">
      <c r="A282" s="90" t="s">
        <v>2193</v>
      </c>
      <c r="B282" s="90" t="s">
        <v>2194</v>
      </c>
      <c r="C282" s="91">
        <v>1092.0</v>
      </c>
      <c r="D282" s="92">
        <v>813.0</v>
      </c>
      <c r="E282" s="93">
        <f t="shared" si="1"/>
        <v>0.7445054945</v>
      </c>
    </row>
    <row r="283">
      <c r="A283" s="90" t="s">
        <v>2195</v>
      </c>
      <c r="B283" s="90" t="s">
        <v>2196</v>
      </c>
      <c r="C283" s="92">
        <v>602.0</v>
      </c>
      <c r="D283" s="92">
        <v>448.0</v>
      </c>
      <c r="E283" s="93">
        <f t="shared" si="1"/>
        <v>0.7441860465</v>
      </c>
    </row>
    <row r="284">
      <c r="A284" s="90" t="s">
        <v>2197</v>
      </c>
      <c r="B284" s="90" t="s">
        <v>2198</v>
      </c>
      <c r="C284" s="91">
        <v>1675.0</v>
      </c>
      <c r="D284" s="91">
        <v>1472.0</v>
      </c>
      <c r="E284" s="93">
        <f t="shared" si="1"/>
        <v>0.8788059701</v>
      </c>
    </row>
    <row r="285">
      <c r="A285" s="90" t="s">
        <v>2199</v>
      </c>
      <c r="B285" s="90" t="s">
        <v>2200</v>
      </c>
      <c r="C285" s="91">
        <v>2036.0</v>
      </c>
      <c r="D285" s="91">
        <v>1466.0</v>
      </c>
      <c r="E285" s="93">
        <f t="shared" si="1"/>
        <v>0.7200392927</v>
      </c>
    </row>
    <row r="286">
      <c r="A286" s="90" t="s">
        <v>2201</v>
      </c>
      <c r="B286" s="90" t="s">
        <v>2202</v>
      </c>
      <c r="C286" s="92">
        <v>100.0</v>
      </c>
      <c r="D286" s="92">
        <v>78.0</v>
      </c>
      <c r="E286" s="93">
        <f t="shared" si="1"/>
        <v>0.78</v>
      </c>
    </row>
    <row r="287">
      <c r="A287" s="90" t="s">
        <v>2203</v>
      </c>
      <c r="B287" s="90" t="s">
        <v>2204</v>
      </c>
      <c r="C287" s="92">
        <v>736.0</v>
      </c>
      <c r="D287" s="92">
        <v>593.0</v>
      </c>
      <c r="E287" s="93">
        <f t="shared" si="1"/>
        <v>0.8057065217</v>
      </c>
    </row>
    <row r="288">
      <c r="A288" s="90" t="s">
        <v>2205</v>
      </c>
      <c r="B288" s="90" t="s">
        <v>2206</v>
      </c>
      <c r="C288" s="92">
        <v>587.0</v>
      </c>
      <c r="D288" s="92">
        <v>282.0</v>
      </c>
      <c r="E288" s="93">
        <f t="shared" si="1"/>
        <v>0.4804088586</v>
      </c>
    </row>
    <row r="289">
      <c r="A289" s="90" t="s">
        <v>2207</v>
      </c>
      <c r="B289" s="90" t="s">
        <v>2208</v>
      </c>
      <c r="C289" s="91">
        <v>3577.0</v>
      </c>
      <c r="D289" s="91">
        <v>1913.0</v>
      </c>
      <c r="E289" s="93">
        <f t="shared" si="1"/>
        <v>0.5348057031</v>
      </c>
    </row>
    <row r="290">
      <c r="A290" s="90" t="s">
        <v>2209</v>
      </c>
      <c r="B290" s="90" t="s">
        <v>2210</v>
      </c>
      <c r="C290" s="92">
        <v>250.0</v>
      </c>
      <c r="D290" s="92">
        <v>211.0</v>
      </c>
      <c r="E290" s="93">
        <f t="shared" si="1"/>
        <v>0.844</v>
      </c>
    </row>
    <row r="291">
      <c r="A291" s="90" t="s">
        <v>2211</v>
      </c>
      <c r="B291" s="90" t="s">
        <v>2212</v>
      </c>
      <c r="C291" s="92">
        <v>221.0</v>
      </c>
      <c r="D291" s="92">
        <v>115.0</v>
      </c>
      <c r="E291" s="93">
        <f t="shared" si="1"/>
        <v>0.520361991</v>
      </c>
    </row>
    <row r="292">
      <c r="A292" s="90" t="s">
        <v>2213</v>
      </c>
      <c r="B292" s="90" t="s">
        <v>2214</v>
      </c>
      <c r="C292" s="91">
        <v>1221.0</v>
      </c>
      <c r="D292" s="92">
        <v>669.0</v>
      </c>
      <c r="E292" s="93">
        <f t="shared" si="1"/>
        <v>0.5479115479</v>
      </c>
    </row>
    <row r="293">
      <c r="A293" s="90" t="s">
        <v>2215</v>
      </c>
      <c r="B293" s="90" t="s">
        <v>2216</v>
      </c>
      <c r="C293" s="91">
        <v>1573.0</v>
      </c>
      <c r="D293" s="92">
        <v>850.0</v>
      </c>
      <c r="E293" s="93">
        <f t="shared" si="1"/>
        <v>0.5403687222</v>
      </c>
    </row>
    <row r="294">
      <c r="A294" s="90" t="s">
        <v>2217</v>
      </c>
      <c r="B294" s="90" t="s">
        <v>2218</v>
      </c>
      <c r="C294" s="92">
        <v>161.0</v>
      </c>
      <c r="D294" s="92">
        <v>106.0</v>
      </c>
      <c r="E294" s="93">
        <f t="shared" si="1"/>
        <v>0.6583850932</v>
      </c>
    </row>
    <row r="295">
      <c r="A295" s="90" t="s">
        <v>2219</v>
      </c>
      <c r="B295" s="90" t="s">
        <v>2220</v>
      </c>
      <c r="C295" s="92">
        <v>266.0</v>
      </c>
      <c r="D295" s="92">
        <v>69.0</v>
      </c>
      <c r="E295" s="93">
        <f t="shared" si="1"/>
        <v>0.2593984962</v>
      </c>
    </row>
    <row r="296">
      <c r="A296" s="90" t="s">
        <v>2221</v>
      </c>
      <c r="B296" s="90" t="s">
        <v>2222</v>
      </c>
      <c r="C296" s="92">
        <v>55.0</v>
      </c>
      <c r="D296" s="92">
        <v>5.0</v>
      </c>
      <c r="E296" s="93">
        <f t="shared" si="1"/>
        <v>0.09090909091</v>
      </c>
    </row>
    <row r="297">
      <c r="A297" s="90" t="s">
        <v>2223</v>
      </c>
      <c r="B297" s="90" t="s">
        <v>2224</v>
      </c>
      <c r="C297" s="92">
        <v>165.0</v>
      </c>
      <c r="D297" s="92">
        <v>106.0</v>
      </c>
      <c r="E297" s="93">
        <f t="shared" si="1"/>
        <v>0.6424242424</v>
      </c>
    </row>
    <row r="298">
      <c r="A298" s="90" t="s">
        <v>2225</v>
      </c>
      <c r="B298" s="90" t="s">
        <v>2226</v>
      </c>
      <c r="C298" s="92">
        <v>270.0</v>
      </c>
      <c r="D298" s="92">
        <v>187.0</v>
      </c>
      <c r="E298" s="93">
        <f t="shared" si="1"/>
        <v>0.6925925926</v>
      </c>
    </row>
    <row r="299">
      <c r="A299" s="90" t="s">
        <v>2227</v>
      </c>
      <c r="B299" s="90" t="s">
        <v>2228</v>
      </c>
      <c r="C299" s="91">
        <v>1606.0</v>
      </c>
      <c r="D299" s="92">
        <v>455.0</v>
      </c>
      <c r="E299" s="93">
        <f t="shared" si="1"/>
        <v>0.2833125778</v>
      </c>
    </row>
    <row r="300">
      <c r="A300" s="90" t="s">
        <v>2229</v>
      </c>
      <c r="B300" s="90" t="s">
        <v>2230</v>
      </c>
      <c r="C300" s="91">
        <v>4173.0</v>
      </c>
      <c r="D300" s="91">
        <v>1511.0</v>
      </c>
      <c r="E300" s="93">
        <f t="shared" si="1"/>
        <v>0.3620896238</v>
      </c>
    </row>
    <row r="301">
      <c r="A301" s="90" t="s">
        <v>2231</v>
      </c>
      <c r="B301" s="90" t="s">
        <v>2232</v>
      </c>
      <c r="C301" s="92">
        <v>727.0</v>
      </c>
      <c r="D301" s="92">
        <v>177.0</v>
      </c>
      <c r="E301" s="93">
        <f t="shared" si="1"/>
        <v>0.2434662999</v>
      </c>
    </row>
    <row r="302">
      <c r="A302" s="90" t="s">
        <v>2233</v>
      </c>
      <c r="B302" s="90" t="s">
        <v>2234</v>
      </c>
      <c r="C302" s="92">
        <v>913.0</v>
      </c>
      <c r="D302" s="92">
        <v>216.0</v>
      </c>
      <c r="E302" s="93">
        <f t="shared" si="1"/>
        <v>0.2365826944</v>
      </c>
    </row>
    <row r="303">
      <c r="A303" s="90" t="s">
        <v>2235</v>
      </c>
      <c r="B303" s="90" t="s">
        <v>2236</v>
      </c>
      <c r="C303" s="92">
        <v>624.0</v>
      </c>
      <c r="D303" s="92">
        <v>401.0</v>
      </c>
      <c r="E303" s="93">
        <f t="shared" si="1"/>
        <v>0.6426282051</v>
      </c>
    </row>
    <row r="304">
      <c r="A304" s="90" t="s">
        <v>2237</v>
      </c>
      <c r="B304" s="90" t="s">
        <v>2238</v>
      </c>
      <c r="C304" s="91">
        <v>5642.0</v>
      </c>
      <c r="D304" s="92">
        <v>842.0</v>
      </c>
      <c r="E304" s="93">
        <f t="shared" si="1"/>
        <v>0.1492378589</v>
      </c>
    </row>
    <row r="305">
      <c r="A305" s="90" t="s">
        <v>2239</v>
      </c>
      <c r="B305" s="90" t="s">
        <v>2240</v>
      </c>
      <c r="C305" s="92">
        <v>618.0</v>
      </c>
      <c r="D305" s="92">
        <v>184.0</v>
      </c>
      <c r="E305" s="93">
        <f t="shared" si="1"/>
        <v>0.2977346278</v>
      </c>
    </row>
    <row r="306">
      <c r="A306" s="90" t="s">
        <v>2241</v>
      </c>
      <c r="B306" s="90" t="s">
        <v>2242</v>
      </c>
      <c r="C306" s="92">
        <v>352.0</v>
      </c>
      <c r="D306" s="92">
        <v>88.0</v>
      </c>
      <c r="E306" s="93">
        <f t="shared" si="1"/>
        <v>0.25</v>
      </c>
    </row>
    <row r="307">
      <c r="A307" s="90" t="s">
        <v>2243</v>
      </c>
      <c r="B307" s="90" t="s">
        <v>2244</v>
      </c>
      <c r="C307" s="91">
        <v>5634.0</v>
      </c>
      <c r="D307" s="91">
        <v>3650.0</v>
      </c>
      <c r="E307" s="93">
        <f t="shared" si="1"/>
        <v>0.6478523252</v>
      </c>
    </row>
    <row r="308">
      <c r="A308" s="90" t="s">
        <v>2245</v>
      </c>
      <c r="B308" s="90" t="s">
        <v>2246</v>
      </c>
      <c r="C308" s="92">
        <v>402.0</v>
      </c>
      <c r="D308" s="92">
        <v>238.0</v>
      </c>
      <c r="E308" s="93">
        <f t="shared" si="1"/>
        <v>0.592039801</v>
      </c>
    </row>
    <row r="309">
      <c r="A309" s="90" t="s">
        <v>2247</v>
      </c>
      <c r="B309" s="90" t="s">
        <v>2248</v>
      </c>
      <c r="C309" s="92">
        <v>367.0</v>
      </c>
      <c r="D309" s="92">
        <v>259.0</v>
      </c>
      <c r="E309" s="93">
        <f t="shared" si="1"/>
        <v>0.7057220708</v>
      </c>
    </row>
    <row r="310">
      <c r="A310" s="90" t="s">
        <v>2249</v>
      </c>
      <c r="B310" s="90" t="s">
        <v>2250</v>
      </c>
      <c r="C310" s="92">
        <v>181.0</v>
      </c>
      <c r="D310" s="92">
        <v>85.0</v>
      </c>
      <c r="E310" s="93">
        <f t="shared" si="1"/>
        <v>0.4696132597</v>
      </c>
    </row>
    <row r="311">
      <c r="A311" s="90" t="s">
        <v>2251</v>
      </c>
      <c r="B311" s="90" t="s">
        <v>2252</v>
      </c>
      <c r="C311" s="92">
        <v>282.0</v>
      </c>
      <c r="D311" s="92">
        <v>202.0</v>
      </c>
      <c r="E311" s="93">
        <f t="shared" si="1"/>
        <v>0.7163120567</v>
      </c>
    </row>
    <row r="312">
      <c r="A312" s="90" t="s">
        <v>2253</v>
      </c>
      <c r="B312" s="90" t="s">
        <v>2254</v>
      </c>
      <c r="C312" s="92">
        <v>522.0</v>
      </c>
      <c r="D312" s="92">
        <v>218.0</v>
      </c>
      <c r="E312" s="93">
        <f t="shared" si="1"/>
        <v>0.4176245211</v>
      </c>
    </row>
    <row r="313">
      <c r="A313" s="90" t="s">
        <v>2255</v>
      </c>
      <c r="B313" s="90" t="s">
        <v>2256</v>
      </c>
      <c r="C313" s="92">
        <v>524.0</v>
      </c>
      <c r="D313" s="92">
        <v>371.0</v>
      </c>
      <c r="E313" s="93">
        <f t="shared" si="1"/>
        <v>0.7080152672</v>
      </c>
    </row>
    <row r="314">
      <c r="A314" s="90" t="s">
        <v>2257</v>
      </c>
      <c r="B314" s="90" t="s">
        <v>2258</v>
      </c>
      <c r="C314" s="92">
        <v>177.0</v>
      </c>
      <c r="D314" s="92">
        <v>79.0</v>
      </c>
      <c r="E314" s="93">
        <f t="shared" si="1"/>
        <v>0.4463276836</v>
      </c>
    </row>
    <row r="315">
      <c r="A315" s="90" t="s">
        <v>2259</v>
      </c>
      <c r="B315" s="90" t="s">
        <v>2260</v>
      </c>
      <c r="C315" s="91">
        <v>2032.0</v>
      </c>
      <c r="D315" s="91">
        <v>1147.0</v>
      </c>
      <c r="E315" s="93">
        <f t="shared" si="1"/>
        <v>0.5644685039</v>
      </c>
    </row>
    <row r="316">
      <c r="A316" s="90" t="s">
        <v>2261</v>
      </c>
      <c r="B316" s="90" t="s">
        <v>2262</v>
      </c>
      <c r="C316" s="92">
        <v>461.0</v>
      </c>
      <c r="D316" s="92">
        <v>209.0</v>
      </c>
      <c r="E316" s="93">
        <f t="shared" si="1"/>
        <v>0.453362256</v>
      </c>
    </row>
    <row r="317">
      <c r="A317" s="90" t="s">
        <v>2263</v>
      </c>
      <c r="B317" s="90" t="s">
        <v>2264</v>
      </c>
      <c r="C317" s="92">
        <v>333.0</v>
      </c>
      <c r="D317" s="92">
        <v>149.0</v>
      </c>
      <c r="E317" s="93">
        <f t="shared" si="1"/>
        <v>0.4474474474</v>
      </c>
    </row>
    <row r="318">
      <c r="A318" s="90" t="s">
        <v>2265</v>
      </c>
      <c r="B318" s="90" t="s">
        <v>2266</v>
      </c>
      <c r="C318" s="92">
        <v>370.0</v>
      </c>
      <c r="D318" s="92">
        <v>239.0</v>
      </c>
      <c r="E318" s="93">
        <f t="shared" si="1"/>
        <v>0.6459459459</v>
      </c>
    </row>
    <row r="319">
      <c r="A319" s="90" t="s">
        <v>2267</v>
      </c>
      <c r="B319" s="90" t="s">
        <v>2268</v>
      </c>
      <c r="C319" s="92">
        <v>887.0</v>
      </c>
      <c r="D319" s="92">
        <v>575.0</v>
      </c>
      <c r="E319" s="93">
        <f t="shared" si="1"/>
        <v>0.6482525366</v>
      </c>
    </row>
    <row r="320">
      <c r="A320" s="90" t="s">
        <v>2269</v>
      </c>
      <c r="B320" s="90" t="s">
        <v>2270</v>
      </c>
      <c r="C320" s="92">
        <v>754.0</v>
      </c>
      <c r="D320" s="92">
        <v>509.0</v>
      </c>
      <c r="E320" s="93">
        <f t="shared" si="1"/>
        <v>0.675066313</v>
      </c>
    </row>
    <row r="321">
      <c r="A321" s="90" t="s">
        <v>2271</v>
      </c>
      <c r="B321" s="90" t="s">
        <v>2272</v>
      </c>
      <c r="C321" s="92">
        <v>101.0</v>
      </c>
      <c r="D321" s="92">
        <v>59.0</v>
      </c>
      <c r="E321" s="93">
        <f t="shared" si="1"/>
        <v>0.5841584158</v>
      </c>
    </row>
    <row r="322">
      <c r="A322" s="90" t="s">
        <v>2273</v>
      </c>
      <c r="B322" s="90" t="s">
        <v>2274</v>
      </c>
      <c r="C322" s="92">
        <v>348.0</v>
      </c>
      <c r="D322" s="92">
        <v>255.0</v>
      </c>
      <c r="E322" s="93">
        <f t="shared" si="1"/>
        <v>0.7327586207</v>
      </c>
    </row>
    <row r="323">
      <c r="A323" s="90" t="s">
        <v>2275</v>
      </c>
      <c r="B323" s="90" t="s">
        <v>2276</v>
      </c>
      <c r="C323" s="91">
        <v>1299.0</v>
      </c>
      <c r="D323" s="92">
        <v>111.0</v>
      </c>
      <c r="E323" s="93">
        <f t="shared" si="1"/>
        <v>0.08545034642</v>
      </c>
    </row>
    <row r="324">
      <c r="A324" s="90" t="s">
        <v>2277</v>
      </c>
      <c r="B324" s="90" t="s">
        <v>2278</v>
      </c>
      <c r="C324" s="91">
        <v>1152.0</v>
      </c>
      <c r="D324" s="92">
        <v>119.0</v>
      </c>
      <c r="E324" s="93">
        <f t="shared" si="1"/>
        <v>0.1032986111</v>
      </c>
    </row>
    <row r="325">
      <c r="A325" s="90" t="s">
        <v>2279</v>
      </c>
      <c r="B325" s="90" t="s">
        <v>2280</v>
      </c>
      <c r="C325" s="91">
        <v>1104.0</v>
      </c>
      <c r="D325" s="92">
        <v>742.0</v>
      </c>
      <c r="E325" s="93">
        <f t="shared" si="1"/>
        <v>0.6721014493</v>
      </c>
    </row>
    <row r="326">
      <c r="A326" s="90" t="s">
        <v>2281</v>
      </c>
      <c r="B326" s="90" t="s">
        <v>2282</v>
      </c>
      <c r="C326" s="92">
        <v>433.0</v>
      </c>
      <c r="D326" s="92">
        <v>174.0</v>
      </c>
      <c r="E326" s="93">
        <f t="shared" si="1"/>
        <v>0.4018475751</v>
      </c>
    </row>
    <row r="327">
      <c r="A327" s="90" t="s">
        <v>2283</v>
      </c>
      <c r="B327" s="90" t="s">
        <v>2284</v>
      </c>
      <c r="C327" s="91">
        <v>1536.0</v>
      </c>
      <c r="D327" s="92">
        <v>858.0</v>
      </c>
      <c r="E327" s="93">
        <f t="shared" si="1"/>
        <v>0.55859375</v>
      </c>
    </row>
    <row r="328">
      <c r="A328" s="90" t="s">
        <v>2285</v>
      </c>
      <c r="B328" s="90" t="s">
        <v>2286</v>
      </c>
      <c r="C328" s="91">
        <v>1140.0</v>
      </c>
      <c r="D328" s="92">
        <v>634.0</v>
      </c>
      <c r="E328" s="93">
        <f t="shared" si="1"/>
        <v>0.5561403509</v>
      </c>
    </row>
    <row r="329">
      <c r="A329" s="90" t="s">
        <v>2287</v>
      </c>
      <c r="B329" s="90" t="s">
        <v>2288</v>
      </c>
      <c r="C329" s="91">
        <v>1178.0</v>
      </c>
      <c r="D329" s="92">
        <v>161.0</v>
      </c>
      <c r="E329" s="93">
        <f t="shared" si="1"/>
        <v>0.136672326</v>
      </c>
    </row>
    <row r="330">
      <c r="A330" s="90" t="s">
        <v>2289</v>
      </c>
      <c r="B330" s="90" t="s">
        <v>2290</v>
      </c>
      <c r="C330" s="91">
        <v>1058.0</v>
      </c>
      <c r="D330" s="92">
        <v>751.0</v>
      </c>
      <c r="E330" s="93">
        <f t="shared" si="1"/>
        <v>0.7098298677</v>
      </c>
    </row>
    <row r="331">
      <c r="A331" s="90" t="s">
        <v>2291</v>
      </c>
      <c r="B331" s="90" t="s">
        <v>2292</v>
      </c>
      <c r="C331" s="92">
        <v>648.0</v>
      </c>
      <c r="D331" s="92">
        <v>307.0</v>
      </c>
      <c r="E331" s="93">
        <f t="shared" si="1"/>
        <v>0.4737654321</v>
      </c>
    </row>
    <row r="332">
      <c r="A332" s="90" t="s">
        <v>2293</v>
      </c>
      <c r="B332" s="90" t="s">
        <v>2294</v>
      </c>
      <c r="C332" s="91">
        <v>1022.0</v>
      </c>
      <c r="D332" s="92">
        <v>561.0</v>
      </c>
      <c r="E332" s="93">
        <f t="shared" si="1"/>
        <v>0.5489236791</v>
      </c>
    </row>
    <row r="333">
      <c r="A333" s="90" t="s">
        <v>2295</v>
      </c>
      <c r="B333" s="90" t="s">
        <v>2296</v>
      </c>
      <c r="C333" s="92">
        <v>745.0</v>
      </c>
      <c r="D333" s="92">
        <v>331.0</v>
      </c>
      <c r="E333" s="93">
        <f t="shared" si="1"/>
        <v>0.444295302</v>
      </c>
    </row>
    <row r="334">
      <c r="A334" s="90" t="s">
        <v>2297</v>
      </c>
      <c r="B334" s="90" t="s">
        <v>2298</v>
      </c>
      <c r="C334" s="92">
        <v>517.0</v>
      </c>
      <c r="D334" s="92">
        <v>149.0</v>
      </c>
      <c r="E334" s="93">
        <f t="shared" si="1"/>
        <v>0.2882011605</v>
      </c>
    </row>
    <row r="335">
      <c r="A335" s="90" t="s">
        <v>2299</v>
      </c>
      <c r="B335" s="90" t="s">
        <v>2300</v>
      </c>
      <c r="C335" s="91">
        <v>2016.0</v>
      </c>
      <c r="D335" s="91">
        <v>1208.0</v>
      </c>
      <c r="E335" s="93">
        <f t="shared" si="1"/>
        <v>0.5992063492</v>
      </c>
    </row>
    <row r="336">
      <c r="A336" s="90" t="s">
        <v>2301</v>
      </c>
      <c r="B336" s="90" t="s">
        <v>2302</v>
      </c>
      <c r="C336" s="92">
        <v>332.0</v>
      </c>
      <c r="D336" s="92">
        <v>223.0</v>
      </c>
      <c r="E336" s="93">
        <f t="shared" si="1"/>
        <v>0.671686747</v>
      </c>
    </row>
    <row r="337">
      <c r="A337" s="90" t="s">
        <v>2303</v>
      </c>
      <c r="B337" s="90" t="s">
        <v>2304</v>
      </c>
      <c r="C337" s="92">
        <v>861.0</v>
      </c>
      <c r="D337" s="92">
        <v>43.0</v>
      </c>
      <c r="E337" s="93">
        <f t="shared" si="1"/>
        <v>0.04994192799</v>
      </c>
    </row>
    <row r="338">
      <c r="A338" s="90" t="s">
        <v>2305</v>
      </c>
      <c r="B338" s="90" t="s">
        <v>2306</v>
      </c>
      <c r="C338" s="92">
        <v>386.0</v>
      </c>
      <c r="D338" s="92">
        <v>190.0</v>
      </c>
      <c r="E338" s="93">
        <f t="shared" si="1"/>
        <v>0.4922279793</v>
      </c>
    </row>
    <row r="339">
      <c r="A339" s="90" t="s">
        <v>2307</v>
      </c>
      <c r="B339" s="90" t="s">
        <v>2308</v>
      </c>
      <c r="C339" s="92">
        <v>322.0</v>
      </c>
      <c r="D339" s="92">
        <v>113.0</v>
      </c>
      <c r="E339" s="93">
        <f t="shared" si="1"/>
        <v>0.350931677</v>
      </c>
    </row>
    <row r="340">
      <c r="A340" s="90" t="s">
        <v>2309</v>
      </c>
      <c r="B340" s="90" t="s">
        <v>2310</v>
      </c>
      <c r="C340" s="92">
        <v>407.0</v>
      </c>
      <c r="D340" s="92">
        <v>116.0</v>
      </c>
      <c r="E340" s="93">
        <f t="shared" si="1"/>
        <v>0.285012285</v>
      </c>
    </row>
    <row r="341">
      <c r="A341" s="90" t="s">
        <v>2311</v>
      </c>
      <c r="B341" s="90" t="s">
        <v>2312</v>
      </c>
      <c r="C341" s="91">
        <v>2932.0</v>
      </c>
      <c r="D341" s="91">
        <v>1371.0</v>
      </c>
      <c r="E341" s="93">
        <f t="shared" si="1"/>
        <v>0.4675989086</v>
      </c>
    </row>
    <row r="342">
      <c r="A342" s="90" t="s">
        <v>2313</v>
      </c>
      <c r="B342" s="90" t="s">
        <v>2314</v>
      </c>
      <c r="C342" s="91">
        <v>2506.0</v>
      </c>
      <c r="D342" s="92">
        <v>674.0</v>
      </c>
      <c r="E342" s="93">
        <f t="shared" si="1"/>
        <v>0.2689545092</v>
      </c>
    </row>
    <row r="343">
      <c r="A343" s="90" t="s">
        <v>2315</v>
      </c>
      <c r="B343" s="90" t="s">
        <v>2316</v>
      </c>
      <c r="C343" s="91">
        <v>4471.0</v>
      </c>
      <c r="D343" s="91">
        <v>1938.0</v>
      </c>
      <c r="E343" s="93">
        <f t="shared" si="1"/>
        <v>0.433460076</v>
      </c>
    </row>
    <row r="344">
      <c r="A344" s="90" t="s">
        <v>2317</v>
      </c>
      <c r="B344" s="90" t="s">
        <v>2318</v>
      </c>
      <c r="C344" s="91">
        <v>2126.0</v>
      </c>
      <c r="D344" s="91">
        <v>1118.0</v>
      </c>
      <c r="E344" s="93">
        <f t="shared" si="1"/>
        <v>0.5258701787</v>
      </c>
    </row>
    <row r="345">
      <c r="A345" s="90" t="s">
        <v>2319</v>
      </c>
      <c r="B345" s="90" t="s">
        <v>2320</v>
      </c>
      <c r="C345" s="92">
        <v>843.0</v>
      </c>
      <c r="D345" s="92">
        <v>495.0</v>
      </c>
      <c r="E345" s="93">
        <f t="shared" si="1"/>
        <v>0.5871886121</v>
      </c>
    </row>
    <row r="346">
      <c r="A346" s="90" t="s">
        <v>2321</v>
      </c>
      <c r="B346" s="90" t="s">
        <v>2322</v>
      </c>
      <c r="C346" s="92">
        <v>234.0</v>
      </c>
      <c r="D346" s="92">
        <v>88.0</v>
      </c>
      <c r="E346" s="93">
        <f t="shared" si="1"/>
        <v>0.3760683761</v>
      </c>
    </row>
    <row r="347">
      <c r="A347" s="90" t="s">
        <v>2323</v>
      </c>
      <c r="B347" s="90" t="s">
        <v>2324</v>
      </c>
      <c r="C347" s="91">
        <v>9198.0</v>
      </c>
      <c r="D347" s="91">
        <v>2811.0</v>
      </c>
      <c r="E347" s="93">
        <f t="shared" si="1"/>
        <v>0.3056099152</v>
      </c>
    </row>
    <row r="348">
      <c r="A348" s="90" t="s">
        <v>2325</v>
      </c>
      <c r="B348" s="90" t="s">
        <v>2326</v>
      </c>
      <c r="C348" s="92">
        <v>600.0</v>
      </c>
      <c r="D348" s="92">
        <v>275.0</v>
      </c>
      <c r="E348" s="93">
        <f t="shared" si="1"/>
        <v>0.4583333333</v>
      </c>
    </row>
    <row r="349">
      <c r="A349" s="90" t="s">
        <v>2327</v>
      </c>
      <c r="B349" s="90" t="s">
        <v>2328</v>
      </c>
      <c r="C349" s="92">
        <v>236.0</v>
      </c>
      <c r="D349" s="92">
        <v>168.0</v>
      </c>
      <c r="E349" s="93">
        <f t="shared" si="1"/>
        <v>0.7118644068</v>
      </c>
    </row>
    <row r="350">
      <c r="A350" s="90" t="s">
        <v>2329</v>
      </c>
      <c r="B350" s="90" t="s">
        <v>2330</v>
      </c>
      <c r="C350" s="91">
        <v>3974.0</v>
      </c>
      <c r="D350" s="91">
        <v>1706.0</v>
      </c>
      <c r="E350" s="93">
        <f t="shared" si="1"/>
        <v>0.4292903875</v>
      </c>
    </row>
    <row r="351">
      <c r="A351" s="90" t="s">
        <v>2331</v>
      </c>
      <c r="B351" s="90" t="s">
        <v>2332</v>
      </c>
      <c r="C351" s="92">
        <v>109.0</v>
      </c>
      <c r="D351" s="92">
        <v>83.0</v>
      </c>
      <c r="E351" s="93">
        <f t="shared" si="1"/>
        <v>0.7614678899</v>
      </c>
    </row>
    <row r="352">
      <c r="A352" s="90" t="s">
        <v>2333</v>
      </c>
      <c r="B352" s="90" t="s">
        <v>2334</v>
      </c>
      <c r="C352" s="91">
        <v>1958.0</v>
      </c>
      <c r="D352" s="91">
        <v>1445.0</v>
      </c>
      <c r="E352" s="93">
        <f t="shared" si="1"/>
        <v>0.7379979571</v>
      </c>
    </row>
    <row r="353">
      <c r="A353" s="90" t="s">
        <v>2335</v>
      </c>
      <c r="B353" s="90" t="s">
        <v>2336</v>
      </c>
      <c r="C353" s="91">
        <v>1006.0</v>
      </c>
      <c r="D353" s="92">
        <v>553.0</v>
      </c>
      <c r="E353" s="93">
        <f t="shared" si="1"/>
        <v>0.5497017893</v>
      </c>
    </row>
    <row r="354">
      <c r="A354" s="90" t="s">
        <v>2337</v>
      </c>
      <c r="B354" s="90" t="s">
        <v>2338</v>
      </c>
      <c r="C354" s="92">
        <v>167.0</v>
      </c>
      <c r="D354" s="92">
        <v>36.0</v>
      </c>
      <c r="E354" s="93">
        <f t="shared" si="1"/>
        <v>0.2155688623</v>
      </c>
    </row>
    <row r="355">
      <c r="A355" s="90" t="s">
        <v>2339</v>
      </c>
      <c r="B355" s="90" t="s">
        <v>2340</v>
      </c>
      <c r="C355" s="92">
        <v>546.0</v>
      </c>
      <c r="D355" s="92">
        <v>342.0</v>
      </c>
      <c r="E355" s="93">
        <f t="shared" si="1"/>
        <v>0.6263736264</v>
      </c>
    </row>
    <row r="356">
      <c r="A356" s="90" t="s">
        <v>2341</v>
      </c>
      <c r="B356" s="90" t="s">
        <v>2342</v>
      </c>
      <c r="C356" s="92">
        <v>709.0</v>
      </c>
      <c r="D356" s="92">
        <v>574.0</v>
      </c>
      <c r="E356" s="93">
        <f t="shared" si="1"/>
        <v>0.8095909732</v>
      </c>
    </row>
    <row r="357">
      <c r="A357" s="90" t="s">
        <v>2343</v>
      </c>
      <c r="B357" s="90" t="s">
        <v>2344</v>
      </c>
      <c r="C357" s="92">
        <v>276.0</v>
      </c>
      <c r="D357" s="92">
        <v>246.0</v>
      </c>
      <c r="E357" s="93">
        <f t="shared" si="1"/>
        <v>0.8913043478</v>
      </c>
    </row>
    <row r="358">
      <c r="A358" s="90" t="s">
        <v>2345</v>
      </c>
      <c r="B358" s="90" t="s">
        <v>2346</v>
      </c>
      <c r="C358" s="92">
        <v>319.0</v>
      </c>
      <c r="D358" s="92">
        <v>174.0</v>
      </c>
      <c r="E358" s="93">
        <f t="shared" si="1"/>
        <v>0.5454545455</v>
      </c>
    </row>
    <row r="359">
      <c r="A359" s="90" t="s">
        <v>2347</v>
      </c>
      <c r="B359" s="90" t="s">
        <v>2348</v>
      </c>
      <c r="C359" s="92">
        <v>188.0</v>
      </c>
      <c r="D359" s="92">
        <v>149.0</v>
      </c>
      <c r="E359" s="93">
        <f t="shared" si="1"/>
        <v>0.7925531915</v>
      </c>
    </row>
    <row r="360">
      <c r="A360" s="90" t="s">
        <v>2349</v>
      </c>
      <c r="B360" s="90" t="s">
        <v>2350</v>
      </c>
      <c r="C360" s="92">
        <v>425.0</v>
      </c>
      <c r="D360" s="92">
        <v>301.0</v>
      </c>
      <c r="E360" s="93">
        <f t="shared" si="1"/>
        <v>0.7082352941</v>
      </c>
    </row>
    <row r="361">
      <c r="A361" s="90" t="s">
        <v>2351</v>
      </c>
      <c r="B361" s="90" t="s">
        <v>2352</v>
      </c>
      <c r="C361" s="92">
        <v>149.0</v>
      </c>
      <c r="D361" s="92">
        <v>89.0</v>
      </c>
      <c r="E361" s="93">
        <f t="shared" si="1"/>
        <v>0.5973154362</v>
      </c>
    </row>
    <row r="362">
      <c r="A362" s="90" t="s">
        <v>2353</v>
      </c>
      <c r="B362" s="90" t="s">
        <v>2354</v>
      </c>
      <c r="C362" s="92">
        <v>73.0</v>
      </c>
      <c r="D362" s="92">
        <v>55.0</v>
      </c>
      <c r="E362" s="93">
        <f t="shared" si="1"/>
        <v>0.7534246575</v>
      </c>
    </row>
    <row r="363">
      <c r="A363" s="90" t="s">
        <v>2355</v>
      </c>
      <c r="B363" s="90" t="s">
        <v>2356</v>
      </c>
      <c r="C363" s="92">
        <v>297.0</v>
      </c>
      <c r="D363" s="92">
        <v>262.0</v>
      </c>
      <c r="E363" s="93">
        <f t="shared" si="1"/>
        <v>0.8821548822</v>
      </c>
    </row>
    <row r="364">
      <c r="A364" s="90" t="s">
        <v>2357</v>
      </c>
      <c r="B364" s="90" t="s">
        <v>2358</v>
      </c>
      <c r="C364" s="92">
        <v>207.0</v>
      </c>
      <c r="D364" s="92">
        <v>183.0</v>
      </c>
      <c r="E364" s="93">
        <f t="shared" si="1"/>
        <v>0.884057971</v>
      </c>
    </row>
    <row r="365">
      <c r="A365" s="90" t="s">
        <v>2359</v>
      </c>
      <c r="B365" s="90" t="s">
        <v>2360</v>
      </c>
      <c r="C365" s="92">
        <v>816.0</v>
      </c>
      <c r="D365" s="92">
        <v>528.0</v>
      </c>
      <c r="E365" s="93">
        <f t="shared" si="1"/>
        <v>0.6470588235</v>
      </c>
    </row>
    <row r="366">
      <c r="A366" s="90" t="s">
        <v>2361</v>
      </c>
      <c r="B366" s="90" t="s">
        <v>2362</v>
      </c>
      <c r="C366" s="92">
        <v>199.0</v>
      </c>
      <c r="D366" s="92">
        <v>157.0</v>
      </c>
      <c r="E366" s="93">
        <f t="shared" si="1"/>
        <v>0.7889447236</v>
      </c>
    </row>
    <row r="367">
      <c r="A367" s="90" t="s">
        <v>2363</v>
      </c>
      <c r="B367" s="90" t="s">
        <v>2364</v>
      </c>
      <c r="C367" s="91">
        <v>1041.0</v>
      </c>
      <c r="D367" s="92">
        <v>763.0</v>
      </c>
      <c r="E367" s="93">
        <f t="shared" si="1"/>
        <v>0.7329490874</v>
      </c>
    </row>
    <row r="368">
      <c r="A368" s="90" t="s">
        <v>2365</v>
      </c>
      <c r="B368" s="90" t="s">
        <v>2366</v>
      </c>
      <c r="C368" s="92">
        <v>179.0</v>
      </c>
      <c r="D368" s="92">
        <v>107.0</v>
      </c>
      <c r="E368" s="93">
        <f t="shared" si="1"/>
        <v>0.5977653631</v>
      </c>
    </row>
    <row r="369">
      <c r="A369" s="90" t="s">
        <v>2367</v>
      </c>
      <c r="B369" s="90" t="s">
        <v>2368</v>
      </c>
      <c r="C369" s="92">
        <v>207.0</v>
      </c>
      <c r="D369" s="92">
        <v>150.0</v>
      </c>
      <c r="E369" s="93">
        <f t="shared" si="1"/>
        <v>0.7246376812</v>
      </c>
    </row>
    <row r="370">
      <c r="A370" s="90" t="s">
        <v>2369</v>
      </c>
      <c r="B370" s="90" t="s">
        <v>2370</v>
      </c>
      <c r="C370" s="92">
        <v>326.0</v>
      </c>
      <c r="D370" s="92">
        <v>189.0</v>
      </c>
      <c r="E370" s="93">
        <f t="shared" si="1"/>
        <v>0.5797546012</v>
      </c>
    </row>
    <row r="371">
      <c r="A371" s="90" t="s">
        <v>2371</v>
      </c>
      <c r="B371" s="90" t="s">
        <v>2372</v>
      </c>
      <c r="C371" s="92">
        <v>304.0</v>
      </c>
      <c r="D371" s="92">
        <v>12.0</v>
      </c>
      <c r="E371" s="93">
        <f t="shared" si="1"/>
        <v>0.03947368421</v>
      </c>
    </row>
    <row r="372">
      <c r="A372" s="90" t="s">
        <v>2373</v>
      </c>
      <c r="B372" s="90" t="s">
        <v>2374</v>
      </c>
      <c r="C372" s="92">
        <v>849.0</v>
      </c>
      <c r="D372" s="92">
        <v>696.0</v>
      </c>
      <c r="E372" s="93">
        <f t="shared" si="1"/>
        <v>0.8197879859</v>
      </c>
    </row>
    <row r="373">
      <c r="A373" s="90" t="s">
        <v>2375</v>
      </c>
      <c r="B373" s="90" t="s">
        <v>2376</v>
      </c>
      <c r="C373" s="92">
        <v>261.0</v>
      </c>
      <c r="D373" s="92">
        <v>200.0</v>
      </c>
      <c r="E373" s="93">
        <f t="shared" si="1"/>
        <v>0.7662835249</v>
      </c>
    </row>
    <row r="374">
      <c r="A374" s="90" t="s">
        <v>2377</v>
      </c>
      <c r="B374" s="90" t="s">
        <v>2378</v>
      </c>
      <c r="C374" s="91">
        <v>11751.0</v>
      </c>
      <c r="D374" s="91">
        <v>4085.0</v>
      </c>
      <c r="E374" s="93">
        <f t="shared" si="1"/>
        <v>0.3476299889</v>
      </c>
    </row>
    <row r="375">
      <c r="A375" s="90" t="s">
        <v>2379</v>
      </c>
      <c r="B375" s="90" t="s">
        <v>2380</v>
      </c>
      <c r="C375" s="91">
        <v>5668.0</v>
      </c>
      <c r="D375" s="91">
        <v>2139.0</v>
      </c>
      <c r="E375" s="93">
        <f t="shared" si="1"/>
        <v>0.3773817925</v>
      </c>
    </row>
    <row r="376">
      <c r="A376" s="90" t="s">
        <v>2381</v>
      </c>
      <c r="B376" s="90" t="s">
        <v>2382</v>
      </c>
      <c r="C376" s="91">
        <v>1559.0</v>
      </c>
      <c r="D376" s="92">
        <v>799.0</v>
      </c>
      <c r="E376" s="93">
        <f t="shared" si="1"/>
        <v>0.512508018</v>
      </c>
    </row>
    <row r="377">
      <c r="A377" s="90" t="s">
        <v>2383</v>
      </c>
      <c r="B377" s="90" t="s">
        <v>2384</v>
      </c>
      <c r="C377" s="91">
        <v>1897.0</v>
      </c>
      <c r="D377" s="92">
        <v>816.0</v>
      </c>
      <c r="E377" s="93">
        <f t="shared" si="1"/>
        <v>0.430152873</v>
      </c>
    </row>
    <row r="378">
      <c r="A378" s="90" t="s">
        <v>2385</v>
      </c>
      <c r="B378" s="90" t="s">
        <v>2386</v>
      </c>
      <c r="C378" s="91">
        <v>1132.0</v>
      </c>
      <c r="D378" s="92">
        <v>426.0</v>
      </c>
      <c r="E378" s="93">
        <f t="shared" si="1"/>
        <v>0.3763250883</v>
      </c>
    </row>
    <row r="379">
      <c r="A379" s="90" t="s">
        <v>2387</v>
      </c>
      <c r="B379" s="90" t="s">
        <v>2388</v>
      </c>
      <c r="C379" s="92">
        <v>916.0</v>
      </c>
      <c r="D379" s="92">
        <v>268.0</v>
      </c>
      <c r="E379" s="93">
        <f t="shared" si="1"/>
        <v>0.2925764192</v>
      </c>
    </row>
    <row r="380">
      <c r="A380" s="90" t="s">
        <v>2389</v>
      </c>
      <c r="B380" s="90" t="s">
        <v>2390</v>
      </c>
      <c r="C380" s="91">
        <v>2708.0</v>
      </c>
      <c r="D380" s="91">
        <v>1997.0</v>
      </c>
      <c r="E380" s="93">
        <f t="shared" si="1"/>
        <v>0.7374446086</v>
      </c>
    </row>
    <row r="381">
      <c r="A381" s="90" t="s">
        <v>2391</v>
      </c>
      <c r="B381" s="90" t="s">
        <v>2392</v>
      </c>
      <c r="C381" s="92">
        <v>970.0</v>
      </c>
      <c r="D381" s="92">
        <v>704.0</v>
      </c>
      <c r="E381" s="93">
        <f t="shared" si="1"/>
        <v>0.7257731959</v>
      </c>
    </row>
    <row r="382">
      <c r="A382" s="90" t="s">
        <v>2393</v>
      </c>
      <c r="B382" s="90" t="s">
        <v>2394</v>
      </c>
      <c r="C382" s="92">
        <v>207.0</v>
      </c>
      <c r="D382" s="92">
        <v>150.0</v>
      </c>
      <c r="E382" s="93">
        <f t="shared" si="1"/>
        <v>0.7246376812</v>
      </c>
    </row>
    <row r="383">
      <c r="A383" s="90" t="s">
        <v>2395</v>
      </c>
      <c r="B383" s="90" t="s">
        <v>2396</v>
      </c>
      <c r="C383" s="92">
        <v>630.0</v>
      </c>
      <c r="D383" s="92">
        <v>396.0</v>
      </c>
      <c r="E383" s="93">
        <f t="shared" si="1"/>
        <v>0.6285714286</v>
      </c>
    </row>
    <row r="384">
      <c r="A384" s="90" t="s">
        <v>2397</v>
      </c>
      <c r="B384" s="90" t="s">
        <v>2398</v>
      </c>
      <c r="C384" s="92">
        <v>129.0</v>
      </c>
      <c r="D384" s="92">
        <v>83.0</v>
      </c>
      <c r="E384" s="93">
        <f t="shared" si="1"/>
        <v>0.6434108527</v>
      </c>
    </row>
    <row r="385">
      <c r="A385" s="90" t="s">
        <v>2399</v>
      </c>
      <c r="B385" s="90" t="s">
        <v>2400</v>
      </c>
      <c r="C385" s="92">
        <v>194.0</v>
      </c>
      <c r="D385" s="92">
        <v>142.0</v>
      </c>
      <c r="E385" s="93">
        <f t="shared" si="1"/>
        <v>0.7319587629</v>
      </c>
    </row>
    <row r="386">
      <c r="A386" s="90" t="s">
        <v>2401</v>
      </c>
      <c r="B386" s="90" t="s">
        <v>2402</v>
      </c>
      <c r="C386" s="92">
        <v>294.0</v>
      </c>
      <c r="D386" s="92">
        <v>251.0</v>
      </c>
      <c r="E386" s="93">
        <f t="shared" si="1"/>
        <v>0.8537414966</v>
      </c>
    </row>
    <row r="387">
      <c r="A387" s="90" t="s">
        <v>2403</v>
      </c>
      <c r="B387" s="90" t="s">
        <v>2404</v>
      </c>
      <c r="C387" s="92">
        <v>724.0</v>
      </c>
      <c r="D387" s="92">
        <v>454.0</v>
      </c>
      <c r="E387" s="93">
        <f t="shared" si="1"/>
        <v>0.6270718232</v>
      </c>
    </row>
    <row r="388">
      <c r="A388" s="90" t="s">
        <v>2405</v>
      </c>
      <c r="B388" s="90" t="s">
        <v>2406</v>
      </c>
      <c r="C388" s="92">
        <v>612.0</v>
      </c>
      <c r="D388" s="92">
        <v>349.0</v>
      </c>
      <c r="E388" s="93">
        <f t="shared" si="1"/>
        <v>0.5702614379</v>
      </c>
    </row>
    <row r="389">
      <c r="A389" s="96"/>
      <c r="B389" s="97" t="s">
        <v>35</v>
      </c>
      <c r="C389" s="98">
        <v>580466.0</v>
      </c>
      <c r="D389" s="98">
        <v>279916.0</v>
      </c>
      <c r="E389" s="99">
        <f t="shared" si="1"/>
        <v>0.4822263492</v>
      </c>
    </row>
  </sheetData>
  <hyperlinks>
    <hyperlink r:id="rId1" ref="G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33"/>
    <col customWidth="1" min="2" max="2" width="21.44"/>
    <col customWidth="1" min="3" max="3" width="24.0"/>
    <col customWidth="1" min="4" max="4" width="24.11"/>
  </cols>
  <sheetData>
    <row r="1">
      <c r="A1" s="100" t="s">
        <v>2407</v>
      </c>
      <c r="B1" s="100" t="s">
        <v>3</v>
      </c>
      <c r="C1" s="100" t="s">
        <v>2408</v>
      </c>
      <c r="D1" s="100" t="s">
        <v>2409</v>
      </c>
    </row>
    <row r="2">
      <c r="A2" s="101">
        <v>1.0</v>
      </c>
      <c r="B2" s="101" t="s">
        <v>2410</v>
      </c>
      <c r="C2" s="101">
        <v>21.0</v>
      </c>
      <c r="D2" s="101">
        <v>1.0</v>
      </c>
      <c r="F2" s="30" t="s">
        <v>1383</v>
      </c>
    </row>
    <row r="3">
      <c r="A3" s="101">
        <v>2.0</v>
      </c>
      <c r="B3" s="101" t="s">
        <v>2411</v>
      </c>
      <c r="C3" s="101">
        <v>3.0</v>
      </c>
      <c r="D3" s="101">
        <v>3.0</v>
      </c>
      <c r="F3" s="94" t="s">
        <v>2412</v>
      </c>
    </row>
    <row r="4">
      <c r="A4" s="101">
        <v>3.0</v>
      </c>
      <c r="B4" s="101" t="s">
        <v>2413</v>
      </c>
      <c r="C4" s="101">
        <v>62.0</v>
      </c>
      <c r="D4" s="101">
        <v>2.0</v>
      </c>
    </row>
    <row r="5">
      <c r="A5" s="101">
        <v>4.0</v>
      </c>
      <c r="B5" s="101" t="s">
        <v>2414</v>
      </c>
      <c r="C5" s="101">
        <v>9.0</v>
      </c>
      <c r="D5" s="101">
        <v>9.0</v>
      </c>
    </row>
    <row r="6">
      <c r="A6" s="101">
        <v>5.0</v>
      </c>
      <c r="B6" s="101" t="s">
        <v>2415</v>
      </c>
      <c r="C6" s="101">
        <v>34.0</v>
      </c>
      <c r="D6" s="101">
        <v>6.0</v>
      </c>
    </row>
    <row r="7">
      <c r="A7" s="101">
        <v>6.0</v>
      </c>
      <c r="B7" s="101" t="s">
        <v>2416</v>
      </c>
      <c r="C7" s="101">
        <v>11.0</v>
      </c>
      <c r="D7" s="101">
        <v>19.0</v>
      </c>
    </row>
    <row r="8">
      <c r="A8" s="101">
        <v>7.0</v>
      </c>
      <c r="B8" s="101" t="s">
        <v>2417</v>
      </c>
      <c r="C8" s="101">
        <v>69.0</v>
      </c>
      <c r="D8" s="101">
        <v>5.0</v>
      </c>
    </row>
    <row r="9">
      <c r="A9" s="101">
        <v>8.0</v>
      </c>
      <c r="B9" s="101" t="s">
        <v>888</v>
      </c>
      <c r="C9" s="101">
        <v>65.0</v>
      </c>
      <c r="D9" s="101">
        <v>8.0</v>
      </c>
    </row>
    <row r="10">
      <c r="A10" s="101">
        <v>9.0</v>
      </c>
      <c r="B10" s="101" t="s">
        <v>2418</v>
      </c>
      <c r="C10" s="101">
        <v>50.0</v>
      </c>
      <c r="D10" s="101">
        <v>12.0</v>
      </c>
    </row>
    <row r="11">
      <c r="A11" s="101">
        <v>10.0</v>
      </c>
      <c r="B11" s="101" t="s">
        <v>2419</v>
      </c>
      <c r="C11" s="101">
        <v>51.0</v>
      </c>
      <c r="D11" s="101">
        <v>11.0</v>
      </c>
    </row>
    <row r="12">
      <c r="A12" s="101">
        <v>11.0</v>
      </c>
      <c r="B12" s="101" t="s">
        <v>1243</v>
      </c>
      <c r="C12" s="101">
        <v>2.0</v>
      </c>
      <c r="D12" s="101">
        <v>36.0</v>
      </c>
    </row>
    <row r="13">
      <c r="A13" s="101">
        <v>12.0</v>
      </c>
      <c r="B13" s="101" t="s">
        <v>2420</v>
      </c>
      <c r="C13" s="101">
        <v>108.0</v>
      </c>
      <c r="D13" s="101">
        <v>4.0</v>
      </c>
    </row>
    <row r="14">
      <c r="A14" s="101">
        <v>13.0</v>
      </c>
      <c r="B14" s="101" t="s">
        <v>1202</v>
      </c>
      <c r="C14" s="101">
        <v>13.0</v>
      </c>
      <c r="D14" s="101">
        <v>29.0</v>
      </c>
    </row>
    <row r="15">
      <c r="A15" s="101">
        <v>14.0</v>
      </c>
      <c r="B15" s="101" t="s">
        <v>2421</v>
      </c>
      <c r="C15" s="101">
        <v>77.0</v>
      </c>
      <c r="D15" s="101">
        <v>13.0</v>
      </c>
    </row>
    <row r="16">
      <c r="A16" s="101">
        <v>15.0</v>
      </c>
      <c r="B16" s="101" t="s">
        <v>2422</v>
      </c>
      <c r="C16" s="101">
        <v>5.0</v>
      </c>
      <c r="D16" s="101">
        <v>38.0</v>
      </c>
    </row>
    <row r="17">
      <c r="A17" s="101">
        <v>16.0</v>
      </c>
      <c r="B17" s="101" t="s">
        <v>2423</v>
      </c>
      <c r="C17" s="101">
        <v>10.0</v>
      </c>
      <c r="D17" s="101">
        <v>34.0</v>
      </c>
    </row>
    <row r="18">
      <c r="A18" s="101">
        <v>17.0</v>
      </c>
      <c r="B18" s="101" t="s">
        <v>2424</v>
      </c>
      <c r="C18" s="101">
        <v>44.0</v>
      </c>
      <c r="D18" s="101">
        <v>21.0</v>
      </c>
    </row>
    <row r="19">
      <c r="A19" s="101">
        <v>18.0</v>
      </c>
      <c r="B19" s="101" t="s">
        <v>2425</v>
      </c>
      <c r="C19" s="101">
        <v>24.0</v>
      </c>
      <c r="D19" s="101">
        <v>26.0</v>
      </c>
    </row>
    <row r="20">
      <c r="A20" s="101">
        <v>19.0</v>
      </c>
      <c r="B20" s="101" t="s">
        <v>2426</v>
      </c>
      <c r="C20" s="101">
        <v>53.0</v>
      </c>
      <c r="D20" s="101">
        <v>20.0</v>
      </c>
    </row>
    <row r="21">
      <c r="A21" s="101">
        <v>20.0</v>
      </c>
      <c r="B21" s="101" t="s">
        <v>1037</v>
      </c>
      <c r="C21" s="101">
        <v>30.0</v>
      </c>
      <c r="D21" s="101">
        <v>25.0</v>
      </c>
    </row>
    <row r="22">
      <c r="A22" s="101">
        <v>21.0</v>
      </c>
      <c r="B22" s="101" t="s">
        <v>2427</v>
      </c>
      <c r="C22" s="101">
        <v>1.0</v>
      </c>
      <c r="D22" s="101">
        <v>55.0</v>
      </c>
    </row>
    <row r="23">
      <c r="A23" s="101">
        <v>22.0</v>
      </c>
      <c r="B23" s="101" t="s">
        <v>2428</v>
      </c>
      <c r="C23" s="101">
        <v>8.0</v>
      </c>
      <c r="D23" s="101">
        <v>44.0</v>
      </c>
    </row>
    <row r="24">
      <c r="A24" s="101">
        <v>23.0</v>
      </c>
      <c r="B24" s="101" t="s">
        <v>2429</v>
      </c>
      <c r="C24" s="101">
        <v>115.0</v>
      </c>
      <c r="D24" s="101">
        <v>10.0</v>
      </c>
    </row>
    <row r="25">
      <c r="A25" s="101">
        <v>24.0</v>
      </c>
      <c r="B25" s="101" t="s">
        <v>2430</v>
      </c>
      <c r="C25" s="101">
        <v>19.0</v>
      </c>
      <c r="D25" s="101">
        <v>42.0</v>
      </c>
    </row>
    <row r="26">
      <c r="A26" s="101">
        <v>25.0</v>
      </c>
      <c r="B26" s="101" t="s">
        <v>1347</v>
      </c>
      <c r="C26" s="101">
        <v>27.0</v>
      </c>
      <c r="D26" s="101">
        <v>31.0</v>
      </c>
    </row>
    <row r="27">
      <c r="A27" s="101">
        <v>26.0</v>
      </c>
      <c r="B27" s="101" t="s">
        <v>2431</v>
      </c>
      <c r="C27" s="101">
        <v>91.0</v>
      </c>
      <c r="D27" s="101">
        <v>16.0</v>
      </c>
    </row>
    <row r="28">
      <c r="A28" s="101">
        <v>27.0</v>
      </c>
      <c r="B28" s="101" t="s">
        <v>2432</v>
      </c>
      <c r="C28" s="101">
        <v>71.0</v>
      </c>
      <c r="D28" s="101">
        <v>23.0</v>
      </c>
    </row>
    <row r="29">
      <c r="A29" s="101">
        <v>28.0</v>
      </c>
      <c r="B29" s="101" t="s">
        <v>2433</v>
      </c>
      <c r="C29" s="101">
        <v>25.0</v>
      </c>
      <c r="D29" s="101">
        <v>39.0</v>
      </c>
    </row>
    <row r="30">
      <c r="A30" s="101">
        <v>29.0</v>
      </c>
      <c r="B30" s="101" t="s">
        <v>2434</v>
      </c>
      <c r="C30" s="101">
        <v>103.0</v>
      </c>
      <c r="D30" s="101">
        <v>15.0</v>
      </c>
    </row>
    <row r="31">
      <c r="A31" s="101">
        <v>30.0</v>
      </c>
      <c r="B31" s="101" t="s">
        <v>2435</v>
      </c>
      <c r="C31" s="101">
        <v>15.0</v>
      </c>
      <c r="D31" s="101">
        <v>48.0</v>
      </c>
    </row>
    <row r="32">
      <c r="A32" s="101">
        <v>31.0</v>
      </c>
      <c r="B32" s="101" t="s">
        <v>950</v>
      </c>
      <c r="C32" s="101">
        <v>100.0</v>
      </c>
      <c r="D32" s="101">
        <v>17.0</v>
      </c>
    </row>
    <row r="33">
      <c r="A33" s="101">
        <v>32.0</v>
      </c>
      <c r="B33" s="101" t="s">
        <v>2436</v>
      </c>
      <c r="C33" s="101">
        <v>36.0</v>
      </c>
      <c r="D33" s="101">
        <v>37.0</v>
      </c>
    </row>
    <row r="34">
      <c r="A34" s="101">
        <v>33.0</v>
      </c>
      <c r="B34" s="101" t="s">
        <v>1000</v>
      </c>
      <c r="C34" s="101">
        <v>112.0</v>
      </c>
      <c r="D34" s="101">
        <v>14.0</v>
      </c>
    </row>
    <row r="35">
      <c r="A35" s="101">
        <v>34.0</v>
      </c>
      <c r="B35" s="101" t="s">
        <v>242</v>
      </c>
      <c r="C35" s="101">
        <v>46.0</v>
      </c>
      <c r="D35" s="101">
        <v>35.0</v>
      </c>
    </row>
    <row r="36">
      <c r="A36" s="101">
        <v>35.0</v>
      </c>
      <c r="B36" s="101" t="s">
        <v>2437</v>
      </c>
      <c r="C36" s="101">
        <v>72.0</v>
      </c>
      <c r="D36" s="101">
        <v>28.0</v>
      </c>
    </row>
    <row r="37">
      <c r="A37" s="101">
        <v>36.0</v>
      </c>
      <c r="B37" s="101" t="s">
        <v>2438</v>
      </c>
      <c r="C37" s="101">
        <v>68.0</v>
      </c>
      <c r="D37" s="101">
        <v>30.0</v>
      </c>
    </row>
    <row r="38">
      <c r="A38" s="101">
        <v>37.0</v>
      </c>
      <c r="B38" s="101" t="s">
        <v>1332</v>
      </c>
      <c r="C38" s="101">
        <v>92.0</v>
      </c>
      <c r="D38" s="101">
        <v>22.0</v>
      </c>
    </row>
    <row r="39">
      <c r="A39" s="101">
        <v>38.0</v>
      </c>
      <c r="B39" s="101" t="s">
        <v>777</v>
      </c>
      <c r="C39" s="101">
        <v>33.0</v>
      </c>
      <c r="D39" s="101">
        <v>50.0</v>
      </c>
    </row>
    <row r="40">
      <c r="A40" s="101">
        <v>39.0</v>
      </c>
      <c r="B40" s="101" t="s">
        <v>2439</v>
      </c>
      <c r="C40" s="101">
        <v>61.0</v>
      </c>
      <c r="D40" s="101">
        <v>43.0</v>
      </c>
    </row>
    <row r="41">
      <c r="A41" s="101">
        <v>40.0</v>
      </c>
      <c r="B41" s="101" t="s">
        <v>2440</v>
      </c>
      <c r="C41" s="101">
        <v>47.0</v>
      </c>
      <c r="D41" s="101">
        <v>47.0</v>
      </c>
    </row>
    <row r="42">
      <c r="A42" s="101">
        <v>41.0</v>
      </c>
      <c r="B42" s="101" t="s">
        <v>2441</v>
      </c>
      <c r="C42" s="101">
        <v>28.0</v>
      </c>
      <c r="D42" s="101">
        <v>54.0</v>
      </c>
    </row>
    <row r="43">
      <c r="A43" s="101">
        <v>42.0</v>
      </c>
      <c r="B43" s="101" t="s">
        <v>1518</v>
      </c>
      <c r="C43" s="101">
        <v>84.0</v>
      </c>
      <c r="D43" s="101">
        <v>41.0</v>
      </c>
    </row>
    <row r="44">
      <c r="A44" s="101">
        <v>43.0</v>
      </c>
      <c r="B44" s="101" t="s">
        <v>2442</v>
      </c>
      <c r="C44" s="101">
        <v>54.0</v>
      </c>
      <c r="D44" s="101">
        <v>52.0</v>
      </c>
    </row>
    <row r="45">
      <c r="A45" s="101">
        <v>44.0</v>
      </c>
      <c r="B45" s="101" t="s">
        <v>1578</v>
      </c>
      <c r="C45" s="101">
        <v>14.0</v>
      </c>
      <c r="D45" s="101">
        <v>69.0</v>
      </c>
    </row>
    <row r="46">
      <c r="A46" s="101">
        <v>45.0</v>
      </c>
      <c r="B46" s="101" t="s">
        <v>1160</v>
      </c>
      <c r="C46" s="101">
        <v>63.0</v>
      </c>
      <c r="D46" s="101">
        <v>51.0</v>
      </c>
    </row>
    <row r="47">
      <c r="A47" s="101">
        <v>46.0</v>
      </c>
      <c r="B47" s="101" t="s">
        <v>829</v>
      </c>
      <c r="C47" s="101">
        <v>26.0</v>
      </c>
      <c r="D47" s="101">
        <v>61.0</v>
      </c>
    </row>
    <row r="48">
      <c r="A48" s="101">
        <v>47.0</v>
      </c>
      <c r="B48" s="101" t="s">
        <v>2443</v>
      </c>
      <c r="C48" s="101">
        <v>67.0</v>
      </c>
      <c r="D48" s="101">
        <v>49.0</v>
      </c>
    </row>
    <row r="49">
      <c r="A49" s="101">
        <v>48.0</v>
      </c>
      <c r="B49" s="101" t="s">
        <v>2444</v>
      </c>
      <c r="C49" s="101">
        <v>99.0</v>
      </c>
      <c r="D49" s="101">
        <v>32.0</v>
      </c>
    </row>
    <row r="50">
      <c r="A50" s="101">
        <v>49.0</v>
      </c>
      <c r="B50" s="101" t="s">
        <v>553</v>
      </c>
      <c r="C50" s="101">
        <v>66.0</v>
      </c>
      <c r="D50" s="101">
        <v>53.0</v>
      </c>
    </row>
    <row r="51">
      <c r="A51" s="101">
        <v>50.0</v>
      </c>
      <c r="B51" s="101" t="s">
        <v>1367</v>
      </c>
      <c r="C51" s="101">
        <v>132.0</v>
      </c>
      <c r="D51" s="101">
        <v>24.0</v>
      </c>
    </row>
    <row r="52">
      <c r="A52" s="101">
        <v>51.0</v>
      </c>
      <c r="B52" s="101" t="s">
        <v>2445</v>
      </c>
      <c r="C52" s="101">
        <v>29.0</v>
      </c>
      <c r="D52" s="101">
        <v>71.0</v>
      </c>
    </row>
    <row r="53">
      <c r="A53" s="101">
        <v>52.0</v>
      </c>
      <c r="B53" s="101" t="s">
        <v>2446</v>
      </c>
      <c r="C53" s="101">
        <v>81.0</v>
      </c>
      <c r="D53" s="101">
        <v>56.0</v>
      </c>
    </row>
    <row r="54">
      <c r="A54" s="101">
        <v>53.0</v>
      </c>
      <c r="B54" s="101" t="s">
        <v>2447</v>
      </c>
      <c r="C54" s="101">
        <v>23.0</v>
      </c>
      <c r="D54" s="101">
        <v>78.0</v>
      </c>
    </row>
    <row r="55">
      <c r="A55" s="101">
        <v>54.0</v>
      </c>
      <c r="B55" s="101" t="s">
        <v>2448</v>
      </c>
      <c r="C55" s="101">
        <v>118.0</v>
      </c>
      <c r="D55" s="101">
        <v>40.0</v>
      </c>
    </row>
    <row r="56">
      <c r="A56" s="101">
        <v>55.0</v>
      </c>
      <c r="B56" s="101" t="s">
        <v>2449</v>
      </c>
      <c r="C56" s="101">
        <v>64.0</v>
      </c>
      <c r="D56" s="101">
        <v>62.0</v>
      </c>
    </row>
    <row r="57">
      <c r="A57" s="101">
        <v>56.0</v>
      </c>
      <c r="B57" s="101" t="s">
        <v>2450</v>
      </c>
      <c r="C57" s="101">
        <v>58.0</v>
      </c>
      <c r="D57" s="101">
        <v>68.0</v>
      </c>
    </row>
    <row r="58">
      <c r="A58" s="101">
        <v>57.0</v>
      </c>
      <c r="B58" s="101" t="s">
        <v>2451</v>
      </c>
      <c r="C58" s="101">
        <v>128.0</v>
      </c>
      <c r="D58" s="101">
        <v>33.0</v>
      </c>
    </row>
    <row r="59">
      <c r="A59" s="101">
        <v>58.0</v>
      </c>
      <c r="B59" s="101" t="s">
        <v>2452</v>
      </c>
      <c r="C59" s="101">
        <v>137.0</v>
      </c>
      <c r="D59" s="101">
        <v>27.0</v>
      </c>
    </row>
    <row r="60">
      <c r="A60" s="101">
        <v>59.0</v>
      </c>
      <c r="B60" s="101" t="s">
        <v>370</v>
      </c>
      <c r="C60" s="101">
        <v>4.0</v>
      </c>
      <c r="D60" s="101">
        <v>97.0</v>
      </c>
    </row>
    <row r="61">
      <c r="A61" s="101">
        <v>60.0</v>
      </c>
      <c r="B61" s="101" t="s">
        <v>2453</v>
      </c>
      <c r="C61" s="101">
        <v>120.0</v>
      </c>
      <c r="D61" s="101">
        <v>45.0</v>
      </c>
    </row>
    <row r="62">
      <c r="A62" s="101">
        <v>61.0</v>
      </c>
      <c r="B62" s="101" t="s">
        <v>2454</v>
      </c>
      <c r="C62" s="101">
        <v>43.0</v>
      </c>
      <c r="D62" s="101">
        <v>79.0</v>
      </c>
    </row>
    <row r="63">
      <c r="A63" s="101">
        <v>62.0</v>
      </c>
      <c r="B63" s="101" t="s">
        <v>2455</v>
      </c>
      <c r="C63" s="101">
        <v>38.0</v>
      </c>
      <c r="D63" s="101">
        <v>81.0</v>
      </c>
    </row>
    <row r="64">
      <c r="A64" s="101">
        <v>63.0</v>
      </c>
      <c r="B64" s="101" t="s">
        <v>2456</v>
      </c>
      <c r="C64" s="101">
        <v>122.0</v>
      </c>
      <c r="D64" s="101">
        <v>46.0</v>
      </c>
    </row>
    <row r="65">
      <c r="A65" s="101">
        <v>64.0</v>
      </c>
      <c r="B65" s="101" t="s">
        <v>666</v>
      </c>
      <c r="C65" s="101">
        <v>88.0</v>
      </c>
      <c r="D65" s="101">
        <v>60.0</v>
      </c>
    </row>
    <row r="66">
      <c r="A66" s="101">
        <v>65.0</v>
      </c>
      <c r="B66" s="101" t="s">
        <v>2457</v>
      </c>
      <c r="C66" s="101">
        <v>149.0</v>
      </c>
      <c r="D66" s="101">
        <v>7.0</v>
      </c>
    </row>
    <row r="67">
      <c r="A67" s="101">
        <v>66.0</v>
      </c>
      <c r="B67" s="101" t="s">
        <v>2458</v>
      </c>
      <c r="C67" s="101">
        <v>87.0</v>
      </c>
      <c r="D67" s="101">
        <v>67.0</v>
      </c>
    </row>
    <row r="68">
      <c r="A68" s="101">
        <v>67.0</v>
      </c>
      <c r="B68" s="101" t="s">
        <v>925</v>
      </c>
      <c r="C68" s="101">
        <v>17.0</v>
      </c>
      <c r="D68" s="101">
        <v>95.0</v>
      </c>
    </row>
    <row r="69">
      <c r="A69" s="101">
        <v>68.0</v>
      </c>
      <c r="B69" s="101" t="s">
        <v>2459</v>
      </c>
      <c r="C69" s="101">
        <v>52.0</v>
      </c>
      <c r="D69" s="101">
        <v>86.0</v>
      </c>
    </row>
    <row r="70">
      <c r="A70" s="101">
        <v>69.0</v>
      </c>
      <c r="B70" s="101" t="s">
        <v>2460</v>
      </c>
      <c r="C70" s="101">
        <v>6.0</v>
      </c>
      <c r="D70" s="101">
        <v>108.0</v>
      </c>
    </row>
    <row r="71">
      <c r="A71" s="101">
        <v>70.0</v>
      </c>
      <c r="B71" s="101" t="s">
        <v>2461</v>
      </c>
      <c r="C71" s="101">
        <v>76.0</v>
      </c>
      <c r="D71" s="101">
        <v>80.0</v>
      </c>
    </row>
    <row r="72">
      <c r="A72" s="101">
        <v>71.0</v>
      </c>
      <c r="B72" s="101" t="s">
        <v>2462</v>
      </c>
      <c r="C72" s="101">
        <v>48.0</v>
      </c>
      <c r="D72" s="101">
        <v>89.0</v>
      </c>
    </row>
    <row r="73">
      <c r="A73" s="101">
        <v>72.0</v>
      </c>
      <c r="B73" s="101" t="s">
        <v>2463</v>
      </c>
      <c r="C73" s="101">
        <v>123.0</v>
      </c>
      <c r="D73" s="101">
        <v>58.0</v>
      </c>
    </row>
    <row r="74">
      <c r="A74" s="101">
        <v>73.0</v>
      </c>
      <c r="B74" s="101" t="s">
        <v>758</v>
      </c>
      <c r="C74" s="101">
        <v>22.0</v>
      </c>
      <c r="D74" s="101">
        <v>100.0</v>
      </c>
    </row>
    <row r="75">
      <c r="A75" s="101">
        <v>74.0</v>
      </c>
      <c r="B75" s="101" t="s">
        <v>2464</v>
      </c>
      <c r="C75" s="101">
        <v>147.0</v>
      </c>
      <c r="D75" s="101">
        <v>18.0</v>
      </c>
    </row>
    <row r="76">
      <c r="A76" s="101">
        <v>75.0</v>
      </c>
      <c r="B76" s="101" t="s">
        <v>1216</v>
      </c>
      <c r="C76" s="101">
        <v>32.0</v>
      </c>
      <c r="D76" s="101">
        <v>96.0</v>
      </c>
    </row>
    <row r="77">
      <c r="A77" s="101">
        <v>76.0</v>
      </c>
      <c r="B77" s="101" t="s">
        <v>2465</v>
      </c>
      <c r="C77" s="101">
        <v>7.0</v>
      </c>
      <c r="D77" s="101">
        <v>113.0</v>
      </c>
    </row>
    <row r="78">
      <c r="A78" s="101">
        <v>77.0</v>
      </c>
      <c r="B78" s="101" t="s">
        <v>2466</v>
      </c>
      <c r="C78" s="101">
        <v>110.0</v>
      </c>
      <c r="D78" s="101">
        <v>64.0</v>
      </c>
    </row>
    <row r="79">
      <c r="A79" s="101">
        <v>78.0</v>
      </c>
      <c r="B79" s="101" t="s">
        <v>565</v>
      </c>
      <c r="C79" s="101">
        <v>105.0</v>
      </c>
      <c r="D79" s="101">
        <v>70.0</v>
      </c>
    </row>
    <row r="80">
      <c r="A80" s="101">
        <v>79.0</v>
      </c>
      <c r="B80" s="101" t="s">
        <v>2467</v>
      </c>
      <c r="C80" s="101">
        <v>93.0</v>
      </c>
      <c r="D80" s="101">
        <v>76.0</v>
      </c>
    </row>
    <row r="81">
      <c r="A81" s="101">
        <v>80.0</v>
      </c>
      <c r="B81" s="101" t="s">
        <v>2468</v>
      </c>
      <c r="C81" s="101">
        <v>79.0</v>
      </c>
      <c r="D81" s="101">
        <v>85.0</v>
      </c>
    </row>
    <row r="82">
      <c r="A82" s="101">
        <v>81.0</v>
      </c>
      <c r="B82" s="101" t="s">
        <v>2469</v>
      </c>
      <c r="C82" s="101">
        <v>116.0</v>
      </c>
      <c r="D82" s="101">
        <v>65.0</v>
      </c>
    </row>
    <row r="83">
      <c r="A83" s="101">
        <v>82.0</v>
      </c>
      <c r="B83" s="101" t="s">
        <v>160</v>
      </c>
      <c r="C83" s="101">
        <v>106.0</v>
      </c>
      <c r="D83" s="101">
        <v>73.0</v>
      </c>
    </row>
    <row r="84">
      <c r="A84" s="101">
        <v>83.0</v>
      </c>
      <c r="B84" s="101" t="s">
        <v>2470</v>
      </c>
      <c r="C84" s="101">
        <v>125.0</v>
      </c>
      <c r="D84" s="101">
        <v>63.0</v>
      </c>
    </row>
    <row r="85">
      <c r="A85" s="101">
        <v>84.0</v>
      </c>
      <c r="B85" s="101" t="s">
        <v>1307</v>
      </c>
      <c r="C85" s="101">
        <v>31.0</v>
      </c>
      <c r="D85" s="101">
        <v>101.0</v>
      </c>
    </row>
    <row r="86">
      <c r="A86" s="101">
        <v>85.0</v>
      </c>
      <c r="B86" s="101" t="s">
        <v>509</v>
      </c>
      <c r="C86" s="101">
        <v>12.0</v>
      </c>
      <c r="D86" s="101">
        <v>117.0</v>
      </c>
    </row>
    <row r="87">
      <c r="A87" s="101">
        <v>86.0</v>
      </c>
      <c r="B87" s="101" t="s">
        <v>313</v>
      </c>
      <c r="C87" s="101">
        <v>45.0</v>
      </c>
      <c r="D87" s="101">
        <v>103.0</v>
      </c>
    </row>
    <row r="88">
      <c r="A88" s="101">
        <v>87.0</v>
      </c>
      <c r="B88" s="101" t="s">
        <v>2471</v>
      </c>
      <c r="C88" s="101">
        <v>119.0</v>
      </c>
      <c r="D88" s="101">
        <v>74.0</v>
      </c>
    </row>
    <row r="89">
      <c r="A89" s="101">
        <v>88.0</v>
      </c>
      <c r="B89" s="101" t="s">
        <v>2472</v>
      </c>
      <c r="C89" s="101">
        <v>134.0</v>
      </c>
      <c r="D89" s="101">
        <v>57.0</v>
      </c>
    </row>
    <row r="90">
      <c r="A90" s="101">
        <v>89.0</v>
      </c>
      <c r="B90" s="101" t="s">
        <v>2473</v>
      </c>
      <c r="C90" s="101">
        <v>37.0</v>
      </c>
      <c r="D90" s="101">
        <v>106.0</v>
      </c>
    </row>
    <row r="91">
      <c r="A91" s="101">
        <v>90.0</v>
      </c>
      <c r="B91" s="101" t="s">
        <v>2474</v>
      </c>
      <c r="C91" s="101">
        <v>111.0</v>
      </c>
      <c r="D91" s="101">
        <v>82.0</v>
      </c>
    </row>
    <row r="92">
      <c r="A92" s="101">
        <v>91.0</v>
      </c>
      <c r="B92" s="101" t="s">
        <v>2475</v>
      </c>
      <c r="C92" s="101">
        <v>95.0</v>
      </c>
      <c r="D92" s="101">
        <v>86.0</v>
      </c>
    </row>
    <row r="93">
      <c r="A93" s="101">
        <v>92.0</v>
      </c>
      <c r="B93" s="101" t="s">
        <v>626</v>
      </c>
      <c r="C93" s="101">
        <v>83.0</v>
      </c>
      <c r="D93" s="101">
        <v>92.0</v>
      </c>
    </row>
    <row r="94">
      <c r="A94" s="101">
        <v>93.0</v>
      </c>
      <c r="B94" s="101" t="s">
        <v>2476</v>
      </c>
      <c r="C94" s="101">
        <v>126.0</v>
      </c>
      <c r="D94" s="101">
        <v>77.0</v>
      </c>
    </row>
    <row r="95">
      <c r="A95" s="101">
        <v>94.0</v>
      </c>
      <c r="B95" s="101" t="s">
        <v>474</v>
      </c>
      <c r="C95" s="101">
        <v>20.0</v>
      </c>
      <c r="D95" s="101">
        <v>121.0</v>
      </c>
    </row>
    <row r="96">
      <c r="A96" s="101">
        <v>95.0</v>
      </c>
      <c r="B96" s="101" t="s">
        <v>2477</v>
      </c>
      <c r="C96" s="101">
        <v>60.0</v>
      </c>
      <c r="D96" s="101">
        <v>104.0</v>
      </c>
    </row>
    <row r="97">
      <c r="A97" s="101">
        <v>96.0</v>
      </c>
      <c r="B97" s="101" t="s">
        <v>2478</v>
      </c>
      <c r="C97" s="101">
        <v>127.0</v>
      </c>
      <c r="D97" s="101">
        <v>72.0</v>
      </c>
    </row>
    <row r="98">
      <c r="A98" s="101">
        <v>97.0</v>
      </c>
      <c r="B98" s="101" t="s">
        <v>2479</v>
      </c>
      <c r="C98" s="101">
        <v>107.0</v>
      </c>
      <c r="D98" s="101">
        <v>88.0</v>
      </c>
    </row>
    <row r="99">
      <c r="A99" s="101">
        <v>98.0</v>
      </c>
      <c r="B99" s="101" t="s">
        <v>2480</v>
      </c>
      <c r="C99" s="101">
        <v>80.0</v>
      </c>
      <c r="D99" s="101">
        <v>98.0</v>
      </c>
    </row>
    <row r="100">
      <c r="A100" s="101">
        <v>99.0</v>
      </c>
      <c r="B100" s="101" t="s">
        <v>2481</v>
      </c>
      <c r="C100" s="101">
        <v>40.0</v>
      </c>
      <c r="D100" s="101">
        <v>114.0</v>
      </c>
    </row>
    <row r="101">
      <c r="A101" s="101">
        <v>100.0</v>
      </c>
      <c r="B101" s="101" t="s">
        <v>2482</v>
      </c>
      <c r="C101" s="101">
        <v>124.0</v>
      </c>
      <c r="D101" s="101">
        <v>83.0</v>
      </c>
    </row>
    <row r="102">
      <c r="A102" s="101">
        <v>101.0</v>
      </c>
      <c r="B102" s="101" t="s">
        <v>413</v>
      </c>
      <c r="C102" s="101">
        <v>98.0</v>
      </c>
      <c r="D102" s="101">
        <v>93.0</v>
      </c>
    </row>
    <row r="103">
      <c r="A103" s="101">
        <v>102.0</v>
      </c>
      <c r="B103" s="101" t="s">
        <v>2483</v>
      </c>
      <c r="C103" s="101">
        <v>130.0</v>
      </c>
      <c r="D103" s="101">
        <v>75.0</v>
      </c>
    </row>
    <row r="104">
      <c r="A104" s="101">
        <v>103.0</v>
      </c>
      <c r="B104" s="101" t="s">
        <v>2484</v>
      </c>
      <c r="C104" s="101">
        <v>141.0</v>
      </c>
      <c r="D104" s="101">
        <v>59.0</v>
      </c>
    </row>
    <row r="105">
      <c r="A105" s="101">
        <v>104.0</v>
      </c>
      <c r="B105" s="101" t="s">
        <v>2485</v>
      </c>
      <c r="C105" s="101">
        <v>49.0</v>
      </c>
      <c r="D105" s="101">
        <v>118.0</v>
      </c>
    </row>
    <row r="106">
      <c r="A106" s="101">
        <v>105.0</v>
      </c>
      <c r="B106" s="101" t="s">
        <v>2486</v>
      </c>
      <c r="C106" s="101">
        <v>70.0</v>
      </c>
      <c r="D106" s="101">
        <v>111.0</v>
      </c>
    </row>
    <row r="107">
      <c r="A107" s="101">
        <v>106.0</v>
      </c>
      <c r="B107" s="101" t="s">
        <v>1141</v>
      </c>
      <c r="C107" s="101">
        <v>117.0</v>
      </c>
      <c r="D107" s="101">
        <v>91.0</v>
      </c>
    </row>
    <row r="108">
      <c r="A108" s="101">
        <v>107.0</v>
      </c>
      <c r="B108" s="101" t="s">
        <v>2487</v>
      </c>
      <c r="C108" s="101">
        <v>139.0</v>
      </c>
      <c r="D108" s="101">
        <v>66.0</v>
      </c>
    </row>
    <row r="109">
      <c r="A109" s="101">
        <v>108.0</v>
      </c>
      <c r="B109" s="101" t="s">
        <v>2488</v>
      </c>
      <c r="C109" s="101">
        <v>94.0</v>
      </c>
      <c r="D109" s="101">
        <v>101.0</v>
      </c>
    </row>
    <row r="110">
      <c r="A110" s="101">
        <v>109.0</v>
      </c>
      <c r="B110" s="101" t="s">
        <v>2489</v>
      </c>
      <c r="C110" s="101">
        <v>57.0</v>
      </c>
      <c r="D110" s="101">
        <v>120.0</v>
      </c>
    </row>
    <row r="111">
      <c r="A111" s="101">
        <v>110.0</v>
      </c>
      <c r="B111" s="101" t="s">
        <v>2490</v>
      </c>
      <c r="C111" s="101">
        <v>78.0</v>
      </c>
      <c r="D111" s="101">
        <v>112.0</v>
      </c>
    </row>
    <row r="112">
      <c r="A112" s="101">
        <v>111.0</v>
      </c>
      <c r="B112" s="101" t="s">
        <v>2491</v>
      </c>
      <c r="C112" s="101">
        <v>89.0</v>
      </c>
      <c r="D112" s="101">
        <v>109.0</v>
      </c>
    </row>
    <row r="113">
      <c r="A113" s="101">
        <v>112.0</v>
      </c>
      <c r="B113" s="101" t="s">
        <v>2492</v>
      </c>
      <c r="C113" s="101">
        <v>41.0</v>
      </c>
      <c r="D113" s="101">
        <v>126.0</v>
      </c>
    </row>
    <row r="114">
      <c r="A114" s="101">
        <v>113.0</v>
      </c>
      <c r="B114" s="101" t="s">
        <v>2493</v>
      </c>
      <c r="C114" s="101">
        <v>42.0</v>
      </c>
      <c r="D114" s="101">
        <v>130.0</v>
      </c>
    </row>
    <row r="115">
      <c r="A115" s="101">
        <v>114.0</v>
      </c>
      <c r="B115" s="101" t="s">
        <v>790</v>
      </c>
      <c r="C115" s="101">
        <v>109.0</v>
      </c>
      <c r="D115" s="101">
        <v>105.0</v>
      </c>
    </row>
    <row r="116">
      <c r="A116" s="101">
        <v>115.0</v>
      </c>
      <c r="B116" s="101" t="s">
        <v>1076</v>
      </c>
      <c r="C116" s="101">
        <v>86.0</v>
      </c>
      <c r="D116" s="101">
        <v>122.0</v>
      </c>
    </row>
    <row r="117">
      <c r="A117" s="101">
        <v>116.0</v>
      </c>
      <c r="B117" s="101" t="s">
        <v>1024</v>
      </c>
      <c r="C117" s="101">
        <v>121.0</v>
      </c>
      <c r="D117" s="101">
        <v>107.0</v>
      </c>
    </row>
    <row r="118">
      <c r="A118" s="101">
        <v>117.0</v>
      </c>
      <c r="B118" s="101" t="s">
        <v>1262</v>
      </c>
      <c r="C118" s="101">
        <v>59.0</v>
      </c>
      <c r="D118" s="101">
        <v>133.0</v>
      </c>
    </row>
    <row r="119">
      <c r="A119" s="101">
        <v>118.0</v>
      </c>
      <c r="B119" s="101" t="s">
        <v>709</v>
      </c>
      <c r="C119" s="101">
        <v>18.0</v>
      </c>
      <c r="D119" s="101">
        <v>140.0</v>
      </c>
    </row>
    <row r="120">
      <c r="A120" s="101">
        <v>119.0</v>
      </c>
      <c r="B120" s="101" t="s">
        <v>2494</v>
      </c>
      <c r="C120" s="101">
        <v>135.0</v>
      </c>
      <c r="D120" s="101">
        <v>94.0</v>
      </c>
    </row>
    <row r="121">
      <c r="A121" s="101">
        <v>120.0</v>
      </c>
      <c r="B121" s="101" t="s">
        <v>2495</v>
      </c>
      <c r="C121" s="101">
        <v>74.0</v>
      </c>
      <c r="D121" s="101">
        <v>129.0</v>
      </c>
    </row>
    <row r="122">
      <c r="A122" s="101">
        <v>121.0</v>
      </c>
      <c r="B122" s="101" t="s">
        <v>2496</v>
      </c>
      <c r="C122" s="101">
        <v>85.0</v>
      </c>
      <c r="D122" s="101">
        <v>127.0</v>
      </c>
    </row>
    <row r="123">
      <c r="A123" s="101">
        <v>122.0</v>
      </c>
      <c r="B123" s="101" t="s">
        <v>2497</v>
      </c>
      <c r="C123" s="101">
        <v>104.0</v>
      </c>
      <c r="D123" s="101">
        <v>119.0</v>
      </c>
    </row>
    <row r="124">
      <c r="A124" s="101">
        <v>123.0</v>
      </c>
      <c r="B124" s="101" t="s">
        <v>966</v>
      </c>
      <c r="C124" s="101">
        <v>138.0</v>
      </c>
      <c r="D124" s="101">
        <v>90.0</v>
      </c>
    </row>
    <row r="125">
      <c r="A125" s="101">
        <v>124.0</v>
      </c>
      <c r="B125" s="101" t="s">
        <v>2498</v>
      </c>
      <c r="C125" s="101">
        <v>97.0</v>
      </c>
      <c r="D125" s="101">
        <v>123.0</v>
      </c>
    </row>
    <row r="126">
      <c r="A126" s="101">
        <v>125.0</v>
      </c>
      <c r="B126" s="101" t="s">
        <v>1097</v>
      </c>
      <c r="C126" s="101">
        <v>82.0</v>
      </c>
      <c r="D126" s="101">
        <v>132.0</v>
      </c>
    </row>
    <row r="127">
      <c r="A127" s="101">
        <v>126.0</v>
      </c>
      <c r="B127" s="101" t="s">
        <v>1230</v>
      </c>
      <c r="C127" s="101">
        <v>39.0</v>
      </c>
      <c r="D127" s="101">
        <v>139.0</v>
      </c>
    </row>
    <row r="128">
      <c r="A128" s="101">
        <v>127.0</v>
      </c>
      <c r="B128" s="101" t="s">
        <v>2499</v>
      </c>
      <c r="C128" s="101">
        <v>113.0</v>
      </c>
      <c r="D128" s="101">
        <v>125.0</v>
      </c>
    </row>
    <row r="129">
      <c r="A129" s="101">
        <v>128.0</v>
      </c>
      <c r="B129" s="101" t="s">
        <v>2500</v>
      </c>
      <c r="C129" s="101">
        <v>90.0</v>
      </c>
      <c r="D129" s="101">
        <v>135.0</v>
      </c>
    </row>
    <row r="130">
      <c r="A130" s="101">
        <v>129.0</v>
      </c>
      <c r="B130" s="101" t="s">
        <v>73</v>
      </c>
      <c r="C130" s="101">
        <v>56.0</v>
      </c>
      <c r="D130" s="101">
        <v>143.0</v>
      </c>
    </row>
    <row r="131">
      <c r="A131" s="101">
        <v>130.0</v>
      </c>
      <c r="B131" s="101" t="s">
        <v>980</v>
      </c>
      <c r="C131" s="101">
        <v>140.0</v>
      </c>
      <c r="D131" s="101">
        <v>110.0</v>
      </c>
    </row>
    <row r="132">
      <c r="A132" s="101">
        <v>131.0</v>
      </c>
      <c r="B132" s="101" t="s">
        <v>2501</v>
      </c>
      <c r="C132" s="101">
        <v>131.0</v>
      </c>
      <c r="D132" s="101">
        <v>124.0</v>
      </c>
    </row>
    <row r="133">
      <c r="A133" s="101">
        <v>132.0</v>
      </c>
      <c r="B133" s="101" t="s">
        <v>731</v>
      </c>
      <c r="C133" s="101">
        <v>75.0</v>
      </c>
      <c r="D133" s="101">
        <v>141.0</v>
      </c>
    </row>
    <row r="134">
      <c r="A134" s="101">
        <v>133.0</v>
      </c>
      <c r="B134" s="101" t="s">
        <v>2502</v>
      </c>
      <c r="C134" s="101">
        <v>148.0</v>
      </c>
      <c r="D134" s="101">
        <v>84.0</v>
      </c>
    </row>
    <row r="135">
      <c r="A135" s="101">
        <v>134.0</v>
      </c>
      <c r="B135" s="101" t="s">
        <v>268</v>
      </c>
      <c r="C135" s="101">
        <v>129.0</v>
      </c>
      <c r="D135" s="101">
        <v>128.0</v>
      </c>
    </row>
    <row r="136">
      <c r="A136" s="101">
        <v>135.0</v>
      </c>
      <c r="B136" s="101" t="s">
        <v>936</v>
      </c>
      <c r="C136" s="101">
        <v>143.0</v>
      </c>
      <c r="D136" s="101">
        <v>115.0</v>
      </c>
    </row>
    <row r="137">
      <c r="A137" s="101">
        <v>136.0</v>
      </c>
      <c r="B137" s="101" t="s">
        <v>2503</v>
      </c>
      <c r="C137" s="101">
        <v>142.0</v>
      </c>
      <c r="D137" s="101">
        <v>116.0</v>
      </c>
    </row>
    <row r="138">
      <c r="A138" s="101">
        <v>137.0</v>
      </c>
      <c r="B138" s="101" t="s">
        <v>2504</v>
      </c>
      <c r="C138" s="101">
        <v>73.0</v>
      </c>
      <c r="D138" s="101">
        <v>144.0</v>
      </c>
    </row>
    <row r="139">
      <c r="A139" s="101">
        <v>138.0</v>
      </c>
      <c r="B139" s="101" t="s">
        <v>2505</v>
      </c>
      <c r="C139" s="101">
        <v>114.0</v>
      </c>
      <c r="D139" s="101">
        <v>138.0</v>
      </c>
    </row>
    <row r="140">
      <c r="A140" s="101">
        <v>139.0</v>
      </c>
      <c r="B140" s="101" t="s">
        <v>2506</v>
      </c>
      <c r="C140" s="101">
        <v>102.0</v>
      </c>
      <c r="D140" s="101">
        <v>142.0</v>
      </c>
    </row>
    <row r="141">
      <c r="A141" s="101">
        <v>140.0</v>
      </c>
      <c r="B141" s="101" t="s">
        <v>105</v>
      </c>
      <c r="C141" s="101">
        <v>136.0</v>
      </c>
      <c r="D141" s="101">
        <v>136.0</v>
      </c>
    </row>
    <row r="142">
      <c r="A142" s="101">
        <v>141.0</v>
      </c>
      <c r="B142" s="101" t="s">
        <v>2507</v>
      </c>
      <c r="C142" s="101">
        <v>101.0</v>
      </c>
      <c r="D142" s="101">
        <v>145.0</v>
      </c>
    </row>
    <row r="143">
      <c r="A143" s="101">
        <v>142.0</v>
      </c>
      <c r="B143" s="101" t="s">
        <v>2508</v>
      </c>
      <c r="C143" s="101">
        <v>144.0</v>
      </c>
      <c r="D143" s="101">
        <v>131.0</v>
      </c>
    </row>
    <row r="144">
      <c r="A144" s="101">
        <v>143.0</v>
      </c>
      <c r="B144" s="101" t="s">
        <v>1289</v>
      </c>
      <c r="C144" s="101">
        <v>96.0</v>
      </c>
      <c r="D144" s="101">
        <v>147.0</v>
      </c>
    </row>
    <row r="145">
      <c r="A145" s="101">
        <v>144.0</v>
      </c>
      <c r="B145" s="101" t="s">
        <v>2509</v>
      </c>
      <c r="C145" s="101">
        <v>146.0</v>
      </c>
      <c r="D145" s="101">
        <v>134.0</v>
      </c>
    </row>
    <row r="146">
      <c r="A146" s="101">
        <v>145.0</v>
      </c>
      <c r="B146" s="101" t="s">
        <v>2510</v>
      </c>
      <c r="C146" s="101">
        <v>150.0</v>
      </c>
      <c r="D146" s="101">
        <v>99.0</v>
      </c>
    </row>
    <row r="147">
      <c r="A147" s="101">
        <v>146.0</v>
      </c>
      <c r="B147" s="101" t="s">
        <v>2511</v>
      </c>
      <c r="C147" s="101">
        <v>145.0</v>
      </c>
      <c r="D147" s="101">
        <v>137.0</v>
      </c>
    </row>
    <row r="148">
      <c r="A148" s="101">
        <v>147.0</v>
      </c>
      <c r="B148" s="101" t="s">
        <v>2512</v>
      </c>
      <c r="C148" s="101">
        <v>133.0</v>
      </c>
      <c r="D148" s="101">
        <v>146.0</v>
      </c>
    </row>
    <row r="149">
      <c r="A149" s="101">
        <v>148.0</v>
      </c>
      <c r="B149" s="101" t="s">
        <v>2513</v>
      </c>
      <c r="C149" s="101">
        <v>35.0</v>
      </c>
      <c r="D149" s="101">
        <v>148.0</v>
      </c>
    </row>
    <row r="150">
      <c r="A150" s="101">
        <v>149.0</v>
      </c>
      <c r="B150" s="101" t="s">
        <v>683</v>
      </c>
      <c r="C150" s="101">
        <v>16.0</v>
      </c>
      <c r="D150" s="101">
        <v>149.0</v>
      </c>
    </row>
    <row r="151">
      <c r="A151" s="101">
        <v>150.0</v>
      </c>
      <c r="B151" s="101" t="s">
        <v>747</v>
      </c>
      <c r="C151" s="101">
        <v>55.0</v>
      </c>
      <c r="D151" s="101">
        <v>150.0</v>
      </c>
    </row>
  </sheetData>
  <hyperlinks>
    <hyperlink r:id="rId1" ref="F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40.78"/>
    <col customWidth="1" min="6" max="6" width="21.78"/>
    <col customWidth="1" min="7" max="7" width="20.22"/>
    <col customWidth="1" min="8" max="8" width="15.56"/>
    <col customWidth="1" min="10" max="10" width="3.0"/>
    <col customWidth="1" min="11" max="11" width="16.0"/>
    <col customWidth="1" min="12" max="13" width="12.44"/>
  </cols>
  <sheetData>
    <row r="3">
      <c r="A3" s="102" t="s">
        <v>2514</v>
      </c>
      <c r="B3" s="103" t="s">
        <v>1</v>
      </c>
      <c r="C3" s="102" t="s">
        <v>2515</v>
      </c>
      <c r="D3" s="30" t="s">
        <v>2516</v>
      </c>
      <c r="E3" s="30" t="s">
        <v>2517</v>
      </c>
      <c r="F3" s="104" t="s">
        <v>15</v>
      </c>
      <c r="G3" s="104" t="s">
        <v>16</v>
      </c>
      <c r="H3" s="105" t="s">
        <v>17</v>
      </c>
      <c r="K3" s="30" t="s">
        <v>3</v>
      </c>
      <c r="L3" s="106" t="s">
        <v>2518</v>
      </c>
      <c r="M3" s="106" t="s">
        <v>2519</v>
      </c>
      <c r="N3" s="106" t="s">
        <v>2520</v>
      </c>
      <c r="O3" s="106" t="s">
        <v>2521</v>
      </c>
      <c r="P3" s="106" t="s">
        <v>2522</v>
      </c>
      <c r="Q3" s="106" t="s">
        <v>2523</v>
      </c>
      <c r="R3" s="106" t="s">
        <v>2524</v>
      </c>
    </row>
    <row r="4">
      <c r="A4" s="107">
        <v>1.0</v>
      </c>
      <c r="B4" s="107" t="s">
        <v>20</v>
      </c>
      <c r="C4" s="107" t="s">
        <v>23</v>
      </c>
      <c r="D4" s="30">
        <v>6.0</v>
      </c>
      <c r="E4" s="108">
        <v>8253213.0</v>
      </c>
      <c r="F4" s="8">
        <f t="shared" ref="F4:F54" si="2">indirect("OSR!Q"&amp;$D4,1)</f>
        <v>99957593168</v>
      </c>
      <c r="G4" s="8">
        <f t="shared" ref="G4:G44" si="3">indirect("OSR!R"&amp;$D4,1)</f>
        <v>116059929668</v>
      </c>
      <c r="H4" s="8">
        <f t="shared" ref="H4:H54" si="4">indirect("OSR!S"&amp;$D4,1)</f>
        <v>118637516668</v>
      </c>
      <c r="I4" s="109">
        <f t="shared" ref="I4:I44" si="5">G4/H4</f>
        <v>0.9782734242</v>
      </c>
      <c r="K4" s="30" t="s">
        <v>2513</v>
      </c>
      <c r="L4" s="110">
        <f>vlookup(K4,CostOfLivingIndex,2,0)</f>
        <v>128</v>
      </c>
      <c r="M4" s="111">
        <f t="shared" ref="M4:O4" si="1">F4/$E4</f>
        <v>12111.35508</v>
      </c>
      <c r="N4" s="111">
        <f t="shared" si="1"/>
        <v>14062.3936</v>
      </c>
      <c r="O4" s="111">
        <f t="shared" si="1"/>
        <v>14374.70676</v>
      </c>
      <c r="P4" s="112">
        <f>vlookup(K4,PerCapitaIncome,5,0)</f>
        <v>82322</v>
      </c>
      <c r="Q4" s="109">
        <f t="shared" ref="Q4:Q54" si="7">M4/P4</f>
        <v>0.1471217302</v>
      </c>
      <c r="R4" s="113">
        <f t="shared" ref="R4:R54" si="8">M4/L4*100</f>
        <v>9461.996154</v>
      </c>
    </row>
    <row r="5">
      <c r="A5" s="107">
        <v>2.0</v>
      </c>
      <c r="B5" s="107" t="s">
        <v>36</v>
      </c>
      <c r="C5" s="107" t="s">
        <v>39</v>
      </c>
      <c r="D5" s="114">
        <f>match(A6,OSR!$A$1:$A$674)-1</f>
        <v>21</v>
      </c>
      <c r="E5" s="108">
        <v>3970219.0</v>
      </c>
      <c r="F5" s="8">
        <f t="shared" si="2"/>
        <v>32760596859</v>
      </c>
      <c r="G5" s="8">
        <f t="shared" si="3"/>
        <v>47206547029</v>
      </c>
      <c r="H5" s="8">
        <f t="shared" si="4"/>
        <v>52020431518</v>
      </c>
      <c r="I5" s="109">
        <f t="shared" si="5"/>
        <v>0.9074616579</v>
      </c>
      <c r="K5" s="30" t="s">
        <v>73</v>
      </c>
      <c r="L5" s="110">
        <f>vlookup(K5,CostOfLivingIndex,2,0)</f>
        <v>140.6</v>
      </c>
      <c r="M5" s="111">
        <f t="shared" ref="M5:O5" si="6">F5/$E5</f>
        <v>8251.584323</v>
      </c>
      <c r="N5" s="111">
        <f t="shared" si="6"/>
        <v>11890.16199</v>
      </c>
      <c r="O5" s="111">
        <f t="shared" si="6"/>
        <v>13102.66046</v>
      </c>
      <c r="P5" s="112">
        <f>vlookup(K5,PerCapitaIncome,5,0)</f>
        <v>69805</v>
      </c>
      <c r="Q5" s="109">
        <f t="shared" si="7"/>
        <v>0.1182090727</v>
      </c>
      <c r="R5" s="113">
        <f t="shared" si="8"/>
        <v>5868.836645</v>
      </c>
    </row>
    <row r="6">
      <c r="A6" s="107">
        <v>3.0</v>
      </c>
      <c r="B6" s="107" t="s">
        <v>74</v>
      </c>
      <c r="C6" s="107" t="s">
        <v>77</v>
      </c>
      <c r="D6" s="114">
        <f>match(A7,OSR!$A$1:$A$674)-1</f>
        <v>34</v>
      </c>
      <c r="E6" s="108">
        <v>2677643.0</v>
      </c>
      <c r="F6" s="8">
        <f t="shared" si="2"/>
        <v>22686020216</v>
      </c>
      <c r="G6" s="8">
        <f t="shared" si="3"/>
        <v>29482219702</v>
      </c>
      <c r="H6" s="8">
        <f t="shared" si="4"/>
        <v>29664073835</v>
      </c>
      <c r="I6" s="109">
        <f t="shared" si="5"/>
        <v>0.9938695496</v>
      </c>
      <c r="K6" s="30" t="s">
        <v>105</v>
      </c>
      <c r="L6" s="110">
        <f>vlookup(K6,CostOfLivingIndex,2,0)</f>
        <v>100.1</v>
      </c>
      <c r="M6" s="111">
        <f t="shared" ref="M6:O6" si="9">F6/$E6</f>
        <v>8472.384189</v>
      </c>
      <c r="N6" s="111">
        <f t="shared" si="9"/>
        <v>11010.51175</v>
      </c>
      <c r="O6" s="111">
        <f t="shared" si="9"/>
        <v>11078.4275</v>
      </c>
      <c r="P6" s="112">
        <f>vlookup(K6,PerCapitaIncome,5,0)</f>
        <v>67671</v>
      </c>
      <c r="Q6" s="109">
        <f t="shared" si="7"/>
        <v>0.1251996304</v>
      </c>
      <c r="R6" s="113">
        <f t="shared" si="8"/>
        <v>8463.920268</v>
      </c>
    </row>
    <row r="7">
      <c r="A7" s="107">
        <v>4.0</v>
      </c>
      <c r="B7" s="107" t="s">
        <v>106</v>
      </c>
      <c r="C7" s="107" t="s">
        <v>110</v>
      </c>
      <c r="D7" s="114">
        <f>match(A8,OSR!$A$1:$A$674)-1</f>
        <v>60</v>
      </c>
      <c r="E7" s="108">
        <v>2316120.0</v>
      </c>
      <c r="F7" s="8">
        <f t="shared" si="2"/>
        <v>12230609568</v>
      </c>
      <c r="G7" s="8">
        <f t="shared" si="3"/>
        <v>17475551991</v>
      </c>
      <c r="H7" s="8">
        <f t="shared" si="4"/>
        <v>18073732815</v>
      </c>
      <c r="I7" s="109">
        <f t="shared" si="5"/>
        <v>0.9669033049</v>
      </c>
      <c r="K7" s="30" t="s">
        <v>160</v>
      </c>
      <c r="L7" s="110">
        <f>vlookup(K7,CostOfLivingIndex,2,0)</f>
        <v>95.8</v>
      </c>
      <c r="M7" s="111">
        <f t="shared" ref="M7:O7" si="10">F7/$E7</f>
        <v>5280.645894</v>
      </c>
      <c r="N7" s="111">
        <f t="shared" si="10"/>
        <v>7545.184183</v>
      </c>
      <c r="O7" s="111">
        <f t="shared" si="10"/>
        <v>7803.452677</v>
      </c>
      <c r="P7" s="112">
        <f>vlookup(K7,PerCapitaIncome,5,0)</f>
        <v>59893</v>
      </c>
      <c r="Q7" s="109">
        <f t="shared" si="7"/>
        <v>0.08816799783</v>
      </c>
      <c r="R7" s="113">
        <f t="shared" si="8"/>
        <v>5512.156466</v>
      </c>
    </row>
    <row r="8">
      <c r="A8" s="107">
        <v>5.0</v>
      </c>
      <c r="B8" s="107" t="s">
        <v>161</v>
      </c>
      <c r="C8" s="107" t="s">
        <v>165</v>
      </c>
      <c r="D8" s="114">
        <f>match(A9,OSR!$A$1:$A$674)-1</f>
        <v>97</v>
      </c>
      <c r="E8" s="108">
        <v>1708127.0</v>
      </c>
      <c r="F8" s="8">
        <f t="shared" si="2"/>
        <v>7828658728</v>
      </c>
      <c r="G8" s="8">
        <f t="shared" si="3"/>
        <v>10674415266</v>
      </c>
      <c r="H8" s="8">
        <f t="shared" si="4"/>
        <v>11000115378</v>
      </c>
      <c r="I8" s="109">
        <f t="shared" si="5"/>
        <v>0.9703912095</v>
      </c>
      <c r="K8" s="114" t="str">
        <f t="shared" ref="K8:K12" si="12">substitute(C8," City","")&amp;", "&amp;B8</f>
        <v>Phoenix, AZ</v>
      </c>
      <c r="L8" s="110">
        <f>vlookup(K8,CostOfLivingIndex,2,0)</f>
        <v>104.3</v>
      </c>
      <c r="M8" s="111">
        <f t="shared" ref="M8:O8" si="11">F8/$E8</f>
        <v>4583.183058</v>
      </c>
      <c r="N8" s="111">
        <f t="shared" si="11"/>
        <v>6249.192985</v>
      </c>
      <c r="O8" s="111">
        <f t="shared" si="11"/>
        <v>6439.869739</v>
      </c>
      <c r="P8" s="112">
        <f>vlookup(K8,PerCapitaIncome,5,0)</f>
        <v>51851</v>
      </c>
      <c r="Q8" s="109">
        <f t="shared" si="7"/>
        <v>0.08839141113</v>
      </c>
      <c r="R8" s="113">
        <f t="shared" si="8"/>
        <v>4394.23112</v>
      </c>
    </row>
    <row r="9">
      <c r="A9" s="107">
        <v>6.0</v>
      </c>
      <c r="B9" s="107" t="s">
        <v>243</v>
      </c>
      <c r="C9" s="107" t="s">
        <v>246</v>
      </c>
      <c r="D9" s="114">
        <f>match(A10,OSR!$A$1:$A$674)-1</f>
        <v>109</v>
      </c>
      <c r="E9" s="108">
        <v>1578487.0</v>
      </c>
      <c r="F9" s="8">
        <f t="shared" si="2"/>
        <v>11169036228</v>
      </c>
      <c r="G9" s="8">
        <f t="shared" si="3"/>
        <v>14324432416</v>
      </c>
      <c r="H9" s="8">
        <f t="shared" si="4"/>
        <v>14851805739</v>
      </c>
      <c r="I9" s="109">
        <f t="shared" si="5"/>
        <v>0.9644909628</v>
      </c>
      <c r="K9" s="114" t="str">
        <f t="shared" si="12"/>
        <v>Philadelphia, PA</v>
      </c>
      <c r="L9" s="110">
        <f>vlookup(K9,CostOfLivingIndex,2,0)</f>
        <v>103.4</v>
      </c>
      <c r="M9" s="111">
        <f t="shared" ref="M9:O9" si="13">F9/$E9</f>
        <v>7075.786008</v>
      </c>
      <c r="N9" s="111">
        <f t="shared" si="13"/>
        <v>9074.786435</v>
      </c>
      <c r="O9" s="111">
        <f t="shared" si="13"/>
        <v>9408.886953</v>
      </c>
      <c r="P9" s="112">
        <f>vlookup(K9,PerCapitaIncome,5,0)</f>
        <v>69705</v>
      </c>
      <c r="Q9" s="109">
        <f t="shared" si="7"/>
        <v>0.1015104513</v>
      </c>
      <c r="R9" s="113">
        <f t="shared" si="8"/>
        <v>6843.11993</v>
      </c>
    </row>
    <row r="10">
      <c r="A10" s="107">
        <v>7.0</v>
      </c>
      <c r="B10" s="107" t="s">
        <v>106</v>
      </c>
      <c r="C10" s="107" t="s">
        <v>269</v>
      </c>
      <c r="D10" s="114">
        <f>match(A11,OSR!$A$1:$A$674)-1</f>
        <v>129</v>
      </c>
      <c r="E10" s="108">
        <v>1567118.0</v>
      </c>
      <c r="F10" s="8">
        <f t="shared" si="2"/>
        <v>7437733742</v>
      </c>
      <c r="G10" s="8">
        <f t="shared" si="3"/>
        <v>9865673436</v>
      </c>
      <c r="H10" s="8">
        <f t="shared" si="4"/>
        <v>10265166053</v>
      </c>
      <c r="I10" s="109">
        <f t="shared" si="5"/>
        <v>0.9610826932</v>
      </c>
      <c r="K10" s="114" t="str">
        <f t="shared" si="12"/>
        <v>San Antonio, TX</v>
      </c>
      <c r="L10" s="110">
        <f>vlookup(K10,CostOfLivingIndex,2,0)</f>
        <v>92.7</v>
      </c>
      <c r="M10" s="111">
        <f t="shared" ref="M10:O10" si="14">F10/$E10</f>
        <v>4746.122335</v>
      </c>
      <c r="N10" s="111">
        <f t="shared" si="14"/>
        <v>6295.424745</v>
      </c>
      <c r="O10" s="111">
        <f t="shared" si="14"/>
        <v>6550.346593</v>
      </c>
      <c r="P10" s="112">
        <f>vlookup(K10,PerCapitaIncome,5,0)</f>
        <v>50022</v>
      </c>
      <c r="Q10" s="109">
        <f t="shared" si="7"/>
        <v>0.0948806992</v>
      </c>
      <c r="R10" s="113">
        <f t="shared" si="8"/>
        <v>5119.873069</v>
      </c>
    </row>
    <row r="11">
      <c r="A11" s="107">
        <v>8.0</v>
      </c>
      <c r="B11" s="107" t="s">
        <v>36</v>
      </c>
      <c r="C11" s="107" t="s">
        <v>314</v>
      </c>
      <c r="D11" s="114">
        <f>match(A12,OSR!$A$1:$A$674)-1</f>
        <v>154</v>
      </c>
      <c r="E11" s="108">
        <v>1422420.0</v>
      </c>
      <c r="F11" s="8">
        <f t="shared" si="2"/>
        <v>11134655015</v>
      </c>
      <c r="G11" s="8">
        <f t="shared" si="3"/>
        <v>14594515439</v>
      </c>
      <c r="H11" s="8">
        <f t="shared" si="4"/>
        <v>15195462458</v>
      </c>
      <c r="I11" s="109">
        <f t="shared" si="5"/>
        <v>0.960452206</v>
      </c>
      <c r="K11" s="114" t="str">
        <f t="shared" si="12"/>
        <v>San Diego, CA</v>
      </c>
      <c r="L11" s="110">
        <f>vlookup(K11,CostOfLivingIndex,2,0)</f>
        <v>136.2</v>
      </c>
      <c r="M11" s="111">
        <f t="shared" ref="M11:O11" si="15">F11/$E11</f>
        <v>7827.965731</v>
      </c>
      <c r="N11" s="111">
        <f t="shared" si="15"/>
        <v>10260.34184</v>
      </c>
      <c r="O11" s="111">
        <f t="shared" si="15"/>
        <v>10682.82396</v>
      </c>
      <c r="P11" s="112">
        <f>vlookup(K11,PerCapitaIncome,5,0)</f>
        <v>66266</v>
      </c>
      <c r="Q11" s="109">
        <f t="shared" si="7"/>
        <v>0.1181294439</v>
      </c>
      <c r="R11" s="113">
        <f t="shared" si="8"/>
        <v>5747.405089</v>
      </c>
    </row>
    <row r="12">
      <c r="A12" s="107">
        <v>9.0</v>
      </c>
      <c r="B12" s="107" t="s">
        <v>106</v>
      </c>
      <c r="C12" s="107" t="s">
        <v>371</v>
      </c>
      <c r="D12" s="114">
        <f>match(A13,OSR!$A$1:$A$674)-1</f>
        <v>175</v>
      </c>
      <c r="E12" s="108">
        <v>1343266.0</v>
      </c>
      <c r="F12" s="8">
        <f t="shared" si="2"/>
        <v>7401866234</v>
      </c>
      <c r="G12" s="8">
        <f t="shared" si="3"/>
        <v>10164423343</v>
      </c>
      <c r="H12" s="8">
        <f t="shared" si="4"/>
        <v>10499293509</v>
      </c>
      <c r="I12" s="109">
        <f t="shared" si="5"/>
        <v>0.9681054572</v>
      </c>
      <c r="K12" s="114" t="str">
        <f t="shared" si="12"/>
        <v>Dallas, TX</v>
      </c>
      <c r="L12" s="110">
        <f>vlookup(K12,CostOfLivingIndex,2,0)</f>
        <v>98.5</v>
      </c>
      <c r="M12" s="111">
        <f t="shared" ref="M12:O12" si="16">F12/$E12</f>
        <v>5510.350321</v>
      </c>
      <c r="N12" s="111">
        <f t="shared" si="16"/>
        <v>7566.947532</v>
      </c>
      <c r="O12" s="111">
        <f t="shared" si="16"/>
        <v>7816.243029</v>
      </c>
      <c r="P12" s="112">
        <f>vlookup(K12,PerCapitaIncome,5,0)</f>
        <v>61554</v>
      </c>
      <c r="Q12" s="109">
        <f t="shared" si="7"/>
        <v>0.08952058876</v>
      </c>
      <c r="R12" s="113">
        <f t="shared" si="8"/>
        <v>5594.264285</v>
      </c>
    </row>
    <row r="13">
      <c r="A13" s="107">
        <v>10.0</v>
      </c>
      <c r="B13" s="107" t="s">
        <v>36</v>
      </c>
      <c r="C13" s="107" t="s">
        <v>414</v>
      </c>
      <c r="D13" s="114">
        <f>match(A14,OSR!$A$1:$A$674)-1</f>
        <v>203</v>
      </c>
      <c r="E13" s="108">
        <v>1013616.0</v>
      </c>
      <c r="F13" s="8">
        <f t="shared" si="2"/>
        <v>8501584892</v>
      </c>
      <c r="G13" s="8">
        <f t="shared" si="3"/>
        <v>11376527292</v>
      </c>
      <c r="H13" s="8">
        <f t="shared" si="4"/>
        <v>13178951552</v>
      </c>
      <c r="I13" s="109">
        <f t="shared" si="5"/>
        <v>0.8632346244</v>
      </c>
      <c r="K13" s="114" t="str">
        <f t="shared" ref="K13:K18" si="18">substitute(C13," city","")&amp;", "&amp;B13</f>
        <v>San Jose, CA</v>
      </c>
      <c r="L13" s="110">
        <f>vlookup(K13,CostOfLivingIndex,2,0)</f>
        <v>173.5</v>
      </c>
      <c r="M13" s="111">
        <f t="shared" ref="M13:O13" si="17">F13/$E13</f>
        <v>8387.382295</v>
      </c>
      <c r="N13" s="111">
        <f t="shared" si="17"/>
        <v>11223.70532</v>
      </c>
      <c r="O13" s="111">
        <f t="shared" si="17"/>
        <v>13001.91744</v>
      </c>
      <c r="P13" s="112">
        <f>vlookup(K13,PerCapitaIncome,5,0)</f>
        <v>121619</v>
      </c>
      <c r="Q13" s="109">
        <f t="shared" si="7"/>
        <v>0.06896440766</v>
      </c>
      <c r="R13" s="113">
        <f t="shared" si="8"/>
        <v>4834.226107</v>
      </c>
    </row>
    <row r="14">
      <c r="A14" s="107">
        <v>11.0</v>
      </c>
      <c r="B14" s="107" t="s">
        <v>106</v>
      </c>
      <c r="C14" s="107" t="s">
        <v>475</v>
      </c>
      <c r="D14" s="114">
        <f>match(A15,OSR!$A$1:$A$674)-1</f>
        <v>219</v>
      </c>
      <c r="E14" s="108">
        <v>995484.0</v>
      </c>
      <c r="F14" s="8">
        <f t="shared" si="2"/>
        <v>6041829971</v>
      </c>
      <c r="G14" s="8">
        <f t="shared" si="3"/>
        <v>8368182338</v>
      </c>
      <c r="H14" s="8">
        <f t="shared" si="4"/>
        <v>10118921187</v>
      </c>
      <c r="I14" s="109">
        <f t="shared" si="5"/>
        <v>0.8269836461</v>
      </c>
      <c r="K14" s="114" t="str">
        <f t="shared" si="18"/>
        <v>Austin, TX</v>
      </c>
      <c r="L14" s="110">
        <f>vlookup(K14,CostOfLivingIndex,2,0)</f>
        <v>106.6</v>
      </c>
      <c r="M14" s="111">
        <f t="shared" ref="M14:O14" si="19">F14/$E14</f>
        <v>6069.238653</v>
      </c>
      <c r="N14" s="111">
        <f t="shared" si="19"/>
        <v>8406.144486</v>
      </c>
      <c r="O14" s="111">
        <f t="shared" si="19"/>
        <v>10164.82554</v>
      </c>
      <c r="P14" s="112">
        <f>vlookup(K14,PerCapitaIncome,5,0)</f>
        <v>64913</v>
      </c>
      <c r="Q14" s="109">
        <f t="shared" si="7"/>
        <v>0.09349804589</v>
      </c>
      <c r="R14" s="113">
        <f t="shared" si="8"/>
        <v>5693.469656</v>
      </c>
    </row>
    <row r="15">
      <c r="A15" s="107">
        <v>12.0</v>
      </c>
      <c r="B15" s="107" t="s">
        <v>106</v>
      </c>
      <c r="C15" s="107" t="s">
        <v>510</v>
      </c>
      <c r="D15" s="114">
        <f>match(A16,OSR!$A$1:$A$674)-1</f>
        <v>242</v>
      </c>
      <c r="E15" s="108">
        <v>927720.0</v>
      </c>
      <c r="F15" s="8">
        <f t="shared" si="2"/>
        <v>4370895935</v>
      </c>
      <c r="G15" s="8">
        <f t="shared" si="3"/>
        <v>6222224723</v>
      </c>
      <c r="H15" s="8">
        <f t="shared" si="4"/>
        <v>6453371465</v>
      </c>
      <c r="I15" s="109">
        <f t="shared" si="5"/>
        <v>0.9641820182</v>
      </c>
      <c r="K15" s="114" t="str">
        <f t="shared" si="18"/>
        <v>Fort Worth, TX</v>
      </c>
      <c r="L15" s="110">
        <f>vlookup(K15,CostOfLivingIndex,2,0)</f>
        <v>98.5</v>
      </c>
      <c r="M15" s="111">
        <f t="shared" ref="M15:O15" si="20">F15/$E15</f>
        <v>4711.438726</v>
      </c>
      <c r="N15" s="111">
        <f t="shared" si="20"/>
        <v>6707.007204</v>
      </c>
      <c r="O15" s="111">
        <f t="shared" si="20"/>
        <v>6956.162921</v>
      </c>
      <c r="P15" s="112">
        <f>vlookup(K15,PerCapitaIncome,5,0)</f>
        <v>61554</v>
      </c>
      <c r="Q15" s="109">
        <f t="shared" si="7"/>
        <v>0.07654155256</v>
      </c>
      <c r="R15" s="113">
        <f t="shared" si="8"/>
        <v>4783.186524</v>
      </c>
    </row>
    <row r="16">
      <c r="A16" s="107">
        <v>13.0</v>
      </c>
      <c r="B16" s="107" t="s">
        <v>554</v>
      </c>
      <c r="C16" s="107" t="s">
        <v>557</v>
      </c>
      <c r="D16" s="114">
        <f>match(A17,OSR!$A$1:$A$674)-1</f>
        <v>247</v>
      </c>
      <c r="E16" s="108">
        <v>920570.0</v>
      </c>
      <c r="F16" s="8">
        <f t="shared" si="2"/>
        <v>3579667453</v>
      </c>
      <c r="G16" s="8">
        <f t="shared" si="3"/>
        <v>4728096185</v>
      </c>
      <c r="H16" s="8">
        <f t="shared" si="4"/>
        <v>4728096185</v>
      </c>
      <c r="I16" s="109">
        <f t="shared" si="5"/>
        <v>1</v>
      </c>
      <c r="K16" s="114" t="str">
        <f t="shared" si="18"/>
        <v>Jacksonville, FL</v>
      </c>
      <c r="L16" s="110">
        <f>vlookup(K16,CostOfLivingIndex,2,0)</f>
        <v>99</v>
      </c>
      <c r="M16" s="111">
        <f t="shared" ref="M16:O16" si="21">F16/$E16</f>
        <v>3888.533683</v>
      </c>
      <c r="N16" s="111">
        <f t="shared" si="21"/>
        <v>5136.052864</v>
      </c>
      <c r="O16" s="111">
        <f t="shared" si="21"/>
        <v>5136.052864</v>
      </c>
      <c r="P16" s="112">
        <f>vlookup(K16,PerCapitaIncome,5,0)</f>
        <v>55125</v>
      </c>
      <c r="Q16" s="109">
        <f t="shared" si="7"/>
        <v>0.07054029357</v>
      </c>
      <c r="R16" s="113">
        <f t="shared" si="8"/>
        <v>3927.811801</v>
      </c>
    </row>
    <row r="17">
      <c r="A17" s="107">
        <v>14.0</v>
      </c>
      <c r="B17" s="107" t="s">
        <v>566</v>
      </c>
      <c r="C17" s="107" t="s">
        <v>569</v>
      </c>
      <c r="D17" s="114">
        <f>match(A18,OSR!$A$1:$A$674)-1</f>
        <v>273</v>
      </c>
      <c r="E17" s="108">
        <v>903852.0</v>
      </c>
      <c r="F17" s="8">
        <f t="shared" si="2"/>
        <v>5360291635</v>
      </c>
      <c r="G17" s="8">
        <f t="shared" si="3"/>
        <v>7099156574</v>
      </c>
      <c r="H17" s="8">
        <f t="shared" si="4"/>
        <v>7214654078</v>
      </c>
      <c r="I17" s="109">
        <f t="shared" si="5"/>
        <v>0.9839912624</v>
      </c>
      <c r="K17" s="114" t="str">
        <f t="shared" si="18"/>
        <v>Columbus, OH</v>
      </c>
      <c r="L17" s="110">
        <f>vlookup(K17,CostOfLivingIndex,2,0)</f>
        <v>93.9</v>
      </c>
      <c r="M17" s="111">
        <f t="shared" ref="M17:O17" si="22">F17/$E17</f>
        <v>5930.497067</v>
      </c>
      <c r="N17" s="111">
        <f t="shared" si="22"/>
        <v>7854.335195</v>
      </c>
      <c r="O17" s="111">
        <f t="shared" si="22"/>
        <v>7982.11884</v>
      </c>
      <c r="P17" s="112">
        <f>vlookup(K17,PerCapitaIncome,5,0)</f>
        <v>56252</v>
      </c>
      <c r="Q17" s="109">
        <f t="shared" si="7"/>
        <v>0.1054273104</v>
      </c>
      <c r="R17" s="113">
        <f t="shared" si="8"/>
        <v>6315.758325</v>
      </c>
    </row>
    <row r="18">
      <c r="A18" s="107">
        <v>15.0</v>
      </c>
      <c r="B18" s="107" t="s">
        <v>627</v>
      </c>
      <c r="C18" s="107" t="s">
        <v>631</v>
      </c>
      <c r="D18" s="114">
        <f>match(A19,OSR!$A$1:$A$674)-1</f>
        <v>279</v>
      </c>
      <c r="E18" s="108">
        <v>900350.0</v>
      </c>
      <c r="F18" s="8">
        <f t="shared" si="2"/>
        <v>8006245904</v>
      </c>
      <c r="G18" s="8">
        <f t="shared" si="3"/>
        <v>6822594030</v>
      </c>
      <c r="H18" s="8">
        <f t="shared" si="4"/>
        <v>9629808633</v>
      </c>
      <c r="I18" s="109">
        <f t="shared" si="5"/>
        <v>0.7084869794</v>
      </c>
      <c r="K18" s="114" t="str">
        <f t="shared" si="18"/>
        <v>Charlotte, NC</v>
      </c>
      <c r="L18" s="110">
        <f>vlookup(K18,CostOfLivingIndex,2,0)</f>
        <v>97.9</v>
      </c>
      <c r="M18" s="111">
        <f t="shared" ref="M18:O18" si="23">F18/$E18</f>
        <v>8892.370638</v>
      </c>
      <c r="N18" s="111">
        <f t="shared" si="23"/>
        <v>7577.713145</v>
      </c>
      <c r="O18" s="111">
        <f t="shared" si="23"/>
        <v>10695.62796</v>
      </c>
      <c r="P18" s="112">
        <f>vlookup(K18,PerCapitaIncome,5,0)</f>
        <v>56682</v>
      </c>
      <c r="Q18" s="109">
        <f t="shared" si="7"/>
        <v>0.1568817374</v>
      </c>
      <c r="R18" s="113">
        <f t="shared" si="8"/>
        <v>9083.116076</v>
      </c>
    </row>
    <row r="19">
      <c r="A19" s="107">
        <v>16.0</v>
      </c>
      <c r="B19" s="107" t="s">
        <v>641</v>
      </c>
      <c r="C19" s="107" t="s">
        <v>643</v>
      </c>
      <c r="D19" s="114">
        <f>match(A20,OSR!$A$1:$A$674)-1</f>
        <v>293</v>
      </c>
      <c r="E19" s="108">
        <v>877903.0</v>
      </c>
      <c r="F19" s="8">
        <f t="shared" si="2"/>
        <v>3697856516</v>
      </c>
      <c r="G19" s="8">
        <f t="shared" si="3"/>
        <v>4321871189</v>
      </c>
      <c r="H19" s="8">
        <f t="shared" si="4"/>
        <v>4373859442</v>
      </c>
      <c r="I19" s="109">
        <f t="shared" si="5"/>
        <v>0.988113872</v>
      </c>
      <c r="K19" s="30" t="s">
        <v>666</v>
      </c>
      <c r="L19" s="110">
        <f>vlookup(K19,CostOfLivingIndex,2,0)</f>
        <v>90.2</v>
      </c>
      <c r="M19" s="111">
        <f t="shared" ref="M19:O19" si="24">F19/$E19</f>
        <v>4212.147032</v>
      </c>
      <c r="N19" s="111">
        <f t="shared" si="24"/>
        <v>4922.948422</v>
      </c>
      <c r="O19" s="111">
        <f t="shared" si="24"/>
        <v>4982.167098</v>
      </c>
      <c r="P19" s="112">
        <f>vlookup(K19,PerCapitaIncome,5,0)</f>
        <v>60431</v>
      </c>
      <c r="Q19" s="109">
        <f t="shared" si="7"/>
        <v>0.06970175957</v>
      </c>
      <c r="R19" s="113">
        <f t="shared" si="8"/>
        <v>4669.786067</v>
      </c>
    </row>
    <row r="20">
      <c r="A20" s="107">
        <v>17.0</v>
      </c>
      <c r="B20" s="107" t="s">
        <v>36</v>
      </c>
      <c r="C20" s="107" t="s">
        <v>667</v>
      </c>
      <c r="D20" s="114">
        <f>match(A21,OSR!$A$1:$A$674)-1</f>
        <v>304</v>
      </c>
      <c r="E20" s="108">
        <v>866606.0</v>
      </c>
      <c r="F20" s="8">
        <f t="shared" si="2"/>
        <v>10476734643</v>
      </c>
      <c r="G20" s="8">
        <f t="shared" si="3"/>
        <v>14644919659</v>
      </c>
      <c r="H20" s="8">
        <f t="shared" si="4"/>
        <v>16588707053</v>
      </c>
      <c r="I20" s="109">
        <f t="shared" si="5"/>
        <v>0.8828246597</v>
      </c>
      <c r="K20" s="114" t="str">
        <f t="shared" ref="K20:K22" si="26">substitute(C20," city","")&amp;", "&amp;B20</f>
        <v>San Francisco, CA</v>
      </c>
      <c r="L20" s="110">
        <f>vlookup(K20,CostOfLivingIndex,2,0)</f>
        <v>178.6</v>
      </c>
      <c r="M20" s="111">
        <f t="shared" ref="M20:O20" si="25">F20/$E20</f>
        <v>12089.38623</v>
      </c>
      <c r="N20" s="111">
        <f t="shared" si="25"/>
        <v>16899.16716</v>
      </c>
      <c r="O20" s="111">
        <f t="shared" si="25"/>
        <v>19142.15578</v>
      </c>
      <c r="P20" s="112">
        <f>vlookup(K20,PerCapitaIncome,5,0)</f>
        <v>111050</v>
      </c>
      <c r="Q20" s="109">
        <f t="shared" si="7"/>
        <v>0.1088643515</v>
      </c>
      <c r="R20" s="113">
        <f t="shared" si="8"/>
        <v>6768.973253</v>
      </c>
    </row>
    <row r="21">
      <c r="A21" s="107">
        <v>18.0</v>
      </c>
      <c r="B21" s="107" t="s">
        <v>684</v>
      </c>
      <c r="C21" s="107" t="s">
        <v>687</v>
      </c>
      <c r="D21" s="114">
        <f>match(A22,OSR!$A$1:$A$674)-1</f>
        <v>316</v>
      </c>
      <c r="E21" s="108">
        <v>769714.0</v>
      </c>
      <c r="F21" s="8">
        <f t="shared" si="2"/>
        <v>6754431268</v>
      </c>
      <c r="G21" s="8">
        <f t="shared" si="3"/>
        <v>11089806307</v>
      </c>
      <c r="H21" s="8">
        <f t="shared" si="4"/>
        <v>11560283590</v>
      </c>
      <c r="I21" s="109">
        <f t="shared" si="5"/>
        <v>0.9593022715</v>
      </c>
      <c r="K21" s="114" t="str">
        <f t="shared" si="26"/>
        <v>Seattle, WA</v>
      </c>
      <c r="L21" s="110">
        <f>vlookup(K21,CostOfLivingIndex,2,0)</f>
        <v>124.6</v>
      </c>
      <c r="M21" s="111">
        <f t="shared" ref="M21:O21" si="27">F21/$E21</f>
        <v>8775.248037</v>
      </c>
      <c r="N21" s="111">
        <f t="shared" si="27"/>
        <v>14407.69728</v>
      </c>
      <c r="O21" s="111">
        <f t="shared" si="27"/>
        <v>15018.93377</v>
      </c>
      <c r="P21" s="112">
        <f>vlookup(K21,PerCapitaIncome,5,0)</f>
        <v>80420</v>
      </c>
      <c r="Q21" s="109">
        <f t="shared" si="7"/>
        <v>0.1091177324</v>
      </c>
      <c r="R21" s="113">
        <f t="shared" si="8"/>
        <v>7042.735183</v>
      </c>
    </row>
    <row r="22">
      <c r="A22" s="107">
        <v>19.0</v>
      </c>
      <c r="B22" s="107" t="s">
        <v>710</v>
      </c>
      <c r="C22" s="107" t="s">
        <v>714</v>
      </c>
      <c r="D22" s="30">
        <v>327.0</v>
      </c>
      <c r="E22" s="108">
        <v>735538.0</v>
      </c>
      <c r="F22" s="8">
        <f t="shared" si="2"/>
        <v>6521951374</v>
      </c>
      <c r="G22" s="8">
        <f t="shared" si="3"/>
        <v>7870557231</v>
      </c>
      <c r="H22" s="8">
        <f t="shared" si="4"/>
        <v>8933099026</v>
      </c>
      <c r="I22" s="109">
        <f t="shared" si="5"/>
        <v>0.8810556346</v>
      </c>
      <c r="K22" s="114" t="str">
        <f t="shared" si="26"/>
        <v>Denver, CO</v>
      </c>
      <c r="L22" s="110">
        <f>vlookup(K22,CostOfLivingIndex,2,0)</f>
        <v>112.1</v>
      </c>
      <c r="M22" s="111">
        <f t="shared" ref="M22:O22" si="28">F22/$E22</f>
        <v>8866.912891</v>
      </c>
      <c r="N22" s="111">
        <f t="shared" si="28"/>
        <v>10700.40872</v>
      </c>
      <c r="O22" s="111">
        <f t="shared" si="28"/>
        <v>12144.98643</v>
      </c>
      <c r="P22" s="112">
        <f>vlookup(K22,PerCapitaIncome,5,0)</f>
        <v>69822</v>
      </c>
      <c r="Q22" s="109">
        <f t="shared" si="7"/>
        <v>0.1269931095</v>
      </c>
      <c r="R22" s="113">
        <f t="shared" si="8"/>
        <v>7909.824167</v>
      </c>
    </row>
    <row r="23">
      <c r="A23" s="107">
        <v>20.0</v>
      </c>
      <c r="B23" s="107" t="s">
        <v>732</v>
      </c>
      <c r="C23" s="107" t="s">
        <v>733</v>
      </c>
      <c r="D23" s="114">
        <f>match(A24,OSR!$A$1:$A$674)-1</f>
        <v>334</v>
      </c>
      <c r="E23" s="108">
        <v>712816.0</v>
      </c>
      <c r="F23" s="8">
        <f t="shared" si="2"/>
        <v>9204792922</v>
      </c>
      <c r="G23" s="8">
        <f t="shared" si="3"/>
        <v>10313149551</v>
      </c>
      <c r="H23" s="8">
        <f t="shared" si="4"/>
        <v>10411623551</v>
      </c>
      <c r="I23" s="109">
        <f t="shared" si="5"/>
        <v>0.990541917</v>
      </c>
      <c r="K23" s="30" t="s">
        <v>747</v>
      </c>
      <c r="L23" s="110">
        <f>vlookup(K23,CostOfLivingIndex,2,0)</f>
        <v>120.1</v>
      </c>
      <c r="M23" s="111">
        <f t="shared" ref="M23:O23" si="29">F23/$E23</f>
        <v>12913.28046</v>
      </c>
      <c r="N23" s="111">
        <f t="shared" si="29"/>
        <v>14468.1791</v>
      </c>
      <c r="O23" s="111">
        <f t="shared" si="29"/>
        <v>14606.32695</v>
      </c>
      <c r="P23" s="112">
        <f>vlookup(K23,PerCapitaIncome,5,0)</f>
        <v>76771</v>
      </c>
      <c r="Q23" s="109">
        <f t="shared" si="7"/>
        <v>0.1682051876</v>
      </c>
      <c r="R23" s="113">
        <f t="shared" si="8"/>
        <v>10752.10696</v>
      </c>
    </row>
    <row r="24">
      <c r="A24" s="107">
        <v>21.0</v>
      </c>
      <c r="B24" s="107" t="s">
        <v>748</v>
      </c>
      <c r="C24" s="107" t="s">
        <v>752</v>
      </c>
      <c r="D24" s="114">
        <f>match(A25,OSR!$A$1:$A$674)-1</f>
        <v>339</v>
      </c>
      <c r="E24" s="108">
        <v>691531.0</v>
      </c>
      <c r="F24" s="8">
        <f t="shared" si="2"/>
        <v>6104746461</v>
      </c>
      <c r="G24" s="8">
        <f t="shared" si="3"/>
        <v>7733366593</v>
      </c>
      <c r="H24" s="8">
        <f t="shared" si="4"/>
        <v>8032169790</v>
      </c>
      <c r="I24" s="109">
        <f t="shared" si="5"/>
        <v>0.9627991931</v>
      </c>
      <c r="K24" s="30" t="s">
        <v>758</v>
      </c>
      <c r="L24" s="110">
        <f>vlookup(K24,CostOfLivingIndex,2,0)</f>
        <v>132.6</v>
      </c>
      <c r="M24" s="111">
        <f t="shared" ref="M24:O24" si="30">F24/$E24</f>
        <v>8827.871</v>
      </c>
      <c r="N24" s="111">
        <f t="shared" si="30"/>
        <v>11182.96445</v>
      </c>
      <c r="O24" s="111">
        <f t="shared" si="30"/>
        <v>11615.05383</v>
      </c>
      <c r="P24" s="112">
        <f>vlookup(K24,PerCapitaIncome,5,0)</f>
        <v>85724</v>
      </c>
      <c r="Q24" s="109">
        <f t="shared" si="7"/>
        <v>0.1029801572</v>
      </c>
      <c r="R24" s="113">
        <f t="shared" si="8"/>
        <v>6657.519608</v>
      </c>
    </row>
    <row r="25">
      <c r="A25" s="107">
        <v>22.0</v>
      </c>
      <c r="B25" s="107" t="s">
        <v>106</v>
      </c>
      <c r="C25" s="107" t="s">
        <v>759</v>
      </c>
      <c r="D25" s="114">
        <f>match(A26,OSR!$A$1:$A$674)-1</f>
        <v>349</v>
      </c>
      <c r="E25" s="108">
        <v>681534.0</v>
      </c>
      <c r="F25" s="8">
        <f t="shared" si="2"/>
        <v>2705281538</v>
      </c>
      <c r="G25" s="8">
        <f t="shared" si="3"/>
        <v>3741809490</v>
      </c>
      <c r="H25" s="8">
        <f t="shared" si="4"/>
        <v>3918730587</v>
      </c>
      <c r="I25" s="109">
        <f t="shared" si="5"/>
        <v>0.9548524469</v>
      </c>
      <c r="K25" s="114" t="str">
        <f>substitute(C25," city","")&amp;", "&amp;B25</f>
        <v>El Paso, TX</v>
      </c>
      <c r="L25" s="110">
        <f>vlookup(K25,CostOfLivingIndex,2,0)</f>
        <v>88.6</v>
      </c>
      <c r="M25" s="111">
        <f t="shared" ref="M25:O25" si="31">F25/$E25</f>
        <v>3969.400702</v>
      </c>
      <c r="N25" s="111">
        <f t="shared" si="31"/>
        <v>5490.275599</v>
      </c>
      <c r="O25" s="111">
        <f t="shared" si="31"/>
        <v>5749.868072</v>
      </c>
      <c r="P25" s="112">
        <f>vlookup(K25,PerCapitaIncome,5,0)</f>
        <v>41732</v>
      </c>
      <c r="Q25" s="109">
        <f t="shared" si="7"/>
        <v>0.09511647423</v>
      </c>
      <c r="R25" s="113">
        <f t="shared" si="8"/>
        <v>4480.136233</v>
      </c>
    </row>
    <row r="26">
      <c r="A26" s="107">
        <v>23.0</v>
      </c>
      <c r="B26" s="107" t="s">
        <v>778</v>
      </c>
      <c r="C26" s="107" t="s">
        <v>781</v>
      </c>
      <c r="D26" s="114">
        <f>match(A27,OSR!$A$1:$A$674)-1</f>
        <v>355</v>
      </c>
      <c r="E26" s="108">
        <v>671295.0</v>
      </c>
      <c r="F26" s="8">
        <f t="shared" si="2"/>
        <v>3670084189</v>
      </c>
      <c r="G26" s="8">
        <f t="shared" si="3"/>
        <v>4106200755</v>
      </c>
      <c r="H26" s="8">
        <f t="shared" si="4"/>
        <v>4238248517</v>
      </c>
      <c r="I26" s="109">
        <f t="shared" si="5"/>
        <v>0.9688437897</v>
      </c>
      <c r="K26" s="30" t="s">
        <v>790</v>
      </c>
      <c r="L26" s="110">
        <f>vlookup(K26,CostOfLivingIndex,2,0)</f>
        <v>100.1</v>
      </c>
      <c r="M26" s="111">
        <f t="shared" ref="M26:O26" si="32">F26/$E26</f>
        <v>5467.170453</v>
      </c>
      <c r="N26" s="111">
        <f t="shared" si="32"/>
        <v>6116.835006</v>
      </c>
      <c r="O26" s="111">
        <f t="shared" si="32"/>
        <v>6313.541017</v>
      </c>
      <c r="P26" s="112">
        <f>vlookup(K26,PerCapitaIncome,5,0)</f>
        <v>62076</v>
      </c>
      <c r="Q26" s="109">
        <f t="shared" si="7"/>
        <v>0.08807220911</v>
      </c>
      <c r="R26" s="113">
        <f t="shared" si="8"/>
        <v>5461.708744</v>
      </c>
    </row>
    <row r="27">
      <c r="A27" s="107">
        <v>24.0</v>
      </c>
      <c r="B27" s="107" t="s">
        <v>791</v>
      </c>
      <c r="C27" s="107" t="s">
        <v>795</v>
      </c>
      <c r="D27" s="114">
        <f>match(A28,OSR!$A$1:$A$674)-1</f>
        <v>362</v>
      </c>
      <c r="E27" s="108">
        <v>665369.0</v>
      </c>
      <c r="F27" s="8">
        <f t="shared" si="2"/>
        <v>3147236216</v>
      </c>
      <c r="G27" s="8">
        <f t="shared" si="3"/>
        <v>5924786083</v>
      </c>
      <c r="H27" s="8">
        <f t="shared" si="4"/>
        <v>5942990089</v>
      </c>
      <c r="I27" s="109">
        <f t="shared" si="5"/>
        <v>0.9969368945</v>
      </c>
      <c r="K27" s="114" t="str">
        <f t="shared" ref="K27:K31" si="34">substitute(C27," city","")&amp;", "&amp;B27</f>
        <v>Detroit, MI</v>
      </c>
      <c r="L27" s="110">
        <f>vlookup(K27,CostOfLivingIndex,2,0)</f>
        <v>93.2</v>
      </c>
      <c r="M27" s="111">
        <f t="shared" ref="M27:O27" si="33">F27/$E27</f>
        <v>4730.061389</v>
      </c>
      <c r="N27" s="111">
        <f t="shared" si="33"/>
        <v>8904.511757</v>
      </c>
      <c r="O27" s="111">
        <f t="shared" si="33"/>
        <v>8931.87102</v>
      </c>
      <c r="P27" s="112">
        <f>vlookup(K27,PerCapitaIncome,5,0)</f>
        <v>58356</v>
      </c>
      <c r="Q27" s="109">
        <f t="shared" si="7"/>
        <v>0.0810552709</v>
      </c>
      <c r="R27" s="113">
        <f t="shared" si="8"/>
        <v>5075.173164</v>
      </c>
    </row>
    <row r="28">
      <c r="A28" s="107">
        <v>25.0</v>
      </c>
      <c r="B28" s="107" t="s">
        <v>809</v>
      </c>
      <c r="C28" s="107" t="s">
        <v>812</v>
      </c>
      <c r="D28" s="114">
        <f>match(A29,OSR!$A$1:$A$674)-1</f>
        <v>370</v>
      </c>
      <c r="E28" s="108">
        <v>662368.0</v>
      </c>
      <c r="F28" s="8">
        <f t="shared" si="2"/>
        <v>2755567744</v>
      </c>
      <c r="G28" s="8">
        <f t="shared" si="3"/>
        <v>3662460445</v>
      </c>
      <c r="H28" s="8">
        <f t="shared" si="4"/>
        <v>3867706196</v>
      </c>
      <c r="I28" s="109">
        <f t="shared" si="5"/>
        <v>0.9469334691</v>
      </c>
      <c r="K28" s="114" t="str">
        <f t="shared" si="34"/>
        <v>Las Vegas, NV</v>
      </c>
      <c r="L28" s="110">
        <f>vlookup(K28,CostOfLivingIndex,2,0)</f>
        <v>100.7</v>
      </c>
      <c r="M28" s="111">
        <f t="shared" ref="M28:O28" si="35">F28/$E28</f>
        <v>4160.176433</v>
      </c>
      <c r="N28" s="111">
        <f t="shared" si="35"/>
        <v>5529.343877</v>
      </c>
      <c r="O28" s="111">
        <f t="shared" si="35"/>
        <v>5839.210523</v>
      </c>
      <c r="P28" s="112">
        <f>vlookup(K28,PerCapitaIncome,5,0)</f>
        <v>51244</v>
      </c>
      <c r="Q28" s="109">
        <f t="shared" si="7"/>
        <v>0.08118367874</v>
      </c>
      <c r="R28" s="113">
        <f t="shared" si="8"/>
        <v>4131.25763</v>
      </c>
    </row>
    <row r="29">
      <c r="A29" s="107">
        <v>26.0</v>
      </c>
      <c r="B29" s="107" t="s">
        <v>830</v>
      </c>
      <c r="C29" s="107" t="s">
        <v>1460</v>
      </c>
      <c r="D29" s="114">
        <f>match(A30,OSR!$A$1:$A$674)-1</f>
        <v>396</v>
      </c>
      <c r="E29" s="108">
        <v>662314.0</v>
      </c>
      <c r="F29" s="8">
        <f t="shared" si="2"/>
        <v>2967242401</v>
      </c>
      <c r="G29" s="8">
        <f t="shared" si="3"/>
        <v>3662922305</v>
      </c>
      <c r="H29" s="8">
        <f t="shared" si="4"/>
        <v>3765384495</v>
      </c>
      <c r="I29" s="109">
        <f t="shared" si="5"/>
        <v>0.9727883858</v>
      </c>
      <c r="K29" s="114" t="str">
        <f t="shared" si="34"/>
        <v>Oklahoma City, OK</v>
      </c>
      <c r="L29" s="110">
        <f>vlookup(K29,CostOfLivingIndex,2,0)</f>
        <v>87.3</v>
      </c>
      <c r="M29" s="111">
        <f t="shared" ref="M29:O29" si="36">F29/$E29</f>
        <v>4480.114268</v>
      </c>
      <c r="N29" s="111">
        <f t="shared" si="36"/>
        <v>5530.492039</v>
      </c>
      <c r="O29" s="111">
        <f t="shared" si="36"/>
        <v>5685.195383</v>
      </c>
      <c r="P29" s="112">
        <f>vlookup(K29,PerCapitaIncome,5,0)</f>
        <v>52688</v>
      </c>
      <c r="Q29" s="109">
        <f t="shared" si="7"/>
        <v>0.08503101783</v>
      </c>
      <c r="R29" s="113">
        <f t="shared" si="8"/>
        <v>5131.860558</v>
      </c>
    </row>
    <row r="30">
      <c r="A30" s="107">
        <v>27.0</v>
      </c>
      <c r="B30" s="107" t="s">
        <v>889</v>
      </c>
      <c r="C30" s="107" t="s">
        <v>893</v>
      </c>
      <c r="D30" s="114">
        <f>match(A31,OSR!$A$1:$A$674)-1</f>
        <v>413</v>
      </c>
      <c r="E30" s="108">
        <v>656751.0</v>
      </c>
      <c r="F30" s="8">
        <f t="shared" si="2"/>
        <v>3893539466</v>
      </c>
      <c r="G30" s="8">
        <f t="shared" si="3"/>
        <v>6175114623</v>
      </c>
      <c r="H30" s="8">
        <f t="shared" si="4"/>
        <v>6301070454</v>
      </c>
      <c r="I30" s="109">
        <f t="shared" si="5"/>
        <v>0.9800104074</v>
      </c>
      <c r="K30" s="114" t="str">
        <f t="shared" si="34"/>
        <v>Portland, OR</v>
      </c>
      <c r="L30" s="110">
        <f>vlookup(K30,CostOfLivingIndex,2,0)</f>
        <v>116.5</v>
      </c>
      <c r="M30" s="111">
        <f t="shared" ref="M30:O30" si="37">F30/$E30</f>
        <v>5928.486543</v>
      </c>
      <c r="N30" s="111">
        <f t="shared" si="37"/>
        <v>9402.52032</v>
      </c>
      <c r="O30" s="111">
        <f t="shared" si="37"/>
        <v>9594.306601</v>
      </c>
      <c r="P30" s="112">
        <f>vlookup(K30,PerCapitaIncome,5,0)</f>
        <v>62603</v>
      </c>
      <c r="Q30" s="109">
        <f t="shared" si="7"/>
        <v>0.09469971956</v>
      </c>
      <c r="R30" s="113">
        <f t="shared" si="8"/>
        <v>5088.829651</v>
      </c>
    </row>
    <row r="31">
      <c r="A31" s="107">
        <v>28.0</v>
      </c>
      <c r="B31" s="107" t="s">
        <v>778</v>
      </c>
      <c r="C31" s="107" t="s">
        <v>926</v>
      </c>
      <c r="D31" s="114">
        <f>match(A32,OSR!$A$1:$A$674)-1</f>
        <v>419</v>
      </c>
      <c r="E31" s="108">
        <v>649705.0</v>
      </c>
      <c r="F31" s="8">
        <f t="shared" si="2"/>
        <v>2535513239</v>
      </c>
      <c r="G31" s="8">
        <f t="shared" si="3"/>
        <v>4796060803</v>
      </c>
      <c r="H31" s="8">
        <f t="shared" si="4"/>
        <v>4913278145</v>
      </c>
      <c r="I31" s="109">
        <f t="shared" si="5"/>
        <v>0.9761427425</v>
      </c>
      <c r="K31" s="114" t="str">
        <f t="shared" si="34"/>
        <v>Memphis, TN</v>
      </c>
      <c r="L31" s="110">
        <f>vlookup(K31,CostOfLivingIndex,2,0)</f>
        <v>88.2</v>
      </c>
      <c r="M31" s="111">
        <f t="shared" ref="M31:O31" si="38">F31/$E31</f>
        <v>3902.56076</v>
      </c>
      <c r="N31" s="111">
        <f t="shared" si="38"/>
        <v>7381.905331</v>
      </c>
      <c r="O31" s="111">
        <f t="shared" si="38"/>
        <v>7562.321584</v>
      </c>
      <c r="P31" s="112">
        <f>vlookup(K31,PerCapitaIncome,5,0)</f>
        <v>51155</v>
      </c>
      <c r="Q31" s="109">
        <f t="shared" si="7"/>
        <v>0.07628894068</v>
      </c>
      <c r="R31" s="113">
        <f t="shared" si="8"/>
        <v>4424.672064</v>
      </c>
    </row>
    <row r="32">
      <c r="A32" s="107">
        <v>29.0</v>
      </c>
      <c r="B32" s="107" t="s">
        <v>937</v>
      </c>
      <c r="C32" s="107" t="s">
        <v>941</v>
      </c>
      <c r="D32" s="114">
        <f>match(A33,OSR!$A$1:$A$674)-1</f>
        <v>425</v>
      </c>
      <c r="E32" s="108">
        <v>618338.0</v>
      </c>
      <c r="F32" s="8">
        <f t="shared" si="2"/>
        <v>3361791905</v>
      </c>
      <c r="G32" s="8">
        <f t="shared" si="3"/>
        <v>4014978081</v>
      </c>
      <c r="H32" s="8">
        <f t="shared" si="4"/>
        <v>4282106354</v>
      </c>
      <c r="I32" s="109">
        <f t="shared" si="5"/>
        <v>0.9376175529</v>
      </c>
      <c r="K32" s="30" t="s">
        <v>950</v>
      </c>
      <c r="L32" s="110">
        <f>vlookup(K32,CostOfLivingIndex,2,0)</f>
        <v>91.6</v>
      </c>
      <c r="M32" s="111">
        <f t="shared" ref="M32:O32" si="39">F32/$E32</f>
        <v>5436.81919</v>
      </c>
      <c r="N32" s="111">
        <f t="shared" si="39"/>
        <v>6493.177001</v>
      </c>
      <c r="O32" s="111">
        <f t="shared" si="39"/>
        <v>6925.18712</v>
      </c>
      <c r="P32" s="112">
        <f>vlookup(K32,PerCapitaIncome,5,0)</f>
        <v>55676</v>
      </c>
      <c r="Q32" s="109">
        <f t="shared" si="7"/>
        <v>0.09765103798</v>
      </c>
      <c r="R32" s="113">
        <f t="shared" si="8"/>
        <v>5935.392129</v>
      </c>
    </row>
    <row r="33">
      <c r="A33" s="107">
        <v>30.0</v>
      </c>
      <c r="B33" s="107" t="s">
        <v>951</v>
      </c>
      <c r="C33" s="107" t="s">
        <v>955</v>
      </c>
      <c r="D33" s="114">
        <f>match(A34,OSR!$A$1:$A$674)-1</f>
        <v>431</v>
      </c>
      <c r="E33" s="108">
        <v>589067.0</v>
      </c>
      <c r="F33" s="8">
        <f t="shared" si="2"/>
        <v>3067378863</v>
      </c>
      <c r="G33" s="8">
        <f t="shared" si="3"/>
        <v>4436682425</v>
      </c>
      <c r="H33" s="8">
        <f t="shared" si="4"/>
        <v>4622164025</v>
      </c>
      <c r="I33" s="109">
        <f t="shared" si="5"/>
        <v>0.959871264</v>
      </c>
      <c r="K33" s="114" t="str">
        <f t="shared" ref="K33:K34" si="41">substitute(C33," city","")&amp;", "&amp;B33</f>
        <v>Milwaukee, WI</v>
      </c>
      <c r="L33" s="110">
        <f>vlookup(K33,CostOfLivingIndex,2,0)</f>
        <v>93.8</v>
      </c>
      <c r="M33" s="111">
        <f t="shared" ref="M33:O33" si="40">F33/$E33</f>
        <v>5207.181633</v>
      </c>
      <c r="N33" s="111">
        <f t="shared" si="40"/>
        <v>7531.711037</v>
      </c>
      <c r="O33" s="111">
        <f t="shared" si="40"/>
        <v>7846.584557</v>
      </c>
      <c r="P33" s="112">
        <f>vlookup(K33,PerCapitaIncome,5,0)</f>
        <v>60499</v>
      </c>
      <c r="Q33" s="109">
        <f t="shared" si="7"/>
        <v>0.08607054056</v>
      </c>
      <c r="R33" s="113">
        <f t="shared" si="8"/>
        <v>5551.366347</v>
      </c>
    </row>
    <row r="34">
      <c r="A34" s="107">
        <v>31.0</v>
      </c>
      <c r="B34" s="107" t="s">
        <v>967</v>
      </c>
      <c r="C34" s="107" t="s">
        <v>970</v>
      </c>
      <c r="D34" s="114">
        <f>match(A35,OSR!$A$1:$A$674)-1</f>
        <v>437</v>
      </c>
      <c r="E34" s="108">
        <v>586131.0</v>
      </c>
      <c r="F34" s="8">
        <f t="shared" si="2"/>
        <v>5341575066</v>
      </c>
      <c r="G34" s="8">
        <f t="shared" si="3"/>
        <v>7286768691</v>
      </c>
      <c r="H34" s="8">
        <f t="shared" si="4"/>
        <v>7390681243</v>
      </c>
      <c r="I34" s="109">
        <f t="shared" si="5"/>
        <v>0.9859400576</v>
      </c>
      <c r="K34" s="114" t="str">
        <f t="shared" si="41"/>
        <v>Baltimore, MD</v>
      </c>
      <c r="L34" s="110">
        <f>vlookup(K34,CostOfLivingIndex,2,0)</f>
        <v>107</v>
      </c>
      <c r="M34" s="111">
        <f t="shared" ref="M34:O34" si="42">F34/$E34</f>
        <v>9113.278544</v>
      </c>
      <c r="N34" s="111">
        <f t="shared" si="42"/>
        <v>12431.97969</v>
      </c>
      <c r="O34" s="111">
        <f t="shared" si="42"/>
        <v>12609.26524</v>
      </c>
      <c r="P34" s="112">
        <f>vlookup(K34,PerCapitaIncome,5,0)</f>
        <v>66695</v>
      </c>
      <c r="Q34" s="109">
        <f t="shared" si="7"/>
        <v>0.1366411057</v>
      </c>
      <c r="R34" s="113">
        <f t="shared" si="8"/>
        <v>8517.082751</v>
      </c>
    </row>
    <row r="35">
      <c r="A35" s="107">
        <v>32.0</v>
      </c>
      <c r="B35" s="107" t="s">
        <v>981</v>
      </c>
      <c r="C35" s="107" t="s">
        <v>985</v>
      </c>
      <c r="D35" s="114">
        <f>match(A36,OSR!$A$1:$A$674)-1</f>
        <v>442</v>
      </c>
      <c r="E35" s="108">
        <v>562540.0</v>
      </c>
      <c r="F35" s="8">
        <f t="shared" si="2"/>
        <v>3990290612</v>
      </c>
      <c r="G35" s="8">
        <f t="shared" si="3"/>
        <v>5544616421</v>
      </c>
      <c r="H35" s="8">
        <f t="shared" si="4"/>
        <v>5606268392</v>
      </c>
      <c r="I35" s="109">
        <f t="shared" si="5"/>
        <v>0.989003029</v>
      </c>
      <c r="K35" s="30" t="s">
        <v>2429</v>
      </c>
      <c r="L35" s="110">
        <f>vlookup(K35,CostOfLivingIndex,2,0)</f>
        <v>92.9</v>
      </c>
      <c r="M35" s="111">
        <f t="shared" ref="M35:O35" si="43">F35/$E35</f>
        <v>7093.345561</v>
      </c>
      <c r="N35" s="111">
        <f t="shared" si="43"/>
        <v>9856.394961</v>
      </c>
      <c r="O35" s="111">
        <f t="shared" si="43"/>
        <v>9965.990672</v>
      </c>
      <c r="P35" s="112">
        <f>vlookup(K35,PerCapitaIncome,5,0)</f>
        <v>47442</v>
      </c>
      <c r="Q35" s="109">
        <f t="shared" si="7"/>
        <v>0.1495161579</v>
      </c>
      <c r="R35" s="113">
        <f t="shared" si="8"/>
        <v>7635.463467</v>
      </c>
    </row>
    <row r="36">
      <c r="A36" s="107">
        <v>33.0</v>
      </c>
      <c r="B36" s="107" t="s">
        <v>161</v>
      </c>
      <c r="C36" s="107" t="s">
        <v>992</v>
      </c>
      <c r="D36" s="114">
        <f>match(A37,OSR!$A$1:$A$674)-1</f>
        <v>448</v>
      </c>
      <c r="E36" s="108">
        <v>553571.0</v>
      </c>
      <c r="F36" s="8">
        <f t="shared" si="2"/>
        <v>2173546010</v>
      </c>
      <c r="G36" s="8">
        <f t="shared" si="3"/>
        <v>3160738478</v>
      </c>
      <c r="H36" s="8">
        <f t="shared" si="4"/>
        <v>3211630021</v>
      </c>
      <c r="I36" s="109">
        <f t="shared" si="5"/>
        <v>0.9841539833</v>
      </c>
      <c r="K36" s="114" t="str">
        <f t="shared" ref="K36:K53" si="45">substitute(C36," city","")&amp;", "&amp;B36</f>
        <v>Tucson, AZ</v>
      </c>
      <c r="L36" s="110">
        <f>vlookup(K36,CostOfLivingIndex,2,0)</f>
        <v>97.7</v>
      </c>
      <c r="M36" s="111">
        <f t="shared" ref="M36:O36" si="44">F36/$E36</f>
        <v>3926.408735</v>
      </c>
      <c r="N36" s="111">
        <f t="shared" si="44"/>
        <v>5709.725542</v>
      </c>
      <c r="O36" s="111">
        <f t="shared" si="44"/>
        <v>5801.658723</v>
      </c>
      <c r="P36" s="112">
        <f>vlookup(K36,PerCapitaIncome,5,0)</f>
        <v>48373</v>
      </c>
      <c r="Q36" s="109">
        <f t="shared" si="7"/>
        <v>0.08116942787</v>
      </c>
      <c r="R36" s="113">
        <f t="shared" si="8"/>
        <v>4018.842103</v>
      </c>
    </row>
    <row r="37">
      <c r="A37" s="107">
        <v>34.0</v>
      </c>
      <c r="B37" s="107" t="s">
        <v>36</v>
      </c>
      <c r="C37" s="107" t="s">
        <v>1001</v>
      </c>
      <c r="D37" s="114">
        <f>match(A38,OSR!$A$1:$A$674)-1</f>
        <v>461</v>
      </c>
      <c r="E37" s="108">
        <v>530267.0</v>
      </c>
      <c r="F37" s="8">
        <f t="shared" si="2"/>
        <v>3330607346</v>
      </c>
      <c r="G37" s="8">
        <f t="shared" si="3"/>
        <v>4345742903</v>
      </c>
      <c r="H37" s="8">
        <f t="shared" si="4"/>
        <v>4556794059</v>
      </c>
      <c r="I37" s="109">
        <f t="shared" si="5"/>
        <v>0.9536842892</v>
      </c>
      <c r="K37" s="114" t="str">
        <f t="shared" si="45"/>
        <v>Fresno, CA</v>
      </c>
      <c r="L37" s="110">
        <f>vlookup(K37,CostOfLivingIndex,2,0)</f>
        <v>105.9</v>
      </c>
      <c r="M37" s="111">
        <f t="shared" ref="M37:O37" si="46">F37/$E37</f>
        <v>6281.000601</v>
      </c>
      <c r="N37" s="111">
        <f t="shared" si="46"/>
        <v>8195.386292</v>
      </c>
      <c r="O37" s="111">
        <f t="shared" si="46"/>
        <v>8593.395513</v>
      </c>
      <c r="P37" s="112">
        <f>vlookup(K37,PerCapitaIncome,5,0)</f>
        <v>48495</v>
      </c>
      <c r="Q37" s="109">
        <f t="shared" si="7"/>
        <v>0.1295185195</v>
      </c>
      <c r="R37" s="113">
        <f t="shared" si="8"/>
        <v>5931.067612</v>
      </c>
    </row>
    <row r="38">
      <c r="A38" s="107">
        <v>35.0</v>
      </c>
      <c r="B38" s="107" t="s">
        <v>161</v>
      </c>
      <c r="C38" s="107" t="s">
        <v>1025</v>
      </c>
      <c r="D38" s="114">
        <f>match(A39,OSR!$A$1:$A$674)-1</f>
        <v>472</v>
      </c>
      <c r="E38" s="108">
        <v>528159.0</v>
      </c>
      <c r="F38" s="8">
        <f t="shared" si="2"/>
        <v>2122924287</v>
      </c>
      <c r="G38" s="8">
        <f t="shared" si="3"/>
        <v>2955566472</v>
      </c>
      <c r="H38" s="8">
        <f t="shared" si="4"/>
        <v>3085390326</v>
      </c>
      <c r="I38" s="109">
        <f t="shared" si="5"/>
        <v>0.9579230371</v>
      </c>
      <c r="K38" s="114" t="str">
        <f t="shared" si="45"/>
        <v>Mesa, AZ</v>
      </c>
      <c r="L38" s="110">
        <f>vlookup(K38,CostOfLivingIndex,2,0)</f>
        <v>104.3</v>
      </c>
      <c r="M38" s="111">
        <f t="shared" ref="M38:O38" si="47">F38/$E38</f>
        <v>4019.479526</v>
      </c>
      <c r="N38" s="111">
        <f t="shared" si="47"/>
        <v>5595.97862</v>
      </c>
      <c r="O38" s="111">
        <f t="shared" si="47"/>
        <v>5841.783111</v>
      </c>
      <c r="P38" s="112">
        <f>vlookup(K38,PerCapitaIncome,5,0)</f>
        <v>51851</v>
      </c>
      <c r="Q38" s="109">
        <f t="shared" si="7"/>
        <v>0.07751980726</v>
      </c>
      <c r="R38" s="113">
        <f t="shared" si="8"/>
        <v>3853.767523</v>
      </c>
    </row>
    <row r="39">
      <c r="A39" s="107">
        <v>36.0</v>
      </c>
      <c r="B39" s="107" t="s">
        <v>36</v>
      </c>
      <c r="C39" s="107" t="s">
        <v>1038</v>
      </c>
      <c r="D39" s="114">
        <f>match(A40,OSR!$A$1:$A$674)-1</f>
        <v>492</v>
      </c>
      <c r="E39" s="108">
        <v>512838.0</v>
      </c>
      <c r="F39" s="8">
        <f t="shared" si="2"/>
        <v>3718797429</v>
      </c>
      <c r="G39" s="8">
        <f t="shared" si="3"/>
        <v>4825620299</v>
      </c>
      <c r="H39" s="8">
        <f t="shared" si="4"/>
        <v>5017238752</v>
      </c>
      <c r="I39" s="109">
        <f t="shared" si="5"/>
        <v>0.9618079859</v>
      </c>
      <c r="K39" s="114" t="str">
        <f t="shared" si="45"/>
        <v>Sacramento, CA</v>
      </c>
      <c r="L39" s="110">
        <f>vlookup(K39,CostOfLivingIndex,2,0)</f>
        <v>120.3</v>
      </c>
      <c r="M39" s="111">
        <f t="shared" ref="M39:O39" si="48">F39/$E39</f>
        <v>7251.407713</v>
      </c>
      <c r="N39" s="111">
        <f t="shared" si="48"/>
        <v>9409.638715</v>
      </c>
      <c r="O39" s="111">
        <f t="shared" si="48"/>
        <v>9783.281957</v>
      </c>
      <c r="P39" s="112">
        <f>vlookup(K39,PerCapitaIncome,5,0)</f>
        <v>61852</v>
      </c>
      <c r="Q39" s="109">
        <f t="shared" si="7"/>
        <v>0.1172380475</v>
      </c>
      <c r="R39" s="113">
        <f t="shared" si="8"/>
        <v>6027.770335</v>
      </c>
    </row>
    <row r="40">
      <c r="A40" s="107">
        <v>37.0</v>
      </c>
      <c r="B40" s="107" t="s">
        <v>406</v>
      </c>
      <c r="C40" s="107" t="s">
        <v>1080</v>
      </c>
      <c r="D40" s="114">
        <f>match(A41,OSR!$A$1:$A$674)-1</f>
        <v>500</v>
      </c>
      <c r="E40" s="108">
        <v>512550.0</v>
      </c>
      <c r="F40" s="8">
        <f t="shared" si="2"/>
        <v>3877209767</v>
      </c>
      <c r="G40" s="8">
        <f t="shared" si="3"/>
        <v>5450182165</v>
      </c>
      <c r="H40" s="8">
        <f t="shared" si="4"/>
        <v>5598902171</v>
      </c>
      <c r="I40" s="109">
        <f t="shared" si="5"/>
        <v>0.9734376487</v>
      </c>
      <c r="K40" s="114" t="str">
        <f t="shared" si="45"/>
        <v>Atlanta, GA</v>
      </c>
      <c r="L40" s="110">
        <f>vlookup(K40,CostOfLivingIndex,2,0)</f>
        <v>100.3</v>
      </c>
      <c r="M40" s="111">
        <f t="shared" ref="M40:O40" si="49">F40/$E40</f>
        <v>7564.549346</v>
      </c>
      <c r="N40" s="111">
        <f t="shared" si="49"/>
        <v>10633.46437</v>
      </c>
      <c r="O40" s="111">
        <f t="shared" si="49"/>
        <v>10923.62144</v>
      </c>
      <c r="P40" s="112">
        <f>vlookup(K40,PerCapitaIncome,5,0)</f>
        <v>58773</v>
      </c>
      <c r="Q40" s="109">
        <f t="shared" si="7"/>
        <v>0.128707899</v>
      </c>
      <c r="R40" s="113">
        <f t="shared" si="8"/>
        <v>7541.923575</v>
      </c>
    </row>
    <row r="41">
      <c r="A41" s="107">
        <v>38.0</v>
      </c>
      <c r="B41" s="107" t="s">
        <v>1098</v>
      </c>
      <c r="C41" s="107" t="s">
        <v>2525</v>
      </c>
      <c r="D41" s="114">
        <f>match(A42,OSR!$A$1:$A$674)-1</f>
        <v>521</v>
      </c>
      <c r="E41" s="108">
        <v>497159.0</v>
      </c>
      <c r="F41" s="8">
        <f t="shared" si="2"/>
        <v>2734893772</v>
      </c>
      <c r="G41" s="8">
        <f t="shared" si="3"/>
        <v>3951351974</v>
      </c>
      <c r="H41" s="8">
        <f t="shared" si="4"/>
        <v>3957211616</v>
      </c>
      <c r="I41" s="109">
        <f t="shared" si="5"/>
        <v>0.9985192498</v>
      </c>
      <c r="K41" s="114" t="str">
        <f t="shared" si="45"/>
        <v>Kansas City, MO</v>
      </c>
      <c r="L41" s="110">
        <f>vlookup(K41,CostOfLivingIndex,2,0)</f>
        <v>91.6</v>
      </c>
      <c r="M41" s="111">
        <f t="shared" ref="M41:O41" si="50">F41/$E41</f>
        <v>5501.044478</v>
      </c>
      <c r="N41" s="111">
        <f t="shared" si="50"/>
        <v>7947.86371</v>
      </c>
      <c r="O41" s="111">
        <f t="shared" si="50"/>
        <v>7959.649964</v>
      </c>
      <c r="P41" s="112">
        <f>vlookup(K41,PerCapitaIncome,5,0)</f>
        <v>58057</v>
      </c>
      <c r="Q41" s="109">
        <f t="shared" si="7"/>
        <v>0.09475247564</v>
      </c>
      <c r="R41" s="113">
        <f t="shared" si="8"/>
        <v>6005.507072</v>
      </c>
    </row>
    <row r="42">
      <c r="A42" s="107">
        <v>39.0</v>
      </c>
      <c r="B42" s="107" t="s">
        <v>710</v>
      </c>
      <c r="C42" s="107" t="s">
        <v>1142</v>
      </c>
      <c r="D42" s="114">
        <f>match(A43,OSR!$A$1:$A$674)-1</f>
        <v>532</v>
      </c>
      <c r="E42" s="108">
        <v>482131.0</v>
      </c>
      <c r="F42" s="8">
        <f t="shared" si="2"/>
        <v>2137648841</v>
      </c>
      <c r="G42" s="8">
        <f t="shared" si="3"/>
        <v>3950340364</v>
      </c>
      <c r="H42" s="8">
        <f t="shared" si="4"/>
        <v>4037168104</v>
      </c>
      <c r="I42" s="109">
        <f t="shared" si="5"/>
        <v>0.9784929094</v>
      </c>
      <c r="K42" s="114" t="str">
        <f t="shared" si="45"/>
        <v>Colorado Springs, CO</v>
      </c>
      <c r="L42" s="110">
        <f>vlookup(K42,CostOfLivingIndex,2,0)</f>
        <v>102.2</v>
      </c>
      <c r="M42" s="111">
        <f t="shared" ref="M42:O42" si="51">F42/$E42</f>
        <v>4433.751078</v>
      </c>
      <c r="N42" s="111">
        <f t="shared" si="51"/>
        <v>8193.500033</v>
      </c>
      <c r="O42" s="111">
        <f t="shared" si="51"/>
        <v>8373.591626</v>
      </c>
      <c r="P42" s="112">
        <f>vlookup(K42,PerCapitaIncome,5,0)</f>
        <v>54166</v>
      </c>
      <c r="Q42" s="109">
        <f t="shared" si="7"/>
        <v>0.0818548735</v>
      </c>
      <c r="R42" s="113">
        <f t="shared" si="8"/>
        <v>4338.308296</v>
      </c>
    </row>
    <row r="43">
      <c r="A43" s="107">
        <v>40.0</v>
      </c>
      <c r="B43" s="107" t="s">
        <v>1161</v>
      </c>
      <c r="C43" s="107" t="s">
        <v>1165</v>
      </c>
      <c r="D43" s="114">
        <f>match(A44,OSR!$A$1:$A$674)-1</f>
        <v>545</v>
      </c>
      <c r="E43" s="108">
        <v>478393.0</v>
      </c>
      <c r="F43" s="8">
        <f t="shared" si="2"/>
        <v>2967857357</v>
      </c>
      <c r="G43" s="8">
        <f t="shared" si="3"/>
        <v>3850346838</v>
      </c>
      <c r="H43" s="8">
        <f t="shared" si="4"/>
        <v>3932115773</v>
      </c>
      <c r="I43" s="109">
        <f t="shared" si="5"/>
        <v>0.9792048507</v>
      </c>
      <c r="K43" s="114" t="str">
        <f t="shared" si="45"/>
        <v>Omaha, NE</v>
      </c>
      <c r="L43" s="110">
        <f>vlookup(K43,CostOfLivingIndex,2,0)</f>
        <v>92.9</v>
      </c>
      <c r="M43" s="111">
        <f t="shared" ref="M43:O43" si="52">F43/$E43</f>
        <v>6203.805987</v>
      </c>
      <c r="N43" s="111">
        <f t="shared" si="52"/>
        <v>8048.501626</v>
      </c>
      <c r="O43" s="111">
        <f t="shared" si="52"/>
        <v>8219.425813</v>
      </c>
      <c r="P43" s="112">
        <f>vlookup(K43,PerCapitaIncome,5,0)</f>
        <v>61040</v>
      </c>
      <c r="Q43" s="109">
        <f t="shared" si="7"/>
        <v>0.1016350915</v>
      </c>
      <c r="R43" s="113">
        <f t="shared" si="8"/>
        <v>6677.939706</v>
      </c>
    </row>
    <row r="44">
      <c r="A44" s="107">
        <v>41.0</v>
      </c>
      <c r="B44" s="107" t="s">
        <v>627</v>
      </c>
      <c r="C44" s="107" t="s">
        <v>1191</v>
      </c>
      <c r="D44" s="114">
        <f>match(A45,OSR!$A$1:$A$674)-1</f>
        <v>552</v>
      </c>
      <c r="E44" s="108">
        <v>474414.0</v>
      </c>
      <c r="F44" s="8">
        <f t="shared" si="2"/>
        <v>2439966966</v>
      </c>
      <c r="G44" s="8">
        <f t="shared" si="3"/>
        <v>3136973874</v>
      </c>
      <c r="H44" s="8">
        <f t="shared" si="4"/>
        <v>3152971200</v>
      </c>
      <c r="I44" s="109">
        <f t="shared" si="5"/>
        <v>0.9949262697</v>
      </c>
      <c r="K44" s="114" t="str">
        <f t="shared" si="45"/>
        <v>Raleigh, NC</v>
      </c>
      <c r="L44" s="110">
        <f>vlookup(K44,CostOfLivingIndex,2,0)</f>
        <v>99.7</v>
      </c>
      <c r="M44" s="111">
        <f t="shared" ref="M44:O44" si="53">F44/$E44</f>
        <v>5143.117543</v>
      </c>
      <c r="N44" s="111">
        <f t="shared" si="53"/>
        <v>6612.31303</v>
      </c>
      <c r="O44" s="111">
        <f t="shared" si="53"/>
        <v>6646.033211</v>
      </c>
      <c r="P44" s="112">
        <f>vlookup(K44,PerCapitaIncome,5,0)</f>
        <v>60884</v>
      </c>
      <c r="Q44" s="109">
        <f t="shared" si="7"/>
        <v>0.08447404151</v>
      </c>
      <c r="R44" s="113">
        <f t="shared" si="8"/>
        <v>5158.593323</v>
      </c>
    </row>
    <row r="45">
      <c r="A45" s="107">
        <v>42.0</v>
      </c>
      <c r="B45" s="107" t="s">
        <v>554</v>
      </c>
      <c r="C45" s="107" t="s">
        <v>1203</v>
      </c>
      <c r="D45" s="114">
        <f>match(A46,OSR!$A$1:$A$674)-1</f>
        <v>559</v>
      </c>
      <c r="E45" s="108">
        <v>471525.0</v>
      </c>
      <c r="F45" s="8">
        <f t="shared" si="2"/>
        <v>2411540997</v>
      </c>
      <c r="G45" s="8">
        <f>indirect("OSR!R"&amp;$D47,1)</f>
        <v>3174928576</v>
      </c>
      <c r="H45" s="8">
        <f t="shared" si="4"/>
        <v>3801176649</v>
      </c>
      <c r="I45" s="109" t="str">
        <f>#REF!/H45</f>
        <v>#REF!</v>
      </c>
      <c r="K45" s="114" t="str">
        <f t="shared" si="45"/>
        <v>Miami, FL</v>
      </c>
      <c r="L45" s="110">
        <f>vlookup(K45,CostOfLivingIndex,2,0)</f>
        <v>110.1</v>
      </c>
      <c r="M45" s="111">
        <f t="shared" ref="M45:M54" si="54">F45/$E45</f>
        <v>5114.343878</v>
      </c>
      <c r="N45" s="111" t="str">
        <f>#REF!/$E45</f>
        <v>#REF!</v>
      </c>
      <c r="O45" s="111">
        <f>H45/$E45</f>
        <v>8061.453048</v>
      </c>
      <c r="P45" s="112">
        <f>vlookup(K45,PerCapitaIncome,5,0)</f>
        <v>64190</v>
      </c>
      <c r="Q45" s="109">
        <f t="shared" si="7"/>
        <v>0.07967508768</v>
      </c>
      <c r="R45" s="113">
        <f t="shared" si="8"/>
        <v>4645.180634</v>
      </c>
    </row>
    <row r="46">
      <c r="A46" s="107">
        <v>43.0</v>
      </c>
      <c r="B46" s="107" t="s">
        <v>36</v>
      </c>
      <c r="C46" s="107" t="s">
        <v>1217</v>
      </c>
      <c r="D46" s="114">
        <f>match(A47,OSR!$A$1:$A$674)-1</f>
        <v>573</v>
      </c>
      <c r="E46" s="108">
        <v>454681.0</v>
      </c>
      <c r="F46" s="8">
        <f t="shared" si="2"/>
        <v>3500815152</v>
      </c>
      <c r="G46" s="8">
        <f>indirect("OSR!R"&amp;$D46,1)</f>
        <v>5211599030</v>
      </c>
      <c r="H46" s="8">
        <f t="shared" si="4"/>
        <v>5658031812</v>
      </c>
      <c r="I46" s="109">
        <f>G46/H46</f>
        <v>0.921097513</v>
      </c>
      <c r="K46" s="114" t="str">
        <f t="shared" si="45"/>
        <v>Long Beach, CA</v>
      </c>
      <c r="L46" s="110">
        <f>vlookup(K46,CostOfLivingIndex,2,0)</f>
        <v>140.6</v>
      </c>
      <c r="M46" s="111">
        <f t="shared" si="54"/>
        <v>7699.497344</v>
      </c>
      <c r="N46" s="111">
        <f t="shared" ref="N46:O46" si="55">G46/$E46</f>
        <v>11462.09987</v>
      </c>
      <c r="O46" s="111">
        <f t="shared" si="55"/>
        <v>12443.9592</v>
      </c>
      <c r="P46" s="112">
        <f>vlookup(K46,PerCapitaIncome,5,0)</f>
        <v>69805</v>
      </c>
      <c r="Q46" s="109">
        <f t="shared" si="7"/>
        <v>0.1103000837</v>
      </c>
      <c r="R46" s="113">
        <f t="shared" si="8"/>
        <v>5476.171653</v>
      </c>
    </row>
    <row r="47">
      <c r="A47" s="107">
        <v>44.0</v>
      </c>
      <c r="B47" s="107" t="s">
        <v>740</v>
      </c>
      <c r="C47" s="107" t="s">
        <v>1233</v>
      </c>
      <c r="D47" s="114">
        <f>match(A48,OSR!$A$1:$A$674)-1</f>
        <v>582</v>
      </c>
      <c r="E47" s="108">
        <v>451231.0</v>
      </c>
      <c r="F47" s="8">
        <f t="shared" si="2"/>
        <v>2588963471</v>
      </c>
      <c r="H47" s="8">
        <f t="shared" si="4"/>
        <v>3267313473</v>
      </c>
      <c r="I47" s="109">
        <f>G45/H47</f>
        <v>0.9717245079</v>
      </c>
      <c r="K47" s="114" t="str">
        <f t="shared" si="45"/>
        <v>Virginia Beach, VA</v>
      </c>
      <c r="L47" s="110">
        <f>vlookup(K47,CostOfLivingIndex,2,0)</f>
        <v>99</v>
      </c>
      <c r="M47" s="111">
        <f t="shared" si="54"/>
        <v>5737.556753</v>
      </c>
      <c r="N47" s="111">
        <f>G45/$E47</f>
        <v>7036.149059</v>
      </c>
      <c r="O47" s="111">
        <f>H47/$E47</f>
        <v>7240.888752</v>
      </c>
      <c r="P47" s="112">
        <f>vlookup(K47,PerCapitaIncome,5,0)</f>
        <v>53310</v>
      </c>
      <c r="Q47" s="109">
        <f t="shared" si="7"/>
        <v>0.1076262756</v>
      </c>
      <c r="R47" s="113">
        <f t="shared" si="8"/>
        <v>5795.511872</v>
      </c>
    </row>
    <row r="48">
      <c r="A48" s="107">
        <v>45.0</v>
      </c>
      <c r="B48" s="107" t="s">
        <v>1244</v>
      </c>
      <c r="C48" s="107" t="s">
        <v>1247</v>
      </c>
      <c r="D48" s="114">
        <f>match(A49,OSR!$A$1:$A$674)-1</f>
        <v>590</v>
      </c>
      <c r="E48" s="108">
        <v>433111.0</v>
      </c>
      <c r="F48" s="8">
        <f t="shared" si="2"/>
        <v>3228079134</v>
      </c>
      <c r="G48" s="8">
        <f t="shared" ref="G48:G54" si="57">indirect("OSR!R"&amp;$D48,1)</f>
        <v>4043050628</v>
      </c>
      <c r="H48" s="8">
        <f t="shared" si="4"/>
        <v>4496338607</v>
      </c>
      <c r="I48" s="109">
        <f t="shared" ref="I48:I54" si="58">G48/H48</f>
        <v>0.8991873126</v>
      </c>
      <c r="K48" s="114" t="str">
        <f t="shared" si="45"/>
        <v>Minneapolis, MN</v>
      </c>
      <c r="L48" s="110">
        <f>vlookup(K48,CostOfLivingIndex,2,0)</f>
        <v>105.4</v>
      </c>
      <c r="M48" s="111">
        <f t="shared" si="54"/>
        <v>7453.23747</v>
      </c>
      <c r="N48" s="111">
        <f t="shared" ref="N48:O48" si="56">G48/$E48</f>
        <v>9334.90636</v>
      </c>
      <c r="O48" s="111">
        <f t="shared" si="56"/>
        <v>10381.49252</v>
      </c>
      <c r="P48" s="112">
        <f>vlookup(K48,PerCapitaIncome,5,0)</f>
        <v>67214</v>
      </c>
      <c r="Q48" s="109">
        <f t="shared" si="7"/>
        <v>0.1108881702</v>
      </c>
      <c r="R48" s="113">
        <f t="shared" si="8"/>
        <v>7071.382799</v>
      </c>
    </row>
    <row r="49">
      <c r="A49" s="107">
        <v>46.0</v>
      </c>
      <c r="B49" s="107" t="s">
        <v>36</v>
      </c>
      <c r="C49" s="107" t="s">
        <v>1263</v>
      </c>
      <c r="D49" s="114">
        <f>match(A50,OSR!$A$1:$A$674)-1</f>
        <v>607</v>
      </c>
      <c r="E49" s="6">
        <v>424891.0</v>
      </c>
      <c r="F49" s="8">
        <f t="shared" si="2"/>
        <v>5215594816</v>
      </c>
      <c r="G49" s="8">
        <f t="shared" si="57"/>
        <v>5978168803</v>
      </c>
      <c r="H49" s="8">
        <f t="shared" si="4"/>
        <v>6330768001</v>
      </c>
      <c r="I49" s="109">
        <f t="shared" si="58"/>
        <v>0.9443038826</v>
      </c>
      <c r="K49" s="114" t="str">
        <f t="shared" si="45"/>
        <v>Oakland, CA</v>
      </c>
      <c r="L49" s="110">
        <f>vlookup(K49,CostOfLivingIndex,2,0)</f>
        <v>178.6</v>
      </c>
      <c r="M49" s="111">
        <f t="shared" si="54"/>
        <v>12275.13601</v>
      </c>
      <c r="N49" s="111">
        <f t="shared" ref="N49:O49" si="59">G49/$E49</f>
        <v>14069.88805</v>
      </c>
      <c r="O49" s="111">
        <f t="shared" si="59"/>
        <v>14899.74605</v>
      </c>
      <c r="P49" s="112">
        <f>vlookup(K49,PerCapitaIncome,5,0)</f>
        <v>111050</v>
      </c>
      <c r="Q49" s="109">
        <f t="shared" si="7"/>
        <v>0.1105370195</v>
      </c>
      <c r="R49" s="113">
        <f t="shared" si="8"/>
        <v>6872.976492</v>
      </c>
    </row>
    <row r="50">
      <c r="A50" s="107">
        <v>47.0</v>
      </c>
      <c r="B50" s="107" t="s">
        <v>554</v>
      </c>
      <c r="C50" s="107" t="s">
        <v>1290</v>
      </c>
      <c r="D50" s="114">
        <f>match(A51,OSR!$A$1:$A$674)-1</f>
        <v>617</v>
      </c>
      <c r="E50" s="108">
        <v>407599.0</v>
      </c>
      <c r="F50" s="8">
        <f t="shared" si="2"/>
        <v>1986302768</v>
      </c>
      <c r="G50" s="8">
        <f t="shared" si="57"/>
        <v>3011281879</v>
      </c>
      <c r="H50" s="8">
        <f t="shared" si="4"/>
        <v>3011281879</v>
      </c>
      <c r="I50" s="109">
        <f t="shared" si="58"/>
        <v>1</v>
      </c>
      <c r="K50" s="114" t="str">
        <f t="shared" si="45"/>
        <v>Tampa, FL</v>
      </c>
      <c r="L50" s="110">
        <f>vlookup(K50,CostOfLivingIndex,2,0)</f>
        <v>101.4</v>
      </c>
      <c r="M50" s="111">
        <f t="shared" si="54"/>
        <v>4873.178706</v>
      </c>
      <c r="N50" s="111">
        <f t="shared" ref="N50:O50" si="60">G50/$E50</f>
        <v>7387.853942</v>
      </c>
      <c r="O50" s="111">
        <f t="shared" si="60"/>
        <v>7387.853942</v>
      </c>
      <c r="P50" s="112">
        <f>vlookup(K50,PerCapitaIncome,5,0)</f>
        <v>52291</v>
      </c>
      <c r="Q50" s="109">
        <f t="shared" si="7"/>
        <v>0.09319345024</v>
      </c>
      <c r="R50" s="113">
        <f t="shared" si="8"/>
        <v>4805.89616</v>
      </c>
    </row>
    <row r="51">
      <c r="A51" s="107">
        <v>48.0</v>
      </c>
      <c r="B51" s="107" t="s">
        <v>830</v>
      </c>
      <c r="C51" s="107" t="s">
        <v>1308</v>
      </c>
      <c r="D51" s="114">
        <f>match(A52,OSR!$A$1:$A$674)-1</f>
        <v>630</v>
      </c>
      <c r="E51" s="108">
        <v>403166.0</v>
      </c>
      <c r="F51" s="8">
        <f t="shared" si="2"/>
        <v>1908526188</v>
      </c>
      <c r="G51" s="8">
        <f t="shared" si="57"/>
        <v>2388628164</v>
      </c>
      <c r="H51" s="8">
        <f t="shared" si="4"/>
        <v>2450708137</v>
      </c>
      <c r="I51" s="109">
        <f t="shared" si="58"/>
        <v>0.9746685572</v>
      </c>
      <c r="K51" s="114" t="str">
        <f t="shared" si="45"/>
        <v>Tulsa, OK</v>
      </c>
      <c r="L51" s="110">
        <f>vlookup(K51,CostOfLivingIndex,2,0)</f>
        <v>86.7</v>
      </c>
      <c r="M51" s="111">
        <f t="shared" si="54"/>
        <v>4733.847072</v>
      </c>
      <c r="N51" s="111">
        <f t="shared" ref="N51:O51" si="61">G51/$E51</f>
        <v>5924.676594</v>
      </c>
      <c r="O51" s="111">
        <f t="shared" si="61"/>
        <v>6078.657766</v>
      </c>
      <c r="P51" s="112">
        <f>vlookup(K51,PerCapitaIncome,5,0)</f>
        <v>58071</v>
      </c>
      <c r="Q51" s="109">
        <f t="shared" si="7"/>
        <v>0.08151826336</v>
      </c>
      <c r="R51" s="113">
        <f t="shared" si="8"/>
        <v>5460.031224</v>
      </c>
    </row>
    <row r="52">
      <c r="A52" s="107">
        <v>49.0</v>
      </c>
      <c r="B52" s="107" t="s">
        <v>106</v>
      </c>
      <c r="C52" s="107" t="s">
        <v>1333</v>
      </c>
      <c r="D52" s="114">
        <f>match(A53,OSR!$A$1:$A$674)-1</f>
        <v>643</v>
      </c>
      <c r="E52" s="108">
        <v>398864.0</v>
      </c>
      <c r="F52" s="8">
        <f t="shared" si="2"/>
        <v>1853707935</v>
      </c>
      <c r="G52" s="8">
        <f t="shared" si="57"/>
        <v>2594693345</v>
      </c>
      <c r="H52" s="8">
        <f t="shared" si="4"/>
        <v>2697624925</v>
      </c>
      <c r="I52" s="109">
        <f t="shared" si="58"/>
        <v>0.9618436278</v>
      </c>
      <c r="K52" s="114" t="str">
        <f t="shared" si="45"/>
        <v>Arlington, TX</v>
      </c>
      <c r="L52" s="110">
        <f>vlookup(K52,CostOfLivingIndex,2,0)</f>
        <v>98.5</v>
      </c>
      <c r="M52" s="111">
        <f t="shared" si="54"/>
        <v>4647.468648</v>
      </c>
      <c r="N52" s="111">
        <f t="shared" ref="N52:O52" si="62">G52/$E52</f>
        <v>6505.208153</v>
      </c>
      <c r="O52" s="111">
        <f t="shared" si="62"/>
        <v>6763.27</v>
      </c>
      <c r="P52" s="112">
        <f>vlookup(K52,PerCapitaIncome,5,0)</f>
        <v>61554</v>
      </c>
      <c r="Q52" s="109">
        <f t="shared" si="7"/>
        <v>0.07550230119</v>
      </c>
      <c r="R52" s="113">
        <f t="shared" si="8"/>
        <v>4718.242282</v>
      </c>
    </row>
    <row r="53">
      <c r="A53" s="107">
        <v>50.0</v>
      </c>
      <c r="B53" s="107" t="s">
        <v>1348</v>
      </c>
      <c r="C53" s="107" t="s">
        <v>1351</v>
      </c>
      <c r="D53" s="114">
        <f>match(A54,OSR!$A$1:$A$674)-1</f>
        <v>652</v>
      </c>
      <c r="E53" s="108">
        <v>391731.0</v>
      </c>
      <c r="F53" s="8">
        <f t="shared" si="2"/>
        <v>2119659378</v>
      </c>
      <c r="G53" s="8">
        <f t="shared" si="57"/>
        <v>2657349104</v>
      </c>
      <c r="H53" s="8">
        <f t="shared" si="4"/>
        <v>2694103724</v>
      </c>
      <c r="I53" s="109">
        <f t="shared" si="58"/>
        <v>0.9863573852</v>
      </c>
      <c r="K53" s="114" t="str">
        <f t="shared" si="45"/>
        <v>Wichita, KS</v>
      </c>
      <c r="L53" s="110">
        <f>vlookup(K53,CostOfLivingIndex,2,0)</f>
        <v>86.8</v>
      </c>
      <c r="M53" s="111">
        <f t="shared" si="54"/>
        <v>5411.007497</v>
      </c>
      <c r="N53" s="111">
        <f t="shared" ref="N53:O53" si="63">G53/$E53</f>
        <v>6783.606874</v>
      </c>
      <c r="O53" s="111">
        <f t="shared" si="63"/>
        <v>6877.433043</v>
      </c>
      <c r="P53" s="112">
        <f>vlookup(K53,PerCapitaIncome,5,0)</f>
        <v>55000</v>
      </c>
      <c r="Q53" s="109">
        <f t="shared" si="7"/>
        <v>0.0983819545</v>
      </c>
      <c r="R53" s="113">
        <f t="shared" si="8"/>
        <v>6233.879605</v>
      </c>
    </row>
    <row r="54">
      <c r="A54" s="30">
        <v>51.0</v>
      </c>
      <c r="B54" s="30" t="s">
        <v>1368</v>
      </c>
      <c r="C54" s="30" t="s">
        <v>2526</v>
      </c>
      <c r="D54" s="114">
        <f>match(A55,OSR!$A$1:$A$674)-1</f>
        <v>652</v>
      </c>
      <c r="E54" s="115">
        <v>389476.0</v>
      </c>
      <c r="F54" s="8">
        <f t="shared" si="2"/>
        <v>2119659378</v>
      </c>
      <c r="G54" s="8">
        <f t="shared" si="57"/>
        <v>2657349104</v>
      </c>
      <c r="H54" s="8">
        <f t="shared" si="4"/>
        <v>2694103724</v>
      </c>
      <c r="I54" s="114">
        <f t="shared" si="58"/>
        <v>0.9863573852</v>
      </c>
      <c r="K54" s="114" t="str">
        <f>substitute(C54," City","")&amp;", "&amp;B54</f>
        <v>New Orleans, LA</v>
      </c>
      <c r="L54" s="110">
        <f>vlookup(K54,CostOfLivingIndex,2,0)</f>
        <v>92.4</v>
      </c>
      <c r="M54" s="111">
        <f t="shared" si="54"/>
        <v>5442.336313</v>
      </c>
      <c r="N54" s="111">
        <f t="shared" ref="N54:O54" si="64">G54/$E54</f>
        <v>6822.882807</v>
      </c>
      <c r="O54" s="111">
        <f t="shared" si="64"/>
        <v>6917.252215</v>
      </c>
      <c r="P54" s="112">
        <f>vlookup(K54,PerCapitaIncome,5,0)</f>
        <v>57891</v>
      </c>
      <c r="Q54" s="109">
        <f t="shared" si="7"/>
        <v>0.09401005879</v>
      </c>
      <c r="R54" s="113">
        <f t="shared" si="8"/>
        <v>5889.974365</v>
      </c>
    </row>
    <row r="55">
      <c r="A55" s="30">
        <v>52.0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4" width="13.67"/>
  </cols>
  <sheetData>
    <row r="1">
      <c r="A1" s="116" t="s">
        <v>2527</v>
      </c>
      <c r="B1" s="116"/>
      <c r="C1" s="116"/>
      <c r="D1" s="116"/>
      <c r="E1" s="116"/>
    </row>
    <row r="2">
      <c r="A2" s="117" t="s">
        <v>2528</v>
      </c>
      <c r="B2" s="116"/>
      <c r="C2" s="116"/>
      <c r="D2" s="116"/>
      <c r="E2" s="116"/>
    </row>
    <row r="3">
      <c r="A3" s="116"/>
      <c r="B3" s="116"/>
      <c r="C3" s="116"/>
      <c r="D3" s="116"/>
      <c r="E3" s="116"/>
    </row>
    <row r="4">
      <c r="A4" s="116" t="s">
        <v>3</v>
      </c>
      <c r="B4" s="116" t="s">
        <v>1</v>
      </c>
      <c r="C4" s="116" t="s">
        <v>2529</v>
      </c>
      <c r="D4" s="116" t="s">
        <v>2530</v>
      </c>
    </row>
    <row r="5">
      <c r="A5" s="116" t="s">
        <v>2531</v>
      </c>
      <c r="B5" s="116" t="s">
        <v>684</v>
      </c>
      <c r="C5" s="118" t="str">
        <f t="shared" ref="C5:C514" si="1">A5&amp;", "&amp;B5</f>
        <v>Aberdeen, WA</v>
      </c>
      <c r="D5" s="115">
        <v>97.6</v>
      </c>
      <c r="E5" s="119"/>
    </row>
    <row r="6">
      <c r="A6" s="116" t="s">
        <v>2532</v>
      </c>
      <c r="B6" s="116" t="s">
        <v>106</v>
      </c>
      <c r="C6" s="118" t="str">
        <f t="shared" si="1"/>
        <v>Abilene, TX</v>
      </c>
      <c r="D6" s="115">
        <v>89.1</v>
      </c>
      <c r="E6" s="119"/>
    </row>
    <row r="7">
      <c r="A7" s="116" t="s">
        <v>2533</v>
      </c>
      <c r="B7" s="116" t="s">
        <v>791</v>
      </c>
      <c r="C7" s="118" t="str">
        <f t="shared" si="1"/>
        <v>Adrian, MI</v>
      </c>
      <c r="D7" s="115">
        <v>90.5</v>
      </c>
      <c r="E7" s="119"/>
    </row>
    <row r="8">
      <c r="A8" s="116" t="s">
        <v>1393</v>
      </c>
      <c r="B8" s="116" t="s">
        <v>566</v>
      </c>
      <c r="C8" s="118" t="str">
        <f t="shared" si="1"/>
        <v>Akron, OH</v>
      </c>
      <c r="D8" s="115">
        <v>89.4</v>
      </c>
      <c r="E8" s="119"/>
    </row>
    <row r="9">
      <c r="A9" s="116" t="s">
        <v>2534</v>
      </c>
      <c r="B9" s="116" t="s">
        <v>981</v>
      </c>
      <c r="C9" s="118" t="str">
        <f t="shared" si="1"/>
        <v>Alamogordo, NM</v>
      </c>
      <c r="D9" s="115">
        <v>85.8</v>
      </c>
      <c r="E9" s="119"/>
    </row>
    <row r="10">
      <c r="A10" s="116" t="s">
        <v>2535</v>
      </c>
      <c r="B10" s="116" t="s">
        <v>406</v>
      </c>
      <c r="C10" s="118" t="str">
        <f t="shared" si="1"/>
        <v>Albany, GA</v>
      </c>
      <c r="D10" s="115">
        <v>87.3</v>
      </c>
      <c r="E10" s="119"/>
    </row>
    <row r="11">
      <c r="A11" s="116" t="s">
        <v>2535</v>
      </c>
      <c r="B11" s="116" t="s">
        <v>20</v>
      </c>
      <c r="C11" s="118" t="str">
        <f t="shared" si="1"/>
        <v>Albany, NY</v>
      </c>
      <c r="D11" s="115">
        <v>100.1</v>
      </c>
      <c r="E11" s="119"/>
    </row>
    <row r="12">
      <c r="A12" s="116" t="s">
        <v>2535</v>
      </c>
      <c r="B12" s="116" t="s">
        <v>889</v>
      </c>
      <c r="C12" s="118" t="str">
        <f t="shared" si="1"/>
        <v>Albany, OR</v>
      </c>
      <c r="D12" s="115">
        <v>105.4</v>
      </c>
      <c r="E12" s="119"/>
    </row>
    <row r="13">
      <c r="A13" s="116" t="s">
        <v>2536</v>
      </c>
      <c r="B13" s="116" t="s">
        <v>1404</v>
      </c>
      <c r="C13" s="118" t="str">
        <f t="shared" si="1"/>
        <v>Albertville, AL</v>
      </c>
      <c r="D13" s="115">
        <v>90.9</v>
      </c>
      <c r="E13" s="119"/>
    </row>
    <row r="14">
      <c r="A14" s="116" t="s">
        <v>1395</v>
      </c>
      <c r="B14" s="116" t="s">
        <v>981</v>
      </c>
      <c r="C14" s="118" t="str">
        <f t="shared" si="1"/>
        <v>Albuquerque, NM</v>
      </c>
      <c r="D14" s="115">
        <v>92.9</v>
      </c>
      <c r="E14" s="119"/>
    </row>
    <row r="15">
      <c r="A15" s="116" t="s">
        <v>2537</v>
      </c>
      <c r="B15" s="116" t="s">
        <v>1368</v>
      </c>
      <c r="C15" s="118" t="str">
        <f t="shared" si="1"/>
        <v>Alexandria, LA</v>
      </c>
      <c r="D15" s="115">
        <v>86.2</v>
      </c>
      <c r="E15" s="119"/>
    </row>
    <row r="16">
      <c r="A16" s="116" t="s">
        <v>1396</v>
      </c>
      <c r="B16" s="116" t="s">
        <v>243</v>
      </c>
      <c r="C16" s="118" t="str">
        <f t="shared" si="1"/>
        <v>Allentown, PA</v>
      </c>
      <c r="D16" s="115">
        <v>98.9</v>
      </c>
      <c r="E16" s="119"/>
    </row>
    <row r="17">
      <c r="A17" s="116" t="s">
        <v>2538</v>
      </c>
      <c r="B17" s="116" t="s">
        <v>243</v>
      </c>
      <c r="C17" s="118" t="str">
        <f t="shared" si="1"/>
        <v>Altoona, PA</v>
      </c>
      <c r="D17" s="115">
        <v>90.8</v>
      </c>
      <c r="E17" s="119"/>
    </row>
    <row r="18">
      <c r="A18" s="116" t="s">
        <v>2539</v>
      </c>
      <c r="B18" s="116" t="s">
        <v>106</v>
      </c>
      <c r="C18" s="118" t="str">
        <f t="shared" si="1"/>
        <v>Amarillo, TX</v>
      </c>
      <c r="D18" s="115">
        <v>88.2</v>
      </c>
      <c r="E18" s="119"/>
    </row>
    <row r="19">
      <c r="A19" s="116" t="s">
        <v>2540</v>
      </c>
      <c r="B19" s="116" t="s">
        <v>1523</v>
      </c>
      <c r="C19" s="118" t="str">
        <f t="shared" si="1"/>
        <v>Ames, IA</v>
      </c>
      <c r="D19" s="115">
        <v>91.5</v>
      </c>
      <c r="E19" s="119"/>
    </row>
    <row r="20">
      <c r="A20" s="116" t="s">
        <v>1499</v>
      </c>
      <c r="B20" s="116" t="s">
        <v>1500</v>
      </c>
      <c r="C20" s="118" t="str">
        <f t="shared" si="1"/>
        <v>Anchorage, AK</v>
      </c>
      <c r="D20" s="115">
        <v>110.7</v>
      </c>
      <c r="E20" s="119"/>
    </row>
    <row r="21">
      <c r="A21" s="116" t="s">
        <v>1501</v>
      </c>
      <c r="B21" s="116" t="s">
        <v>791</v>
      </c>
      <c r="C21" s="118" t="str">
        <f t="shared" si="1"/>
        <v>Ann Arbor, MI</v>
      </c>
      <c r="D21" s="115">
        <v>99.3</v>
      </c>
      <c r="E21" s="119"/>
    </row>
    <row r="22">
      <c r="A22" s="116" t="s">
        <v>2541</v>
      </c>
      <c r="B22" s="116" t="s">
        <v>1404</v>
      </c>
      <c r="C22" s="118" t="str">
        <f t="shared" si="1"/>
        <v>Anniston, AL</v>
      </c>
      <c r="D22" s="115">
        <v>85.7</v>
      </c>
      <c r="E22" s="119"/>
    </row>
    <row r="23">
      <c r="A23" s="116" t="s">
        <v>1503</v>
      </c>
      <c r="B23" s="116" t="s">
        <v>951</v>
      </c>
      <c r="C23" s="118" t="str">
        <f t="shared" si="1"/>
        <v>Appleton, WI</v>
      </c>
      <c r="D23" s="115">
        <v>90.7</v>
      </c>
      <c r="E23" s="119"/>
    </row>
    <row r="24">
      <c r="A24" s="116" t="s">
        <v>1504</v>
      </c>
      <c r="B24" s="116" t="s">
        <v>627</v>
      </c>
      <c r="C24" s="118" t="str">
        <f t="shared" si="1"/>
        <v>Asheville, NC</v>
      </c>
      <c r="D24" s="115">
        <v>103.3</v>
      </c>
      <c r="E24" s="119"/>
    </row>
    <row r="25">
      <c r="A25" s="116" t="s">
        <v>2542</v>
      </c>
      <c r="B25" s="116" t="s">
        <v>566</v>
      </c>
      <c r="C25" s="118" t="str">
        <f t="shared" si="1"/>
        <v>Ashtabula, OH</v>
      </c>
      <c r="D25" s="115">
        <v>87.4</v>
      </c>
      <c r="E25" s="119"/>
    </row>
    <row r="26">
      <c r="A26" s="116" t="s">
        <v>2543</v>
      </c>
      <c r="B26" s="116" t="s">
        <v>406</v>
      </c>
      <c r="C26" s="118" t="str">
        <f t="shared" si="1"/>
        <v>Athens, GA</v>
      </c>
      <c r="D26" s="115">
        <v>95.0</v>
      </c>
      <c r="E26" s="119"/>
    </row>
    <row r="27">
      <c r="A27" s="116" t="s">
        <v>2543</v>
      </c>
      <c r="B27" s="116" t="s">
        <v>566</v>
      </c>
      <c r="C27" s="118" t="str">
        <f t="shared" si="1"/>
        <v>Athens, OH</v>
      </c>
      <c r="D27" s="115">
        <v>88.5</v>
      </c>
      <c r="E27" s="119"/>
    </row>
    <row r="28">
      <c r="A28" s="116" t="s">
        <v>2543</v>
      </c>
      <c r="B28" s="116" t="s">
        <v>106</v>
      </c>
      <c r="C28" s="118" t="str">
        <f t="shared" si="1"/>
        <v>Athens, TX</v>
      </c>
      <c r="D28" s="115">
        <v>92.9</v>
      </c>
      <c r="E28" s="119"/>
    </row>
    <row r="29">
      <c r="A29" s="116" t="s">
        <v>1398</v>
      </c>
      <c r="B29" s="116" t="s">
        <v>406</v>
      </c>
      <c r="C29" s="118" t="str">
        <f t="shared" si="1"/>
        <v>Atlanta, GA</v>
      </c>
      <c r="D29" s="115">
        <v>100.3</v>
      </c>
      <c r="E29" s="119"/>
    </row>
    <row r="30">
      <c r="A30" s="116" t="s">
        <v>1505</v>
      </c>
      <c r="B30" s="116" t="s">
        <v>27</v>
      </c>
      <c r="C30" s="118" t="str">
        <f t="shared" si="1"/>
        <v>Atlantic City, NJ</v>
      </c>
      <c r="D30" s="115">
        <v>102.0</v>
      </c>
      <c r="E30" s="119"/>
    </row>
    <row r="31">
      <c r="A31" s="116" t="s">
        <v>2544</v>
      </c>
      <c r="B31" s="116" t="s">
        <v>1404</v>
      </c>
      <c r="C31" s="118" t="str">
        <f t="shared" si="1"/>
        <v>Auburn, AL</v>
      </c>
      <c r="D31" s="115">
        <v>91.9</v>
      </c>
      <c r="E31" s="119"/>
    </row>
    <row r="32">
      <c r="A32" s="116" t="s">
        <v>2544</v>
      </c>
      <c r="B32" s="116" t="s">
        <v>20</v>
      </c>
      <c r="C32" s="118" t="str">
        <f t="shared" si="1"/>
        <v>Auburn, NY</v>
      </c>
      <c r="D32" s="115">
        <v>93.7</v>
      </c>
      <c r="E32" s="119"/>
    </row>
    <row r="33">
      <c r="A33" s="116" t="s">
        <v>2545</v>
      </c>
      <c r="B33" s="116" t="s">
        <v>406</v>
      </c>
      <c r="C33" s="118" t="str">
        <f t="shared" si="1"/>
        <v>Augusta, GA</v>
      </c>
      <c r="D33" s="115">
        <v>91.6</v>
      </c>
      <c r="E33" s="119"/>
    </row>
    <row r="34">
      <c r="A34" s="116" t="s">
        <v>2545</v>
      </c>
      <c r="B34" s="116" t="s">
        <v>1579</v>
      </c>
      <c r="C34" s="118" t="str">
        <f t="shared" si="1"/>
        <v>Augusta, ME</v>
      </c>
      <c r="D34" s="115">
        <v>100.0</v>
      </c>
      <c r="E34" s="119"/>
    </row>
    <row r="35">
      <c r="A35" s="116" t="s">
        <v>1399</v>
      </c>
      <c r="B35" s="116" t="s">
        <v>106</v>
      </c>
      <c r="C35" s="118" t="str">
        <f t="shared" si="1"/>
        <v>Austin, TX</v>
      </c>
      <c r="D35" s="115">
        <v>106.6</v>
      </c>
      <c r="E35" s="119"/>
    </row>
    <row r="36">
      <c r="A36" s="116" t="s">
        <v>1400</v>
      </c>
      <c r="B36" s="116" t="s">
        <v>36</v>
      </c>
      <c r="C36" s="118" t="str">
        <f t="shared" si="1"/>
        <v>Bakersfield, CA</v>
      </c>
      <c r="D36" s="115">
        <v>102.9</v>
      </c>
      <c r="E36" s="119"/>
    </row>
    <row r="37">
      <c r="A37" s="116" t="s">
        <v>1401</v>
      </c>
      <c r="B37" s="116" t="s">
        <v>967</v>
      </c>
      <c r="C37" s="118" t="str">
        <f t="shared" si="1"/>
        <v>Baltimore, MD</v>
      </c>
      <c r="D37" s="115">
        <v>107.0</v>
      </c>
      <c r="E37" s="119"/>
    </row>
    <row r="38">
      <c r="A38" s="116" t="s">
        <v>2546</v>
      </c>
      <c r="B38" s="116" t="s">
        <v>1579</v>
      </c>
      <c r="C38" s="118" t="str">
        <f t="shared" si="1"/>
        <v>Bangor, ME</v>
      </c>
      <c r="D38" s="115">
        <v>98.0</v>
      </c>
      <c r="E38" s="119"/>
    </row>
    <row r="39">
      <c r="A39" s="116" t="s">
        <v>1508</v>
      </c>
      <c r="B39" s="116" t="s">
        <v>748</v>
      </c>
      <c r="C39" s="118" t="str">
        <f t="shared" si="1"/>
        <v>Barnstable Town, MA</v>
      </c>
      <c r="D39" s="115">
        <v>122.4</v>
      </c>
      <c r="E39" s="119"/>
    </row>
    <row r="40">
      <c r="A40" s="116" t="s">
        <v>1402</v>
      </c>
      <c r="B40" s="116" t="s">
        <v>1368</v>
      </c>
      <c r="C40" s="118" t="str">
        <f t="shared" si="1"/>
        <v>Baton Rouge, LA</v>
      </c>
      <c r="D40" s="115">
        <v>91.1</v>
      </c>
      <c r="E40" s="119"/>
    </row>
    <row r="41">
      <c r="A41" s="116" t="s">
        <v>2547</v>
      </c>
      <c r="B41" s="116" t="s">
        <v>791</v>
      </c>
      <c r="C41" s="118" t="str">
        <f t="shared" si="1"/>
        <v>Battle Creek, MI</v>
      </c>
      <c r="D41" s="115">
        <v>85.9</v>
      </c>
      <c r="E41" s="119"/>
    </row>
    <row r="42">
      <c r="A42" s="116" t="s">
        <v>2548</v>
      </c>
      <c r="B42" s="116" t="s">
        <v>791</v>
      </c>
      <c r="C42" s="118" t="str">
        <f t="shared" si="1"/>
        <v>Bay City, MI</v>
      </c>
      <c r="D42" s="115">
        <v>85.4</v>
      </c>
      <c r="E42" s="119"/>
    </row>
    <row r="43">
      <c r="A43" s="116" t="s">
        <v>2549</v>
      </c>
      <c r="B43" s="116" t="s">
        <v>106</v>
      </c>
      <c r="C43" s="118" t="str">
        <f t="shared" si="1"/>
        <v>Beaumont, TX</v>
      </c>
      <c r="D43" s="115">
        <v>88.6</v>
      </c>
      <c r="E43" s="119"/>
    </row>
    <row r="44">
      <c r="A44" s="116" t="s">
        <v>2550</v>
      </c>
      <c r="B44" s="116" t="s">
        <v>951</v>
      </c>
      <c r="C44" s="118" t="str">
        <f t="shared" si="1"/>
        <v>Beaver Dam, WI</v>
      </c>
      <c r="D44" s="115">
        <v>92.9</v>
      </c>
      <c r="E44" s="119"/>
    </row>
    <row r="45">
      <c r="A45" s="116" t="s">
        <v>2551</v>
      </c>
      <c r="B45" s="116" t="s">
        <v>2552</v>
      </c>
      <c r="C45" s="118" t="str">
        <f t="shared" si="1"/>
        <v>Beckley, WV</v>
      </c>
      <c r="D45" s="115">
        <v>80.0</v>
      </c>
      <c r="E45" s="119"/>
    </row>
    <row r="46">
      <c r="A46" s="116" t="s">
        <v>2553</v>
      </c>
      <c r="B46" s="116" t="s">
        <v>684</v>
      </c>
      <c r="C46" s="118" t="str">
        <f t="shared" si="1"/>
        <v>Bellingham, WA</v>
      </c>
      <c r="D46" s="115">
        <v>111.6</v>
      </c>
      <c r="E46" s="119"/>
    </row>
    <row r="47">
      <c r="A47" s="116" t="s">
        <v>2554</v>
      </c>
      <c r="B47" s="116" t="s">
        <v>889</v>
      </c>
      <c r="C47" s="118" t="str">
        <f t="shared" si="1"/>
        <v>Bend, OR</v>
      </c>
      <c r="D47" s="115">
        <v>115.9</v>
      </c>
      <c r="E47" s="119"/>
    </row>
    <row r="48">
      <c r="A48" s="116" t="s">
        <v>2555</v>
      </c>
      <c r="B48" s="116" t="s">
        <v>2556</v>
      </c>
      <c r="C48" s="118" t="str">
        <f t="shared" si="1"/>
        <v>Billings, MT</v>
      </c>
      <c r="D48" s="115">
        <v>95.7</v>
      </c>
      <c r="E48" s="119"/>
    </row>
    <row r="49">
      <c r="A49" s="116" t="s">
        <v>2557</v>
      </c>
      <c r="B49" s="116" t="s">
        <v>20</v>
      </c>
      <c r="C49" s="118" t="str">
        <f t="shared" si="1"/>
        <v>Binghamton, NY</v>
      </c>
      <c r="D49" s="115">
        <v>93.3</v>
      </c>
      <c r="E49" s="119"/>
    </row>
    <row r="50">
      <c r="A50" s="116" t="s">
        <v>1403</v>
      </c>
      <c r="B50" s="116" t="s">
        <v>1404</v>
      </c>
      <c r="C50" s="118" t="str">
        <f t="shared" si="1"/>
        <v>Birmingham, AL</v>
      </c>
      <c r="D50" s="115">
        <v>90.7</v>
      </c>
      <c r="E50" s="119"/>
    </row>
    <row r="51">
      <c r="A51" s="116" t="s">
        <v>2558</v>
      </c>
      <c r="B51" s="116" t="s">
        <v>2559</v>
      </c>
      <c r="C51" s="118" t="str">
        <f t="shared" si="1"/>
        <v>Bismarck, ND</v>
      </c>
      <c r="D51" s="115">
        <v>93.1</v>
      </c>
      <c r="E51" s="119"/>
    </row>
    <row r="52">
      <c r="A52" s="116" t="s">
        <v>2560</v>
      </c>
      <c r="B52" s="116" t="s">
        <v>740</v>
      </c>
      <c r="C52" s="118" t="str">
        <f t="shared" si="1"/>
        <v>Blacksburg, VA</v>
      </c>
      <c r="D52" s="115">
        <v>94.5</v>
      </c>
      <c r="E52" s="119"/>
    </row>
    <row r="53">
      <c r="A53" s="116" t="s">
        <v>2561</v>
      </c>
      <c r="B53" s="116" t="s">
        <v>74</v>
      </c>
      <c r="C53" s="118" t="str">
        <f t="shared" si="1"/>
        <v>Bloomington, IL</v>
      </c>
      <c r="D53" s="115">
        <v>89.0</v>
      </c>
      <c r="E53" s="119"/>
    </row>
    <row r="54">
      <c r="A54" s="116" t="s">
        <v>2561</v>
      </c>
      <c r="B54" s="116" t="s">
        <v>641</v>
      </c>
      <c r="C54" s="118" t="str">
        <f t="shared" si="1"/>
        <v>Bloomington, IN</v>
      </c>
      <c r="D54" s="115">
        <v>92.4</v>
      </c>
      <c r="E54" s="119"/>
    </row>
    <row r="55">
      <c r="A55" s="116" t="s">
        <v>2562</v>
      </c>
      <c r="B55" s="116" t="s">
        <v>243</v>
      </c>
      <c r="C55" s="118" t="str">
        <f t="shared" si="1"/>
        <v>Bloomsburg, PA</v>
      </c>
      <c r="D55" s="115">
        <v>93.2</v>
      </c>
      <c r="E55" s="119"/>
    </row>
    <row r="56">
      <c r="A56" s="116" t="s">
        <v>2563</v>
      </c>
      <c r="B56" s="116" t="s">
        <v>2552</v>
      </c>
      <c r="C56" s="118" t="str">
        <f t="shared" si="1"/>
        <v>Bluefield, WV</v>
      </c>
      <c r="D56" s="115">
        <v>81.2</v>
      </c>
      <c r="E56" s="119"/>
    </row>
    <row r="57">
      <c r="A57" s="116" t="s">
        <v>1509</v>
      </c>
      <c r="B57" s="116" t="s">
        <v>1510</v>
      </c>
      <c r="C57" s="118" t="str">
        <f t="shared" si="1"/>
        <v>Boise City, ID</v>
      </c>
      <c r="D57" s="115">
        <v>100.3</v>
      </c>
      <c r="E57" s="119"/>
    </row>
    <row r="58">
      <c r="A58" s="116" t="s">
        <v>1405</v>
      </c>
      <c r="B58" s="116" t="s">
        <v>748</v>
      </c>
      <c r="C58" s="118" t="str">
        <f t="shared" si="1"/>
        <v>Boston, MA</v>
      </c>
      <c r="D58" s="115">
        <v>132.6</v>
      </c>
      <c r="E58" s="119"/>
    </row>
    <row r="59">
      <c r="A59" s="116" t="s">
        <v>2564</v>
      </c>
      <c r="B59" s="116" t="s">
        <v>710</v>
      </c>
      <c r="C59" s="118" t="str">
        <f t="shared" si="1"/>
        <v>Boulder, CO</v>
      </c>
      <c r="D59" s="115">
        <v>118.7</v>
      </c>
      <c r="E59" s="119"/>
    </row>
    <row r="60">
      <c r="A60" s="116" t="s">
        <v>2565</v>
      </c>
      <c r="B60" s="116" t="s">
        <v>937</v>
      </c>
      <c r="C60" s="118" t="str">
        <f t="shared" si="1"/>
        <v>Bowling Green, KY</v>
      </c>
      <c r="D60" s="115">
        <v>87.0</v>
      </c>
      <c r="E60" s="119"/>
    </row>
    <row r="61">
      <c r="A61" s="116" t="s">
        <v>2566</v>
      </c>
      <c r="B61" s="116" t="s">
        <v>2556</v>
      </c>
      <c r="C61" s="118" t="str">
        <f t="shared" si="1"/>
        <v>Bozeman, MT</v>
      </c>
      <c r="D61" s="115">
        <v>125.3</v>
      </c>
      <c r="E61" s="119"/>
    </row>
    <row r="62">
      <c r="A62" s="116" t="s">
        <v>2567</v>
      </c>
      <c r="B62" s="116" t="s">
        <v>1244</v>
      </c>
      <c r="C62" s="118" t="str">
        <f t="shared" si="1"/>
        <v>Brainerd, MN</v>
      </c>
      <c r="D62" s="115">
        <v>97.9</v>
      </c>
      <c r="E62" s="119"/>
    </row>
    <row r="63">
      <c r="A63" s="116" t="s">
        <v>2568</v>
      </c>
      <c r="B63" s="116" t="s">
        <v>1098</v>
      </c>
      <c r="C63" s="118" t="str">
        <f t="shared" si="1"/>
        <v>Branson, MO</v>
      </c>
      <c r="D63" s="115">
        <v>89.5</v>
      </c>
      <c r="E63" s="119"/>
    </row>
    <row r="64">
      <c r="A64" s="116" t="s">
        <v>2569</v>
      </c>
      <c r="B64" s="116" t="s">
        <v>684</v>
      </c>
      <c r="C64" s="118" t="str">
        <f t="shared" si="1"/>
        <v>Bremerton, WA</v>
      </c>
      <c r="D64" s="115">
        <v>115.0</v>
      </c>
      <c r="E64" s="119"/>
    </row>
    <row r="65">
      <c r="A65" s="116" t="s">
        <v>1512</v>
      </c>
      <c r="B65" s="116" t="s">
        <v>106</v>
      </c>
      <c r="C65" s="118" t="str">
        <f t="shared" si="1"/>
        <v>Brownsville, TX</v>
      </c>
      <c r="D65" s="115">
        <v>87.8</v>
      </c>
      <c r="E65" s="119"/>
    </row>
    <row r="66">
      <c r="A66" s="116" t="s">
        <v>2570</v>
      </c>
      <c r="B66" s="116" t="s">
        <v>406</v>
      </c>
      <c r="C66" s="118" t="str">
        <f t="shared" si="1"/>
        <v>Brunswick, GA</v>
      </c>
      <c r="D66" s="115">
        <v>94.4</v>
      </c>
      <c r="E66" s="119"/>
    </row>
    <row r="67">
      <c r="A67" s="116" t="s">
        <v>2571</v>
      </c>
      <c r="B67" s="116" t="s">
        <v>20</v>
      </c>
      <c r="C67" s="118" t="str">
        <f t="shared" si="1"/>
        <v>Buffalo, NY</v>
      </c>
      <c r="D67" s="115">
        <v>97.3</v>
      </c>
      <c r="E67" s="119"/>
    </row>
    <row r="68">
      <c r="A68" s="116" t="s">
        <v>2572</v>
      </c>
      <c r="B68" s="116" t="s">
        <v>627</v>
      </c>
      <c r="C68" s="118" t="str">
        <f t="shared" si="1"/>
        <v>Burlington, NC</v>
      </c>
      <c r="D68" s="115">
        <v>91.8</v>
      </c>
      <c r="E68" s="119"/>
    </row>
    <row r="69">
      <c r="A69" s="116" t="s">
        <v>2572</v>
      </c>
      <c r="B69" s="116" t="s">
        <v>2573</v>
      </c>
      <c r="C69" s="118" t="str">
        <f t="shared" si="1"/>
        <v>Burlington, VT</v>
      </c>
      <c r="D69" s="115">
        <v>112.8</v>
      </c>
      <c r="E69" s="119"/>
    </row>
    <row r="70">
      <c r="A70" s="116" t="s">
        <v>2574</v>
      </c>
      <c r="B70" s="116" t="s">
        <v>967</v>
      </c>
      <c r="C70" s="118" t="str">
        <f t="shared" si="1"/>
        <v>California, MD</v>
      </c>
      <c r="D70" s="115">
        <v>104.8</v>
      </c>
      <c r="E70" s="119"/>
    </row>
    <row r="71">
      <c r="A71" s="116" t="s">
        <v>1513</v>
      </c>
      <c r="B71" s="116" t="s">
        <v>566</v>
      </c>
      <c r="C71" s="118" t="str">
        <f t="shared" si="1"/>
        <v>Canton, OH</v>
      </c>
      <c r="D71" s="115">
        <v>88.2</v>
      </c>
      <c r="E71" s="119"/>
    </row>
    <row r="72">
      <c r="A72" s="116" t="s">
        <v>2575</v>
      </c>
      <c r="B72" s="116" t="s">
        <v>1098</v>
      </c>
      <c r="C72" s="118" t="str">
        <f t="shared" si="1"/>
        <v>Cape Girardeau, MO</v>
      </c>
      <c r="D72" s="115">
        <v>88.1</v>
      </c>
      <c r="E72" s="119"/>
    </row>
    <row r="73">
      <c r="A73" s="116" t="s">
        <v>2576</v>
      </c>
      <c r="B73" s="116" t="s">
        <v>74</v>
      </c>
      <c r="C73" s="118" t="str">
        <f t="shared" si="1"/>
        <v>Carbondale, IL</v>
      </c>
      <c r="D73" s="115">
        <v>83.5</v>
      </c>
      <c r="E73" s="119"/>
    </row>
    <row r="74">
      <c r="A74" s="116" t="s">
        <v>2577</v>
      </c>
      <c r="B74" s="116" t="s">
        <v>809</v>
      </c>
      <c r="C74" s="118" t="str">
        <f t="shared" si="1"/>
        <v>Carson City, NV</v>
      </c>
      <c r="D74" s="115">
        <v>103.0</v>
      </c>
      <c r="E74" s="119"/>
    </row>
    <row r="75">
      <c r="A75" s="116" t="s">
        <v>2578</v>
      </c>
      <c r="B75" s="116" t="s">
        <v>2579</v>
      </c>
      <c r="C75" s="118" t="str">
        <f t="shared" si="1"/>
        <v>Casper, WY</v>
      </c>
      <c r="D75" s="115">
        <v>94.2</v>
      </c>
      <c r="E75" s="119"/>
    </row>
    <row r="76">
      <c r="A76" s="116" t="s">
        <v>2580</v>
      </c>
      <c r="B76" s="116" t="s">
        <v>1523</v>
      </c>
      <c r="C76" s="118" t="str">
        <f t="shared" si="1"/>
        <v>Cedar Rapids, IA</v>
      </c>
      <c r="D76" s="115">
        <v>88.1</v>
      </c>
      <c r="E76" s="119"/>
    </row>
    <row r="77">
      <c r="A77" s="116" t="s">
        <v>2581</v>
      </c>
      <c r="B77" s="116" t="s">
        <v>684</v>
      </c>
      <c r="C77" s="118" t="str">
        <f t="shared" si="1"/>
        <v>Centralia, WA</v>
      </c>
      <c r="D77" s="115">
        <v>103.3</v>
      </c>
      <c r="E77" s="119"/>
    </row>
    <row r="78">
      <c r="A78" s="116" t="s">
        <v>2582</v>
      </c>
      <c r="B78" s="116" t="s">
        <v>243</v>
      </c>
      <c r="C78" s="118" t="str">
        <f t="shared" si="1"/>
        <v>Chambersburg, PA</v>
      </c>
      <c r="D78" s="115">
        <v>95.7</v>
      </c>
      <c r="E78" s="119"/>
    </row>
    <row r="79">
      <c r="A79" s="116" t="s">
        <v>2583</v>
      </c>
      <c r="B79" s="116" t="s">
        <v>74</v>
      </c>
      <c r="C79" s="118" t="str">
        <f t="shared" si="1"/>
        <v>Champaign, IL</v>
      </c>
      <c r="D79" s="115">
        <v>89.0</v>
      </c>
      <c r="E79" s="119"/>
    </row>
    <row r="80">
      <c r="A80" s="116" t="s">
        <v>2584</v>
      </c>
      <c r="B80" s="116" t="s">
        <v>1412</v>
      </c>
      <c r="C80" s="118" t="str">
        <f t="shared" si="1"/>
        <v>Charleston, SC</v>
      </c>
      <c r="D80" s="115">
        <v>101.7</v>
      </c>
      <c r="E80" s="119"/>
    </row>
    <row r="81">
      <c r="A81" s="116" t="s">
        <v>2584</v>
      </c>
      <c r="B81" s="116" t="s">
        <v>2552</v>
      </c>
      <c r="C81" s="118" t="str">
        <f t="shared" si="1"/>
        <v>Charleston, WV</v>
      </c>
      <c r="D81" s="115">
        <v>83.9</v>
      </c>
      <c r="E81" s="119"/>
    </row>
    <row r="82">
      <c r="A82" s="116" t="s">
        <v>1413</v>
      </c>
      <c r="B82" s="116" t="s">
        <v>627</v>
      </c>
      <c r="C82" s="118" t="str">
        <f t="shared" si="1"/>
        <v>Charlotte, NC</v>
      </c>
      <c r="D82" s="115">
        <v>97.9</v>
      </c>
      <c r="E82" s="119"/>
    </row>
    <row r="83">
      <c r="A83" s="116" t="s">
        <v>2585</v>
      </c>
      <c r="B83" s="116" t="s">
        <v>740</v>
      </c>
      <c r="C83" s="118" t="str">
        <f t="shared" si="1"/>
        <v>Charlottesville, VA</v>
      </c>
      <c r="D83" s="115">
        <v>102.1</v>
      </c>
      <c r="E83" s="119"/>
    </row>
    <row r="84">
      <c r="A84" s="116" t="s">
        <v>1514</v>
      </c>
      <c r="B84" s="116" t="s">
        <v>778</v>
      </c>
      <c r="C84" s="118" t="str">
        <f t="shared" si="1"/>
        <v>Chattanooga, TN</v>
      </c>
      <c r="D84" s="115">
        <v>91.2</v>
      </c>
      <c r="E84" s="119"/>
    </row>
    <row r="85">
      <c r="A85" s="116" t="s">
        <v>2586</v>
      </c>
      <c r="B85" s="116" t="s">
        <v>2579</v>
      </c>
      <c r="C85" s="118" t="str">
        <f t="shared" si="1"/>
        <v>Cheyenne, WY</v>
      </c>
      <c r="D85" s="115">
        <v>96.9</v>
      </c>
      <c r="E85" s="119"/>
    </row>
    <row r="86">
      <c r="A86" s="116" t="s">
        <v>1415</v>
      </c>
      <c r="B86" s="116" t="s">
        <v>74</v>
      </c>
      <c r="C86" s="118" t="str">
        <f t="shared" si="1"/>
        <v>Chicago, IL</v>
      </c>
      <c r="D86" s="115">
        <v>100.1</v>
      </c>
      <c r="E86" s="119"/>
    </row>
    <row r="87">
      <c r="A87" s="116" t="s">
        <v>2587</v>
      </c>
      <c r="B87" s="116" t="s">
        <v>36</v>
      </c>
      <c r="C87" s="118" t="str">
        <f t="shared" si="1"/>
        <v>Chico, CA</v>
      </c>
      <c r="D87" s="115">
        <v>110.5</v>
      </c>
      <c r="E87" s="119"/>
    </row>
    <row r="88">
      <c r="A88" s="116" t="s">
        <v>2588</v>
      </c>
      <c r="B88" s="116" t="s">
        <v>566</v>
      </c>
      <c r="C88" s="118" t="str">
        <f t="shared" si="1"/>
        <v>Chillicothe, OH</v>
      </c>
      <c r="D88" s="115">
        <v>89.8</v>
      </c>
      <c r="E88" s="119"/>
    </row>
    <row r="89">
      <c r="A89" s="116" t="s">
        <v>1417</v>
      </c>
      <c r="B89" s="116" t="s">
        <v>566</v>
      </c>
      <c r="C89" s="118" t="str">
        <f t="shared" si="1"/>
        <v>Cincinnati, OH</v>
      </c>
      <c r="D89" s="115">
        <v>92.4</v>
      </c>
      <c r="E89" s="119"/>
    </row>
    <row r="90">
      <c r="A90" s="116" t="s">
        <v>2589</v>
      </c>
      <c r="B90" s="116" t="s">
        <v>2590</v>
      </c>
      <c r="C90" s="118" t="str">
        <f t="shared" si="1"/>
        <v>Claremont, NH</v>
      </c>
      <c r="D90" s="115">
        <v>102.3</v>
      </c>
      <c r="E90" s="119"/>
    </row>
    <row r="91">
      <c r="A91" s="116" t="s">
        <v>2591</v>
      </c>
      <c r="B91" s="116" t="s">
        <v>2552</v>
      </c>
      <c r="C91" s="118" t="str">
        <f t="shared" si="1"/>
        <v>Clarksburg, WV</v>
      </c>
      <c r="D91" s="115">
        <v>83.4</v>
      </c>
      <c r="E91" s="119"/>
    </row>
    <row r="92">
      <c r="A92" s="116" t="s">
        <v>2592</v>
      </c>
      <c r="B92" s="116" t="s">
        <v>778</v>
      </c>
      <c r="C92" s="118" t="str">
        <f t="shared" si="1"/>
        <v>Clarksville, TN</v>
      </c>
      <c r="D92" s="115">
        <v>88.7</v>
      </c>
      <c r="E92" s="119"/>
    </row>
    <row r="93">
      <c r="A93" s="116" t="s">
        <v>2593</v>
      </c>
      <c r="B93" s="116" t="s">
        <v>36</v>
      </c>
      <c r="C93" s="118" t="str">
        <f t="shared" si="1"/>
        <v>Clearlake, CA</v>
      </c>
      <c r="D93" s="115">
        <v>108.8</v>
      </c>
      <c r="E93" s="119"/>
    </row>
    <row r="94">
      <c r="A94" s="116" t="s">
        <v>1419</v>
      </c>
      <c r="B94" s="116" t="s">
        <v>566</v>
      </c>
      <c r="C94" s="118" t="str">
        <f t="shared" si="1"/>
        <v>Cleveland, OH</v>
      </c>
      <c r="D94" s="115">
        <v>90.0</v>
      </c>
      <c r="E94" s="119"/>
    </row>
    <row r="95">
      <c r="A95" s="116" t="s">
        <v>1419</v>
      </c>
      <c r="B95" s="116" t="s">
        <v>778</v>
      </c>
      <c r="C95" s="118" t="str">
        <f t="shared" si="1"/>
        <v>Cleveland, TN</v>
      </c>
      <c r="D95" s="115">
        <v>89.5</v>
      </c>
      <c r="E95" s="119"/>
    </row>
    <row r="96">
      <c r="A96" s="116" t="s">
        <v>2594</v>
      </c>
      <c r="B96" s="116" t="s">
        <v>1510</v>
      </c>
      <c r="C96" s="118" t="str">
        <f t="shared" si="1"/>
        <v>Coeur d'Alene, ID</v>
      </c>
      <c r="D96" s="115">
        <v>103.3</v>
      </c>
      <c r="E96" s="119"/>
    </row>
    <row r="97">
      <c r="A97" s="116" t="s">
        <v>2595</v>
      </c>
      <c r="B97" s="116" t="s">
        <v>106</v>
      </c>
      <c r="C97" s="118" t="str">
        <f t="shared" si="1"/>
        <v>College Station, TX</v>
      </c>
      <c r="D97" s="115">
        <v>92.3</v>
      </c>
      <c r="E97" s="119"/>
    </row>
    <row r="98">
      <c r="A98" s="116" t="s">
        <v>1420</v>
      </c>
      <c r="B98" s="116" t="s">
        <v>710</v>
      </c>
      <c r="C98" s="118" t="str">
        <f t="shared" si="1"/>
        <v>Colorado Springs, CO</v>
      </c>
      <c r="D98" s="115">
        <v>102.2</v>
      </c>
      <c r="E98" s="119"/>
    </row>
    <row r="99">
      <c r="A99" s="116" t="s">
        <v>1421</v>
      </c>
      <c r="B99" s="116" t="s">
        <v>1098</v>
      </c>
      <c r="C99" s="118" t="str">
        <f t="shared" si="1"/>
        <v>Columbia, MO</v>
      </c>
      <c r="D99" s="115">
        <v>89.8</v>
      </c>
      <c r="E99" s="119"/>
    </row>
    <row r="100">
      <c r="A100" s="116" t="s">
        <v>1421</v>
      </c>
      <c r="B100" s="116" t="s">
        <v>1412</v>
      </c>
      <c r="C100" s="118" t="str">
        <f t="shared" si="1"/>
        <v>Columbia, SC</v>
      </c>
      <c r="D100" s="115">
        <v>91.9</v>
      </c>
      <c r="E100" s="119"/>
    </row>
    <row r="101">
      <c r="A101" s="116" t="s">
        <v>1422</v>
      </c>
      <c r="B101" s="116" t="s">
        <v>406</v>
      </c>
      <c r="C101" s="118" t="str">
        <f t="shared" si="1"/>
        <v>Columbus, GA</v>
      </c>
      <c r="D101" s="115">
        <v>88.5</v>
      </c>
      <c r="E101" s="119"/>
    </row>
    <row r="102">
      <c r="A102" s="116" t="s">
        <v>1422</v>
      </c>
      <c r="B102" s="116" t="s">
        <v>641</v>
      </c>
      <c r="C102" s="118" t="str">
        <f t="shared" si="1"/>
        <v>Columbus, IN</v>
      </c>
      <c r="D102" s="115">
        <v>89.1</v>
      </c>
      <c r="E102" s="119"/>
    </row>
    <row r="103">
      <c r="A103" s="116" t="s">
        <v>1422</v>
      </c>
      <c r="B103" s="116" t="s">
        <v>566</v>
      </c>
      <c r="C103" s="118" t="str">
        <f t="shared" si="1"/>
        <v>Columbus, OH</v>
      </c>
      <c r="D103" s="115">
        <v>93.9</v>
      </c>
      <c r="E103" s="119"/>
    </row>
    <row r="104">
      <c r="A104" s="116" t="s">
        <v>1516</v>
      </c>
      <c r="B104" s="116" t="s">
        <v>2590</v>
      </c>
      <c r="C104" s="118" t="str">
        <f t="shared" si="1"/>
        <v>Concord, NH</v>
      </c>
      <c r="D104" s="115">
        <v>108.3</v>
      </c>
      <c r="E104" s="119"/>
    </row>
    <row r="105">
      <c r="A105" s="116" t="s">
        <v>2596</v>
      </c>
      <c r="B105" s="116" t="s">
        <v>778</v>
      </c>
      <c r="C105" s="118" t="str">
        <f t="shared" si="1"/>
        <v>Cookeville, TN</v>
      </c>
      <c r="D105" s="115">
        <v>90.9</v>
      </c>
      <c r="E105" s="119"/>
    </row>
    <row r="106">
      <c r="A106" s="116" t="s">
        <v>2597</v>
      </c>
      <c r="B106" s="116" t="s">
        <v>889</v>
      </c>
      <c r="C106" s="118" t="str">
        <f t="shared" si="1"/>
        <v>Coos Bay, OR</v>
      </c>
      <c r="D106" s="115">
        <v>102.0</v>
      </c>
      <c r="E106" s="119"/>
    </row>
    <row r="107">
      <c r="A107" s="116" t="s">
        <v>2598</v>
      </c>
      <c r="B107" s="116" t="s">
        <v>20</v>
      </c>
      <c r="C107" s="118" t="str">
        <f t="shared" si="1"/>
        <v>Corning, NY</v>
      </c>
      <c r="D107" s="115">
        <v>90.9</v>
      </c>
      <c r="E107" s="119"/>
    </row>
    <row r="108">
      <c r="A108" s="116" t="s">
        <v>2599</v>
      </c>
      <c r="B108" s="116" t="s">
        <v>106</v>
      </c>
      <c r="C108" s="118" t="str">
        <f t="shared" si="1"/>
        <v>Corpus Christi, TX</v>
      </c>
      <c r="D108" s="115">
        <v>93.3</v>
      </c>
      <c r="E108" s="119"/>
    </row>
    <row r="109">
      <c r="A109" s="116" t="s">
        <v>2600</v>
      </c>
      <c r="B109" s="116" t="s">
        <v>889</v>
      </c>
      <c r="C109" s="118" t="str">
        <f t="shared" si="1"/>
        <v>Corvallis, OR</v>
      </c>
      <c r="D109" s="115">
        <v>110.6</v>
      </c>
      <c r="E109" s="119"/>
    </row>
    <row r="110">
      <c r="A110" s="116" t="s">
        <v>2601</v>
      </c>
      <c r="B110" s="116" t="s">
        <v>554</v>
      </c>
      <c r="C110" s="118" t="str">
        <f t="shared" si="1"/>
        <v>Crestview, FL</v>
      </c>
      <c r="D110" s="115">
        <v>104.7</v>
      </c>
      <c r="E110" s="119"/>
    </row>
    <row r="111">
      <c r="A111" s="116" t="s">
        <v>2602</v>
      </c>
      <c r="B111" s="116" t="s">
        <v>1404</v>
      </c>
      <c r="C111" s="118" t="str">
        <f t="shared" si="1"/>
        <v>Cullman, AL</v>
      </c>
      <c r="D111" s="115">
        <v>90.5</v>
      </c>
      <c r="E111" s="119"/>
    </row>
    <row r="112">
      <c r="A112" s="116" t="s">
        <v>2603</v>
      </c>
      <c r="B112" s="116" t="s">
        <v>967</v>
      </c>
      <c r="C112" s="118" t="str">
        <f t="shared" si="1"/>
        <v>Cumberland, MD</v>
      </c>
      <c r="D112" s="115">
        <v>90.9</v>
      </c>
      <c r="E112" s="119"/>
    </row>
    <row r="113">
      <c r="A113" s="116" t="s">
        <v>1623</v>
      </c>
      <c r="B113" s="116" t="s">
        <v>106</v>
      </c>
      <c r="C113" s="118" t="str">
        <f t="shared" si="1"/>
        <v>Dallas, TX</v>
      </c>
      <c r="D113" s="115">
        <v>98.5</v>
      </c>
      <c r="E113" s="119"/>
    </row>
    <row r="114">
      <c r="A114" s="116" t="s">
        <v>2604</v>
      </c>
      <c r="B114" s="116" t="s">
        <v>406</v>
      </c>
      <c r="C114" s="118" t="str">
        <f t="shared" si="1"/>
        <v>Dalton, GA</v>
      </c>
      <c r="D114" s="115">
        <v>89.1</v>
      </c>
      <c r="E114" s="119"/>
    </row>
    <row r="115">
      <c r="A115" s="116" t="s">
        <v>2605</v>
      </c>
      <c r="B115" s="116" t="s">
        <v>74</v>
      </c>
      <c r="C115" s="118" t="str">
        <f t="shared" si="1"/>
        <v>Danville, IL</v>
      </c>
      <c r="D115" s="115">
        <v>83.9</v>
      </c>
      <c r="E115" s="119"/>
    </row>
    <row r="116">
      <c r="A116" s="116" t="s">
        <v>2605</v>
      </c>
      <c r="B116" s="116" t="s">
        <v>740</v>
      </c>
      <c r="C116" s="118" t="str">
        <f t="shared" si="1"/>
        <v>Danville, VA</v>
      </c>
      <c r="D116" s="115">
        <v>87.1</v>
      </c>
      <c r="E116" s="119"/>
    </row>
    <row r="117">
      <c r="A117" s="116" t="s">
        <v>2606</v>
      </c>
      <c r="B117" s="116" t="s">
        <v>1404</v>
      </c>
      <c r="C117" s="118" t="str">
        <f t="shared" si="1"/>
        <v>Daphne, AL</v>
      </c>
      <c r="D117" s="115">
        <v>96.6</v>
      </c>
      <c r="E117" s="119"/>
    </row>
    <row r="118">
      <c r="A118" s="116" t="s">
        <v>1519</v>
      </c>
      <c r="B118" s="116" t="s">
        <v>1523</v>
      </c>
      <c r="C118" s="118" t="str">
        <f t="shared" si="1"/>
        <v>Davenport, IA</v>
      </c>
      <c r="D118" s="115">
        <v>87.2</v>
      </c>
      <c r="E118" s="119"/>
      <c r="F118" s="120"/>
    </row>
    <row r="119">
      <c r="A119" s="116" t="s">
        <v>1424</v>
      </c>
      <c r="B119" s="116" t="s">
        <v>566</v>
      </c>
      <c r="C119" s="118" t="str">
        <f t="shared" si="1"/>
        <v>Dayton, OH</v>
      </c>
      <c r="D119" s="115">
        <v>88.4</v>
      </c>
      <c r="E119" s="119"/>
    </row>
    <row r="120">
      <c r="A120" s="116" t="s">
        <v>2607</v>
      </c>
      <c r="B120" s="116" t="s">
        <v>554</v>
      </c>
      <c r="C120" s="118" t="str">
        <f t="shared" si="1"/>
        <v>Daytona Beach, FL</v>
      </c>
      <c r="D120" s="115">
        <v>99.6</v>
      </c>
      <c r="E120" s="119"/>
    </row>
    <row r="121">
      <c r="A121" s="116" t="s">
        <v>2608</v>
      </c>
      <c r="B121" s="116" t="s">
        <v>1404</v>
      </c>
      <c r="C121" s="118" t="str">
        <f t="shared" si="1"/>
        <v>Decatur, AL</v>
      </c>
      <c r="D121" s="115">
        <v>88.6</v>
      </c>
      <c r="E121" s="119"/>
    </row>
    <row r="122">
      <c r="A122" s="116" t="s">
        <v>2608</v>
      </c>
      <c r="B122" s="116" t="s">
        <v>74</v>
      </c>
      <c r="C122" s="118" t="str">
        <f t="shared" si="1"/>
        <v>Decatur, IL</v>
      </c>
      <c r="D122" s="115">
        <v>84.9</v>
      </c>
      <c r="E122" s="119"/>
    </row>
    <row r="123">
      <c r="A123" s="116" t="s">
        <v>2609</v>
      </c>
      <c r="B123" s="116" t="s">
        <v>710</v>
      </c>
      <c r="C123" s="118" t="str">
        <f t="shared" si="1"/>
        <v>Denver, CO</v>
      </c>
      <c r="D123" s="115">
        <v>112.1</v>
      </c>
      <c r="E123" s="119"/>
    </row>
    <row r="124">
      <c r="A124" s="116" t="s">
        <v>1522</v>
      </c>
      <c r="B124" s="116" t="s">
        <v>1523</v>
      </c>
      <c r="C124" s="118" t="str">
        <f t="shared" si="1"/>
        <v>Des Moines, IA</v>
      </c>
      <c r="D124" s="115">
        <v>91.7</v>
      </c>
      <c r="E124" s="119"/>
    </row>
    <row r="125">
      <c r="A125" s="116" t="s">
        <v>1426</v>
      </c>
      <c r="B125" s="116" t="s">
        <v>791</v>
      </c>
      <c r="C125" s="118" t="str">
        <f t="shared" si="1"/>
        <v>Detroit, MI</v>
      </c>
      <c r="D125" s="115">
        <v>93.2</v>
      </c>
      <c r="E125" s="119"/>
    </row>
    <row r="126">
      <c r="A126" s="116" t="s">
        <v>2610</v>
      </c>
      <c r="B126" s="116" t="s">
        <v>1404</v>
      </c>
      <c r="C126" s="118" t="str">
        <f t="shared" si="1"/>
        <v>Dothan, AL</v>
      </c>
      <c r="D126" s="115">
        <v>86.3</v>
      </c>
      <c r="E126" s="119"/>
    </row>
    <row r="127">
      <c r="A127" s="116" t="s">
        <v>2611</v>
      </c>
      <c r="B127" s="116" t="s">
        <v>2612</v>
      </c>
      <c r="C127" s="118" t="str">
        <f t="shared" si="1"/>
        <v>Dover, DE</v>
      </c>
      <c r="D127" s="115">
        <v>101.3</v>
      </c>
      <c r="E127" s="119"/>
      <c r="F127" s="120"/>
    </row>
    <row r="128">
      <c r="A128" s="116" t="s">
        <v>2613</v>
      </c>
      <c r="B128" s="116" t="s">
        <v>243</v>
      </c>
      <c r="C128" s="118" t="str">
        <f t="shared" si="1"/>
        <v>DuBois, PA</v>
      </c>
      <c r="D128" s="115">
        <v>88.2</v>
      </c>
      <c r="E128" s="119"/>
    </row>
    <row r="129">
      <c r="A129" s="116" t="s">
        <v>2614</v>
      </c>
      <c r="B129" s="116" t="s">
        <v>1523</v>
      </c>
      <c r="C129" s="118" t="str">
        <f t="shared" si="1"/>
        <v>Dubuque, IA</v>
      </c>
      <c r="D129" s="115">
        <v>89.6</v>
      </c>
      <c r="E129" s="119"/>
    </row>
    <row r="130">
      <c r="A130" s="116" t="s">
        <v>2615</v>
      </c>
      <c r="B130" s="116" t="s">
        <v>1244</v>
      </c>
      <c r="C130" s="118" t="str">
        <f t="shared" si="1"/>
        <v>Duluth, MN</v>
      </c>
      <c r="D130" s="115">
        <v>93.2</v>
      </c>
      <c r="E130" s="119"/>
    </row>
    <row r="131">
      <c r="A131" s="116" t="s">
        <v>2616</v>
      </c>
      <c r="B131" s="116" t="s">
        <v>627</v>
      </c>
      <c r="C131" s="118" t="str">
        <f t="shared" si="1"/>
        <v>Dunn, NC</v>
      </c>
      <c r="D131" s="115">
        <v>91.4</v>
      </c>
      <c r="E131" s="119"/>
    </row>
    <row r="132">
      <c r="A132" s="116" t="s">
        <v>1524</v>
      </c>
      <c r="B132" s="116" t="s">
        <v>627</v>
      </c>
      <c r="C132" s="118" t="str">
        <f t="shared" si="1"/>
        <v>Durham, NC</v>
      </c>
      <c r="D132" s="115">
        <v>99.8</v>
      </c>
      <c r="E132" s="119"/>
    </row>
    <row r="133">
      <c r="A133" s="116" t="s">
        <v>2617</v>
      </c>
      <c r="B133" s="116" t="s">
        <v>243</v>
      </c>
      <c r="C133" s="118" t="str">
        <f t="shared" si="1"/>
        <v>East Stroudsburg, PA</v>
      </c>
      <c r="D133" s="115">
        <v>96.1</v>
      </c>
      <c r="E133" s="119"/>
    </row>
    <row r="134">
      <c r="A134" s="116" t="s">
        <v>2618</v>
      </c>
      <c r="B134" s="116" t="s">
        <v>951</v>
      </c>
      <c r="C134" s="118" t="str">
        <f t="shared" si="1"/>
        <v>Eau Claire, WI</v>
      </c>
      <c r="D134" s="115">
        <v>91.8</v>
      </c>
      <c r="E134" s="119"/>
    </row>
    <row r="135">
      <c r="A135" s="116" t="s">
        <v>2619</v>
      </c>
      <c r="B135" s="116" t="s">
        <v>36</v>
      </c>
      <c r="C135" s="118" t="str">
        <f t="shared" si="1"/>
        <v>El Centro, CA</v>
      </c>
      <c r="D135" s="115">
        <v>102.3</v>
      </c>
      <c r="E135" s="119"/>
    </row>
    <row r="136">
      <c r="A136" s="116" t="s">
        <v>1427</v>
      </c>
      <c r="B136" s="116" t="s">
        <v>106</v>
      </c>
      <c r="C136" s="118" t="str">
        <f t="shared" si="1"/>
        <v>El Paso, TX</v>
      </c>
      <c r="D136" s="115">
        <v>88.6</v>
      </c>
      <c r="E136" s="119"/>
    </row>
    <row r="137">
      <c r="A137" s="116" t="s">
        <v>2620</v>
      </c>
      <c r="B137" s="116" t="s">
        <v>627</v>
      </c>
      <c r="C137" s="118" t="str">
        <f t="shared" si="1"/>
        <v>Elizabeth City, NC</v>
      </c>
      <c r="D137" s="115">
        <v>91.1</v>
      </c>
      <c r="E137" s="119"/>
      <c r="G137" s="120"/>
      <c r="H137" s="120"/>
      <c r="I137" s="120"/>
    </row>
    <row r="138">
      <c r="A138" s="116" t="s">
        <v>2621</v>
      </c>
      <c r="B138" s="116" t="s">
        <v>937</v>
      </c>
      <c r="C138" s="118" t="str">
        <f t="shared" si="1"/>
        <v>Elizabethtown, KY</v>
      </c>
      <c r="D138" s="115">
        <v>88.1</v>
      </c>
      <c r="E138" s="119"/>
    </row>
    <row r="139">
      <c r="A139" s="116" t="s">
        <v>2622</v>
      </c>
      <c r="B139" s="116" t="s">
        <v>641</v>
      </c>
      <c r="C139" s="118" t="str">
        <f t="shared" si="1"/>
        <v>Elkhart, IN</v>
      </c>
      <c r="D139" s="115">
        <v>88.5</v>
      </c>
      <c r="E139" s="119"/>
    </row>
    <row r="140">
      <c r="A140" s="116" t="s">
        <v>2623</v>
      </c>
      <c r="B140" s="116" t="s">
        <v>20</v>
      </c>
      <c r="C140" s="118" t="str">
        <f t="shared" si="1"/>
        <v>Elmira, NY</v>
      </c>
      <c r="D140" s="115">
        <v>92.5</v>
      </c>
      <c r="E140" s="119"/>
    </row>
    <row r="141">
      <c r="A141" s="116" t="s">
        <v>2624</v>
      </c>
      <c r="B141" s="116" t="s">
        <v>830</v>
      </c>
      <c r="C141" s="118" t="str">
        <f t="shared" si="1"/>
        <v>Enid, OK</v>
      </c>
      <c r="D141" s="115">
        <v>82.9</v>
      </c>
      <c r="E141" s="119"/>
    </row>
    <row r="142">
      <c r="A142" s="116" t="s">
        <v>2625</v>
      </c>
      <c r="B142" s="116" t="s">
        <v>243</v>
      </c>
      <c r="C142" s="118" t="str">
        <f t="shared" si="1"/>
        <v>Erie, PA</v>
      </c>
      <c r="D142" s="115">
        <v>91.8</v>
      </c>
      <c r="E142" s="119"/>
    </row>
    <row r="143">
      <c r="A143" s="116" t="s">
        <v>1525</v>
      </c>
      <c r="B143" s="116" t="s">
        <v>889</v>
      </c>
      <c r="C143" s="118" t="str">
        <f t="shared" si="1"/>
        <v>Eugene, OR</v>
      </c>
      <c r="D143" s="115">
        <v>108.4</v>
      </c>
      <c r="E143" s="119"/>
    </row>
    <row r="144">
      <c r="A144" s="116" t="s">
        <v>2626</v>
      </c>
      <c r="B144" s="116" t="s">
        <v>36</v>
      </c>
      <c r="C144" s="118" t="str">
        <f t="shared" si="1"/>
        <v>Eureka, CA</v>
      </c>
      <c r="D144" s="115">
        <v>116.5</v>
      </c>
      <c r="E144" s="119"/>
    </row>
    <row r="145">
      <c r="A145" s="116" t="s">
        <v>1526</v>
      </c>
      <c r="B145" s="116" t="s">
        <v>641</v>
      </c>
      <c r="C145" s="118" t="str">
        <f t="shared" si="1"/>
        <v>Evansville, IN</v>
      </c>
      <c r="D145" s="115">
        <v>87.2</v>
      </c>
      <c r="E145" s="119"/>
    </row>
    <row r="146">
      <c r="A146" s="116" t="s">
        <v>2627</v>
      </c>
      <c r="B146" s="116" t="s">
        <v>1500</v>
      </c>
      <c r="C146" s="118" t="str">
        <f t="shared" si="1"/>
        <v>Fairbanks, AK</v>
      </c>
      <c r="D146" s="115">
        <v>107.9</v>
      </c>
      <c r="E146" s="119"/>
    </row>
    <row r="147">
      <c r="A147" s="116" t="s">
        <v>2628</v>
      </c>
      <c r="B147" s="116" t="s">
        <v>2559</v>
      </c>
      <c r="C147" s="118" t="str">
        <f t="shared" si="1"/>
        <v>Fargo, ND</v>
      </c>
      <c r="D147" s="115">
        <v>91.4</v>
      </c>
      <c r="E147" s="119"/>
      <c r="F147" s="120"/>
    </row>
    <row r="148">
      <c r="A148" s="116" t="s">
        <v>2629</v>
      </c>
      <c r="B148" s="116" t="s">
        <v>1244</v>
      </c>
      <c r="C148" s="118" t="str">
        <f t="shared" si="1"/>
        <v>Faribault, MN</v>
      </c>
      <c r="D148" s="115">
        <v>102.3</v>
      </c>
      <c r="E148" s="119"/>
    </row>
    <row r="149">
      <c r="A149" s="116" t="s">
        <v>2630</v>
      </c>
      <c r="B149" s="116" t="s">
        <v>1098</v>
      </c>
      <c r="C149" s="118" t="str">
        <f t="shared" si="1"/>
        <v>Farmington, MO</v>
      </c>
      <c r="D149" s="115">
        <v>85.4</v>
      </c>
      <c r="E149" s="119"/>
    </row>
    <row r="150">
      <c r="A150" s="116" t="s">
        <v>2630</v>
      </c>
      <c r="B150" s="116" t="s">
        <v>981</v>
      </c>
      <c r="C150" s="118" t="str">
        <f t="shared" si="1"/>
        <v>Farmington, NM</v>
      </c>
      <c r="D150" s="115">
        <v>88.4</v>
      </c>
      <c r="E150" s="119"/>
    </row>
    <row r="151">
      <c r="A151" s="116" t="s">
        <v>1528</v>
      </c>
      <c r="B151" s="116" t="s">
        <v>1559</v>
      </c>
      <c r="C151" s="118" t="str">
        <f t="shared" si="1"/>
        <v>Fayetteville, AR</v>
      </c>
      <c r="D151" s="115">
        <v>90.4</v>
      </c>
      <c r="E151" s="119"/>
    </row>
    <row r="152">
      <c r="A152" s="116" t="s">
        <v>1528</v>
      </c>
      <c r="B152" s="116" t="s">
        <v>627</v>
      </c>
      <c r="C152" s="118" t="str">
        <f t="shared" si="1"/>
        <v>Fayetteville, NC</v>
      </c>
      <c r="D152" s="115">
        <v>89.5</v>
      </c>
      <c r="E152" s="119"/>
    </row>
    <row r="153">
      <c r="A153" s="116" t="s">
        <v>2631</v>
      </c>
      <c r="B153" s="116" t="s">
        <v>566</v>
      </c>
      <c r="C153" s="118" t="str">
        <f t="shared" si="1"/>
        <v>Findlay, OH</v>
      </c>
      <c r="D153" s="115">
        <v>91.1</v>
      </c>
      <c r="E153" s="119"/>
    </row>
    <row r="154">
      <c r="A154" s="116" t="s">
        <v>2632</v>
      </c>
      <c r="B154" s="116" t="s">
        <v>161</v>
      </c>
      <c r="C154" s="118" t="str">
        <f t="shared" si="1"/>
        <v>Flagstaff, AZ</v>
      </c>
      <c r="D154" s="115">
        <v>108.5</v>
      </c>
      <c r="E154" s="119"/>
    </row>
    <row r="155">
      <c r="A155" s="116" t="s">
        <v>1531</v>
      </c>
      <c r="B155" s="116" t="s">
        <v>791</v>
      </c>
      <c r="C155" s="118" t="str">
        <f t="shared" si="1"/>
        <v>Flint, MI</v>
      </c>
      <c r="D155" s="115">
        <v>85.7</v>
      </c>
      <c r="E155" s="119"/>
    </row>
    <row r="156">
      <c r="A156" s="116" t="s">
        <v>2633</v>
      </c>
      <c r="B156" s="116" t="s">
        <v>1404</v>
      </c>
      <c r="C156" s="118" t="str">
        <f t="shared" si="1"/>
        <v>Florence, AL</v>
      </c>
      <c r="D156" s="115">
        <v>86.8</v>
      </c>
      <c r="E156" s="119"/>
    </row>
    <row r="157">
      <c r="A157" s="116" t="s">
        <v>2633</v>
      </c>
      <c r="B157" s="116" t="s">
        <v>1412</v>
      </c>
      <c r="C157" s="118" t="str">
        <f t="shared" si="1"/>
        <v>Florence, SC</v>
      </c>
      <c r="D157" s="115">
        <v>87.7</v>
      </c>
      <c r="E157" s="119"/>
      <c r="G157" s="120"/>
      <c r="H157" s="120"/>
      <c r="I157" s="120"/>
    </row>
    <row r="158">
      <c r="A158" s="116" t="s">
        <v>2634</v>
      </c>
      <c r="B158" s="116" t="s">
        <v>951</v>
      </c>
      <c r="C158" s="118" t="str">
        <f t="shared" si="1"/>
        <v>Fond du Lac, WI</v>
      </c>
      <c r="D158" s="115">
        <v>88.0</v>
      </c>
      <c r="E158" s="119"/>
    </row>
    <row r="159">
      <c r="A159" s="116" t="s">
        <v>2635</v>
      </c>
      <c r="B159" s="116" t="s">
        <v>627</v>
      </c>
      <c r="C159" s="118" t="str">
        <f t="shared" si="1"/>
        <v>Forest City, NC</v>
      </c>
      <c r="D159" s="115">
        <v>89.4</v>
      </c>
      <c r="E159" s="119"/>
    </row>
    <row r="160">
      <c r="A160" s="116" t="s">
        <v>1532</v>
      </c>
      <c r="B160" s="116" t="s">
        <v>710</v>
      </c>
      <c r="C160" s="118" t="str">
        <f t="shared" si="1"/>
        <v>Fort Collins, CO</v>
      </c>
      <c r="D160" s="115">
        <v>109.2</v>
      </c>
      <c r="E160" s="119"/>
    </row>
    <row r="161">
      <c r="A161" s="116" t="s">
        <v>2636</v>
      </c>
      <c r="B161" s="116" t="s">
        <v>554</v>
      </c>
      <c r="C161" s="118" t="str">
        <f t="shared" si="1"/>
        <v>Fort Myers, FL</v>
      </c>
      <c r="D161" s="115">
        <v>101.5</v>
      </c>
      <c r="E161" s="119"/>
    </row>
    <row r="162">
      <c r="A162" s="116" t="s">
        <v>2637</v>
      </c>
      <c r="B162" s="116" t="s">
        <v>1559</v>
      </c>
      <c r="C162" s="118" t="str">
        <f t="shared" si="1"/>
        <v>Fort Smith, AR</v>
      </c>
      <c r="D162" s="115">
        <v>84.2</v>
      </c>
      <c r="E162" s="119"/>
    </row>
    <row r="163">
      <c r="A163" s="116" t="s">
        <v>1533</v>
      </c>
      <c r="B163" s="116" t="s">
        <v>641</v>
      </c>
      <c r="C163" s="118" t="str">
        <f t="shared" si="1"/>
        <v>Fort Wayne, IN</v>
      </c>
      <c r="D163" s="115">
        <v>86.8</v>
      </c>
      <c r="E163" s="119"/>
    </row>
    <row r="164">
      <c r="A164" s="116" t="s">
        <v>2638</v>
      </c>
      <c r="B164" s="116" t="s">
        <v>937</v>
      </c>
      <c r="C164" s="118" t="str">
        <f t="shared" si="1"/>
        <v>Frankfort, KY</v>
      </c>
      <c r="D164" s="115">
        <v>88.1</v>
      </c>
      <c r="E164" s="119"/>
    </row>
    <row r="165">
      <c r="A165" s="116" t="s">
        <v>1429</v>
      </c>
      <c r="B165" s="116" t="s">
        <v>36</v>
      </c>
      <c r="C165" s="118" t="str">
        <f t="shared" si="1"/>
        <v>Fresno, CA</v>
      </c>
      <c r="D165" s="115">
        <v>105.9</v>
      </c>
      <c r="E165" s="119"/>
    </row>
    <row r="166">
      <c r="A166" s="116" t="s">
        <v>2639</v>
      </c>
      <c r="B166" s="116" t="s">
        <v>1404</v>
      </c>
      <c r="C166" s="118" t="str">
        <f t="shared" si="1"/>
        <v>Gadsden, AL</v>
      </c>
      <c r="D166" s="115">
        <v>86.0</v>
      </c>
      <c r="E166" s="119"/>
    </row>
    <row r="167">
      <c r="A167" s="116" t="s">
        <v>2640</v>
      </c>
      <c r="B167" s="116" t="s">
        <v>554</v>
      </c>
      <c r="C167" s="118" t="str">
        <f t="shared" si="1"/>
        <v>Gainesville, FL</v>
      </c>
      <c r="D167" s="115">
        <v>97.3</v>
      </c>
      <c r="E167" s="119"/>
    </row>
    <row r="168">
      <c r="A168" s="116" t="s">
        <v>2640</v>
      </c>
      <c r="B168" s="116" t="s">
        <v>406</v>
      </c>
      <c r="C168" s="118" t="str">
        <f t="shared" si="1"/>
        <v>Gainesville, GA</v>
      </c>
      <c r="D168" s="115">
        <v>97.0</v>
      </c>
      <c r="E168" s="119"/>
      <c r="F168" s="120"/>
    </row>
    <row r="169">
      <c r="A169" s="116" t="s">
        <v>2641</v>
      </c>
      <c r="B169" s="116" t="s">
        <v>981</v>
      </c>
      <c r="C169" s="118" t="str">
        <f t="shared" si="1"/>
        <v>Gallup, NM</v>
      </c>
      <c r="D169" s="115">
        <v>90.0</v>
      </c>
      <c r="E169" s="119"/>
    </row>
    <row r="170">
      <c r="A170" s="116" t="s">
        <v>2642</v>
      </c>
      <c r="B170" s="116" t="s">
        <v>243</v>
      </c>
      <c r="C170" s="118" t="str">
        <f t="shared" si="1"/>
        <v>Gettysburg, PA</v>
      </c>
      <c r="D170" s="115">
        <v>98.2</v>
      </c>
      <c r="E170" s="119"/>
    </row>
    <row r="171">
      <c r="A171" s="116" t="s">
        <v>2643</v>
      </c>
      <c r="B171" s="116" t="s">
        <v>20</v>
      </c>
      <c r="C171" s="118" t="str">
        <f t="shared" si="1"/>
        <v>Glens Falls, NY</v>
      </c>
      <c r="D171" s="115">
        <v>98.6</v>
      </c>
      <c r="E171" s="119"/>
    </row>
    <row r="172">
      <c r="A172" s="116" t="s">
        <v>2644</v>
      </c>
      <c r="B172" s="116" t="s">
        <v>710</v>
      </c>
      <c r="C172" s="118" t="str">
        <f t="shared" si="1"/>
        <v>Glenwood Springs, CO</v>
      </c>
      <c r="D172" s="115">
        <v>127.8</v>
      </c>
      <c r="E172" s="119"/>
    </row>
    <row r="173">
      <c r="A173" s="116" t="s">
        <v>2645</v>
      </c>
      <c r="B173" s="116" t="s">
        <v>627</v>
      </c>
      <c r="C173" s="118" t="str">
        <f t="shared" si="1"/>
        <v>Goldsboro, NC</v>
      </c>
      <c r="D173" s="115">
        <v>88.5</v>
      </c>
      <c r="E173" s="119"/>
    </row>
    <row r="174">
      <c r="A174" s="116" t="s">
        <v>2646</v>
      </c>
      <c r="B174" s="116" t="s">
        <v>2559</v>
      </c>
      <c r="C174" s="118" t="str">
        <f t="shared" si="1"/>
        <v>Grand Forks, ND</v>
      </c>
      <c r="D174" s="115">
        <v>90.7</v>
      </c>
      <c r="E174" s="119"/>
    </row>
    <row r="175">
      <c r="A175" s="116" t="s">
        <v>2647</v>
      </c>
      <c r="B175" s="116" t="s">
        <v>1161</v>
      </c>
      <c r="C175" s="118" t="str">
        <f t="shared" si="1"/>
        <v>Grand Island, NE</v>
      </c>
      <c r="D175" s="115">
        <v>88.8</v>
      </c>
      <c r="E175" s="119"/>
    </row>
    <row r="176">
      <c r="A176" s="116" t="s">
        <v>2648</v>
      </c>
      <c r="B176" s="116" t="s">
        <v>710</v>
      </c>
      <c r="C176" s="118" t="str">
        <f t="shared" si="1"/>
        <v>Grand Junction, CO</v>
      </c>
      <c r="D176" s="115">
        <v>98.1</v>
      </c>
      <c r="E176" s="119"/>
    </row>
    <row r="177">
      <c r="A177" s="116" t="s">
        <v>1430</v>
      </c>
      <c r="B177" s="116" t="s">
        <v>791</v>
      </c>
      <c r="C177" s="118" t="str">
        <f t="shared" si="1"/>
        <v>Grand Rapids, MI</v>
      </c>
      <c r="D177" s="115">
        <v>93.7</v>
      </c>
      <c r="E177" s="119"/>
      <c r="F177" s="120"/>
    </row>
    <row r="178">
      <c r="A178" s="116" t="s">
        <v>2649</v>
      </c>
      <c r="B178" s="116" t="s">
        <v>889</v>
      </c>
      <c r="C178" s="118" t="str">
        <f t="shared" si="1"/>
        <v>Grants Pass, OR</v>
      </c>
      <c r="D178" s="115">
        <v>106.6</v>
      </c>
      <c r="E178" s="119"/>
    </row>
    <row r="179">
      <c r="A179" s="116" t="s">
        <v>2650</v>
      </c>
      <c r="B179" s="116" t="s">
        <v>2556</v>
      </c>
      <c r="C179" s="118" t="str">
        <f t="shared" si="1"/>
        <v>Great Falls, MT</v>
      </c>
      <c r="D179" s="115">
        <v>91.1</v>
      </c>
      <c r="E179" s="119"/>
    </row>
    <row r="180">
      <c r="A180" s="116" t="s">
        <v>2651</v>
      </c>
      <c r="B180" s="116" t="s">
        <v>710</v>
      </c>
      <c r="C180" s="118" t="str">
        <f t="shared" si="1"/>
        <v>Greeley, CO</v>
      </c>
      <c r="D180" s="115">
        <v>106.1</v>
      </c>
      <c r="E180" s="119"/>
    </row>
    <row r="181">
      <c r="A181" s="116" t="s">
        <v>1534</v>
      </c>
      <c r="B181" s="116" t="s">
        <v>951</v>
      </c>
      <c r="C181" s="118" t="str">
        <f t="shared" si="1"/>
        <v>Green Bay, WI</v>
      </c>
      <c r="D181" s="115">
        <v>91.4</v>
      </c>
      <c r="E181" s="119"/>
    </row>
    <row r="182">
      <c r="A182" s="116" t="s">
        <v>2652</v>
      </c>
      <c r="B182" s="116" t="s">
        <v>778</v>
      </c>
      <c r="C182" s="118" t="str">
        <f t="shared" si="1"/>
        <v>Greeneville, TN</v>
      </c>
      <c r="D182" s="115">
        <v>86.5</v>
      </c>
      <c r="E182" s="119"/>
    </row>
    <row r="183">
      <c r="A183" s="116" t="s">
        <v>2653</v>
      </c>
      <c r="B183" s="116" t="s">
        <v>748</v>
      </c>
      <c r="C183" s="118" t="str">
        <f t="shared" si="1"/>
        <v>Greenfield Town, MA</v>
      </c>
      <c r="D183" s="115">
        <v>106.2</v>
      </c>
      <c r="E183" s="119"/>
    </row>
    <row r="184">
      <c r="A184" s="116" t="s">
        <v>1535</v>
      </c>
      <c r="B184" s="116" t="s">
        <v>627</v>
      </c>
      <c r="C184" s="118" t="str">
        <f t="shared" si="1"/>
        <v>Greensboro, NC</v>
      </c>
      <c r="D184" s="115">
        <v>91.0</v>
      </c>
      <c r="E184" s="119"/>
    </row>
    <row r="185">
      <c r="A185" s="116" t="s">
        <v>1536</v>
      </c>
      <c r="B185" s="116" t="s">
        <v>627</v>
      </c>
      <c r="C185" s="118" t="str">
        <f t="shared" si="1"/>
        <v>Greenville, NC</v>
      </c>
      <c r="D185" s="115">
        <v>89.8</v>
      </c>
      <c r="E185" s="119"/>
    </row>
    <row r="186">
      <c r="A186" s="116" t="s">
        <v>1536</v>
      </c>
      <c r="B186" s="116" t="s">
        <v>1412</v>
      </c>
      <c r="C186" s="118" t="str">
        <f t="shared" si="1"/>
        <v>Greenville, SC</v>
      </c>
      <c r="D186" s="115">
        <v>95.0</v>
      </c>
      <c r="E186" s="119"/>
    </row>
    <row r="187">
      <c r="A187" s="116" t="s">
        <v>2654</v>
      </c>
      <c r="B187" s="116" t="s">
        <v>1412</v>
      </c>
      <c r="C187" s="118" t="str">
        <f t="shared" si="1"/>
        <v>Greenwood, SC</v>
      </c>
      <c r="D187" s="115">
        <v>88.7</v>
      </c>
      <c r="E187" s="119"/>
    </row>
    <row r="188">
      <c r="A188" s="116" t="s">
        <v>1537</v>
      </c>
      <c r="B188" s="116" t="s">
        <v>1538</v>
      </c>
      <c r="C188" s="118" t="str">
        <f t="shared" si="1"/>
        <v>Gulfport, MS</v>
      </c>
      <c r="D188" s="115">
        <v>86.8</v>
      </c>
      <c r="E188" s="119"/>
      <c r="G188" s="120"/>
      <c r="H188" s="120"/>
      <c r="I188" s="120"/>
    </row>
    <row r="189">
      <c r="A189" s="116" t="s">
        <v>2655</v>
      </c>
      <c r="B189" s="116" t="s">
        <v>967</v>
      </c>
      <c r="C189" s="118" t="str">
        <f t="shared" si="1"/>
        <v>Hagerstown, MD</v>
      </c>
      <c r="D189" s="115">
        <v>99.7</v>
      </c>
      <c r="E189" s="119"/>
    </row>
    <row r="190">
      <c r="A190" s="116" t="s">
        <v>2656</v>
      </c>
      <c r="B190" s="116" t="s">
        <v>1368</v>
      </c>
      <c r="C190" s="118" t="str">
        <f t="shared" si="1"/>
        <v>Hammond, LA</v>
      </c>
      <c r="D190" s="115">
        <v>89.0</v>
      </c>
      <c r="E190" s="119"/>
    </row>
    <row r="191">
      <c r="A191" s="116" t="s">
        <v>2657</v>
      </c>
      <c r="B191" s="116" t="s">
        <v>36</v>
      </c>
      <c r="C191" s="118" t="str">
        <f t="shared" si="1"/>
        <v>Hanford, CA</v>
      </c>
      <c r="D191" s="115">
        <v>105.4</v>
      </c>
      <c r="E191" s="119"/>
    </row>
    <row r="192">
      <c r="A192" s="116" t="s">
        <v>1539</v>
      </c>
      <c r="B192" s="116" t="s">
        <v>243</v>
      </c>
      <c r="C192" s="118" t="str">
        <f t="shared" si="1"/>
        <v>Harrisburg, PA</v>
      </c>
      <c r="D192" s="115">
        <v>95.8</v>
      </c>
      <c r="E192" s="119"/>
    </row>
    <row r="193">
      <c r="A193" s="116" t="s">
        <v>2658</v>
      </c>
      <c r="B193" s="116" t="s">
        <v>740</v>
      </c>
      <c r="C193" s="118" t="str">
        <f t="shared" si="1"/>
        <v>Harrisonburg, VA</v>
      </c>
      <c r="D193" s="115">
        <v>95.5</v>
      </c>
      <c r="E193" s="119"/>
    </row>
    <row r="194">
      <c r="A194" s="116" t="s">
        <v>1431</v>
      </c>
      <c r="B194" s="116" t="s">
        <v>1432</v>
      </c>
      <c r="C194" s="118" t="str">
        <f t="shared" si="1"/>
        <v>Hartford, CT</v>
      </c>
      <c r="D194" s="115">
        <v>104.8</v>
      </c>
      <c r="E194" s="119"/>
    </row>
    <row r="195">
      <c r="A195" s="116" t="s">
        <v>2659</v>
      </c>
      <c r="B195" s="116" t="s">
        <v>1538</v>
      </c>
      <c r="C195" s="118" t="str">
        <f t="shared" si="1"/>
        <v>Hattiesburg, MS</v>
      </c>
      <c r="D195" s="115">
        <v>86.1</v>
      </c>
      <c r="E195" s="119"/>
    </row>
    <row r="196">
      <c r="A196" s="116" t="s">
        <v>2660</v>
      </c>
      <c r="B196" s="116" t="s">
        <v>2556</v>
      </c>
      <c r="C196" s="118" t="str">
        <f t="shared" si="1"/>
        <v>Helena, MT</v>
      </c>
      <c r="D196" s="115">
        <v>104.2</v>
      </c>
      <c r="E196" s="119"/>
    </row>
    <row r="197">
      <c r="A197" s="116" t="s">
        <v>2661</v>
      </c>
      <c r="B197" s="116" t="s">
        <v>889</v>
      </c>
      <c r="C197" s="118" t="str">
        <f t="shared" si="1"/>
        <v>Hermiston, OR</v>
      </c>
      <c r="D197" s="115">
        <v>97.9</v>
      </c>
      <c r="E197" s="119"/>
      <c r="F197" s="120"/>
    </row>
    <row r="198">
      <c r="A198" s="116" t="s">
        <v>1540</v>
      </c>
      <c r="B198" s="116" t="s">
        <v>627</v>
      </c>
      <c r="C198" s="118" t="str">
        <f t="shared" si="1"/>
        <v>Hickory, NC</v>
      </c>
      <c r="D198" s="115">
        <v>89.8</v>
      </c>
      <c r="E198" s="119"/>
    </row>
    <row r="199">
      <c r="A199" s="116" t="s">
        <v>2662</v>
      </c>
      <c r="B199" s="116" t="s">
        <v>1434</v>
      </c>
      <c r="C199" s="118" t="str">
        <f t="shared" si="1"/>
        <v>Hilo, HI</v>
      </c>
      <c r="D199" s="115">
        <v>136.9</v>
      </c>
      <c r="E199" s="119"/>
    </row>
    <row r="200">
      <c r="A200" s="116" t="s">
        <v>2663</v>
      </c>
      <c r="B200" s="116" t="s">
        <v>1412</v>
      </c>
      <c r="C200" s="118" t="str">
        <f t="shared" si="1"/>
        <v>Hilton Head Island, SC</v>
      </c>
      <c r="D200" s="115">
        <v>109.4</v>
      </c>
      <c r="E200" s="119"/>
    </row>
    <row r="201">
      <c r="A201" s="116" t="s">
        <v>2664</v>
      </c>
      <c r="B201" s="116" t="s">
        <v>406</v>
      </c>
      <c r="C201" s="118" t="str">
        <f t="shared" si="1"/>
        <v>Hinesville, GA</v>
      </c>
      <c r="D201" s="115">
        <v>90.8</v>
      </c>
      <c r="E201" s="119"/>
    </row>
    <row r="202">
      <c r="A202" s="116" t="s">
        <v>2665</v>
      </c>
      <c r="B202" s="116" t="s">
        <v>981</v>
      </c>
      <c r="C202" s="118" t="str">
        <f t="shared" si="1"/>
        <v>Hobbs, NM</v>
      </c>
      <c r="D202" s="115">
        <v>87.7</v>
      </c>
      <c r="E202" s="119"/>
    </row>
    <row r="203">
      <c r="A203" s="116" t="s">
        <v>2666</v>
      </c>
      <c r="B203" s="116" t="s">
        <v>791</v>
      </c>
      <c r="C203" s="118" t="str">
        <f t="shared" si="1"/>
        <v>Holland, MI</v>
      </c>
      <c r="D203" s="115">
        <v>96.2</v>
      </c>
      <c r="E203" s="119"/>
    </row>
    <row r="204">
      <c r="A204" s="116" t="s">
        <v>2667</v>
      </c>
      <c r="B204" s="116" t="s">
        <v>554</v>
      </c>
      <c r="C204" s="118" t="str">
        <f t="shared" si="1"/>
        <v>Homosassa Springs, FL</v>
      </c>
      <c r="D204" s="115">
        <v>95.5</v>
      </c>
      <c r="E204" s="119"/>
    </row>
    <row r="205">
      <c r="A205" s="116" t="s">
        <v>1433</v>
      </c>
      <c r="B205" s="116" t="s">
        <v>1434</v>
      </c>
      <c r="C205" s="118" t="str">
        <f t="shared" si="1"/>
        <v>Honolulu, HI</v>
      </c>
      <c r="D205" s="115">
        <v>158.0</v>
      </c>
      <c r="E205" s="119"/>
    </row>
    <row r="206">
      <c r="A206" s="116" t="s">
        <v>2668</v>
      </c>
      <c r="B206" s="116" t="s">
        <v>1559</v>
      </c>
      <c r="C206" s="118" t="str">
        <f t="shared" si="1"/>
        <v>Hot Springs, AR</v>
      </c>
      <c r="D206" s="115">
        <v>87.3</v>
      </c>
      <c r="E206" s="119"/>
    </row>
    <row r="207">
      <c r="A207" s="116" t="s">
        <v>2669</v>
      </c>
      <c r="B207" s="116" t="s">
        <v>1368</v>
      </c>
      <c r="C207" s="118" t="str">
        <f t="shared" si="1"/>
        <v>Houma, LA</v>
      </c>
      <c r="D207" s="115">
        <v>89.9</v>
      </c>
      <c r="E207" s="119"/>
      <c r="G207" s="120"/>
      <c r="H207" s="120"/>
      <c r="I207" s="120"/>
    </row>
    <row r="208">
      <c r="A208" s="116" t="s">
        <v>1435</v>
      </c>
      <c r="B208" s="116" t="s">
        <v>106</v>
      </c>
      <c r="C208" s="118" t="str">
        <f t="shared" si="1"/>
        <v>Houston, TX</v>
      </c>
      <c r="D208" s="115">
        <v>95.8</v>
      </c>
      <c r="E208" s="119"/>
    </row>
    <row r="209">
      <c r="A209" s="116" t="s">
        <v>1541</v>
      </c>
      <c r="B209" s="116" t="s">
        <v>2552</v>
      </c>
      <c r="C209" s="118" t="str">
        <f t="shared" si="1"/>
        <v>Huntington, WV</v>
      </c>
      <c r="D209" s="115">
        <v>84.3</v>
      </c>
      <c r="E209" s="119"/>
    </row>
    <row r="210">
      <c r="A210" s="116" t="s">
        <v>1543</v>
      </c>
      <c r="B210" s="116" t="s">
        <v>1404</v>
      </c>
      <c r="C210" s="118" t="str">
        <f t="shared" si="1"/>
        <v>Huntsville, AL</v>
      </c>
      <c r="D210" s="115">
        <v>91.3</v>
      </c>
      <c r="E210" s="119"/>
    </row>
    <row r="211">
      <c r="A211" s="116" t="s">
        <v>1543</v>
      </c>
      <c r="B211" s="116" t="s">
        <v>106</v>
      </c>
      <c r="C211" s="118" t="str">
        <f t="shared" si="1"/>
        <v>Huntsville, TX</v>
      </c>
      <c r="D211" s="115">
        <v>91.2</v>
      </c>
      <c r="E211" s="119"/>
    </row>
    <row r="212">
      <c r="A212" s="116" t="s">
        <v>2670</v>
      </c>
      <c r="B212" s="116" t="s">
        <v>1348</v>
      </c>
      <c r="C212" s="118" t="str">
        <f t="shared" si="1"/>
        <v>Hutchinson, KS</v>
      </c>
      <c r="D212" s="115">
        <v>84.0</v>
      </c>
      <c r="E212" s="119"/>
    </row>
    <row r="213">
      <c r="A213" s="116" t="s">
        <v>2671</v>
      </c>
      <c r="B213" s="116" t="s">
        <v>1510</v>
      </c>
      <c r="C213" s="118" t="str">
        <f t="shared" si="1"/>
        <v>Idaho Falls, ID</v>
      </c>
      <c r="D213" s="115">
        <v>91.7</v>
      </c>
      <c r="E213" s="119"/>
    </row>
    <row r="214">
      <c r="A214" s="116" t="s">
        <v>2672</v>
      </c>
      <c r="B214" s="116" t="s">
        <v>243</v>
      </c>
      <c r="C214" s="118" t="str">
        <f t="shared" si="1"/>
        <v>Indiana, PA</v>
      </c>
      <c r="D214" s="115">
        <v>90.8</v>
      </c>
      <c r="E214" s="119"/>
    </row>
    <row r="215">
      <c r="A215" s="116" t="s">
        <v>1436</v>
      </c>
      <c r="B215" s="116" t="s">
        <v>641</v>
      </c>
      <c r="C215" s="118" t="str">
        <f t="shared" si="1"/>
        <v>Indianapolis, IN</v>
      </c>
      <c r="D215" s="115">
        <v>90.2</v>
      </c>
      <c r="E215" s="119"/>
    </row>
    <row r="216">
      <c r="A216" s="116" t="s">
        <v>2673</v>
      </c>
      <c r="B216" s="116" t="s">
        <v>1523</v>
      </c>
      <c r="C216" s="118" t="str">
        <f t="shared" si="1"/>
        <v>Iowa City, IA</v>
      </c>
      <c r="D216" s="115">
        <v>93.5</v>
      </c>
      <c r="E216" s="119"/>
    </row>
    <row r="217">
      <c r="A217" s="116" t="s">
        <v>2674</v>
      </c>
      <c r="B217" s="116" t="s">
        <v>20</v>
      </c>
      <c r="C217" s="118" t="str">
        <f t="shared" si="1"/>
        <v>Ithaca, NY</v>
      </c>
      <c r="D217" s="115">
        <v>101.7</v>
      </c>
      <c r="E217" s="119"/>
      <c r="J217" s="120"/>
      <c r="K217" s="120"/>
      <c r="L217" s="120"/>
    </row>
    <row r="218">
      <c r="A218" s="116" t="s">
        <v>1545</v>
      </c>
      <c r="B218" s="116" t="s">
        <v>791</v>
      </c>
      <c r="C218" s="118" t="str">
        <f t="shared" si="1"/>
        <v>Jackson, MI</v>
      </c>
      <c r="D218" s="115">
        <v>87.4</v>
      </c>
      <c r="E218" s="119"/>
    </row>
    <row r="219">
      <c r="A219" s="116" t="s">
        <v>1545</v>
      </c>
      <c r="B219" s="116" t="s">
        <v>1538</v>
      </c>
      <c r="C219" s="118" t="str">
        <f t="shared" si="1"/>
        <v>Jackson, MS</v>
      </c>
      <c r="D219" s="115">
        <v>87.8</v>
      </c>
      <c r="E219" s="119"/>
    </row>
    <row r="220">
      <c r="A220" s="116" t="s">
        <v>1545</v>
      </c>
      <c r="B220" s="116" t="s">
        <v>778</v>
      </c>
      <c r="C220" s="118" t="str">
        <f t="shared" si="1"/>
        <v>Jackson, TN</v>
      </c>
      <c r="D220" s="115">
        <v>85.2</v>
      </c>
      <c r="E220" s="119"/>
    </row>
    <row r="221">
      <c r="A221" s="116" t="s">
        <v>1437</v>
      </c>
      <c r="B221" s="116" t="s">
        <v>554</v>
      </c>
      <c r="C221" s="118" t="str">
        <f t="shared" si="1"/>
        <v>Jacksonville, FL</v>
      </c>
      <c r="D221" s="115">
        <v>99.0</v>
      </c>
      <c r="E221" s="119"/>
    </row>
    <row r="222">
      <c r="A222" s="116" t="s">
        <v>1437</v>
      </c>
      <c r="B222" s="116" t="s">
        <v>627</v>
      </c>
      <c r="C222" s="118" t="str">
        <f t="shared" si="1"/>
        <v>Jacksonville, NC</v>
      </c>
      <c r="D222" s="115">
        <v>91.7</v>
      </c>
      <c r="E222" s="119"/>
    </row>
    <row r="223">
      <c r="A223" s="116" t="s">
        <v>2675</v>
      </c>
      <c r="B223" s="116" t="s">
        <v>20</v>
      </c>
      <c r="C223" s="118" t="str">
        <f t="shared" si="1"/>
        <v>Jamestown, NY</v>
      </c>
      <c r="D223" s="115">
        <v>91.3</v>
      </c>
      <c r="E223" s="119"/>
    </row>
    <row r="224">
      <c r="A224" s="116" t="s">
        <v>2676</v>
      </c>
      <c r="B224" s="116" t="s">
        <v>951</v>
      </c>
      <c r="C224" s="118" t="str">
        <f t="shared" si="1"/>
        <v>Janesville, WI</v>
      </c>
      <c r="D224" s="115">
        <v>89.8</v>
      </c>
      <c r="E224" s="119"/>
    </row>
    <row r="225">
      <c r="A225" s="116" t="s">
        <v>2677</v>
      </c>
      <c r="B225" s="116" t="s">
        <v>406</v>
      </c>
      <c r="C225" s="118" t="str">
        <f t="shared" si="1"/>
        <v>Jefferson, GA</v>
      </c>
      <c r="D225" s="115">
        <v>97.4</v>
      </c>
      <c r="E225" s="119"/>
    </row>
    <row r="226">
      <c r="A226" s="116" t="s">
        <v>2678</v>
      </c>
      <c r="B226" s="116" t="s">
        <v>1098</v>
      </c>
      <c r="C226" s="118" t="str">
        <f t="shared" si="1"/>
        <v>Jefferson City, MO</v>
      </c>
      <c r="D226" s="115">
        <v>86.3</v>
      </c>
      <c r="E226" s="119"/>
    </row>
    <row r="227">
      <c r="A227" s="116" t="s">
        <v>2679</v>
      </c>
      <c r="B227" s="116" t="s">
        <v>778</v>
      </c>
      <c r="C227" s="118" t="str">
        <f t="shared" si="1"/>
        <v>Johnson City, TN</v>
      </c>
      <c r="D227" s="115">
        <v>88.1</v>
      </c>
      <c r="E227" s="119"/>
      <c r="M227" s="120"/>
      <c r="N227" s="120"/>
      <c r="O227" s="120"/>
    </row>
    <row r="228">
      <c r="A228" s="116" t="s">
        <v>2680</v>
      </c>
      <c r="B228" s="116" t="s">
        <v>243</v>
      </c>
      <c r="C228" s="118" t="str">
        <f t="shared" si="1"/>
        <v>Johnstown, PA</v>
      </c>
      <c r="D228" s="115">
        <v>87.6</v>
      </c>
      <c r="E228" s="119"/>
    </row>
    <row r="229">
      <c r="A229" s="116" t="s">
        <v>2681</v>
      </c>
      <c r="B229" s="116" t="s">
        <v>1559</v>
      </c>
      <c r="C229" s="118" t="str">
        <f t="shared" si="1"/>
        <v>Jonesboro, AR</v>
      </c>
      <c r="D229" s="115">
        <v>85.2</v>
      </c>
      <c r="E229" s="119"/>
    </row>
    <row r="230">
      <c r="A230" s="116" t="s">
        <v>2682</v>
      </c>
      <c r="B230" s="116" t="s">
        <v>1098</v>
      </c>
      <c r="C230" s="118" t="str">
        <f t="shared" si="1"/>
        <v>Joplin, MO</v>
      </c>
      <c r="D230" s="115">
        <v>85.2</v>
      </c>
      <c r="E230" s="119"/>
    </row>
    <row r="231">
      <c r="A231" s="116" t="s">
        <v>2683</v>
      </c>
      <c r="B231" s="116" t="s">
        <v>1434</v>
      </c>
      <c r="C231" s="118" t="str">
        <f t="shared" si="1"/>
        <v>Kahului, HI</v>
      </c>
      <c r="D231" s="115">
        <v>158.5</v>
      </c>
      <c r="E231" s="119"/>
    </row>
    <row r="232">
      <c r="A232" s="116" t="s">
        <v>2684</v>
      </c>
      <c r="B232" s="116" t="s">
        <v>791</v>
      </c>
      <c r="C232" s="118" t="str">
        <f t="shared" si="1"/>
        <v>Kalamazoo, MI</v>
      </c>
      <c r="D232" s="115">
        <v>89.3</v>
      </c>
      <c r="E232" s="119"/>
    </row>
    <row r="233">
      <c r="A233" s="116" t="s">
        <v>2685</v>
      </c>
      <c r="B233" s="116" t="s">
        <v>2556</v>
      </c>
      <c r="C233" s="118" t="str">
        <f t="shared" si="1"/>
        <v>Kalispell, MT</v>
      </c>
      <c r="D233" s="115">
        <v>112.7</v>
      </c>
      <c r="E233" s="119"/>
    </row>
    <row r="234">
      <c r="A234" s="116" t="s">
        <v>2686</v>
      </c>
      <c r="B234" s="116" t="s">
        <v>74</v>
      </c>
      <c r="C234" s="118" t="str">
        <f t="shared" si="1"/>
        <v>Kankakee, IL</v>
      </c>
      <c r="D234" s="115">
        <v>91.0</v>
      </c>
      <c r="E234" s="119"/>
    </row>
    <row r="235">
      <c r="A235" s="116" t="s">
        <v>1438</v>
      </c>
      <c r="B235" s="116" t="s">
        <v>1098</v>
      </c>
      <c r="C235" s="118" t="str">
        <f t="shared" si="1"/>
        <v>Kansas City, MO</v>
      </c>
      <c r="D235" s="115">
        <v>91.6</v>
      </c>
      <c r="E235" s="119"/>
    </row>
    <row r="236">
      <c r="A236" s="116" t="s">
        <v>2687</v>
      </c>
      <c r="B236" s="116" t="s">
        <v>1434</v>
      </c>
      <c r="C236" s="118" t="str">
        <f t="shared" si="1"/>
        <v>Kapaa, HI</v>
      </c>
      <c r="D236" s="115">
        <v>164.9</v>
      </c>
      <c r="E236" s="119"/>
    </row>
    <row r="237">
      <c r="A237" s="116" t="s">
        <v>2688</v>
      </c>
      <c r="B237" s="116" t="s">
        <v>2590</v>
      </c>
      <c r="C237" s="118" t="str">
        <f t="shared" si="1"/>
        <v>Keene, NH</v>
      </c>
      <c r="D237" s="115">
        <v>102.1</v>
      </c>
      <c r="E237" s="119"/>
      <c r="F237" s="120"/>
    </row>
    <row r="238">
      <c r="A238" s="116" t="s">
        <v>2689</v>
      </c>
      <c r="B238" s="116" t="s">
        <v>684</v>
      </c>
      <c r="C238" s="118" t="str">
        <f t="shared" si="1"/>
        <v>Kennewick, WA</v>
      </c>
      <c r="D238" s="115">
        <v>99.7</v>
      </c>
      <c r="E238" s="119"/>
    </row>
    <row r="239">
      <c r="A239" s="116" t="s">
        <v>2690</v>
      </c>
      <c r="B239" s="116" t="s">
        <v>554</v>
      </c>
      <c r="C239" s="118" t="str">
        <f t="shared" si="1"/>
        <v>Key West, FL</v>
      </c>
      <c r="D239" s="115">
        <v>140.0</v>
      </c>
      <c r="E239" s="119"/>
    </row>
    <row r="240">
      <c r="A240" s="116" t="s">
        <v>1548</v>
      </c>
      <c r="B240" s="116" t="s">
        <v>106</v>
      </c>
      <c r="C240" s="118" t="str">
        <f t="shared" si="1"/>
        <v>Killeen, TX</v>
      </c>
      <c r="D240" s="115">
        <v>88.6</v>
      </c>
      <c r="E240" s="119"/>
    </row>
    <row r="241">
      <c r="A241" s="116" t="s">
        <v>2691</v>
      </c>
      <c r="B241" s="116" t="s">
        <v>778</v>
      </c>
      <c r="C241" s="118" t="str">
        <f t="shared" si="1"/>
        <v>Kingsport, TN</v>
      </c>
      <c r="D241" s="115">
        <v>86.0</v>
      </c>
      <c r="E241" s="119"/>
    </row>
    <row r="242">
      <c r="A242" s="116" t="s">
        <v>2692</v>
      </c>
      <c r="B242" s="116" t="s">
        <v>20</v>
      </c>
      <c r="C242" s="118" t="str">
        <f t="shared" si="1"/>
        <v>Kingston, NY</v>
      </c>
      <c r="D242" s="115">
        <v>106.1</v>
      </c>
      <c r="E242" s="119"/>
    </row>
    <row r="243">
      <c r="A243" s="116" t="s">
        <v>2693</v>
      </c>
      <c r="B243" s="116" t="s">
        <v>889</v>
      </c>
      <c r="C243" s="118" t="str">
        <f t="shared" si="1"/>
        <v>Klamath Falls, OR</v>
      </c>
      <c r="D243" s="115">
        <v>97.1</v>
      </c>
      <c r="E243" s="119"/>
    </row>
    <row r="244">
      <c r="A244" s="116" t="s">
        <v>1440</v>
      </c>
      <c r="B244" s="116" t="s">
        <v>778</v>
      </c>
      <c r="C244" s="118" t="str">
        <f t="shared" si="1"/>
        <v>Knoxville, TN</v>
      </c>
      <c r="D244" s="115">
        <v>91.6</v>
      </c>
      <c r="E244" s="119"/>
    </row>
    <row r="245">
      <c r="A245" s="116" t="s">
        <v>2694</v>
      </c>
      <c r="B245" s="116" t="s">
        <v>641</v>
      </c>
      <c r="C245" s="118" t="str">
        <f t="shared" si="1"/>
        <v>Kokomo, IN</v>
      </c>
      <c r="D245" s="115">
        <v>84.9</v>
      </c>
      <c r="E245" s="119"/>
    </row>
    <row r="246">
      <c r="A246" s="116" t="s">
        <v>2695</v>
      </c>
      <c r="B246" s="116" t="s">
        <v>951</v>
      </c>
      <c r="C246" s="118" t="str">
        <f t="shared" si="1"/>
        <v>La Crosse, WI</v>
      </c>
      <c r="D246" s="115">
        <v>91.8</v>
      </c>
      <c r="E246" s="119"/>
    </row>
    <row r="247">
      <c r="A247" s="116" t="s">
        <v>1550</v>
      </c>
      <c r="B247" s="116" t="s">
        <v>641</v>
      </c>
      <c r="C247" s="118" t="str">
        <f t="shared" si="1"/>
        <v>Lafayette, IN</v>
      </c>
      <c r="D247" s="115">
        <v>88.7</v>
      </c>
      <c r="E247" s="119"/>
    </row>
    <row r="248">
      <c r="A248" s="116" t="s">
        <v>1550</v>
      </c>
      <c r="B248" s="116" t="s">
        <v>1368</v>
      </c>
      <c r="C248" s="118" t="str">
        <f t="shared" si="1"/>
        <v>Lafayette, LA</v>
      </c>
      <c r="D248" s="115">
        <v>89.6</v>
      </c>
      <c r="E248" s="119"/>
    </row>
    <row r="249">
      <c r="A249" s="116" t="s">
        <v>2696</v>
      </c>
      <c r="B249" s="116" t="s">
        <v>406</v>
      </c>
      <c r="C249" s="118" t="str">
        <f t="shared" si="1"/>
        <v>LaGrange, GA</v>
      </c>
      <c r="D249" s="115">
        <v>86.0</v>
      </c>
      <c r="E249" s="119"/>
    </row>
    <row r="250">
      <c r="A250" s="116" t="s">
        <v>2697</v>
      </c>
      <c r="B250" s="116" t="s">
        <v>1368</v>
      </c>
      <c r="C250" s="118" t="str">
        <f t="shared" si="1"/>
        <v>Lake Charles, LA</v>
      </c>
      <c r="D250" s="115">
        <v>89.4</v>
      </c>
      <c r="E250" s="119"/>
    </row>
    <row r="251">
      <c r="A251" s="116" t="s">
        <v>2698</v>
      </c>
      <c r="B251" s="116" t="s">
        <v>554</v>
      </c>
      <c r="C251" s="118" t="str">
        <f t="shared" si="1"/>
        <v>Lake City, FL</v>
      </c>
      <c r="D251" s="115">
        <v>93.6</v>
      </c>
      <c r="E251" s="119"/>
    </row>
    <row r="252">
      <c r="A252" s="116" t="s">
        <v>2699</v>
      </c>
      <c r="B252" s="116" t="s">
        <v>161</v>
      </c>
      <c r="C252" s="118" t="str">
        <f t="shared" si="1"/>
        <v>Lake Havasu City, AZ</v>
      </c>
      <c r="D252" s="115">
        <v>98.4</v>
      </c>
      <c r="E252" s="119"/>
    </row>
    <row r="253">
      <c r="A253" s="116" t="s">
        <v>1551</v>
      </c>
      <c r="B253" s="116" t="s">
        <v>554</v>
      </c>
      <c r="C253" s="118" t="str">
        <f t="shared" si="1"/>
        <v>Lakeland, FL</v>
      </c>
      <c r="D253" s="115">
        <v>96.4</v>
      </c>
      <c r="E253" s="119"/>
    </row>
    <row r="254">
      <c r="A254" s="116" t="s">
        <v>1552</v>
      </c>
      <c r="B254" s="116" t="s">
        <v>243</v>
      </c>
      <c r="C254" s="118" t="str">
        <f t="shared" si="1"/>
        <v>Lancaster, PA</v>
      </c>
      <c r="D254" s="115">
        <v>99.5</v>
      </c>
      <c r="E254" s="119"/>
    </row>
    <row r="255">
      <c r="A255" s="116" t="s">
        <v>1554</v>
      </c>
      <c r="B255" s="116" t="s">
        <v>791</v>
      </c>
      <c r="C255" s="118" t="str">
        <f t="shared" si="1"/>
        <v>Lansing, MI</v>
      </c>
      <c r="D255" s="115">
        <v>88.7</v>
      </c>
      <c r="E255" s="119"/>
    </row>
    <row r="256">
      <c r="A256" s="116" t="s">
        <v>1555</v>
      </c>
      <c r="B256" s="116" t="s">
        <v>106</v>
      </c>
      <c r="C256" s="118" t="str">
        <f t="shared" si="1"/>
        <v>Laredo, TX</v>
      </c>
      <c r="D256" s="115">
        <v>90.1</v>
      </c>
      <c r="E256" s="119"/>
    </row>
    <row r="257">
      <c r="A257" s="116" t="s">
        <v>2700</v>
      </c>
      <c r="B257" s="116" t="s">
        <v>981</v>
      </c>
      <c r="C257" s="118" t="str">
        <f t="shared" si="1"/>
        <v>Las Cruces, NM</v>
      </c>
      <c r="D257" s="115">
        <v>88.8</v>
      </c>
      <c r="E257" s="119"/>
    </row>
    <row r="258">
      <c r="A258" s="116" t="s">
        <v>2701</v>
      </c>
      <c r="B258" s="116" t="s">
        <v>809</v>
      </c>
      <c r="C258" s="118" t="str">
        <f t="shared" si="1"/>
        <v>Las Vegas, NV</v>
      </c>
      <c r="D258" s="115">
        <v>100.7</v>
      </c>
      <c r="E258" s="119"/>
    </row>
    <row r="259">
      <c r="A259" s="116" t="s">
        <v>2702</v>
      </c>
      <c r="B259" s="116" t="s">
        <v>1538</v>
      </c>
      <c r="C259" s="118" t="str">
        <f t="shared" si="1"/>
        <v>Laurel, MS</v>
      </c>
      <c r="D259" s="115">
        <v>85.9</v>
      </c>
      <c r="E259" s="119"/>
    </row>
    <row r="260">
      <c r="A260" s="116" t="s">
        <v>2703</v>
      </c>
      <c r="B260" s="116" t="s">
        <v>1348</v>
      </c>
      <c r="C260" s="118" t="str">
        <f t="shared" si="1"/>
        <v>Lawrence, KS</v>
      </c>
      <c r="D260" s="115">
        <v>91.6</v>
      </c>
      <c r="E260" s="119"/>
    </row>
    <row r="261">
      <c r="A261" s="116" t="s">
        <v>2704</v>
      </c>
      <c r="B261" s="116" t="s">
        <v>830</v>
      </c>
      <c r="C261" s="118" t="str">
        <f t="shared" si="1"/>
        <v>Lawton, OK</v>
      </c>
      <c r="D261" s="115">
        <v>82.8</v>
      </c>
      <c r="E261" s="119"/>
    </row>
    <row r="262">
      <c r="A262" s="116" t="s">
        <v>2705</v>
      </c>
      <c r="B262" s="116" t="s">
        <v>243</v>
      </c>
      <c r="C262" s="118" t="str">
        <f t="shared" si="1"/>
        <v>Lebanon, PA</v>
      </c>
      <c r="D262" s="115">
        <v>95.4</v>
      </c>
      <c r="E262" s="119"/>
    </row>
    <row r="263">
      <c r="A263" s="116" t="s">
        <v>2706</v>
      </c>
      <c r="B263" s="116" t="s">
        <v>1510</v>
      </c>
      <c r="C263" s="118" t="str">
        <f t="shared" si="1"/>
        <v>Lewiston, ID</v>
      </c>
      <c r="D263" s="115">
        <v>92.5</v>
      </c>
      <c r="E263" s="119"/>
    </row>
    <row r="264">
      <c r="A264" s="116" t="s">
        <v>2706</v>
      </c>
      <c r="B264" s="116" t="s">
        <v>1579</v>
      </c>
      <c r="C264" s="118" t="str">
        <f t="shared" si="1"/>
        <v>Lewiston, ME</v>
      </c>
      <c r="D264" s="115">
        <v>99.7</v>
      </c>
      <c r="E264" s="119"/>
    </row>
    <row r="265">
      <c r="A265" s="116" t="s">
        <v>2707</v>
      </c>
      <c r="B265" s="116" t="s">
        <v>937</v>
      </c>
      <c r="C265" s="118" t="str">
        <f t="shared" si="1"/>
        <v>Lexington, KY</v>
      </c>
      <c r="D265" s="115">
        <v>91.1</v>
      </c>
      <c r="E265" s="119"/>
    </row>
    <row r="266">
      <c r="A266" s="116" t="s">
        <v>2708</v>
      </c>
      <c r="B266" s="116" t="s">
        <v>566</v>
      </c>
      <c r="C266" s="118" t="str">
        <f t="shared" si="1"/>
        <v>Lima, OH</v>
      </c>
      <c r="D266" s="115">
        <v>87.2</v>
      </c>
      <c r="E266" s="119"/>
    </row>
    <row r="267">
      <c r="A267" s="116" t="s">
        <v>1557</v>
      </c>
      <c r="B267" s="116" t="s">
        <v>1161</v>
      </c>
      <c r="C267" s="118" t="str">
        <f t="shared" si="1"/>
        <v>Lincoln, NE</v>
      </c>
      <c r="D267" s="115">
        <v>94.7</v>
      </c>
      <c r="E267" s="119"/>
    </row>
    <row r="268">
      <c r="A268" s="116" t="s">
        <v>1558</v>
      </c>
      <c r="B268" s="116" t="s">
        <v>1559</v>
      </c>
      <c r="C268" s="118" t="str">
        <f t="shared" si="1"/>
        <v>Little Rock, AR</v>
      </c>
      <c r="D268" s="115">
        <v>88.0</v>
      </c>
      <c r="E268" s="119"/>
    </row>
    <row r="269">
      <c r="A269" s="116" t="s">
        <v>2709</v>
      </c>
      <c r="B269" s="116" t="s">
        <v>1459</v>
      </c>
      <c r="C269" s="118" t="str">
        <f t="shared" si="1"/>
        <v>Logan, UT</v>
      </c>
      <c r="D269" s="115">
        <v>95.2</v>
      </c>
      <c r="E269" s="119"/>
    </row>
    <row r="270">
      <c r="A270" s="116" t="s">
        <v>2710</v>
      </c>
      <c r="B270" s="116" t="s">
        <v>937</v>
      </c>
      <c r="C270" s="118" t="str">
        <f t="shared" si="1"/>
        <v>London, KY</v>
      </c>
      <c r="D270" s="115">
        <v>84.6</v>
      </c>
      <c r="E270" s="119"/>
    </row>
    <row r="271">
      <c r="A271" s="116" t="s">
        <v>2711</v>
      </c>
      <c r="B271" s="116" t="s">
        <v>106</v>
      </c>
      <c r="C271" s="118" t="str">
        <f t="shared" si="1"/>
        <v>Longview, TX</v>
      </c>
      <c r="D271" s="115">
        <v>88.5</v>
      </c>
      <c r="E271" s="119"/>
    </row>
    <row r="272">
      <c r="A272" s="116" t="s">
        <v>2711</v>
      </c>
      <c r="B272" s="116" t="s">
        <v>684</v>
      </c>
      <c r="C272" s="118" t="str">
        <f t="shared" si="1"/>
        <v>Longview, WA</v>
      </c>
      <c r="D272" s="115">
        <v>101.6</v>
      </c>
      <c r="E272" s="119"/>
    </row>
    <row r="273">
      <c r="A273" s="116" t="s">
        <v>1618</v>
      </c>
      <c r="B273" s="116" t="s">
        <v>36</v>
      </c>
      <c r="C273" s="118" t="str">
        <f t="shared" si="1"/>
        <v>Los Angeles, CA</v>
      </c>
      <c r="D273" s="115">
        <v>140.6</v>
      </c>
      <c r="E273" s="119"/>
    </row>
    <row r="274">
      <c r="A274" s="116" t="s">
        <v>2712</v>
      </c>
      <c r="B274" s="116" t="s">
        <v>937</v>
      </c>
      <c r="C274" s="118" t="str">
        <f t="shared" si="1"/>
        <v>Louisville, KY</v>
      </c>
      <c r="D274" s="115">
        <v>91.6</v>
      </c>
      <c r="E274" s="119"/>
    </row>
    <row r="275">
      <c r="A275" s="116" t="s">
        <v>1560</v>
      </c>
      <c r="B275" s="116" t="s">
        <v>106</v>
      </c>
      <c r="C275" s="118" t="str">
        <f t="shared" si="1"/>
        <v>Lubbock, TX</v>
      </c>
      <c r="D275" s="115">
        <v>88.8</v>
      </c>
      <c r="E275" s="119"/>
    </row>
    <row r="276">
      <c r="A276" s="116" t="s">
        <v>2713</v>
      </c>
      <c r="B276" s="116" t="s">
        <v>106</v>
      </c>
      <c r="C276" s="118" t="str">
        <f t="shared" si="1"/>
        <v>Lufkin, TX</v>
      </c>
      <c r="D276" s="115">
        <v>88.2</v>
      </c>
      <c r="E276" s="119"/>
    </row>
    <row r="277">
      <c r="A277" s="116" t="s">
        <v>2714</v>
      </c>
      <c r="B277" s="116" t="s">
        <v>627</v>
      </c>
      <c r="C277" s="118" t="str">
        <f t="shared" si="1"/>
        <v>Lumberton, NC</v>
      </c>
      <c r="D277" s="115">
        <v>83.4</v>
      </c>
      <c r="E277" s="119"/>
    </row>
    <row r="278">
      <c r="A278" s="116" t="s">
        <v>2715</v>
      </c>
      <c r="B278" s="116" t="s">
        <v>740</v>
      </c>
      <c r="C278" s="118" t="str">
        <f t="shared" si="1"/>
        <v>Lynchburg, VA</v>
      </c>
      <c r="D278" s="115">
        <v>93.6</v>
      </c>
      <c r="E278" s="119"/>
    </row>
    <row r="279">
      <c r="A279" s="116" t="s">
        <v>2716</v>
      </c>
      <c r="B279" s="116" t="s">
        <v>406</v>
      </c>
      <c r="C279" s="118" t="str">
        <f t="shared" si="1"/>
        <v>Macon, GA</v>
      </c>
      <c r="D279" s="115">
        <v>87.2</v>
      </c>
      <c r="E279" s="119"/>
    </row>
    <row r="280">
      <c r="A280" s="116" t="s">
        <v>2717</v>
      </c>
      <c r="B280" s="116" t="s">
        <v>36</v>
      </c>
      <c r="C280" s="118" t="str">
        <f t="shared" si="1"/>
        <v>Madera, CA</v>
      </c>
      <c r="D280" s="115">
        <v>108.9</v>
      </c>
      <c r="E280" s="119"/>
    </row>
    <row r="281">
      <c r="A281" s="116" t="s">
        <v>1561</v>
      </c>
      <c r="B281" s="116" t="s">
        <v>951</v>
      </c>
      <c r="C281" s="118" t="str">
        <f t="shared" si="1"/>
        <v>Madison, WI</v>
      </c>
      <c r="D281" s="115">
        <v>99.5</v>
      </c>
      <c r="E281" s="119"/>
    </row>
    <row r="282">
      <c r="A282" s="116" t="s">
        <v>2718</v>
      </c>
      <c r="B282" s="116" t="s">
        <v>2590</v>
      </c>
      <c r="C282" s="118" t="str">
        <f t="shared" si="1"/>
        <v>Manchester, NH</v>
      </c>
      <c r="D282" s="115">
        <v>109.6</v>
      </c>
      <c r="E282" s="119"/>
    </row>
    <row r="283">
      <c r="A283" s="116" t="s">
        <v>2719</v>
      </c>
      <c r="B283" s="116" t="s">
        <v>1348</v>
      </c>
      <c r="C283" s="118" t="str">
        <f t="shared" si="1"/>
        <v>Manhattan, KS</v>
      </c>
      <c r="D283" s="115">
        <v>89.6</v>
      </c>
      <c r="E283" s="119"/>
    </row>
    <row r="284">
      <c r="A284" s="116" t="s">
        <v>2720</v>
      </c>
      <c r="B284" s="116" t="s">
        <v>951</v>
      </c>
      <c r="C284" s="118" t="str">
        <f t="shared" si="1"/>
        <v>Manitowoc, WI</v>
      </c>
      <c r="D284" s="115">
        <v>87.8</v>
      </c>
      <c r="E284" s="119"/>
    </row>
    <row r="285">
      <c r="A285" s="116" t="s">
        <v>2721</v>
      </c>
      <c r="B285" s="116" t="s">
        <v>1244</v>
      </c>
      <c r="C285" s="118" t="str">
        <f t="shared" si="1"/>
        <v>Mankato, MN</v>
      </c>
      <c r="D285" s="115">
        <v>95.3</v>
      </c>
      <c r="E285" s="119"/>
    </row>
    <row r="286">
      <c r="A286" s="116" t="s">
        <v>2722</v>
      </c>
      <c r="B286" s="116" t="s">
        <v>566</v>
      </c>
      <c r="C286" s="118" t="str">
        <f t="shared" si="1"/>
        <v>Mansfield, OH</v>
      </c>
      <c r="D286" s="115">
        <v>86.2</v>
      </c>
      <c r="E286" s="119"/>
    </row>
    <row r="287">
      <c r="A287" s="116" t="s">
        <v>2723</v>
      </c>
      <c r="B287" s="116" t="s">
        <v>951</v>
      </c>
      <c r="C287" s="118" t="str">
        <f t="shared" si="1"/>
        <v>Marinette, WI</v>
      </c>
      <c r="D287" s="115">
        <v>86.6</v>
      </c>
      <c r="E287" s="119"/>
    </row>
    <row r="288">
      <c r="A288" s="116" t="s">
        <v>2724</v>
      </c>
      <c r="B288" s="116" t="s">
        <v>641</v>
      </c>
      <c r="C288" s="118" t="str">
        <f t="shared" si="1"/>
        <v>Marion, IN</v>
      </c>
      <c r="D288" s="115">
        <v>81.8</v>
      </c>
      <c r="E288" s="119"/>
    </row>
    <row r="289">
      <c r="A289" s="116" t="s">
        <v>2724</v>
      </c>
      <c r="B289" s="116" t="s">
        <v>566</v>
      </c>
      <c r="C289" s="118" t="str">
        <f t="shared" si="1"/>
        <v>Marion, OH</v>
      </c>
      <c r="D289" s="115">
        <v>85.7</v>
      </c>
      <c r="E289" s="119"/>
    </row>
    <row r="290">
      <c r="A290" s="116" t="s">
        <v>2725</v>
      </c>
      <c r="B290" s="116" t="s">
        <v>791</v>
      </c>
      <c r="C290" s="118" t="str">
        <f t="shared" si="1"/>
        <v>Marquette, MI</v>
      </c>
      <c r="D290" s="115">
        <v>91.3</v>
      </c>
      <c r="E290" s="119"/>
    </row>
    <row r="291">
      <c r="A291" s="116" t="s">
        <v>2726</v>
      </c>
      <c r="B291" s="116" t="s">
        <v>106</v>
      </c>
      <c r="C291" s="118" t="str">
        <f t="shared" si="1"/>
        <v>Marshall, TX</v>
      </c>
      <c r="D291" s="115">
        <v>89.9</v>
      </c>
      <c r="E291" s="119"/>
    </row>
    <row r="292">
      <c r="A292" s="116" t="s">
        <v>2727</v>
      </c>
      <c r="B292" s="116" t="s">
        <v>740</v>
      </c>
      <c r="C292" s="118" t="str">
        <f t="shared" si="1"/>
        <v>Martinsville, VA</v>
      </c>
      <c r="D292" s="115">
        <v>85.0</v>
      </c>
      <c r="E292" s="119"/>
    </row>
    <row r="293">
      <c r="A293" s="116" t="s">
        <v>1445</v>
      </c>
      <c r="B293" s="116" t="s">
        <v>106</v>
      </c>
      <c r="C293" s="118" t="str">
        <f t="shared" si="1"/>
        <v>McAllen, TX</v>
      </c>
      <c r="D293" s="115">
        <v>86.0</v>
      </c>
      <c r="E293" s="119"/>
    </row>
    <row r="294">
      <c r="A294" s="116" t="s">
        <v>2728</v>
      </c>
      <c r="B294" s="116" t="s">
        <v>243</v>
      </c>
      <c r="C294" s="118" t="str">
        <f t="shared" si="1"/>
        <v>Meadville, PA</v>
      </c>
      <c r="D294" s="115">
        <v>88.5</v>
      </c>
      <c r="E294" s="119"/>
    </row>
    <row r="295">
      <c r="A295" s="116" t="s">
        <v>2729</v>
      </c>
      <c r="B295" s="116" t="s">
        <v>889</v>
      </c>
      <c r="C295" s="118" t="str">
        <f t="shared" si="1"/>
        <v>Medford, OR</v>
      </c>
      <c r="D295" s="115">
        <v>107.5</v>
      </c>
      <c r="E295" s="119"/>
    </row>
    <row r="296">
      <c r="A296" s="116" t="s">
        <v>2730</v>
      </c>
      <c r="B296" s="116" t="s">
        <v>554</v>
      </c>
      <c r="C296" s="118" t="str">
        <f t="shared" si="1"/>
        <v>Melbourne, FL</v>
      </c>
      <c r="D296" s="115">
        <v>99.3</v>
      </c>
      <c r="E296" s="119"/>
    </row>
    <row r="297">
      <c r="A297" s="116" t="s">
        <v>1446</v>
      </c>
      <c r="B297" s="116" t="s">
        <v>778</v>
      </c>
      <c r="C297" s="118" t="str">
        <f t="shared" si="1"/>
        <v>Memphis, TN</v>
      </c>
      <c r="D297" s="115">
        <v>88.2</v>
      </c>
      <c r="E297" s="119"/>
    </row>
    <row r="298">
      <c r="A298" s="116" t="s">
        <v>2731</v>
      </c>
      <c r="B298" s="116" t="s">
        <v>36</v>
      </c>
      <c r="C298" s="118" t="str">
        <f t="shared" si="1"/>
        <v>Merced, CA</v>
      </c>
      <c r="D298" s="115">
        <v>108.2</v>
      </c>
      <c r="E298" s="119"/>
    </row>
    <row r="299">
      <c r="A299" s="116" t="s">
        <v>2732</v>
      </c>
      <c r="B299" s="116" t="s">
        <v>1538</v>
      </c>
      <c r="C299" s="118" t="str">
        <f t="shared" si="1"/>
        <v>Meridian, MS</v>
      </c>
      <c r="D299" s="115">
        <v>82.0</v>
      </c>
      <c r="E299" s="119"/>
    </row>
    <row r="300">
      <c r="A300" s="116" t="s">
        <v>1448</v>
      </c>
      <c r="B300" s="116" t="s">
        <v>554</v>
      </c>
      <c r="C300" s="118" t="str">
        <f t="shared" si="1"/>
        <v>Miami, FL</v>
      </c>
      <c r="D300" s="115">
        <v>110.1</v>
      </c>
      <c r="E300" s="119"/>
    </row>
    <row r="301">
      <c r="A301" s="116" t="s">
        <v>2733</v>
      </c>
      <c r="B301" s="116" t="s">
        <v>641</v>
      </c>
      <c r="C301" s="118" t="str">
        <f t="shared" si="1"/>
        <v>Michigan City, IN</v>
      </c>
      <c r="D301" s="115">
        <v>87.8</v>
      </c>
      <c r="E301" s="119"/>
    </row>
    <row r="302">
      <c r="A302" s="116" t="s">
        <v>2734</v>
      </c>
      <c r="B302" s="116" t="s">
        <v>791</v>
      </c>
      <c r="C302" s="118" t="str">
        <f t="shared" si="1"/>
        <v>Midland, MI</v>
      </c>
      <c r="D302" s="115">
        <v>87.0</v>
      </c>
      <c r="E302" s="119"/>
    </row>
    <row r="303">
      <c r="A303" s="116" t="s">
        <v>2734</v>
      </c>
      <c r="B303" s="116" t="s">
        <v>106</v>
      </c>
      <c r="C303" s="118" t="str">
        <f t="shared" si="1"/>
        <v>Midland, TX</v>
      </c>
      <c r="D303" s="115">
        <v>97.8</v>
      </c>
      <c r="E303" s="119"/>
    </row>
    <row r="304">
      <c r="A304" s="116" t="s">
        <v>1449</v>
      </c>
      <c r="B304" s="116" t="s">
        <v>951</v>
      </c>
      <c r="C304" s="118" t="str">
        <f t="shared" si="1"/>
        <v>Milwaukee, WI</v>
      </c>
      <c r="D304" s="115">
        <v>93.8</v>
      </c>
      <c r="E304" s="119"/>
    </row>
    <row r="305">
      <c r="A305" s="116" t="s">
        <v>2735</v>
      </c>
      <c r="B305" s="116" t="s">
        <v>1244</v>
      </c>
      <c r="C305" s="118" t="str">
        <f t="shared" si="1"/>
        <v>Minneapolis, MN</v>
      </c>
      <c r="D305" s="115">
        <v>105.4</v>
      </c>
      <c r="E305" s="119"/>
    </row>
    <row r="306">
      <c r="A306" s="116" t="s">
        <v>2736</v>
      </c>
      <c r="B306" s="116" t="s">
        <v>2559</v>
      </c>
      <c r="C306" s="118" t="str">
        <f t="shared" si="1"/>
        <v>Minot, ND</v>
      </c>
      <c r="D306" s="115">
        <v>90.7</v>
      </c>
      <c r="E306" s="119"/>
    </row>
    <row r="307">
      <c r="A307" s="116" t="s">
        <v>2737</v>
      </c>
      <c r="B307" s="116" t="s">
        <v>2556</v>
      </c>
      <c r="C307" s="118" t="str">
        <f t="shared" si="1"/>
        <v>Missoula, MT</v>
      </c>
      <c r="D307" s="115">
        <v>103.4</v>
      </c>
      <c r="E307" s="119"/>
    </row>
    <row r="308">
      <c r="A308" s="116" t="s">
        <v>1562</v>
      </c>
      <c r="B308" s="116" t="s">
        <v>1404</v>
      </c>
      <c r="C308" s="118" t="str">
        <f t="shared" si="1"/>
        <v>Mobile, AL</v>
      </c>
      <c r="D308" s="115">
        <v>88.3</v>
      </c>
      <c r="E308" s="119"/>
    </row>
    <row r="309">
      <c r="A309" s="116" t="s">
        <v>1563</v>
      </c>
      <c r="B309" s="116" t="s">
        <v>36</v>
      </c>
      <c r="C309" s="118" t="str">
        <f t="shared" si="1"/>
        <v>Modesto, CA</v>
      </c>
      <c r="D309" s="115">
        <v>112.3</v>
      </c>
      <c r="E309" s="119"/>
    </row>
    <row r="310">
      <c r="A310" s="116" t="s">
        <v>2738</v>
      </c>
      <c r="B310" s="116" t="s">
        <v>1368</v>
      </c>
      <c r="C310" s="118" t="str">
        <f t="shared" si="1"/>
        <v>Monroe, LA</v>
      </c>
      <c r="D310" s="115">
        <v>86.5</v>
      </c>
      <c r="E310" s="119"/>
    </row>
    <row r="311">
      <c r="A311" s="116" t="s">
        <v>2738</v>
      </c>
      <c r="B311" s="116" t="s">
        <v>791</v>
      </c>
      <c r="C311" s="118" t="str">
        <f t="shared" si="1"/>
        <v>Monroe, MI</v>
      </c>
      <c r="D311" s="115">
        <v>90.5</v>
      </c>
      <c r="E311" s="119"/>
    </row>
    <row r="312">
      <c r="A312" s="116" t="s">
        <v>2739</v>
      </c>
      <c r="B312" s="116" t="s">
        <v>1404</v>
      </c>
      <c r="C312" s="118" t="str">
        <f t="shared" si="1"/>
        <v>Montgomery, AL</v>
      </c>
      <c r="D312" s="115">
        <v>88.5</v>
      </c>
      <c r="E312" s="119"/>
    </row>
    <row r="313">
      <c r="A313" s="116" t="s">
        <v>2740</v>
      </c>
      <c r="B313" s="116" t="s">
        <v>627</v>
      </c>
      <c r="C313" s="118" t="str">
        <f t="shared" si="1"/>
        <v>Morehead City, NC</v>
      </c>
      <c r="D313" s="115">
        <v>102.2</v>
      </c>
      <c r="E313" s="119"/>
    </row>
    <row r="314">
      <c r="A314" s="116" t="s">
        <v>2741</v>
      </c>
      <c r="B314" s="116" t="s">
        <v>2552</v>
      </c>
      <c r="C314" s="118" t="str">
        <f t="shared" si="1"/>
        <v>Morgantown, WV</v>
      </c>
      <c r="D314" s="115">
        <v>88.5</v>
      </c>
      <c r="E314" s="119"/>
    </row>
    <row r="315">
      <c r="A315" s="116" t="s">
        <v>2742</v>
      </c>
      <c r="B315" s="116" t="s">
        <v>778</v>
      </c>
      <c r="C315" s="118" t="str">
        <f t="shared" si="1"/>
        <v>Morristown, TN</v>
      </c>
      <c r="D315" s="115">
        <v>87.3</v>
      </c>
      <c r="E315" s="119"/>
    </row>
    <row r="316">
      <c r="A316" s="116" t="s">
        <v>2743</v>
      </c>
      <c r="B316" s="116" t="s">
        <v>684</v>
      </c>
      <c r="C316" s="118" t="str">
        <f t="shared" si="1"/>
        <v>Moses Lake, WA</v>
      </c>
      <c r="D316" s="115">
        <v>95.7</v>
      </c>
      <c r="E316" s="119"/>
    </row>
    <row r="317">
      <c r="A317" s="116" t="s">
        <v>2744</v>
      </c>
      <c r="B317" s="116" t="s">
        <v>627</v>
      </c>
      <c r="C317" s="118" t="str">
        <f t="shared" si="1"/>
        <v>Mount Airy, NC</v>
      </c>
      <c r="D317" s="115">
        <v>89.0</v>
      </c>
      <c r="E317" s="119"/>
    </row>
    <row r="318">
      <c r="A318" s="116" t="s">
        <v>2745</v>
      </c>
      <c r="B318" s="116" t="s">
        <v>791</v>
      </c>
      <c r="C318" s="118" t="str">
        <f t="shared" si="1"/>
        <v>Mount Pleasant, MI</v>
      </c>
      <c r="D318" s="115">
        <v>86.8</v>
      </c>
      <c r="E318" s="119"/>
    </row>
    <row r="319">
      <c r="A319" s="116" t="s">
        <v>2746</v>
      </c>
      <c r="B319" s="116" t="s">
        <v>684</v>
      </c>
      <c r="C319" s="118" t="str">
        <f t="shared" si="1"/>
        <v>Mount Vernon, WA</v>
      </c>
      <c r="D319" s="115">
        <v>110.1</v>
      </c>
      <c r="E319" s="119"/>
    </row>
    <row r="320">
      <c r="A320" s="116" t="s">
        <v>2747</v>
      </c>
      <c r="B320" s="116" t="s">
        <v>641</v>
      </c>
      <c r="C320" s="118" t="str">
        <f t="shared" si="1"/>
        <v>Muncie, IN</v>
      </c>
      <c r="D320" s="115">
        <v>83.7</v>
      </c>
      <c r="E320" s="119"/>
    </row>
    <row r="321">
      <c r="A321" s="116" t="s">
        <v>2748</v>
      </c>
      <c r="B321" s="116" t="s">
        <v>791</v>
      </c>
      <c r="C321" s="118" t="str">
        <f t="shared" si="1"/>
        <v>Muskegon, MI</v>
      </c>
      <c r="D321" s="115">
        <v>87.7</v>
      </c>
      <c r="E321" s="119"/>
    </row>
    <row r="322">
      <c r="A322" s="116" t="s">
        <v>2749</v>
      </c>
      <c r="B322" s="116" t="s">
        <v>830</v>
      </c>
      <c r="C322" s="118" t="str">
        <f t="shared" si="1"/>
        <v>Muskogee, OK</v>
      </c>
      <c r="D322" s="115">
        <v>81.3</v>
      </c>
      <c r="E322" s="119"/>
    </row>
    <row r="323">
      <c r="A323" s="116" t="s">
        <v>2750</v>
      </c>
      <c r="B323" s="116" t="s">
        <v>1412</v>
      </c>
      <c r="C323" s="118" t="str">
        <f t="shared" si="1"/>
        <v>Myrtle Beach, SC</v>
      </c>
      <c r="D323" s="115">
        <v>94.7</v>
      </c>
      <c r="E323" s="119"/>
    </row>
    <row r="324">
      <c r="A324" s="116" t="s">
        <v>2751</v>
      </c>
      <c r="B324" s="116" t="s">
        <v>106</v>
      </c>
      <c r="C324" s="118" t="str">
        <f t="shared" si="1"/>
        <v>Nacogdoches, TX</v>
      </c>
      <c r="D324" s="115">
        <v>89.6</v>
      </c>
      <c r="E324" s="119"/>
    </row>
    <row r="325">
      <c r="A325" s="116" t="s">
        <v>2752</v>
      </c>
      <c r="B325" s="116" t="s">
        <v>36</v>
      </c>
      <c r="C325" s="118" t="str">
        <f t="shared" si="1"/>
        <v>Napa, CA</v>
      </c>
      <c r="D325" s="115">
        <v>149.6</v>
      </c>
      <c r="E325" s="119"/>
    </row>
    <row r="326">
      <c r="A326" s="116" t="s">
        <v>2753</v>
      </c>
      <c r="B326" s="116" t="s">
        <v>554</v>
      </c>
      <c r="C326" s="118" t="str">
        <f t="shared" si="1"/>
        <v>Naples, FL</v>
      </c>
      <c r="D326" s="115">
        <v>109.4</v>
      </c>
      <c r="E326" s="119"/>
    </row>
    <row r="327">
      <c r="A327" s="116" t="s">
        <v>2754</v>
      </c>
      <c r="B327" s="116" t="s">
        <v>778</v>
      </c>
      <c r="C327" s="118" t="str">
        <f t="shared" si="1"/>
        <v>Nashville, TN</v>
      </c>
      <c r="D327" s="115">
        <v>100.1</v>
      </c>
      <c r="E327" s="119"/>
    </row>
    <row r="328">
      <c r="A328" s="116" t="s">
        <v>2755</v>
      </c>
      <c r="B328" s="116" t="s">
        <v>627</v>
      </c>
      <c r="C328" s="118" t="str">
        <f t="shared" si="1"/>
        <v>New Bern, NC</v>
      </c>
      <c r="D328" s="115">
        <v>90.2</v>
      </c>
      <c r="E328" s="119"/>
    </row>
    <row r="329">
      <c r="A329" s="116" t="s">
        <v>2756</v>
      </c>
      <c r="B329" s="116" t="s">
        <v>243</v>
      </c>
      <c r="C329" s="118" t="str">
        <f t="shared" si="1"/>
        <v>New Castle, PA</v>
      </c>
      <c r="D329" s="115">
        <v>88.1</v>
      </c>
      <c r="E329" s="119"/>
    </row>
    <row r="330">
      <c r="A330" s="116" t="s">
        <v>1454</v>
      </c>
      <c r="B330" s="116" t="s">
        <v>1432</v>
      </c>
      <c r="C330" s="118" t="str">
        <f t="shared" si="1"/>
        <v>New Haven, CT</v>
      </c>
      <c r="D330" s="115">
        <v>107.7</v>
      </c>
      <c r="E330" s="119"/>
    </row>
    <row r="331">
      <c r="A331" s="116" t="s">
        <v>2757</v>
      </c>
      <c r="B331" s="116" t="s">
        <v>1432</v>
      </c>
      <c r="C331" s="118" t="str">
        <f t="shared" si="1"/>
        <v>New London, CT</v>
      </c>
      <c r="D331" s="115">
        <v>105.9</v>
      </c>
      <c r="E331" s="119"/>
    </row>
    <row r="332">
      <c r="A332" s="116" t="s">
        <v>1455</v>
      </c>
      <c r="B332" s="116" t="s">
        <v>1368</v>
      </c>
      <c r="C332" s="118" t="str">
        <f t="shared" si="1"/>
        <v>New Orleans, LA</v>
      </c>
      <c r="D332" s="115">
        <v>92.4</v>
      </c>
      <c r="E332" s="119"/>
    </row>
    <row r="333">
      <c r="A333" s="116" t="s">
        <v>2758</v>
      </c>
      <c r="B333" s="116" t="s">
        <v>566</v>
      </c>
      <c r="C333" s="118" t="str">
        <f t="shared" si="1"/>
        <v>New Philadelphia, OH</v>
      </c>
      <c r="D333" s="115">
        <v>88.9</v>
      </c>
      <c r="E333" s="119"/>
    </row>
    <row r="334">
      <c r="A334" s="116" t="s">
        <v>2759</v>
      </c>
      <c r="B334" s="116" t="s">
        <v>20</v>
      </c>
      <c r="C334" s="118" t="str">
        <f t="shared" si="1"/>
        <v>New York, NY</v>
      </c>
      <c r="D334" s="115">
        <v>128.0</v>
      </c>
      <c r="E334" s="119"/>
    </row>
    <row r="335">
      <c r="A335" s="116" t="s">
        <v>2760</v>
      </c>
      <c r="B335" s="116" t="s">
        <v>791</v>
      </c>
      <c r="C335" s="118" t="str">
        <f t="shared" si="1"/>
        <v>Niles, MI</v>
      </c>
      <c r="D335" s="115">
        <v>89.7</v>
      </c>
      <c r="E335" s="119"/>
    </row>
    <row r="336">
      <c r="A336" s="116" t="s">
        <v>2761</v>
      </c>
      <c r="B336" s="116" t="s">
        <v>627</v>
      </c>
      <c r="C336" s="118" t="str">
        <f t="shared" si="1"/>
        <v>North Wilkesboro, NC</v>
      </c>
      <c r="D336" s="115">
        <v>90.5</v>
      </c>
      <c r="E336" s="119"/>
    </row>
    <row r="337">
      <c r="A337" s="116" t="s">
        <v>2762</v>
      </c>
      <c r="B337" s="116" t="s">
        <v>684</v>
      </c>
      <c r="C337" s="118" t="str">
        <f t="shared" si="1"/>
        <v>Oak Harbor, WA</v>
      </c>
      <c r="D337" s="115">
        <v>125.2</v>
      </c>
      <c r="E337" s="119"/>
    </row>
    <row r="338">
      <c r="A338" s="116" t="s">
        <v>2763</v>
      </c>
      <c r="B338" s="116" t="s">
        <v>554</v>
      </c>
      <c r="C338" s="118" t="str">
        <f t="shared" si="1"/>
        <v>Ocala, FL</v>
      </c>
      <c r="D338" s="115">
        <v>94.5</v>
      </c>
      <c r="E338" s="119"/>
    </row>
    <row r="339">
      <c r="A339" s="116" t="s">
        <v>2764</v>
      </c>
      <c r="B339" s="116" t="s">
        <v>27</v>
      </c>
      <c r="C339" s="118" t="str">
        <f t="shared" si="1"/>
        <v>Ocean City, NJ</v>
      </c>
      <c r="D339" s="115">
        <v>109.5</v>
      </c>
      <c r="E339" s="119"/>
    </row>
    <row r="340">
      <c r="A340" s="116" t="s">
        <v>2765</v>
      </c>
      <c r="B340" s="116" t="s">
        <v>106</v>
      </c>
      <c r="C340" s="118" t="str">
        <f t="shared" si="1"/>
        <v>Odessa, TX</v>
      </c>
      <c r="D340" s="115">
        <v>92.7</v>
      </c>
      <c r="E340" s="119"/>
    </row>
    <row r="341">
      <c r="A341" s="116" t="s">
        <v>2766</v>
      </c>
      <c r="B341" s="116" t="s">
        <v>1459</v>
      </c>
      <c r="C341" s="118" t="str">
        <f t="shared" si="1"/>
        <v>Ogden, UT</v>
      </c>
      <c r="D341" s="115">
        <v>99.8</v>
      </c>
      <c r="E341" s="119"/>
    </row>
    <row r="342">
      <c r="A342" s="116" t="s">
        <v>2767</v>
      </c>
      <c r="B342" s="116" t="s">
        <v>20</v>
      </c>
      <c r="C342" s="118" t="str">
        <f t="shared" si="1"/>
        <v>Ogdensburg, NY</v>
      </c>
      <c r="D342" s="115">
        <v>88.3</v>
      </c>
      <c r="E342" s="119"/>
    </row>
    <row r="343">
      <c r="A343" s="116" t="s">
        <v>1460</v>
      </c>
      <c r="B343" s="116" t="s">
        <v>830</v>
      </c>
      <c r="C343" s="118" t="str">
        <f t="shared" si="1"/>
        <v>Oklahoma City, OK</v>
      </c>
      <c r="D343" s="115">
        <v>87.3</v>
      </c>
      <c r="E343" s="119"/>
    </row>
    <row r="344">
      <c r="A344" s="116" t="s">
        <v>2768</v>
      </c>
      <c r="B344" s="116" t="s">
        <v>20</v>
      </c>
      <c r="C344" s="118" t="str">
        <f t="shared" si="1"/>
        <v>Olean, NY</v>
      </c>
      <c r="D344" s="115">
        <v>89.0</v>
      </c>
      <c r="E344" s="119"/>
    </row>
    <row r="345">
      <c r="A345" s="116" t="s">
        <v>2769</v>
      </c>
      <c r="B345" s="116" t="s">
        <v>684</v>
      </c>
      <c r="C345" s="118" t="str">
        <f t="shared" si="1"/>
        <v>Olympia, WA</v>
      </c>
      <c r="D345" s="115">
        <v>110.9</v>
      </c>
      <c r="E345" s="119"/>
    </row>
    <row r="346">
      <c r="A346" s="116" t="s">
        <v>1461</v>
      </c>
      <c r="B346" s="116" t="s">
        <v>1161</v>
      </c>
      <c r="C346" s="118" t="str">
        <f t="shared" si="1"/>
        <v>Omaha, NE</v>
      </c>
      <c r="D346" s="115">
        <v>92.9</v>
      </c>
      <c r="E346" s="119"/>
    </row>
    <row r="347">
      <c r="A347" s="116" t="s">
        <v>2770</v>
      </c>
      <c r="B347" s="116" t="s">
        <v>1368</v>
      </c>
      <c r="C347" s="118" t="str">
        <f t="shared" si="1"/>
        <v>Opelousas, LA</v>
      </c>
      <c r="D347" s="115">
        <v>86.1</v>
      </c>
      <c r="E347" s="119"/>
    </row>
    <row r="348">
      <c r="A348" s="116" t="s">
        <v>2771</v>
      </c>
      <c r="B348" s="116" t="s">
        <v>1412</v>
      </c>
      <c r="C348" s="118" t="str">
        <f t="shared" si="1"/>
        <v>Orangeburg, SC</v>
      </c>
      <c r="D348" s="115">
        <v>85.3</v>
      </c>
      <c r="E348" s="119"/>
    </row>
    <row r="349">
      <c r="A349" s="116" t="s">
        <v>1463</v>
      </c>
      <c r="B349" s="116" t="s">
        <v>554</v>
      </c>
      <c r="C349" s="118" t="str">
        <f t="shared" si="1"/>
        <v>Orlando, FL</v>
      </c>
      <c r="D349" s="115">
        <v>101.4</v>
      </c>
      <c r="E349" s="119"/>
    </row>
    <row r="350">
      <c r="A350" s="116" t="s">
        <v>2772</v>
      </c>
      <c r="B350" s="116" t="s">
        <v>951</v>
      </c>
      <c r="C350" s="118" t="str">
        <f t="shared" si="1"/>
        <v>Oshkosh, WI</v>
      </c>
      <c r="D350" s="115">
        <v>89.0</v>
      </c>
      <c r="E350" s="119"/>
    </row>
    <row r="351">
      <c r="A351" s="116" t="s">
        <v>2773</v>
      </c>
      <c r="B351" s="116" t="s">
        <v>74</v>
      </c>
      <c r="C351" s="118" t="str">
        <f t="shared" si="1"/>
        <v>Ottawa, IL</v>
      </c>
      <c r="D351" s="115">
        <v>86.6</v>
      </c>
      <c r="E351" s="119"/>
    </row>
    <row r="352">
      <c r="A352" s="116" t="s">
        <v>2774</v>
      </c>
      <c r="B352" s="116" t="s">
        <v>937</v>
      </c>
      <c r="C352" s="118" t="str">
        <f t="shared" si="1"/>
        <v>Owensboro, KY</v>
      </c>
      <c r="D352" s="115">
        <v>86.6</v>
      </c>
      <c r="E352" s="119"/>
    </row>
    <row r="353">
      <c r="A353" s="116" t="s">
        <v>2775</v>
      </c>
      <c r="B353" s="116" t="s">
        <v>791</v>
      </c>
      <c r="C353" s="118" t="str">
        <f t="shared" si="1"/>
        <v>Owosso, MI</v>
      </c>
      <c r="D353" s="115">
        <v>84.8</v>
      </c>
      <c r="E353" s="119"/>
    </row>
    <row r="354">
      <c r="A354" s="116" t="s">
        <v>2776</v>
      </c>
      <c r="B354" s="116" t="s">
        <v>937</v>
      </c>
      <c r="C354" s="118" t="str">
        <f t="shared" si="1"/>
        <v>Paducah, KY</v>
      </c>
      <c r="D354" s="115">
        <v>85.7</v>
      </c>
      <c r="E354" s="119"/>
    </row>
    <row r="355">
      <c r="A355" s="116" t="s">
        <v>2777</v>
      </c>
      <c r="B355" s="116" t="s">
        <v>554</v>
      </c>
      <c r="C355" s="118" t="str">
        <f t="shared" si="1"/>
        <v>Palatka, FL</v>
      </c>
      <c r="D355" s="115">
        <v>93.2</v>
      </c>
      <c r="E355" s="119"/>
    </row>
    <row r="356">
      <c r="A356" s="116" t="s">
        <v>2778</v>
      </c>
      <c r="B356" s="116" t="s">
        <v>554</v>
      </c>
      <c r="C356" s="118" t="str">
        <f t="shared" si="1"/>
        <v>Panama City, FL</v>
      </c>
      <c r="D356" s="115">
        <v>101.9</v>
      </c>
      <c r="E356" s="119"/>
    </row>
    <row r="357">
      <c r="A357" s="116" t="s">
        <v>2779</v>
      </c>
      <c r="B357" s="116" t="s">
        <v>2552</v>
      </c>
      <c r="C357" s="118" t="str">
        <f t="shared" si="1"/>
        <v>Parkersburg, WV</v>
      </c>
      <c r="D357" s="115">
        <v>84.7</v>
      </c>
      <c r="E357" s="119"/>
    </row>
    <row r="358">
      <c r="A358" s="116" t="s">
        <v>1574</v>
      </c>
      <c r="B358" s="116" t="s">
        <v>554</v>
      </c>
      <c r="C358" s="118" t="str">
        <f t="shared" si="1"/>
        <v>Pensacola, FL</v>
      </c>
      <c r="D358" s="115">
        <v>97.9</v>
      </c>
      <c r="E358" s="119"/>
    </row>
    <row r="359">
      <c r="A359" s="116" t="s">
        <v>1576</v>
      </c>
      <c r="B359" s="116" t="s">
        <v>74</v>
      </c>
      <c r="C359" s="118" t="str">
        <f t="shared" si="1"/>
        <v>Peoria, IL</v>
      </c>
      <c r="D359" s="115">
        <v>86.7</v>
      </c>
      <c r="E359" s="119"/>
    </row>
    <row r="360">
      <c r="A360" s="116" t="s">
        <v>1464</v>
      </c>
      <c r="B360" s="116" t="s">
        <v>243</v>
      </c>
      <c r="C360" s="118" t="str">
        <f t="shared" si="1"/>
        <v>Philadelphia, PA</v>
      </c>
      <c r="D360" s="115">
        <v>103.4</v>
      </c>
      <c r="E360" s="119"/>
    </row>
    <row r="361">
      <c r="A361" s="116" t="s">
        <v>1621</v>
      </c>
      <c r="B361" s="116" t="s">
        <v>161</v>
      </c>
      <c r="C361" s="118" t="str">
        <f t="shared" si="1"/>
        <v>Phoenix, AZ</v>
      </c>
      <c r="D361" s="115">
        <v>104.3</v>
      </c>
      <c r="E361" s="119"/>
    </row>
    <row r="362">
      <c r="A362" s="116" t="s">
        <v>2780</v>
      </c>
      <c r="B362" s="116" t="s">
        <v>1559</v>
      </c>
      <c r="C362" s="118" t="str">
        <f t="shared" si="1"/>
        <v>Pine Bluff, AR</v>
      </c>
      <c r="D362" s="115">
        <v>82.3</v>
      </c>
      <c r="E362" s="119"/>
    </row>
    <row r="363">
      <c r="A363" s="116" t="s">
        <v>1467</v>
      </c>
      <c r="B363" s="116" t="s">
        <v>243</v>
      </c>
      <c r="C363" s="118" t="str">
        <f t="shared" si="1"/>
        <v>Pittsburgh, PA</v>
      </c>
      <c r="D363" s="115">
        <v>93.1</v>
      </c>
      <c r="E363" s="119"/>
    </row>
    <row r="364">
      <c r="A364" s="116" t="s">
        <v>2781</v>
      </c>
      <c r="B364" s="116" t="s">
        <v>748</v>
      </c>
      <c r="C364" s="118" t="str">
        <f t="shared" si="1"/>
        <v>Pittsfield, MA</v>
      </c>
      <c r="D364" s="115">
        <v>106.4</v>
      </c>
      <c r="E364" s="119"/>
    </row>
    <row r="365">
      <c r="A365" s="116" t="s">
        <v>2782</v>
      </c>
      <c r="B365" s="116" t="s">
        <v>20</v>
      </c>
      <c r="C365" s="118" t="str">
        <f t="shared" si="1"/>
        <v>Plattsburgh, NY</v>
      </c>
      <c r="D365" s="115">
        <v>93.7</v>
      </c>
      <c r="E365" s="119"/>
    </row>
    <row r="366">
      <c r="A366" s="116" t="s">
        <v>2783</v>
      </c>
      <c r="B366" s="116" t="s">
        <v>1510</v>
      </c>
      <c r="C366" s="118" t="str">
        <f t="shared" si="1"/>
        <v>Pocatello, ID</v>
      </c>
      <c r="D366" s="115">
        <v>90.8</v>
      </c>
      <c r="E366" s="119"/>
    </row>
    <row r="367">
      <c r="A367" s="116" t="s">
        <v>2784</v>
      </c>
      <c r="B367" s="116" t="s">
        <v>684</v>
      </c>
      <c r="C367" s="118" t="str">
        <f t="shared" si="1"/>
        <v>Port Angeles, WA</v>
      </c>
      <c r="D367" s="115">
        <v>109.1</v>
      </c>
      <c r="E367" s="119"/>
    </row>
    <row r="368">
      <c r="A368" s="116" t="s">
        <v>1577</v>
      </c>
      <c r="B368" s="116" t="s">
        <v>554</v>
      </c>
      <c r="C368" s="118" t="str">
        <f t="shared" si="1"/>
        <v>Port St. Lucie, FL</v>
      </c>
      <c r="D368" s="115">
        <v>101.1</v>
      </c>
      <c r="E368" s="119"/>
    </row>
    <row r="369">
      <c r="A369" s="116" t="s">
        <v>1468</v>
      </c>
      <c r="B369" s="116" t="s">
        <v>1579</v>
      </c>
      <c r="C369" s="118" t="str">
        <f t="shared" si="1"/>
        <v>Portland, ME</v>
      </c>
      <c r="D369" s="115">
        <v>113.0</v>
      </c>
      <c r="E369" s="119"/>
    </row>
    <row r="370">
      <c r="A370" s="116" t="s">
        <v>1468</v>
      </c>
      <c r="B370" s="116" t="s">
        <v>889</v>
      </c>
      <c r="C370" s="118" t="str">
        <f t="shared" si="1"/>
        <v>Portland, OR</v>
      </c>
      <c r="D370" s="115">
        <v>116.5</v>
      </c>
      <c r="E370" s="119"/>
    </row>
    <row r="371">
      <c r="A371" s="116" t="s">
        <v>2785</v>
      </c>
      <c r="B371" s="116" t="s">
        <v>566</v>
      </c>
      <c r="C371" s="118" t="str">
        <f t="shared" si="1"/>
        <v>Portsmouth, OH</v>
      </c>
      <c r="D371" s="115">
        <v>84.7</v>
      </c>
      <c r="E371" s="119"/>
    </row>
    <row r="372">
      <c r="A372" s="116" t="s">
        <v>2786</v>
      </c>
      <c r="B372" s="116" t="s">
        <v>243</v>
      </c>
      <c r="C372" s="118" t="str">
        <f t="shared" si="1"/>
        <v>Pottsville, PA</v>
      </c>
      <c r="D372" s="115">
        <v>87.0</v>
      </c>
      <c r="E372" s="119"/>
    </row>
    <row r="373">
      <c r="A373" s="116" t="s">
        <v>2787</v>
      </c>
      <c r="B373" s="116" t="s">
        <v>161</v>
      </c>
      <c r="C373" s="118" t="str">
        <f t="shared" si="1"/>
        <v>Prescott, AZ</v>
      </c>
      <c r="D373" s="115">
        <v>104.6</v>
      </c>
      <c r="E373" s="119"/>
    </row>
    <row r="374">
      <c r="A374" s="116" t="s">
        <v>1470</v>
      </c>
      <c r="B374" s="116" t="s">
        <v>2788</v>
      </c>
      <c r="C374" s="118" t="str">
        <f t="shared" si="1"/>
        <v>Providence, RI</v>
      </c>
      <c r="D374" s="115">
        <v>111.5</v>
      </c>
      <c r="E374" s="119"/>
    </row>
    <row r="375">
      <c r="A375" s="116" t="s">
        <v>2789</v>
      </c>
      <c r="B375" s="116" t="s">
        <v>1459</v>
      </c>
      <c r="C375" s="118" t="str">
        <f t="shared" si="1"/>
        <v>Provo, UT</v>
      </c>
      <c r="D375" s="115">
        <v>100.9</v>
      </c>
      <c r="E375" s="119"/>
    </row>
    <row r="376">
      <c r="A376" s="116" t="s">
        <v>2790</v>
      </c>
      <c r="B376" s="116" t="s">
        <v>710</v>
      </c>
      <c r="C376" s="118" t="str">
        <f t="shared" si="1"/>
        <v>Pueblo, CO</v>
      </c>
      <c r="D376" s="115">
        <v>92.2</v>
      </c>
      <c r="E376" s="119"/>
    </row>
    <row r="377">
      <c r="A377" s="116" t="s">
        <v>2791</v>
      </c>
      <c r="B377" s="116" t="s">
        <v>554</v>
      </c>
      <c r="C377" s="118" t="str">
        <f t="shared" si="1"/>
        <v>Punta Gorda, FL</v>
      </c>
      <c r="D377" s="115">
        <v>100.3</v>
      </c>
      <c r="E377" s="119"/>
    </row>
    <row r="378">
      <c r="A378" s="116" t="s">
        <v>2792</v>
      </c>
      <c r="B378" s="116" t="s">
        <v>74</v>
      </c>
      <c r="C378" s="118" t="str">
        <f t="shared" si="1"/>
        <v>Quincy, IL</v>
      </c>
      <c r="D378" s="115">
        <v>87.3</v>
      </c>
      <c r="E378" s="119"/>
    </row>
    <row r="379">
      <c r="A379" s="116" t="s">
        <v>2793</v>
      </c>
      <c r="B379" s="116" t="s">
        <v>951</v>
      </c>
      <c r="C379" s="118" t="str">
        <f t="shared" si="1"/>
        <v>Racine, WI</v>
      </c>
      <c r="D379" s="115">
        <v>90.9</v>
      </c>
      <c r="E379" s="119"/>
    </row>
    <row r="380">
      <c r="A380" s="116" t="s">
        <v>1472</v>
      </c>
      <c r="B380" s="116" t="s">
        <v>627</v>
      </c>
      <c r="C380" s="118" t="str">
        <f t="shared" si="1"/>
        <v>Raleigh, NC</v>
      </c>
      <c r="D380" s="115">
        <v>99.7</v>
      </c>
      <c r="E380" s="119"/>
    </row>
    <row r="381">
      <c r="A381" s="116" t="s">
        <v>2794</v>
      </c>
      <c r="B381" s="116" t="s">
        <v>2795</v>
      </c>
      <c r="C381" s="118" t="str">
        <f t="shared" si="1"/>
        <v>Rapid City, SD</v>
      </c>
      <c r="D381" s="115">
        <v>94.2</v>
      </c>
      <c r="E381" s="119"/>
    </row>
    <row r="382">
      <c r="A382" s="116" t="s">
        <v>1583</v>
      </c>
      <c r="B382" s="116" t="s">
        <v>243</v>
      </c>
      <c r="C382" s="118" t="str">
        <f t="shared" si="1"/>
        <v>Reading, PA</v>
      </c>
      <c r="D382" s="115">
        <v>96.0</v>
      </c>
      <c r="E382" s="119"/>
    </row>
    <row r="383">
      <c r="A383" s="116" t="s">
        <v>2796</v>
      </c>
      <c r="B383" s="116" t="s">
        <v>36</v>
      </c>
      <c r="C383" s="118" t="str">
        <f t="shared" si="1"/>
        <v>Redding, CA</v>
      </c>
      <c r="D383" s="115">
        <v>108.7</v>
      </c>
      <c r="E383" s="119"/>
    </row>
    <row r="384">
      <c r="A384" s="116" t="s">
        <v>1584</v>
      </c>
      <c r="B384" s="116" t="s">
        <v>809</v>
      </c>
      <c r="C384" s="118" t="str">
        <f t="shared" si="1"/>
        <v>Reno, NV</v>
      </c>
      <c r="D384" s="115">
        <v>107.4</v>
      </c>
      <c r="E384" s="119"/>
    </row>
    <row r="385">
      <c r="A385" s="116" t="s">
        <v>1473</v>
      </c>
      <c r="B385" s="116" t="s">
        <v>641</v>
      </c>
      <c r="C385" s="118" t="str">
        <f t="shared" si="1"/>
        <v>Richmond, IN</v>
      </c>
      <c r="D385" s="115">
        <v>84.2</v>
      </c>
      <c r="E385" s="119"/>
    </row>
    <row r="386">
      <c r="A386" s="116" t="s">
        <v>1473</v>
      </c>
      <c r="B386" s="116" t="s">
        <v>937</v>
      </c>
      <c r="C386" s="118" t="str">
        <f t="shared" si="1"/>
        <v>Richmond, KY</v>
      </c>
      <c r="D386" s="115">
        <v>90.8</v>
      </c>
      <c r="E386" s="119"/>
    </row>
    <row r="387">
      <c r="A387" s="116" t="s">
        <v>1473</v>
      </c>
      <c r="B387" s="116" t="s">
        <v>740</v>
      </c>
      <c r="C387" s="118" t="str">
        <f t="shared" si="1"/>
        <v>Richmond, VA</v>
      </c>
      <c r="D387" s="115">
        <v>99.2</v>
      </c>
      <c r="E387" s="119"/>
    </row>
    <row r="388">
      <c r="A388" s="116" t="s">
        <v>2797</v>
      </c>
      <c r="B388" s="116" t="s">
        <v>36</v>
      </c>
      <c r="C388" s="118" t="str">
        <f t="shared" si="1"/>
        <v>Riverside, CA</v>
      </c>
      <c r="D388" s="115">
        <v>116.1</v>
      </c>
      <c r="E388" s="119"/>
    </row>
    <row r="389">
      <c r="A389" s="116" t="s">
        <v>1586</v>
      </c>
      <c r="B389" s="116" t="s">
        <v>740</v>
      </c>
      <c r="C389" s="118" t="str">
        <f t="shared" si="1"/>
        <v>Roanoke, VA</v>
      </c>
      <c r="D389" s="115">
        <v>94.1</v>
      </c>
      <c r="E389" s="119"/>
    </row>
    <row r="390">
      <c r="A390" s="116" t="s">
        <v>2798</v>
      </c>
      <c r="B390" s="116" t="s">
        <v>627</v>
      </c>
      <c r="C390" s="118" t="str">
        <f t="shared" si="1"/>
        <v>Roanoke Rapids, NC</v>
      </c>
      <c r="D390" s="115">
        <v>83.1</v>
      </c>
      <c r="E390" s="119"/>
    </row>
    <row r="391">
      <c r="A391" s="116" t="s">
        <v>1475</v>
      </c>
      <c r="B391" s="116" t="s">
        <v>1244</v>
      </c>
      <c r="C391" s="118" t="str">
        <f t="shared" si="1"/>
        <v>Rochester, MN</v>
      </c>
      <c r="D391" s="115">
        <v>97.3</v>
      </c>
      <c r="E391" s="119"/>
    </row>
    <row r="392">
      <c r="A392" s="116" t="s">
        <v>1475</v>
      </c>
      <c r="B392" s="116" t="s">
        <v>20</v>
      </c>
      <c r="C392" s="118" t="str">
        <f t="shared" si="1"/>
        <v>Rochester, NY</v>
      </c>
      <c r="D392" s="115">
        <v>96.6</v>
      </c>
      <c r="E392" s="119"/>
    </row>
    <row r="393">
      <c r="A393" s="116" t="s">
        <v>2799</v>
      </c>
      <c r="B393" s="116" t="s">
        <v>74</v>
      </c>
      <c r="C393" s="118" t="str">
        <f t="shared" si="1"/>
        <v>Rockford, IL</v>
      </c>
      <c r="D393" s="115">
        <v>87.2</v>
      </c>
      <c r="E393" s="119"/>
    </row>
    <row r="394">
      <c r="A394" s="116" t="s">
        <v>2800</v>
      </c>
      <c r="B394" s="116" t="s">
        <v>627</v>
      </c>
      <c r="C394" s="118" t="str">
        <f t="shared" si="1"/>
        <v>Rocky Mount, NC</v>
      </c>
      <c r="D394" s="115">
        <v>88.3</v>
      </c>
      <c r="E394" s="119"/>
    </row>
    <row r="395">
      <c r="A395" s="116" t="s">
        <v>2801</v>
      </c>
      <c r="B395" s="116" t="s">
        <v>406</v>
      </c>
      <c r="C395" s="118" t="str">
        <f t="shared" si="1"/>
        <v>Rome, GA</v>
      </c>
      <c r="D395" s="115">
        <v>89.6</v>
      </c>
      <c r="E395" s="119"/>
    </row>
    <row r="396">
      <c r="A396" s="116" t="s">
        <v>2802</v>
      </c>
      <c r="B396" s="116" t="s">
        <v>889</v>
      </c>
      <c r="C396" s="118" t="str">
        <f t="shared" si="1"/>
        <v>Roseburg, OR</v>
      </c>
      <c r="D396" s="115">
        <v>100.8</v>
      </c>
      <c r="E396" s="119"/>
    </row>
    <row r="397">
      <c r="A397" s="116" t="s">
        <v>2803</v>
      </c>
      <c r="B397" s="116" t="s">
        <v>981</v>
      </c>
      <c r="C397" s="118" t="str">
        <f t="shared" si="1"/>
        <v>Roswell, NM</v>
      </c>
      <c r="D397" s="115">
        <v>86.3</v>
      </c>
      <c r="E397" s="119"/>
    </row>
    <row r="398">
      <c r="A398" s="116" t="s">
        <v>2804</v>
      </c>
      <c r="B398" s="116" t="s">
        <v>1559</v>
      </c>
      <c r="C398" s="118" t="str">
        <f t="shared" si="1"/>
        <v>Russellville, AR</v>
      </c>
      <c r="D398" s="115">
        <v>85.5</v>
      </c>
      <c r="E398" s="119"/>
    </row>
    <row r="399">
      <c r="A399" s="116" t="s">
        <v>1476</v>
      </c>
      <c r="B399" s="116" t="s">
        <v>36</v>
      </c>
      <c r="C399" s="118" t="str">
        <f t="shared" si="1"/>
        <v>Sacramento, CA</v>
      </c>
      <c r="D399" s="115">
        <v>120.3</v>
      </c>
      <c r="E399" s="119"/>
    </row>
    <row r="400">
      <c r="A400" s="116" t="s">
        <v>2805</v>
      </c>
      <c r="B400" s="116" t="s">
        <v>791</v>
      </c>
      <c r="C400" s="118" t="str">
        <f t="shared" si="1"/>
        <v>Saginaw, MI</v>
      </c>
      <c r="D400" s="115">
        <v>84.0</v>
      </c>
      <c r="E400" s="119"/>
    </row>
    <row r="401">
      <c r="A401" s="116" t="s">
        <v>1590</v>
      </c>
      <c r="B401" s="116" t="s">
        <v>566</v>
      </c>
      <c r="C401" s="118" t="str">
        <f t="shared" si="1"/>
        <v>Salem, OH</v>
      </c>
      <c r="D401" s="115">
        <v>86.6</v>
      </c>
      <c r="E401" s="119"/>
    </row>
    <row r="402">
      <c r="A402" s="116" t="s">
        <v>1590</v>
      </c>
      <c r="B402" s="116" t="s">
        <v>889</v>
      </c>
      <c r="C402" s="118" t="str">
        <f t="shared" si="1"/>
        <v>Salem, OR</v>
      </c>
      <c r="D402" s="115">
        <v>105.8</v>
      </c>
      <c r="E402" s="119"/>
    </row>
    <row r="403">
      <c r="A403" s="116" t="s">
        <v>2806</v>
      </c>
      <c r="B403" s="116" t="s">
        <v>36</v>
      </c>
      <c r="C403" s="118" t="str">
        <f t="shared" si="1"/>
        <v>Salinas, CA</v>
      </c>
      <c r="D403" s="115">
        <v>138.3</v>
      </c>
      <c r="E403" s="119"/>
    </row>
    <row r="404">
      <c r="A404" s="116" t="s">
        <v>2807</v>
      </c>
      <c r="B404" s="116" t="s">
        <v>967</v>
      </c>
      <c r="C404" s="118" t="str">
        <f t="shared" si="1"/>
        <v>Salisbury, MD</v>
      </c>
      <c r="D404" s="115">
        <v>103.2</v>
      </c>
      <c r="E404" s="119"/>
    </row>
    <row r="405">
      <c r="A405" s="116" t="s">
        <v>2808</v>
      </c>
      <c r="B405" s="116" t="s">
        <v>1459</v>
      </c>
      <c r="C405" s="118" t="str">
        <f t="shared" si="1"/>
        <v>Salt Lake City, UT</v>
      </c>
      <c r="D405" s="115">
        <v>105.9</v>
      </c>
      <c r="E405" s="119"/>
    </row>
    <row r="406">
      <c r="A406" s="116" t="s">
        <v>2809</v>
      </c>
      <c r="B406" s="116" t="s">
        <v>106</v>
      </c>
      <c r="C406" s="118" t="str">
        <f t="shared" si="1"/>
        <v>San Angelo, TX</v>
      </c>
      <c r="D406" s="115">
        <v>90.7</v>
      </c>
      <c r="E406" s="119"/>
    </row>
    <row r="407">
      <c r="A407" s="116" t="s">
        <v>1480</v>
      </c>
      <c r="B407" s="116" t="s">
        <v>106</v>
      </c>
      <c r="C407" s="118" t="str">
        <f t="shared" si="1"/>
        <v>San Antonio, TX</v>
      </c>
      <c r="D407" s="115">
        <v>92.7</v>
      </c>
      <c r="E407" s="119"/>
    </row>
    <row r="408">
      <c r="A408" s="116" t="s">
        <v>1481</v>
      </c>
      <c r="B408" s="116" t="s">
        <v>36</v>
      </c>
      <c r="C408" s="118" t="str">
        <f t="shared" si="1"/>
        <v>San Diego, CA</v>
      </c>
      <c r="D408" s="115">
        <v>136.2</v>
      </c>
      <c r="E408" s="119"/>
    </row>
    <row r="409">
      <c r="A409" s="116" t="s">
        <v>668</v>
      </c>
      <c r="B409" s="116" t="s">
        <v>36</v>
      </c>
      <c r="C409" s="118" t="str">
        <f t="shared" si="1"/>
        <v>San Francisco, CA</v>
      </c>
      <c r="D409" s="115">
        <v>178.6</v>
      </c>
      <c r="E409" s="119"/>
    </row>
    <row r="410">
      <c r="A410" s="116" t="s">
        <v>1483</v>
      </c>
      <c r="B410" s="116" t="s">
        <v>36</v>
      </c>
      <c r="C410" s="118" t="str">
        <f t="shared" si="1"/>
        <v>San Jose, CA</v>
      </c>
      <c r="D410" s="115">
        <v>173.5</v>
      </c>
      <c r="E410" s="119"/>
    </row>
    <row r="411">
      <c r="A411" s="116" t="s">
        <v>2810</v>
      </c>
      <c r="B411" s="116" t="s">
        <v>36</v>
      </c>
      <c r="C411" s="118" t="str">
        <f t="shared" si="1"/>
        <v>San Luis Obispo, CA</v>
      </c>
      <c r="D411" s="115">
        <v>136.1</v>
      </c>
      <c r="E411" s="119"/>
    </row>
    <row r="412">
      <c r="A412" s="116" t="s">
        <v>2811</v>
      </c>
      <c r="B412" s="116" t="s">
        <v>566</v>
      </c>
      <c r="C412" s="118" t="str">
        <f t="shared" si="1"/>
        <v>Sandusky, OH</v>
      </c>
      <c r="D412" s="115">
        <v>90.8</v>
      </c>
      <c r="E412" s="119"/>
    </row>
    <row r="413">
      <c r="A413" s="116" t="s">
        <v>2812</v>
      </c>
      <c r="B413" s="116" t="s">
        <v>36</v>
      </c>
      <c r="C413" s="118" t="str">
        <f t="shared" si="1"/>
        <v>Santa Cruz, CA</v>
      </c>
      <c r="D413" s="115">
        <v>163.9</v>
      </c>
      <c r="E413" s="119"/>
    </row>
    <row r="414">
      <c r="A414" s="116" t="s">
        <v>2813</v>
      </c>
      <c r="B414" s="116" t="s">
        <v>981</v>
      </c>
      <c r="C414" s="118" t="str">
        <f t="shared" si="1"/>
        <v>Santa Fe, NM</v>
      </c>
      <c r="D414" s="115">
        <v>105.1</v>
      </c>
      <c r="E414" s="119"/>
    </row>
    <row r="415">
      <c r="A415" s="116" t="s">
        <v>2814</v>
      </c>
      <c r="B415" s="116" t="s">
        <v>36</v>
      </c>
      <c r="C415" s="118" t="str">
        <f t="shared" si="1"/>
        <v>Santa Maria, CA</v>
      </c>
      <c r="D415" s="115">
        <v>143.0</v>
      </c>
      <c r="E415" s="119"/>
    </row>
    <row r="416">
      <c r="A416" s="116" t="s">
        <v>1592</v>
      </c>
      <c r="B416" s="116" t="s">
        <v>36</v>
      </c>
      <c r="C416" s="118" t="str">
        <f t="shared" si="1"/>
        <v>Santa Rosa, CA</v>
      </c>
      <c r="D416" s="115">
        <v>141.7</v>
      </c>
      <c r="E416" s="119"/>
    </row>
    <row r="417">
      <c r="A417" s="116" t="s">
        <v>2815</v>
      </c>
      <c r="B417" s="116" t="s">
        <v>554</v>
      </c>
      <c r="C417" s="118" t="str">
        <f t="shared" si="1"/>
        <v>Sarasota, FL</v>
      </c>
      <c r="D417" s="115">
        <v>104.4</v>
      </c>
      <c r="E417" s="119"/>
    </row>
    <row r="418">
      <c r="A418" s="116" t="s">
        <v>1593</v>
      </c>
      <c r="B418" s="116" t="s">
        <v>406</v>
      </c>
      <c r="C418" s="118" t="str">
        <f t="shared" si="1"/>
        <v>Savannah, GA</v>
      </c>
      <c r="D418" s="115">
        <v>97.3</v>
      </c>
      <c r="E418" s="119"/>
    </row>
    <row r="419">
      <c r="A419" s="116" t="s">
        <v>2816</v>
      </c>
      <c r="B419" s="116" t="s">
        <v>243</v>
      </c>
      <c r="C419" s="118" t="str">
        <f t="shared" si="1"/>
        <v>Scranton, PA</v>
      </c>
      <c r="D419" s="115">
        <v>91.3</v>
      </c>
      <c r="E419" s="119"/>
    </row>
    <row r="420">
      <c r="A420" s="116" t="s">
        <v>2817</v>
      </c>
      <c r="B420" s="116" t="s">
        <v>1559</v>
      </c>
      <c r="C420" s="118" t="str">
        <f t="shared" si="1"/>
        <v>Searcy, AR</v>
      </c>
      <c r="D420" s="115">
        <v>85.4</v>
      </c>
      <c r="E420" s="119"/>
    </row>
    <row r="421">
      <c r="A421" s="116" t="s">
        <v>1485</v>
      </c>
      <c r="B421" s="116" t="s">
        <v>684</v>
      </c>
      <c r="C421" s="118" t="str">
        <f t="shared" si="1"/>
        <v>Seattle, WA</v>
      </c>
      <c r="D421" s="115">
        <v>124.6</v>
      </c>
      <c r="E421" s="119"/>
    </row>
    <row r="422">
      <c r="A422" s="116" t="s">
        <v>2818</v>
      </c>
      <c r="B422" s="116" t="s">
        <v>554</v>
      </c>
      <c r="C422" s="118" t="str">
        <f t="shared" si="1"/>
        <v>Sebring, FL</v>
      </c>
      <c r="D422" s="115">
        <v>93.1</v>
      </c>
      <c r="E422" s="119"/>
    </row>
    <row r="423">
      <c r="A423" s="116" t="s">
        <v>2819</v>
      </c>
      <c r="B423" s="116" t="s">
        <v>1412</v>
      </c>
      <c r="C423" s="118" t="str">
        <f t="shared" si="1"/>
        <v>Seneca, SC</v>
      </c>
      <c r="D423" s="115">
        <v>94.0</v>
      </c>
      <c r="E423" s="119"/>
    </row>
    <row r="424">
      <c r="A424" s="116" t="s">
        <v>2820</v>
      </c>
      <c r="B424" s="116" t="s">
        <v>778</v>
      </c>
      <c r="C424" s="118" t="str">
        <f t="shared" si="1"/>
        <v>Sevierville, TN</v>
      </c>
      <c r="D424" s="115">
        <v>103.5</v>
      </c>
      <c r="E424" s="119"/>
    </row>
    <row r="425">
      <c r="A425" s="116" t="s">
        <v>2821</v>
      </c>
      <c r="B425" s="116" t="s">
        <v>830</v>
      </c>
      <c r="C425" s="118" t="str">
        <f t="shared" si="1"/>
        <v>Shawnee, OK</v>
      </c>
      <c r="D425" s="115">
        <v>82.4</v>
      </c>
      <c r="E425" s="119"/>
    </row>
    <row r="426">
      <c r="A426" s="116" t="s">
        <v>2822</v>
      </c>
      <c r="B426" s="116" t="s">
        <v>951</v>
      </c>
      <c r="C426" s="118" t="str">
        <f t="shared" si="1"/>
        <v>Sheboygan, WI</v>
      </c>
      <c r="D426" s="115">
        <v>89.7</v>
      </c>
      <c r="E426" s="119"/>
    </row>
    <row r="427">
      <c r="A427" s="116" t="s">
        <v>2823</v>
      </c>
      <c r="B427" s="116" t="s">
        <v>627</v>
      </c>
      <c r="C427" s="118" t="str">
        <f t="shared" si="1"/>
        <v>Shelby, NC</v>
      </c>
      <c r="D427" s="115">
        <v>88.1</v>
      </c>
      <c r="E427" s="119"/>
    </row>
    <row r="428">
      <c r="A428" s="116" t="s">
        <v>2824</v>
      </c>
      <c r="B428" s="116" t="s">
        <v>684</v>
      </c>
      <c r="C428" s="118" t="str">
        <f t="shared" si="1"/>
        <v>Shelton, WA</v>
      </c>
      <c r="D428" s="115">
        <v>109.6</v>
      </c>
      <c r="E428" s="119"/>
    </row>
    <row r="429">
      <c r="A429" s="116" t="s">
        <v>2825</v>
      </c>
      <c r="B429" s="116" t="s">
        <v>106</v>
      </c>
      <c r="C429" s="118" t="str">
        <f t="shared" si="1"/>
        <v>Sherman, TX</v>
      </c>
      <c r="D429" s="115">
        <v>91.3</v>
      </c>
      <c r="E429" s="119"/>
    </row>
    <row r="430">
      <c r="A430" s="116" t="s">
        <v>2826</v>
      </c>
      <c r="B430" s="116" t="s">
        <v>161</v>
      </c>
      <c r="C430" s="118" t="str">
        <f t="shared" si="1"/>
        <v>Show Low, AZ</v>
      </c>
      <c r="D430" s="115">
        <v>101.9</v>
      </c>
      <c r="E430" s="119"/>
    </row>
    <row r="431">
      <c r="A431" s="116" t="s">
        <v>1595</v>
      </c>
      <c r="B431" s="116" t="s">
        <v>1368</v>
      </c>
      <c r="C431" s="118" t="str">
        <f t="shared" si="1"/>
        <v>Shreveport, LA</v>
      </c>
      <c r="D431" s="115">
        <v>85.8</v>
      </c>
      <c r="E431" s="119"/>
    </row>
    <row r="432">
      <c r="A432" s="116" t="s">
        <v>2827</v>
      </c>
      <c r="B432" s="116" t="s">
        <v>161</v>
      </c>
      <c r="C432" s="118" t="str">
        <f t="shared" si="1"/>
        <v>Sierra Vista, AZ</v>
      </c>
      <c r="D432" s="115">
        <v>93.2</v>
      </c>
      <c r="E432" s="119"/>
    </row>
    <row r="433">
      <c r="A433" s="116" t="s">
        <v>2828</v>
      </c>
      <c r="B433" s="116" t="s">
        <v>1523</v>
      </c>
      <c r="C433" s="118" t="str">
        <f t="shared" si="1"/>
        <v>Sioux City, IA</v>
      </c>
      <c r="D433" s="115">
        <v>87.1</v>
      </c>
      <c r="E433" s="119"/>
    </row>
    <row r="434">
      <c r="A434" s="116" t="s">
        <v>2829</v>
      </c>
      <c r="B434" s="116" t="s">
        <v>2795</v>
      </c>
      <c r="C434" s="118" t="str">
        <f t="shared" si="1"/>
        <v>Sioux Falls, SD</v>
      </c>
      <c r="D434" s="115">
        <v>92.8</v>
      </c>
      <c r="E434" s="119"/>
    </row>
    <row r="435">
      <c r="A435" s="116" t="s">
        <v>2830</v>
      </c>
      <c r="B435" s="116" t="s">
        <v>243</v>
      </c>
      <c r="C435" s="118" t="str">
        <f t="shared" si="1"/>
        <v>Somerset, PA</v>
      </c>
      <c r="D435" s="115">
        <v>89.3</v>
      </c>
      <c r="E435" s="119"/>
    </row>
    <row r="436">
      <c r="A436" s="116" t="s">
        <v>1596</v>
      </c>
      <c r="B436" s="116" t="s">
        <v>641</v>
      </c>
      <c r="C436" s="118" t="str">
        <f t="shared" si="1"/>
        <v>South Bend, IN</v>
      </c>
      <c r="D436" s="115">
        <v>87.2</v>
      </c>
      <c r="E436" s="119"/>
    </row>
    <row r="437">
      <c r="A437" s="116" t="s">
        <v>2831</v>
      </c>
      <c r="B437" s="116" t="s">
        <v>1412</v>
      </c>
      <c r="C437" s="118" t="str">
        <f t="shared" si="1"/>
        <v>Spartanburg, SC</v>
      </c>
      <c r="D437" s="115">
        <v>91.0</v>
      </c>
      <c r="E437" s="119"/>
    </row>
    <row r="438">
      <c r="A438" s="116" t="s">
        <v>1598</v>
      </c>
      <c r="B438" s="116" t="s">
        <v>684</v>
      </c>
      <c r="C438" s="118" t="str">
        <f t="shared" si="1"/>
        <v>Spokane, WA</v>
      </c>
      <c r="D438" s="115">
        <v>100.4</v>
      </c>
      <c r="E438" s="119"/>
    </row>
    <row r="439">
      <c r="A439" s="116" t="s">
        <v>1486</v>
      </c>
      <c r="B439" s="116" t="s">
        <v>74</v>
      </c>
      <c r="C439" s="118" t="str">
        <f t="shared" si="1"/>
        <v>Springfield, IL</v>
      </c>
      <c r="D439" s="115">
        <v>87.5</v>
      </c>
      <c r="E439" s="119"/>
    </row>
    <row r="440">
      <c r="A440" s="116" t="s">
        <v>1486</v>
      </c>
      <c r="B440" s="116" t="s">
        <v>748</v>
      </c>
      <c r="C440" s="118" t="str">
        <f t="shared" si="1"/>
        <v>Springfield, MA</v>
      </c>
      <c r="D440" s="115">
        <v>106.5</v>
      </c>
      <c r="E440" s="119"/>
    </row>
    <row r="441">
      <c r="A441" s="116" t="s">
        <v>1486</v>
      </c>
      <c r="B441" s="116" t="s">
        <v>1098</v>
      </c>
      <c r="C441" s="118" t="str">
        <f t="shared" si="1"/>
        <v>Springfield, MO</v>
      </c>
      <c r="D441" s="115">
        <v>86.7</v>
      </c>
      <c r="E441" s="119"/>
    </row>
    <row r="442">
      <c r="A442" s="116" t="s">
        <v>1486</v>
      </c>
      <c r="B442" s="116" t="s">
        <v>566</v>
      </c>
      <c r="C442" s="118" t="str">
        <f t="shared" si="1"/>
        <v>Springfield, OH</v>
      </c>
      <c r="D442" s="115">
        <v>87.5</v>
      </c>
      <c r="E442" s="119"/>
    </row>
    <row r="443">
      <c r="A443" s="116" t="s">
        <v>2832</v>
      </c>
      <c r="B443" s="116" t="s">
        <v>1244</v>
      </c>
      <c r="C443" s="118" t="str">
        <f t="shared" si="1"/>
        <v>St. Cloud, MN</v>
      </c>
      <c r="D443" s="115">
        <v>95.4</v>
      </c>
      <c r="E443" s="119"/>
    </row>
    <row r="444">
      <c r="A444" s="116" t="s">
        <v>2833</v>
      </c>
      <c r="B444" s="116" t="s">
        <v>1459</v>
      </c>
      <c r="C444" s="118" t="str">
        <f t="shared" si="1"/>
        <v>St. George, UT</v>
      </c>
      <c r="D444" s="115">
        <v>98.0</v>
      </c>
      <c r="E444" s="119"/>
    </row>
    <row r="445">
      <c r="A445" s="116" t="s">
        <v>2834</v>
      </c>
      <c r="B445" s="116" t="s">
        <v>1098</v>
      </c>
      <c r="C445" s="118" t="str">
        <f t="shared" si="1"/>
        <v>St. Joseph, MO</v>
      </c>
      <c r="D445" s="115">
        <v>85.5</v>
      </c>
      <c r="E445" s="119"/>
    </row>
    <row r="446">
      <c r="A446" s="116" t="s">
        <v>1477</v>
      </c>
      <c r="B446" s="116" t="s">
        <v>1098</v>
      </c>
      <c r="C446" s="118" t="str">
        <f t="shared" si="1"/>
        <v>St. Louis, MO</v>
      </c>
      <c r="D446" s="115">
        <v>89.6</v>
      </c>
      <c r="E446" s="119"/>
    </row>
    <row r="447">
      <c r="A447" s="116" t="s">
        <v>2835</v>
      </c>
      <c r="B447" s="116" t="s">
        <v>1432</v>
      </c>
      <c r="C447" s="118" t="str">
        <f t="shared" si="1"/>
        <v>Stamford, CT</v>
      </c>
      <c r="D447" s="115">
        <v>119.2</v>
      </c>
      <c r="E447" s="119"/>
    </row>
    <row r="448">
      <c r="A448" s="116" t="s">
        <v>2836</v>
      </c>
      <c r="B448" s="116" t="s">
        <v>243</v>
      </c>
      <c r="C448" s="118" t="str">
        <f t="shared" si="1"/>
        <v>State College, PA</v>
      </c>
      <c r="D448" s="115">
        <v>99.8</v>
      </c>
      <c r="E448" s="119"/>
    </row>
    <row r="449">
      <c r="A449" s="116" t="s">
        <v>2837</v>
      </c>
      <c r="B449" s="116" t="s">
        <v>406</v>
      </c>
      <c r="C449" s="118" t="str">
        <f t="shared" si="1"/>
        <v>Statesboro, GA</v>
      </c>
      <c r="D449" s="115">
        <v>91.1</v>
      </c>
      <c r="E449" s="119"/>
    </row>
    <row r="450">
      <c r="A450" s="116" t="s">
        <v>2838</v>
      </c>
      <c r="B450" s="116" t="s">
        <v>740</v>
      </c>
      <c r="C450" s="118" t="str">
        <f t="shared" si="1"/>
        <v>Staunton, VA</v>
      </c>
      <c r="D450" s="115">
        <v>94.5</v>
      </c>
      <c r="E450" s="119"/>
    </row>
    <row r="451">
      <c r="A451" s="116" t="s">
        <v>2839</v>
      </c>
      <c r="B451" s="116" t="s">
        <v>951</v>
      </c>
      <c r="C451" s="118" t="str">
        <f t="shared" si="1"/>
        <v>Stevens Point, WI</v>
      </c>
      <c r="D451" s="115">
        <v>91.5</v>
      </c>
      <c r="E451" s="119"/>
    </row>
    <row r="452">
      <c r="A452" s="116" t="s">
        <v>2840</v>
      </c>
      <c r="B452" s="116" t="s">
        <v>830</v>
      </c>
      <c r="C452" s="118" t="str">
        <f t="shared" si="1"/>
        <v>Stillwater, OK</v>
      </c>
      <c r="D452" s="115">
        <v>86.3</v>
      </c>
      <c r="E452" s="119"/>
    </row>
    <row r="453">
      <c r="A453" s="116" t="s">
        <v>1599</v>
      </c>
      <c r="B453" s="116" t="s">
        <v>36</v>
      </c>
      <c r="C453" s="118" t="str">
        <f t="shared" si="1"/>
        <v>Stockton, CA</v>
      </c>
      <c r="D453" s="115">
        <v>113.6</v>
      </c>
      <c r="E453" s="119"/>
    </row>
    <row r="454">
      <c r="A454" s="116" t="s">
        <v>2841</v>
      </c>
      <c r="B454" s="116" t="s">
        <v>1412</v>
      </c>
      <c r="C454" s="118" t="str">
        <f t="shared" si="1"/>
        <v>Sumter, SC</v>
      </c>
      <c r="D454" s="115">
        <v>88.1</v>
      </c>
      <c r="E454" s="119"/>
    </row>
    <row r="455">
      <c r="A455" s="116" t="s">
        <v>2842</v>
      </c>
      <c r="B455" s="116" t="s">
        <v>243</v>
      </c>
      <c r="C455" s="118" t="str">
        <f t="shared" si="1"/>
        <v>Sunbury, PA</v>
      </c>
      <c r="D455" s="115">
        <v>88.6</v>
      </c>
      <c r="E455" s="119"/>
    </row>
    <row r="456">
      <c r="A456" s="116" t="s">
        <v>1600</v>
      </c>
      <c r="B456" s="116" t="s">
        <v>20</v>
      </c>
      <c r="C456" s="118" t="str">
        <f t="shared" si="1"/>
        <v>Syracuse, NY</v>
      </c>
      <c r="D456" s="115">
        <v>95.1</v>
      </c>
      <c r="E456" s="119"/>
    </row>
    <row r="457">
      <c r="A457" s="116" t="s">
        <v>2843</v>
      </c>
      <c r="B457" s="116" t="s">
        <v>1404</v>
      </c>
      <c r="C457" s="118" t="str">
        <f t="shared" si="1"/>
        <v>Talladega, AL</v>
      </c>
      <c r="D457" s="115">
        <v>87.4</v>
      </c>
      <c r="E457" s="119"/>
    </row>
    <row r="458">
      <c r="A458" s="116" t="s">
        <v>1601</v>
      </c>
      <c r="B458" s="116" t="s">
        <v>554</v>
      </c>
      <c r="C458" s="118" t="str">
        <f t="shared" si="1"/>
        <v>Tallahassee, FL</v>
      </c>
      <c r="D458" s="115">
        <v>96.4</v>
      </c>
      <c r="E458" s="119"/>
    </row>
    <row r="459">
      <c r="A459" s="116" t="s">
        <v>2844</v>
      </c>
      <c r="B459" s="116" t="s">
        <v>554</v>
      </c>
      <c r="C459" s="118" t="str">
        <f t="shared" si="1"/>
        <v>Tampa, FL</v>
      </c>
      <c r="D459" s="115">
        <v>101.4</v>
      </c>
      <c r="E459" s="119"/>
    </row>
    <row r="460">
      <c r="A460" s="116" t="s">
        <v>2845</v>
      </c>
      <c r="B460" s="116" t="s">
        <v>641</v>
      </c>
      <c r="C460" s="118" t="str">
        <f t="shared" si="1"/>
        <v>Terre Haute, IN</v>
      </c>
      <c r="D460" s="115">
        <v>84.7</v>
      </c>
      <c r="E460" s="119"/>
    </row>
    <row r="461">
      <c r="A461" s="116" t="s">
        <v>2846</v>
      </c>
      <c r="B461" s="116" t="s">
        <v>106</v>
      </c>
      <c r="C461" s="118" t="str">
        <f t="shared" si="1"/>
        <v>Texarkana, TX</v>
      </c>
      <c r="D461" s="115">
        <v>86.3</v>
      </c>
      <c r="E461" s="119"/>
    </row>
    <row r="462">
      <c r="A462" s="116" t="s">
        <v>2847</v>
      </c>
      <c r="B462" s="116" t="s">
        <v>554</v>
      </c>
      <c r="C462" s="118" t="str">
        <f t="shared" si="1"/>
        <v>The Villages, FL</v>
      </c>
      <c r="D462" s="115">
        <v>100.7</v>
      </c>
      <c r="E462" s="119"/>
    </row>
    <row r="463">
      <c r="A463" s="116" t="s">
        <v>1489</v>
      </c>
      <c r="B463" s="116" t="s">
        <v>566</v>
      </c>
      <c r="C463" s="118" t="str">
        <f t="shared" si="1"/>
        <v>Toledo, OH</v>
      </c>
      <c r="D463" s="115">
        <v>87.5</v>
      </c>
      <c r="E463" s="119"/>
    </row>
    <row r="464">
      <c r="A464" s="116" t="s">
        <v>2848</v>
      </c>
      <c r="B464" s="116" t="s">
        <v>1348</v>
      </c>
      <c r="C464" s="118" t="str">
        <f t="shared" si="1"/>
        <v>Topeka, KS</v>
      </c>
      <c r="D464" s="115">
        <v>85.6</v>
      </c>
      <c r="E464" s="119"/>
    </row>
    <row r="465">
      <c r="A465" s="116" t="s">
        <v>2849</v>
      </c>
      <c r="B465" s="116" t="s">
        <v>1432</v>
      </c>
      <c r="C465" s="118" t="str">
        <f t="shared" si="1"/>
        <v>Torrington, CT</v>
      </c>
      <c r="D465" s="115">
        <v>105.2</v>
      </c>
      <c r="E465" s="119"/>
    </row>
    <row r="466">
      <c r="A466" s="116" t="s">
        <v>2850</v>
      </c>
      <c r="B466" s="116" t="s">
        <v>791</v>
      </c>
      <c r="C466" s="118" t="str">
        <f t="shared" si="1"/>
        <v>Traverse City, MI</v>
      </c>
      <c r="D466" s="115">
        <v>99.6</v>
      </c>
      <c r="E466" s="119"/>
    </row>
    <row r="467">
      <c r="A467" s="116" t="s">
        <v>1603</v>
      </c>
      <c r="B467" s="116" t="s">
        <v>27</v>
      </c>
      <c r="C467" s="118" t="str">
        <f t="shared" si="1"/>
        <v>Trenton, NJ</v>
      </c>
      <c r="D467" s="115">
        <v>104.3</v>
      </c>
      <c r="E467" s="119"/>
    </row>
    <row r="468">
      <c r="A468" s="116" t="s">
        <v>2851</v>
      </c>
      <c r="B468" s="116" t="s">
        <v>36</v>
      </c>
      <c r="C468" s="118" t="str">
        <f t="shared" si="1"/>
        <v>Truckee, CA</v>
      </c>
      <c r="D468" s="115">
        <v>132.8</v>
      </c>
      <c r="E468" s="119"/>
    </row>
    <row r="469">
      <c r="A469" s="116" t="s">
        <v>1491</v>
      </c>
      <c r="B469" s="116" t="s">
        <v>161</v>
      </c>
      <c r="C469" s="118" t="str">
        <f t="shared" si="1"/>
        <v>Tucson, AZ</v>
      </c>
      <c r="D469" s="115">
        <v>97.7</v>
      </c>
      <c r="E469" s="119"/>
    </row>
    <row r="470">
      <c r="A470" s="116" t="s">
        <v>2852</v>
      </c>
      <c r="B470" s="116" t="s">
        <v>778</v>
      </c>
      <c r="C470" s="118" t="str">
        <f t="shared" si="1"/>
        <v>Tullahoma, TN</v>
      </c>
      <c r="D470" s="115">
        <v>88.7</v>
      </c>
      <c r="E470" s="119"/>
    </row>
    <row r="471">
      <c r="A471" s="116" t="s">
        <v>1492</v>
      </c>
      <c r="B471" s="116" t="s">
        <v>830</v>
      </c>
      <c r="C471" s="118" t="str">
        <f t="shared" si="1"/>
        <v>Tulsa, OK</v>
      </c>
      <c r="D471" s="115">
        <v>86.7</v>
      </c>
      <c r="E471" s="119"/>
    </row>
    <row r="472">
      <c r="A472" s="116" t="s">
        <v>2853</v>
      </c>
      <c r="B472" s="116" t="s">
        <v>1538</v>
      </c>
      <c r="C472" s="118" t="str">
        <f t="shared" si="1"/>
        <v>Tupelo, MS</v>
      </c>
      <c r="D472" s="115">
        <v>87.2</v>
      </c>
      <c r="E472" s="119"/>
    </row>
    <row r="473">
      <c r="A473" s="116" t="s">
        <v>2854</v>
      </c>
      <c r="B473" s="116" t="s">
        <v>1404</v>
      </c>
      <c r="C473" s="118" t="str">
        <f t="shared" si="1"/>
        <v>Tuscaloosa, AL</v>
      </c>
      <c r="D473" s="115">
        <v>91.0</v>
      </c>
      <c r="E473" s="119"/>
    </row>
    <row r="474">
      <c r="A474" s="116" t="s">
        <v>2855</v>
      </c>
      <c r="B474" s="116" t="s">
        <v>1510</v>
      </c>
      <c r="C474" s="118" t="str">
        <f t="shared" si="1"/>
        <v>Twin Falls, ID</v>
      </c>
      <c r="D474" s="115">
        <v>91.2</v>
      </c>
      <c r="E474" s="119"/>
    </row>
    <row r="475">
      <c r="A475" s="116" t="s">
        <v>2856</v>
      </c>
      <c r="B475" s="116" t="s">
        <v>106</v>
      </c>
      <c r="C475" s="118" t="str">
        <f t="shared" si="1"/>
        <v>Tyler, TX</v>
      </c>
      <c r="D475" s="115">
        <v>92.8</v>
      </c>
      <c r="E475" s="119"/>
    </row>
    <row r="476">
      <c r="A476" s="116" t="s">
        <v>2857</v>
      </c>
      <c r="B476" s="116" t="s">
        <v>36</v>
      </c>
      <c r="C476" s="118" t="str">
        <f t="shared" si="1"/>
        <v>Ukiah, CA</v>
      </c>
      <c r="D476" s="115">
        <v>128.0</v>
      </c>
      <c r="E476" s="119"/>
    </row>
    <row r="477">
      <c r="A477" s="116" t="s">
        <v>2858</v>
      </c>
      <c r="B477" s="116" t="s">
        <v>20</v>
      </c>
      <c r="C477" s="118" t="str">
        <f t="shared" si="1"/>
        <v>Utica, NY</v>
      </c>
      <c r="D477" s="115">
        <v>94.1</v>
      </c>
      <c r="E477" s="119"/>
    </row>
    <row r="478">
      <c r="A478" s="116" t="s">
        <v>2859</v>
      </c>
      <c r="B478" s="116" t="s">
        <v>406</v>
      </c>
      <c r="C478" s="118" t="str">
        <f t="shared" si="1"/>
        <v>Valdosta, GA</v>
      </c>
      <c r="D478" s="115">
        <v>89.2</v>
      </c>
      <c r="E478" s="119"/>
    </row>
    <row r="479">
      <c r="A479" s="116" t="s">
        <v>2860</v>
      </c>
      <c r="B479" s="116" t="s">
        <v>36</v>
      </c>
      <c r="C479" s="118" t="str">
        <f t="shared" si="1"/>
        <v>Vallejo, CA</v>
      </c>
      <c r="D479" s="115">
        <v>125.2</v>
      </c>
      <c r="E479" s="119"/>
    </row>
    <row r="480">
      <c r="A480" s="116" t="s">
        <v>2861</v>
      </c>
      <c r="B480" s="116" t="s">
        <v>36</v>
      </c>
      <c r="C480" s="118" t="str">
        <f t="shared" si="1"/>
        <v>Ventura, CA</v>
      </c>
      <c r="D480" s="115">
        <v>132.2</v>
      </c>
      <c r="E480" s="119"/>
    </row>
    <row r="481">
      <c r="A481" s="116" t="s">
        <v>2862</v>
      </c>
      <c r="B481" s="116" t="s">
        <v>554</v>
      </c>
      <c r="C481" s="118" t="str">
        <f t="shared" si="1"/>
        <v>Vero Beach, FL</v>
      </c>
      <c r="D481" s="115">
        <v>98.9</v>
      </c>
      <c r="E481" s="119"/>
    </row>
    <row r="482">
      <c r="A482" s="116" t="s">
        <v>2863</v>
      </c>
      <c r="B482" s="116" t="s">
        <v>106</v>
      </c>
      <c r="C482" s="118" t="str">
        <f t="shared" si="1"/>
        <v>Victoria, TX</v>
      </c>
      <c r="D482" s="115">
        <v>89.5</v>
      </c>
      <c r="E482" s="119"/>
    </row>
    <row r="483">
      <c r="A483" s="116" t="s">
        <v>2864</v>
      </c>
      <c r="B483" s="116" t="s">
        <v>27</v>
      </c>
      <c r="C483" s="118" t="str">
        <f t="shared" si="1"/>
        <v>Vineland, NJ</v>
      </c>
      <c r="D483" s="115">
        <v>97.8</v>
      </c>
      <c r="E483" s="119"/>
    </row>
    <row r="484">
      <c r="A484" s="116" t="s">
        <v>1493</v>
      </c>
      <c r="B484" s="116" t="s">
        <v>740</v>
      </c>
      <c r="C484" s="118" t="str">
        <f t="shared" si="1"/>
        <v>Virginia Beach, VA</v>
      </c>
      <c r="D484" s="115">
        <v>99.0</v>
      </c>
      <c r="E484" s="119"/>
    </row>
    <row r="485">
      <c r="A485" s="116" t="s">
        <v>1605</v>
      </c>
      <c r="B485" s="116" t="s">
        <v>36</v>
      </c>
      <c r="C485" s="118" t="str">
        <f t="shared" si="1"/>
        <v>Visalia, CA</v>
      </c>
      <c r="D485" s="115">
        <v>103.6</v>
      </c>
      <c r="E485" s="119"/>
    </row>
    <row r="486">
      <c r="A486" s="116" t="s">
        <v>2865</v>
      </c>
      <c r="B486" s="116" t="s">
        <v>106</v>
      </c>
      <c r="C486" s="118" t="str">
        <f t="shared" si="1"/>
        <v>Waco, TX</v>
      </c>
      <c r="D486" s="115">
        <v>89.5</v>
      </c>
      <c r="E486" s="119"/>
    </row>
    <row r="487">
      <c r="A487" s="116" t="s">
        <v>2866</v>
      </c>
      <c r="B487" s="116" t="s">
        <v>684</v>
      </c>
      <c r="C487" s="118" t="str">
        <f t="shared" si="1"/>
        <v>Walla Walla, WA</v>
      </c>
      <c r="D487" s="115">
        <v>100.9</v>
      </c>
      <c r="E487" s="119"/>
    </row>
    <row r="488">
      <c r="A488" s="116" t="s">
        <v>2867</v>
      </c>
      <c r="B488" s="116" t="s">
        <v>406</v>
      </c>
      <c r="C488" s="118" t="str">
        <f t="shared" si="1"/>
        <v>Warner Robins, GA</v>
      </c>
      <c r="D488" s="115">
        <v>90.5</v>
      </c>
      <c r="E488" s="119"/>
    </row>
    <row r="489">
      <c r="A489" s="116" t="s">
        <v>2868</v>
      </c>
      <c r="B489" s="116" t="s">
        <v>641</v>
      </c>
      <c r="C489" s="118" t="str">
        <f t="shared" si="1"/>
        <v>Warsaw, IN</v>
      </c>
      <c r="D489" s="115">
        <v>92.3</v>
      </c>
      <c r="E489" s="119"/>
    </row>
    <row r="490">
      <c r="A490" s="116" t="s">
        <v>1494</v>
      </c>
      <c r="B490" s="116" t="s">
        <v>732</v>
      </c>
      <c r="C490" s="118" t="str">
        <f t="shared" si="1"/>
        <v>Washington, DC</v>
      </c>
      <c r="D490" s="115">
        <v>120.1</v>
      </c>
      <c r="E490" s="119"/>
    </row>
    <row r="491">
      <c r="A491" s="116" t="s">
        <v>2869</v>
      </c>
      <c r="B491" s="116" t="s">
        <v>1523</v>
      </c>
      <c r="C491" s="118" t="str">
        <f t="shared" si="1"/>
        <v>Waterloo, IA</v>
      </c>
      <c r="D491" s="115">
        <v>87.6</v>
      </c>
      <c r="E491" s="119"/>
    </row>
    <row r="492">
      <c r="A492" s="116" t="s">
        <v>2870</v>
      </c>
      <c r="B492" s="116" t="s">
        <v>20</v>
      </c>
      <c r="C492" s="118" t="str">
        <f t="shared" si="1"/>
        <v>Watertown, NY</v>
      </c>
      <c r="D492" s="115">
        <v>96.4</v>
      </c>
      <c r="E492" s="119"/>
    </row>
    <row r="493">
      <c r="A493" s="116" t="s">
        <v>2870</v>
      </c>
      <c r="B493" s="116" t="s">
        <v>951</v>
      </c>
      <c r="C493" s="118" t="str">
        <f t="shared" si="1"/>
        <v>Watertown, WI</v>
      </c>
      <c r="D493" s="115">
        <v>97.1</v>
      </c>
      <c r="E493" s="119"/>
    </row>
    <row r="494">
      <c r="A494" s="116" t="s">
        <v>2871</v>
      </c>
      <c r="B494" s="116" t="s">
        <v>951</v>
      </c>
      <c r="C494" s="118" t="str">
        <f t="shared" si="1"/>
        <v>Wausau, WI</v>
      </c>
      <c r="D494" s="115">
        <v>88.9</v>
      </c>
      <c r="E494" s="119"/>
    </row>
    <row r="495">
      <c r="A495" s="116" t="s">
        <v>2872</v>
      </c>
      <c r="B495" s="116" t="s">
        <v>2552</v>
      </c>
      <c r="C495" s="118" t="str">
        <f t="shared" si="1"/>
        <v>Weirton, WV</v>
      </c>
      <c r="D495" s="115">
        <v>82.6</v>
      </c>
      <c r="E495" s="119"/>
    </row>
    <row r="496">
      <c r="A496" s="116" t="s">
        <v>2873</v>
      </c>
      <c r="B496" s="116" t="s">
        <v>684</v>
      </c>
      <c r="C496" s="118" t="str">
        <f t="shared" si="1"/>
        <v>Wenatchee, WA</v>
      </c>
      <c r="D496" s="115">
        <v>106.6</v>
      </c>
      <c r="E496" s="119"/>
    </row>
    <row r="497">
      <c r="A497" s="116" t="s">
        <v>2874</v>
      </c>
      <c r="B497" s="116" t="s">
        <v>2552</v>
      </c>
      <c r="C497" s="118" t="str">
        <f t="shared" si="1"/>
        <v>Wheeling, WV</v>
      </c>
      <c r="D497" s="115">
        <v>84.1</v>
      </c>
      <c r="E497" s="119"/>
    </row>
    <row r="498">
      <c r="A498" s="116" t="s">
        <v>2875</v>
      </c>
      <c r="B498" s="116" t="s">
        <v>951</v>
      </c>
      <c r="C498" s="118" t="str">
        <f t="shared" si="1"/>
        <v>Whitewater, WI</v>
      </c>
      <c r="D498" s="115">
        <v>97.7</v>
      </c>
      <c r="E498" s="119"/>
    </row>
    <row r="499">
      <c r="A499" s="116" t="s">
        <v>1606</v>
      </c>
      <c r="B499" s="116" t="s">
        <v>1348</v>
      </c>
      <c r="C499" s="118" t="str">
        <f t="shared" si="1"/>
        <v>Wichita, KS</v>
      </c>
      <c r="D499" s="115">
        <v>86.8</v>
      </c>
      <c r="E499" s="119"/>
    </row>
    <row r="500">
      <c r="A500" s="116" t="s">
        <v>2876</v>
      </c>
      <c r="B500" s="116" t="s">
        <v>106</v>
      </c>
      <c r="C500" s="118" t="str">
        <f t="shared" si="1"/>
        <v>Wichita Falls, TX</v>
      </c>
      <c r="D500" s="115">
        <v>85.7</v>
      </c>
      <c r="E500" s="119"/>
    </row>
    <row r="501">
      <c r="A501" s="116" t="s">
        <v>2877</v>
      </c>
      <c r="B501" s="116" t="s">
        <v>243</v>
      </c>
      <c r="C501" s="118" t="str">
        <f t="shared" si="1"/>
        <v>Williamsport, PA</v>
      </c>
      <c r="D501" s="115">
        <v>93.4</v>
      </c>
      <c r="E501" s="119"/>
    </row>
    <row r="502">
      <c r="A502" s="116" t="s">
        <v>1607</v>
      </c>
      <c r="B502" s="116" t="s">
        <v>627</v>
      </c>
      <c r="C502" s="118" t="str">
        <f t="shared" si="1"/>
        <v>Wilmington, NC</v>
      </c>
      <c r="D502" s="115">
        <v>99.0</v>
      </c>
      <c r="E502" s="119"/>
    </row>
    <row r="503">
      <c r="A503" s="116" t="s">
        <v>2878</v>
      </c>
      <c r="B503" s="116" t="s">
        <v>627</v>
      </c>
      <c r="C503" s="118" t="str">
        <f t="shared" si="1"/>
        <v>Wilson, NC</v>
      </c>
      <c r="D503" s="115">
        <v>86.3</v>
      </c>
      <c r="E503" s="119"/>
    </row>
    <row r="504">
      <c r="A504" s="116" t="s">
        <v>2879</v>
      </c>
      <c r="B504" s="116" t="s">
        <v>740</v>
      </c>
      <c r="C504" s="118" t="str">
        <f t="shared" si="1"/>
        <v>Winchester, VA</v>
      </c>
      <c r="D504" s="115">
        <v>97.2</v>
      </c>
      <c r="E504" s="119"/>
    </row>
    <row r="505">
      <c r="A505" s="116" t="s">
        <v>1608</v>
      </c>
      <c r="B505" s="116" t="s">
        <v>627</v>
      </c>
      <c r="C505" s="118" t="str">
        <f t="shared" si="1"/>
        <v>Winston-Salem, NC</v>
      </c>
      <c r="D505" s="115">
        <v>91.2</v>
      </c>
      <c r="E505" s="119"/>
    </row>
    <row r="506">
      <c r="A506" s="116" t="s">
        <v>2880</v>
      </c>
      <c r="B506" s="116" t="s">
        <v>951</v>
      </c>
      <c r="C506" s="118" t="str">
        <f t="shared" si="1"/>
        <v>Wisconsin Rapids, WI</v>
      </c>
      <c r="D506" s="115">
        <v>86.9</v>
      </c>
      <c r="E506" s="119"/>
    </row>
    <row r="507">
      <c r="A507" s="116" t="s">
        <v>2881</v>
      </c>
      <c r="B507" s="116" t="s">
        <v>566</v>
      </c>
      <c r="C507" s="118" t="str">
        <f t="shared" si="1"/>
        <v>Wooster, OH</v>
      </c>
      <c r="D507" s="115">
        <v>95.5</v>
      </c>
      <c r="E507" s="119"/>
    </row>
    <row r="508">
      <c r="A508" s="116" t="s">
        <v>1610</v>
      </c>
      <c r="B508" s="116" t="s">
        <v>748</v>
      </c>
      <c r="C508" s="118" t="str">
        <f t="shared" si="1"/>
        <v>Worcester, MA</v>
      </c>
      <c r="D508" s="115">
        <v>113.2</v>
      </c>
      <c r="E508" s="119"/>
    </row>
    <row r="509">
      <c r="A509" s="116" t="s">
        <v>2882</v>
      </c>
      <c r="B509" s="116" t="s">
        <v>684</v>
      </c>
      <c r="C509" s="118" t="str">
        <f t="shared" si="1"/>
        <v>Yakima, WA</v>
      </c>
      <c r="D509" s="115">
        <v>97.5</v>
      </c>
      <c r="E509" s="119"/>
    </row>
    <row r="510">
      <c r="A510" s="116" t="s">
        <v>1611</v>
      </c>
      <c r="B510" s="116" t="s">
        <v>243</v>
      </c>
      <c r="C510" s="118" t="str">
        <f t="shared" si="1"/>
        <v>York, PA</v>
      </c>
      <c r="D510" s="115">
        <v>95.8</v>
      </c>
      <c r="E510" s="119"/>
    </row>
    <row r="511">
      <c r="A511" s="116" t="s">
        <v>1612</v>
      </c>
      <c r="B511" s="116" t="s">
        <v>566</v>
      </c>
      <c r="C511" s="118" t="str">
        <f t="shared" si="1"/>
        <v>Youngstown, OH</v>
      </c>
      <c r="D511" s="115">
        <v>86.4</v>
      </c>
      <c r="E511" s="119"/>
    </row>
    <row r="512">
      <c r="A512" s="116" t="s">
        <v>2883</v>
      </c>
      <c r="B512" s="116" t="s">
        <v>36</v>
      </c>
      <c r="C512" s="118" t="str">
        <f t="shared" si="1"/>
        <v>Yuba City, CA</v>
      </c>
      <c r="D512" s="115">
        <v>108.7</v>
      </c>
      <c r="E512" s="119"/>
    </row>
    <row r="513">
      <c r="A513" s="116" t="s">
        <v>2884</v>
      </c>
      <c r="B513" s="116" t="s">
        <v>161</v>
      </c>
      <c r="C513" s="118" t="str">
        <f t="shared" si="1"/>
        <v>Yuma, AZ</v>
      </c>
      <c r="D513" s="115">
        <v>94.5</v>
      </c>
      <c r="E513" s="119"/>
    </row>
    <row r="514">
      <c r="A514" s="116" t="s">
        <v>2885</v>
      </c>
      <c r="B514" s="116" t="s">
        <v>566</v>
      </c>
      <c r="C514" s="118" t="str">
        <f t="shared" si="1"/>
        <v>Zanesville, OH</v>
      </c>
      <c r="D514" s="115">
        <v>87.6</v>
      </c>
      <c r="E514" s="119"/>
    </row>
    <row r="515">
      <c r="A515" s="30" t="s">
        <v>413</v>
      </c>
      <c r="C515" s="114" t="s">
        <v>553</v>
      </c>
      <c r="D515" s="114">
        <f>vlookup(A515,CostOfLivingIndex,2,0)</f>
        <v>98.5</v>
      </c>
    </row>
    <row r="516">
      <c r="A516" s="30" t="s">
        <v>242</v>
      </c>
      <c r="C516" s="114" t="s">
        <v>1037</v>
      </c>
      <c r="D516" s="114">
        <f>vlookup(A516,CostOfLivingIndex,2,0)</f>
        <v>104.3</v>
      </c>
    </row>
    <row r="517">
      <c r="A517" s="30" t="s">
        <v>73</v>
      </c>
      <c r="C517" s="30" t="s">
        <v>1230</v>
      </c>
      <c r="D517" s="114">
        <f>vlookup(A517,CostOfLivingIndex,2,0)</f>
        <v>140.6</v>
      </c>
    </row>
    <row r="518">
      <c r="A518" s="30" t="s">
        <v>683</v>
      </c>
      <c r="C518" s="30" t="s">
        <v>1289</v>
      </c>
      <c r="D518" s="114">
        <f>vlookup(A518,CostOfLivingIndex,2,0)</f>
        <v>178.6</v>
      </c>
    </row>
    <row r="519">
      <c r="A519" s="30" t="s">
        <v>1141</v>
      </c>
      <c r="C519" s="30" t="s">
        <v>1367</v>
      </c>
      <c r="D519" s="114">
        <f>vlookup(A519,CostOfLivingIndex,2,0)</f>
        <v>91.6</v>
      </c>
    </row>
    <row r="520">
      <c r="A520" s="30" t="s">
        <v>413</v>
      </c>
      <c r="C520" s="30" t="s">
        <v>1347</v>
      </c>
      <c r="D520" s="114">
        <f>vlookup(A520,CostOfLivingIndex,2,0)</f>
        <v>98.5</v>
      </c>
    </row>
  </sheetData>
  <mergeCells count="1">
    <mergeCell ref="D4:E4"/>
  </mergeCells>
  <hyperlinks>
    <hyperlink r:id="rId1" ref="A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0"/>
    <col customWidth="1" min="2" max="2" width="29.0"/>
    <col customWidth="1" min="3" max="3" width="16.78"/>
    <col customWidth="1" min="4" max="4" width="15.89"/>
    <col customWidth="1" min="5" max="6" width="21.11"/>
  </cols>
  <sheetData>
    <row r="1">
      <c r="A1" s="121" t="s">
        <v>2</v>
      </c>
      <c r="B1" s="121" t="s">
        <v>3</v>
      </c>
      <c r="C1" s="121" t="s">
        <v>2886</v>
      </c>
      <c r="D1" s="121" t="s">
        <v>2887</v>
      </c>
      <c r="E1" s="122" t="s">
        <v>2888</v>
      </c>
      <c r="F1" s="122"/>
    </row>
    <row r="2">
      <c r="A2" s="58" t="s">
        <v>21</v>
      </c>
      <c r="B2" s="58" t="s">
        <v>23</v>
      </c>
      <c r="C2" s="115">
        <v>2.0154933E7</v>
      </c>
      <c r="D2" s="123">
        <v>8253213.0</v>
      </c>
      <c r="E2" s="109">
        <f t="shared" ref="E2:E51" si="1">D2/C2</f>
        <v>0.409488486</v>
      </c>
      <c r="F2" s="109"/>
    </row>
    <row r="3">
      <c r="A3" s="58" t="s">
        <v>37</v>
      </c>
      <c r="B3" s="58" t="s">
        <v>39</v>
      </c>
      <c r="C3" s="115">
        <v>3.9499738E7</v>
      </c>
      <c r="D3" s="123">
        <v>3970219.0</v>
      </c>
      <c r="E3" s="109">
        <f t="shared" si="1"/>
        <v>0.1005125401</v>
      </c>
      <c r="F3" s="109"/>
    </row>
    <row r="4">
      <c r="A4" s="58" t="s">
        <v>75</v>
      </c>
      <c r="B4" s="58" t="s">
        <v>77</v>
      </c>
      <c r="C4" s="115">
        <v>1.2785245E7</v>
      </c>
      <c r="D4" s="123">
        <v>2677643.0</v>
      </c>
      <c r="E4" s="109">
        <f t="shared" si="1"/>
        <v>0.2094322792</v>
      </c>
      <c r="F4" s="109"/>
    </row>
    <row r="5">
      <c r="A5" s="58" t="s">
        <v>107</v>
      </c>
      <c r="B5" s="58" t="s">
        <v>110</v>
      </c>
      <c r="C5" s="115">
        <v>2.9217653E7</v>
      </c>
      <c r="D5" s="123">
        <v>2316120.0</v>
      </c>
      <c r="E5" s="109">
        <f t="shared" si="1"/>
        <v>0.07927125427</v>
      </c>
      <c r="F5" s="109"/>
    </row>
    <row r="6">
      <c r="A6" s="58" t="s">
        <v>162</v>
      </c>
      <c r="B6" s="58" t="s">
        <v>165</v>
      </c>
      <c r="C6" s="115">
        <v>7177986.0</v>
      </c>
      <c r="D6" s="123">
        <v>1708127.0</v>
      </c>
      <c r="E6" s="109">
        <f t="shared" si="1"/>
        <v>0.2379674466</v>
      </c>
      <c r="F6" s="109"/>
    </row>
    <row r="7">
      <c r="A7" s="58" t="s">
        <v>2889</v>
      </c>
      <c r="B7" s="58" t="s">
        <v>246</v>
      </c>
      <c r="C7" s="115">
        <v>1.2989625E7</v>
      </c>
      <c r="D7" s="124">
        <v>1578487.0</v>
      </c>
      <c r="E7" s="109">
        <f t="shared" si="1"/>
        <v>0.1215190585</v>
      </c>
      <c r="F7" s="109"/>
    </row>
    <row r="8">
      <c r="A8" s="58" t="s">
        <v>107</v>
      </c>
      <c r="B8" s="58" t="s">
        <v>269</v>
      </c>
      <c r="C8" s="115">
        <v>2.9217653E7</v>
      </c>
      <c r="D8" s="123">
        <v>1567118.0</v>
      </c>
      <c r="E8" s="109">
        <f t="shared" si="1"/>
        <v>0.05363599876</v>
      </c>
      <c r="F8" s="109"/>
    </row>
    <row r="9">
      <c r="A9" s="58" t="s">
        <v>37</v>
      </c>
      <c r="B9" s="58" t="s">
        <v>314</v>
      </c>
      <c r="C9" s="115">
        <v>3.9499738E7</v>
      </c>
      <c r="D9" s="123">
        <v>1422420.0</v>
      </c>
      <c r="E9" s="109">
        <f t="shared" si="1"/>
        <v>0.03601087177</v>
      </c>
      <c r="F9" s="109"/>
    </row>
    <row r="10">
      <c r="A10" s="58" t="s">
        <v>107</v>
      </c>
      <c r="B10" s="58" t="s">
        <v>371</v>
      </c>
      <c r="C10" s="115">
        <v>2.9217653E7</v>
      </c>
      <c r="D10" s="123">
        <v>1343266.0</v>
      </c>
      <c r="E10" s="109">
        <f t="shared" si="1"/>
        <v>0.04597446619</v>
      </c>
      <c r="F10" s="109"/>
    </row>
    <row r="11">
      <c r="A11" s="58" t="s">
        <v>37</v>
      </c>
      <c r="B11" s="58" t="s">
        <v>414</v>
      </c>
      <c r="C11" s="115">
        <v>3.9499738E7</v>
      </c>
      <c r="D11" s="123">
        <v>1013616.0</v>
      </c>
      <c r="E11" s="109">
        <f t="shared" si="1"/>
        <v>0.02566133477</v>
      </c>
      <c r="F11" s="109"/>
    </row>
    <row r="12">
      <c r="A12" s="58" t="s">
        <v>107</v>
      </c>
      <c r="B12" s="58" t="s">
        <v>475</v>
      </c>
      <c r="C12" s="115">
        <v>2.9217653E7</v>
      </c>
      <c r="D12" s="123">
        <v>995484.0</v>
      </c>
      <c r="E12" s="109">
        <f t="shared" si="1"/>
        <v>0.03407131983</v>
      </c>
      <c r="F12" s="109"/>
    </row>
    <row r="13">
      <c r="A13" s="58" t="s">
        <v>107</v>
      </c>
      <c r="B13" s="58" t="s">
        <v>510</v>
      </c>
      <c r="C13" s="115">
        <v>2.9217653E7</v>
      </c>
      <c r="D13" s="123">
        <v>927720.0</v>
      </c>
      <c r="E13" s="109">
        <f t="shared" si="1"/>
        <v>0.03175203703</v>
      </c>
      <c r="F13" s="109"/>
    </row>
    <row r="14">
      <c r="A14" s="58" t="s">
        <v>555</v>
      </c>
      <c r="B14" s="58" t="s">
        <v>557</v>
      </c>
      <c r="C14" s="115">
        <v>2.1569932E7</v>
      </c>
      <c r="D14" s="123">
        <v>920570.0</v>
      </c>
      <c r="E14" s="109">
        <f t="shared" si="1"/>
        <v>0.04267839138</v>
      </c>
      <c r="F14" s="109"/>
    </row>
    <row r="15">
      <c r="A15" s="58" t="s">
        <v>567</v>
      </c>
      <c r="B15" s="58" t="s">
        <v>569</v>
      </c>
      <c r="C15" s="115">
        <v>1.1790587E7</v>
      </c>
      <c r="D15" s="123">
        <v>903852.0</v>
      </c>
      <c r="E15" s="109">
        <f t="shared" si="1"/>
        <v>0.07665877874</v>
      </c>
      <c r="F15" s="109"/>
    </row>
    <row r="16">
      <c r="A16" s="58" t="s">
        <v>628</v>
      </c>
      <c r="B16" s="58" t="s">
        <v>631</v>
      </c>
      <c r="C16" s="115">
        <v>1.0457177E7</v>
      </c>
      <c r="D16" s="123">
        <v>900350.0</v>
      </c>
      <c r="E16" s="109">
        <f t="shared" si="1"/>
        <v>0.0860987626</v>
      </c>
      <c r="F16" s="109"/>
    </row>
    <row r="17">
      <c r="A17" s="58" t="s">
        <v>642</v>
      </c>
      <c r="B17" s="58" t="s">
        <v>643</v>
      </c>
      <c r="C17" s="115">
        <v>6785644.0</v>
      </c>
      <c r="D17" s="30">
        <v>877903.0</v>
      </c>
      <c r="E17" s="109">
        <f t="shared" si="1"/>
        <v>0.129376519</v>
      </c>
      <c r="F17" s="109"/>
    </row>
    <row r="18">
      <c r="A18" s="58" t="s">
        <v>37</v>
      </c>
      <c r="B18" s="58" t="s">
        <v>667</v>
      </c>
      <c r="C18" s="115">
        <v>3.9499738E7</v>
      </c>
      <c r="D18" s="124">
        <v>866606.0</v>
      </c>
      <c r="E18" s="109">
        <f t="shared" si="1"/>
        <v>0.02193953793</v>
      </c>
      <c r="F18" s="109"/>
    </row>
    <row r="19">
      <c r="A19" s="58" t="s">
        <v>685</v>
      </c>
      <c r="B19" s="58" t="s">
        <v>687</v>
      </c>
      <c r="C19" s="115">
        <v>7718785.0</v>
      </c>
      <c r="D19" s="123">
        <v>769714.0</v>
      </c>
      <c r="E19" s="109">
        <f t="shared" si="1"/>
        <v>0.09971958022</v>
      </c>
      <c r="F19" s="109"/>
    </row>
    <row r="20">
      <c r="A20" s="58" t="s">
        <v>711</v>
      </c>
      <c r="B20" s="58" t="s">
        <v>714</v>
      </c>
      <c r="C20" s="115">
        <v>5784308.0</v>
      </c>
      <c r="D20" s="123">
        <v>735538.0</v>
      </c>
      <c r="E20" s="109">
        <f t="shared" si="1"/>
        <v>0.1271609326</v>
      </c>
      <c r="F20" s="109"/>
    </row>
    <row r="21">
      <c r="A21" s="58" t="s">
        <v>2890</v>
      </c>
      <c r="B21" s="58" t="s">
        <v>752</v>
      </c>
      <c r="C21" s="115">
        <v>7022220.0</v>
      </c>
      <c r="D21" s="123">
        <v>691531.0</v>
      </c>
      <c r="E21" s="109">
        <f t="shared" si="1"/>
        <v>0.09847754699</v>
      </c>
      <c r="F21" s="109"/>
    </row>
    <row r="22">
      <c r="A22" s="58" t="s">
        <v>107</v>
      </c>
      <c r="B22" s="58" t="s">
        <v>759</v>
      </c>
      <c r="C22" s="115">
        <v>2.9217653E7</v>
      </c>
      <c r="D22" s="123">
        <v>681534.0</v>
      </c>
      <c r="E22" s="109">
        <f t="shared" si="1"/>
        <v>0.02332610357</v>
      </c>
      <c r="F22" s="109"/>
    </row>
    <row r="23">
      <c r="A23" s="58" t="s">
        <v>779</v>
      </c>
      <c r="B23" s="58" t="s">
        <v>781</v>
      </c>
      <c r="C23" s="115">
        <v>6920119.0</v>
      </c>
      <c r="D23" s="30">
        <v>671295.0</v>
      </c>
      <c r="E23" s="109">
        <f t="shared" si="1"/>
        <v>0.09700627981</v>
      </c>
      <c r="F23" s="109"/>
    </row>
    <row r="24">
      <c r="A24" s="58" t="s">
        <v>792</v>
      </c>
      <c r="B24" s="58" t="s">
        <v>795</v>
      </c>
      <c r="C24" s="115">
        <v>1.0067664E7</v>
      </c>
      <c r="D24" s="123">
        <v>665369.0</v>
      </c>
      <c r="E24" s="109">
        <f t="shared" si="1"/>
        <v>0.06608971058</v>
      </c>
      <c r="F24" s="109"/>
    </row>
    <row r="25">
      <c r="A25" s="58" t="s">
        <v>810</v>
      </c>
      <c r="B25" s="58" t="s">
        <v>812</v>
      </c>
      <c r="C25" s="115">
        <v>3114071.0</v>
      </c>
      <c r="D25" s="123">
        <v>662368.0</v>
      </c>
      <c r="E25" s="109">
        <f t="shared" si="1"/>
        <v>0.2127016372</v>
      </c>
      <c r="F25" s="109"/>
    </row>
    <row r="26">
      <c r="A26" s="58" t="s">
        <v>831</v>
      </c>
      <c r="B26" s="58" t="s">
        <v>1460</v>
      </c>
      <c r="C26" s="115">
        <v>3962031.0</v>
      </c>
      <c r="D26" s="123">
        <v>662314.0</v>
      </c>
      <c r="E26" s="109">
        <f t="shared" si="1"/>
        <v>0.1671652746</v>
      </c>
      <c r="F26" s="109"/>
    </row>
    <row r="27">
      <c r="A27" s="58" t="s">
        <v>890</v>
      </c>
      <c r="B27" s="58" t="s">
        <v>893</v>
      </c>
      <c r="C27" s="115">
        <v>4241544.0</v>
      </c>
      <c r="D27" s="123">
        <v>656751.0</v>
      </c>
      <c r="E27" s="109">
        <f t="shared" si="1"/>
        <v>0.1548377195</v>
      </c>
      <c r="F27" s="109"/>
    </row>
    <row r="28">
      <c r="A28" s="58" t="s">
        <v>779</v>
      </c>
      <c r="B28" s="58" t="s">
        <v>926</v>
      </c>
      <c r="C28" s="115">
        <v>6920119.0</v>
      </c>
      <c r="D28" s="123">
        <v>649705.0</v>
      </c>
      <c r="E28" s="109">
        <f t="shared" si="1"/>
        <v>0.09388639126</v>
      </c>
      <c r="F28" s="109"/>
    </row>
    <row r="29">
      <c r="A29" s="58" t="s">
        <v>938</v>
      </c>
      <c r="B29" s="58" t="s">
        <v>941</v>
      </c>
      <c r="C29" s="115">
        <v>4503958.0</v>
      </c>
      <c r="D29" s="123">
        <v>618338.0</v>
      </c>
      <c r="E29" s="109">
        <f t="shared" si="1"/>
        <v>0.1372876923</v>
      </c>
      <c r="F29" s="109"/>
    </row>
    <row r="30">
      <c r="A30" s="58" t="s">
        <v>952</v>
      </c>
      <c r="B30" s="58" t="s">
        <v>955</v>
      </c>
      <c r="C30" s="115">
        <v>5892323.0</v>
      </c>
      <c r="D30" s="123">
        <v>589067.0</v>
      </c>
      <c r="E30" s="109">
        <f t="shared" si="1"/>
        <v>0.09997194655</v>
      </c>
      <c r="F30" s="109"/>
    </row>
    <row r="31">
      <c r="A31" s="58" t="s">
        <v>968</v>
      </c>
      <c r="B31" s="58" t="s">
        <v>970</v>
      </c>
      <c r="C31" s="115">
        <v>6172679.0</v>
      </c>
      <c r="D31" s="123">
        <v>586131.0</v>
      </c>
      <c r="E31" s="109">
        <f t="shared" si="1"/>
        <v>0.09495569104</v>
      </c>
      <c r="F31" s="109"/>
    </row>
    <row r="32">
      <c r="A32" s="58" t="s">
        <v>982</v>
      </c>
      <c r="B32" s="58" t="s">
        <v>985</v>
      </c>
      <c r="C32" s="115">
        <v>2117566.0</v>
      </c>
      <c r="D32" s="123">
        <v>562540.0</v>
      </c>
      <c r="E32" s="109">
        <f t="shared" si="1"/>
        <v>0.2656540575</v>
      </c>
      <c r="F32" s="109"/>
    </row>
    <row r="33">
      <c r="A33" s="58" t="s">
        <v>162</v>
      </c>
      <c r="B33" s="58" t="s">
        <v>992</v>
      </c>
      <c r="C33" s="115">
        <v>7177986.0</v>
      </c>
      <c r="D33" s="123">
        <v>553571.0</v>
      </c>
      <c r="E33" s="109">
        <f t="shared" si="1"/>
        <v>0.07712065752</v>
      </c>
      <c r="F33" s="109"/>
    </row>
    <row r="34">
      <c r="A34" s="58" t="s">
        <v>37</v>
      </c>
      <c r="B34" s="58" t="s">
        <v>1001</v>
      </c>
      <c r="C34" s="115">
        <v>3.9499738E7</v>
      </c>
      <c r="D34" s="123">
        <v>530267.0</v>
      </c>
      <c r="E34" s="109">
        <f t="shared" si="1"/>
        <v>0.01342457006</v>
      </c>
      <c r="F34" s="109"/>
    </row>
    <row r="35">
      <c r="A35" s="58" t="s">
        <v>162</v>
      </c>
      <c r="B35" s="58" t="s">
        <v>1025</v>
      </c>
      <c r="C35" s="115">
        <v>7177986.0</v>
      </c>
      <c r="D35" s="123">
        <v>528159.0</v>
      </c>
      <c r="E35" s="109">
        <f t="shared" si="1"/>
        <v>0.07358038871</v>
      </c>
      <c r="F35" s="109"/>
    </row>
    <row r="36">
      <c r="A36" s="58" t="s">
        <v>37</v>
      </c>
      <c r="B36" s="58" t="s">
        <v>1038</v>
      </c>
      <c r="C36" s="115">
        <v>3.9499738E7</v>
      </c>
      <c r="D36" s="123">
        <v>512838.0</v>
      </c>
      <c r="E36" s="109">
        <f t="shared" si="1"/>
        <v>0.01298332662</v>
      </c>
      <c r="F36" s="109"/>
    </row>
    <row r="37">
      <c r="A37" s="58" t="s">
        <v>1077</v>
      </c>
      <c r="B37" s="58" t="s">
        <v>1080</v>
      </c>
      <c r="C37" s="115">
        <v>1.07258E7</v>
      </c>
      <c r="D37" s="123">
        <v>512550.0</v>
      </c>
      <c r="E37" s="109">
        <f t="shared" si="1"/>
        <v>0.04778664529</v>
      </c>
      <c r="F37" s="109"/>
    </row>
    <row r="38">
      <c r="A38" s="58" t="s">
        <v>1099</v>
      </c>
      <c r="B38" s="58" t="s">
        <v>1438</v>
      </c>
      <c r="C38" s="115">
        <v>6154481.0</v>
      </c>
      <c r="D38" s="123">
        <v>497159.0</v>
      </c>
      <c r="E38" s="109">
        <f t="shared" si="1"/>
        <v>0.08078000403</v>
      </c>
      <c r="F38" s="109"/>
    </row>
    <row r="39">
      <c r="A39" s="58" t="s">
        <v>711</v>
      </c>
      <c r="B39" s="58" t="s">
        <v>1142</v>
      </c>
      <c r="C39" s="115">
        <v>5784308.0</v>
      </c>
      <c r="D39" s="123">
        <v>482131.0</v>
      </c>
      <c r="E39" s="109">
        <f t="shared" si="1"/>
        <v>0.08335154352</v>
      </c>
      <c r="F39" s="109"/>
    </row>
    <row r="40">
      <c r="A40" s="58" t="s">
        <v>1162</v>
      </c>
      <c r="B40" s="58" t="s">
        <v>1165</v>
      </c>
      <c r="C40" s="115">
        <v>1961455.0</v>
      </c>
      <c r="D40" s="123">
        <v>478393.0</v>
      </c>
      <c r="E40" s="109">
        <f t="shared" si="1"/>
        <v>0.243897005</v>
      </c>
      <c r="F40" s="109"/>
    </row>
    <row r="41">
      <c r="A41" s="58" t="s">
        <v>628</v>
      </c>
      <c r="B41" s="58" t="s">
        <v>1191</v>
      </c>
      <c r="C41" s="115">
        <v>1.0457177E7</v>
      </c>
      <c r="D41" s="123">
        <v>474414.0</v>
      </c>
      <c r="E41" s="109">
        <f t="shared" si="1"/>
        <v>0.04536731089</v>
      </c>
      <c r="F41" s="109"/>
    </row>
    <row r="42">
      <c r="A42" s="58" t="s">
        <v>555</v>
      </c>
      <c r="B42" s="58" t="s">
        <v>1203</v>
      </c>
      <c r="C42" s="115">
        <v>2.1569932E7</v>
      </c>
      <c r="D42" s="123">
        <v>471525.0</v>
      </c>
      <c r="E42" s="109">
        <f t="shared" si="1"/>
        <v>0.02186029145</v>
      </c>
      <c r="F42" s="109"/>
    </row>
    <row r="43">
      <c r="A43" s="58" t="s">
        <v>37</v>
      </c>
      <c r="B43" s="58" t="s">
        <v>1217</v>
      </c>
      <c r="C43" s="115">
        <v>3.9499738E7</v>
      </c>
      <c r="D43" s="123">
        <v>454681.0</v>
      </c>
      <c r="E43" s="109">
        <f t="shared" si="1"/>
        <v>0.01151098774</v>
      </c>
      <c r="F43" s="109"/>
    </row>
    <row r="44">
      <c r="A44" s="58" t="s">
        <v>1231</v>
      </c>
      <c r="B44" s="58" t="s">
        <v>1233</v>
      </c>
      <c r="C44" s="115">
        <v>8632044.0</v>
      </c>
      <c r="D44" s="124">
        <v>451231.0</v>
      </c>
      <c r="E44" s="109">
        <f t="shared" si="1"/>
        <v>0.05227394578</v>
      </c>
      <c r="F44" s="109"/>
    </row>
    <row r="45">
      <c r="A45" s="58" t="s">
        <v>1245</v>
      </c>
      <c r="B45" s="58" t="s">
        <v>1247</v>
      </c>
      <c r="C45" s="115">
        <v>5707165.0</v>
      </c>
      <c r="D45" s="123">
        <v>433111.0</v>
      </c>
      <c r="E45" s="109">
        <f t="shared" si="1"/>
        <v>0.07588899217</v>
      </c>
      <c r="F45" s="109"/>
    </row>
    <row r="46">
      <c r="A46" s="58" t="s">
        <v>37</v>
      </c>
      <c r="B46" s="58" t="s">
        <v>1263</v>
      </c>
      <c r="C46" s="115">
        <v>3.9499738E7</v>
      </c>
      <c r="D46" s="123">
        <v>424891.0</v>
      </c>
      <c r="E46" s="109">
        <f t="shared" si="1"/>
        <v>0.01075680553</v>
      </c>
      <c r="F46" s="109"/>
    </row>
    <row r="47">
      <c r="A47" s="58" t="s">
        <v>555</v>
      </c>
      <c r="B47" s="58" t="s">
        <v>1290</v>
      </c>
      <c r="C47" s="115">
        <v>2.1569932E7</v>
      </c>
      <c r="D47" s="123">
        <v>407599.0</v>
      </c>
      <c r="E47" s="109">
        <f t="shared" si="1"/>
        <v>0.01889662888</v>
      </c>
      <c r="F47" s="109"/>
    </row>
    <row r="48">
      <c r="A48" s="58" t="s">
        <v>831</v>
      </c>
      <c r="B48" s="58" t="s">
        <v>1308</v>
      </c>
      <c r="C48" s="115">
        <v>3962031.0</v>
      </c>
      <c r="D48" s="123">
        <v>403166.0</v>
      </c>
      <c r="E48" s="109">
        <f t="shared" si="1"/>
        <v>0.1017574067</v>
      </c>
      <c r="F48" s="109"/>
    </row>
    <row r="49">
      <c r="A49" s="58" t="s">
        <v>107</v>
      </c>
      <c r="B49" s="58" t="s">
        <v>1333</v>
      </c>
      <c r="C49" s="115">
        <v>2.9217653E7</v>
      </c>
      <c r="D49" s="123">
        <v>398864.0</v>
      </c>
      <c r="E49" s="109">
        <f t="shared" si="1"/>
        <v>0.01365147296</v>
      </c>
      <c r="F49" s="109"/>
    </row>
    <row r="50">
      <c r="A50" s="58" t="s">
        <v>1349</v>
      </c>
      <c r="B50" s="58" t="s">
        <v>1351</v>
      </c>
      <c r="C50" s="115">
        <v>2935880.0</v>
      </c>
      <c r="D50" s="123">
        <v>391731.0</v>
      </c>
      <c r="E50" s="109">
        <f t="shared" si="1"/>
        <v>0.1334288186</v>
      </c>
      <c r="F50" s="109"/>
    </row>
    <row r="51">
      <c r="A51" s="58" t="s">
        <v>1369</v>
      </c>
      <c r="B51" s="58" t="s">
        <v>1371</v>
      </c>
      <c r="C51" s="115">
        <v>4651203.0</v>
      </c>
      <c r="D51" s="125">
        <v>389476.0</v>
      </c>
      <c r="E51" s="109">
        <f t="shared" si="1"/>
        <v>0.0837366161</v>
      </c>
      <c r="F51" s="109"/>
    </row>
    <row r="52">
      <c r="B52" s="58"/>
      <c r="E52" s="109"/>
      <c r="F52" s="109"/>
    </row>
    <row r="53">
      <c r="E53" s="109"/>
      <c r="F53" s="109"/>
    </row>
    <row r="54">
      <c r="E54" s="109"/>
      <c r="F54" s="109"/>
    </row>
    <row r="55">
      <c r="E55" s="109"/>
      <c r="F55" s="109"/>
    </row>
    <row r="56">
      <c r="E56" s="109"/>
      <c r="F56" s="109"/>
    </row>
    <row r="57">
      <c r="E57" s="109"/>
      <c r="F57" s="109"/>
    </row>
    <row r="58">
      <c r="E58" s="109"/>
      <c r="F58" s="109"/>
    </row>
    <row r="59">
      <c r="E59" s="109"/>
      <c r="F59" s="109"/>
    </row>
    <row r="60">
      <c r="E60" s="109"/>
      <c r="F60" s="109"/>
    </row>
    <row r="61">
      <c r="E61" s="109"/>
      <c r="F61" s="109"/>
    </row>
    <row r="62">
      <c r="E62" s="109"/>
      <c r="F62" s="109"/>
    </row>
    <row r="63">
      <c r="E63" s="109"/>
      <c r="F63" s="109"/>
    </row>
    <row r="64">
      <c r="E64" s="109"/>
      <c r="F64" s="109"/>
    </row>
    <row r="65">
      <c r="E65" s="109"/>
      <c r="F65" s="109"/>
    </row>
    <row r="66">
      <c r="E66" s="109"/>
      <c r="F66" s="109"/>
    </row>
    <row r="67">
      <c r="E67" s="109"/>
      <c r="F67" s="109"/>
    </row>
    <row r="68">
      <c r="E68" s="109"/>
      <c r="F68" s="109"/>
    </row>
    <row r="69">
      <c r="E69" s="109"/>
      <c r="F69" s="109"/>
    </row>
    <row r="70">
      <c r="E70" s="109"/>
      <c r="F70" s="109"/>
    </row>
    <row r="71">
      <c r="E71" s="109"/>
      <c r="F71" s="109"/>
    </row>
    <row r="72">
      <c r="E72" s="109"/>
      <c r="F72" s="109"/>
    </row>
    <row r="73">
      <c r="E73" s="109"/>
      <c r="F73" s="109"/>
    </row>
    <row r="74">
      <c r="E74" s="109"/>
      <c r="F74" s="109"/>
    </row>
    <row r="75">
      <c r="E75" s="109"/>
      <c r="F75" s="109"/>
    </row>
    <row r="76">
      <c r="E76" s="109"/>
      <c r="F76" s="109"/>
    </row>
    <row r="77">
      <c r="E77" s="109"/>
      <c r="F77" s="109"/>
    </row>
    <row r="78">
      <c r="E78" s="109"/>
      <c r="F78" s="109"/>
    </row>
    <row r="79">
      <c r="E79" s="109"/>
      <c r="F79" s="109"/>
    </row>
    <row r="80">
      <c r="E80" s="109"/>
      <c r="F80" s="109"/>
    </row>
    <row r="81">
      <c r="E81" s="109"/>
      <c r="F81" s="109"/>
    </row>
    <row r="82">
      <c r="E82" s="109"/>
      <c r="F82" s="109"/>
    </row>
    <row r="83">
      <c r="E83" s="109"/>
      <c r="F83" s="109"/>
    </row>
    <row r="84">
      <c r="E84" s="109"/>
      <c r="F84" s="109"/>
    </row>
    <row r="85">
      <c r="E85" s="109"/>
      <c r="F85" s="109"/>
    </row>
    <row r="86">
      <c r="E86" s="109"/>
      <c r="F86" s="109"/>
    </row>
    <row r="87">
      <c r="E87" s="109"/>
      <c r="F87" s="109"/>
    </row>
    <row r="88">
      <c r="E88" s="109"/>
      <c r="F88" s="109"/>
    </row>
    <row r="89">
      <c r="E89" s="109"/>
      <c r="F89" s="109"/>
    </row>
    <row r="90">
      <c r="E90" s="109"/>
      <c r="F90" s="109"/>
    </row>
    <row r="91">
      <c r="E91" s="109"/>
      <c r="F91" s="109"/>
    </row>
    <row r="92">
      <c r="E92" s="109"/>
      <c r="F92" s="109"/>
    </row>
    <row r="93">
      <c r="E93" s="109"/>
      <c r="F93" s="109"/>
    </row>
    <row r="94">
      <c r="E94" s="109"/>
      <c r="F94" s="109"/>
    </row>
    <row r="95">
      <c r="E95" s="109"/>
      <c r="F95" s="109"/>
    </row>
    <row r="96">
      <c r="E96" s="109"/>
      <c r="F96" s="109"/>
    </row>
    <row r="97">
      <c r="E97" s="109"/>
      <c r="F97" s="109"/>
    </row>
    <row r="98">
      <c r="E98" s="109"/>
      <c r="F98" s="109"/>
    </row>
    <row r="99">
      <c r="E99" s="109"/>
      <c r="F99" s="109"/>
    </row>
    <row r="100">
      <c r="E100" s="109"/>
      <c r="F100" s="109"/>
    </row>
    <row r="101">
      <c r="E101" s="109"/>
      <c r="F101" s="109"/>
    </row>
    <row r="102">
      <c r="E102" s="109"/>
      <c r="F102" s="109"/>
    </row>
    <row r="103">
      <c r="E103" s="109"/>
      <c r="F103" s="109"/>
    </row>
    <row r="104">
      <c r="E104" s="109"/>
      <c r="F104" s="109"/>
    </row>
    <row r="105">
      <c r="E105" s="109"/>
      <c r="F105" s="109"/>
    </row>
    <row r="106">
      <c r="E106" s="109"/>
      <c r="F106" s="109"/>
    </row>
    <row r="107">
      <c r="E107" s="109"/>
      <c r="F107" s="109"/>
    </row>
    <row r="108">
      <c r="E108" s="109"/>
      <c r="F108" s="109"/>
    </row>
    <row r="109">
      <c r="E109" s="109"/>
      <c r="F109" s="109"/>
    </row>
    <row r="110">
      <c r="E110" s="109"/>
      <c r="F110" s="109"/>
    </row>
    <row r="111">
      <c r="E111" s="109"/>
      <c r="F111" s="109"/>
    </row>
    <row r="112">
      <c r="E112" s="109"/>
      <c r="F112" s="109"/>
    </row>
    <row r="113">
      <c r="E113" s="109"/>
      <c r="F113" s="109"/>
    </row>
    <row r="114">
      <c r="E114" s="109"/>
      <c r="F114" s="109"/>
    </row>
    <row r="115">
      <c r="E115" s="109"/>
      <c r="F115" s="109"/>
    </row>
    <row r="116">
      <c r="E116" s="109"/>
      <c r="F116" s="109"/>
    </row>
    <row r="117">
      <c r="E117" s="109"/>
      <c r="F117" s="109"/>
    </row>
    <row r="118">
      <c r="E118" s="109"/>
      <c r="F118" s="109"/>
    </row>
    <row r="119">
      <c r="E119" s="109"/>
      <c r="F119" s="109"/>
    </row>
    <row r="120">
      <c r="E120" s="109"/>
      <c r="F120" s="109"/>
    </row>
    <row r="121">
      <c r="E121" s="109"/>
      <c r="F121" s="109"/>
    </row>
    <row r="122">
      <c r="E122" s="109"/>
      <c r="F122" s="109"/>
    </row>
    <row r="123">
      <c r="E123" s="109"/>
      <c r="F123" s="109"/>
    </row>
    <row r="124">
      <c r="E124" s="109"/>
      <c r="F124" s="109"/>
    </row>
    <row r="125">
      <c r="E125" s="109"/>
      <c r="F125" s="109"/>
    </row>
    <row r="126">
      <c r="E126" s="109"/>
      <c r="F126" s="109"/>
    </row>
    <row r="127">
      <c r="E127" s="109"/>
      <c r="F127" s="109"/>
    </row>
    <row r="128">
      <c r="E128" s="109"/>
      <c r="F128" s="109"/>
    </row>
    <row r="129">
      <c r="E129" s="109"/>
      <c r="F129" s="109"/>
    </row>
    <row r="130">
      <c r="E130" s="109"/>
      <c r="F130" s="109"/>
    </row>
    <row r="131">
      <c r="E131" s="109"/>
      <c r="F131" s="109"/>
    </row>
    <row r="132">
      <c r="E132" s="109"/>
      <c r="F132" s="109"/>
    </row>
    <row r="133">
      <c r="E133" s="109"/>
      <c r="F133" s="109"/>
    </row>
    <row r="134">
      <c r="E134" s="109"/>
      <c r="F134" s="109"/>
    </row>
    <row r="135">
      <c r="E135" s="109"/>
      <c r="F135" s="109"/>
    </row>
    <row r="136">
      <c r="E136" s="109"/>
      <c r="F136" s="109"/>
    </row>
    <row r="137">
      <c r="E137" s="109"/>
      <c r="F137" s="109"/>
    </row>
    <row r="138">
      <c r="E138" s="109"/>
      <c r="F138" s="109"/>
    </row>
    <row r="139">
      <c r="E139" s="109"/>
      <c r="F139" s="109"/>
    </row>
    <row r="140">
      <c r="E140" s="109"/>
      <c r="F140" s="109"/>
    </row>
    <row r="141">
      <c r="E141" s="109"/>
      <c r="F141" s="109"/>
    </row>
    <row r="142">
      <c r="E142" s="109"/>
      <c r="F142" s="109"/>
    </row>
    <row r="143">
      <c r="E143" s="109"/>
      <c r="F143" s="109"/>
    </row>
    <row r="144">
      <c r="E144" s="109"/>
      <c r="F144" s="109"/>
    </row>
    <row r="145">
      <c r="E145" s="109"/>
      <c r="F145" s="109"/>
    </row>
    <row r="146">
      <c r="E146" s="109"/>
      <c r="F146" s="109"/>
    </row>
    <row r="147">
      <c r="E147" s="109"/>
      <c r="F147" s="109"/>
    </row>
    <row r="148">
      <c r="E148" s="109"/>
      <c r="F148" s="109"/>
    </row>
    <row r="149">
      <c r="E149" s="109"/>
      <c r="F149" s="109"/>
    </row>
    <row r="150">
      <c r="E150" s="109"/>
      <c r="F150" s="109"/>
    </row>
    <row r="151">
      <c r="E151" s="109"/>
      <c r="F151" s="109"/>
    </row>
    <row r="152">
      <c r="E152" s="109"/>
      <c r="F152" s="109"/>
    </row>
    <row r="153">
      <c r="E153" s="109"/>
      <c r="F153" s="109"/>
    </row>
    <row r="154">
      <c r="E154" s="109"/>
      <c r="F154" s="109"/>
    </row>
    <row r="155">
      <c r="E155" s="109"/>
      <c r="F155" s="109"/>
    </row>
    <row r="156">
      <c r="E156" s="109"/>
      <c r="F156" s="109"/>
    </row>
    <row r="157">
      <c r="E157" s="109"/>
      <c r="F157" s="109"/>
    </row>
    <row r="158">
      <c r="E158" s="109"/>
      <c r="F158" s="109"/>
    </row>
    <row r="159">
      <c r="E159" s="109"/>
      <c r="F159" s="109"/>
    </row>
    <row r="160">
      <c r="E160" s="109"/>
      <c r="F160" s="109"/>
    </row>
    <row r="161">
      <c r="E161" s="109"/>
      <c r="F161" s="109"/>
    </row>
    <row r="162">
      <c r="E162" s="109"/>
      <c r="F162" s="109"/>
    </row>
    <row r="163">
      <c r="E163" s="109"/>
      <c r="F163" s="109"/>
    </row>
    <row r="164">
      <c r="E164" s="109"/>
      <c r="F164" s="109"/>
    </row>
    <row r="165">
      <c r="E165" s="109"/>
      <c r="F165" s="109"/>
    </row>
    <row r="166">
      <c r="E166" s="109"/>
      <c r="F166" s="109"/>
    </row>
    <row r="167">
      <c r="E167" s="109"/>
      <c r="F167" s="109"/>
    </row>
    <row r="168">
      <c r="E168" s="109"/>
      <c r="F168" s="109"/>
    </row>
    <row r="169">
      <c r="E169" s="109"/>
      <c r="F169" s="109"/>
    </row>
    <row r="170">
      <c r="E170" s="109"/>
      <c r="F170" s="109"/>
    </row>
    <row r="171">
      <c r="E171" s="109"/>
      <c r="F171" s="109"/>
    </row>
    <row r="172">
      <c r="E172" s="109"/>
      <c r="F172" s="109"/>
    </row>
    <row r="173">
      <c r="E173" s="109"/>
      <c r="F173" s="109"/>
    </row>
    <row r="174">
      <c r="E174" s="109"/>
      <c r="F174" s="109"/>
    </row>
    <row r="175">
      <c r="E175" s="109"/>
      <c r="F175" s="109"/>
    </row>
    <row r="176">
      <c r="E176" s="109"/>
      <c r="F176" s="109"/>
    </row>
    <row r="177">
      <c r="E177" s="109"/>
      <c r="F177" s="109"/>
    </row>
    <row r="178">
      <c r="E178" s="109"/>
      <c r="F178" s="109"/>
    </row>
    <row r="179">
      <c r="E179" s="109"/>
      <c r="F179" s="109"/>
    </row>
    <row r="180">
      <c r="E180" s="109"/>
      <c r="F180" s="109"/>
    </row>
    <row r="181">
      <c r="E181" s="109"/>
      <c r="F181" s="109"/>
    </row>
    <row r="182">
      <c r="E182" s="109"/>
      <c r="F182" s="109"/>
    </row>
    <row r="183">
      <c r="E183" s="109"/>
      <c r="F183" s="109"/>
    </row>
    <row r="184">
      <c r="E184" s="109"/>
      <c r="F184" s="109"/>
    </row>
    <row r="185">
      <c r="E185" s="109"/>
      <c r="F185" s="109"/>
    </row>
    <row r="186">
      <c r="E186" s="109"/>
      <c r="F186" s="109"/>
    </row>
    <row r="187">
      <c r="E187" s="109"/>
      <c r="F187" s="109"/>
    </row>
    <row r="188">
      <c r="E188" s="109"/>
      <c r="F188" s="109"/>
    </row>
    <row r="189">
      <c r="E189" s="109"/>
      <c r="F189" s="109"/>
    </row>
    <row r="190">
      <c r="E190" s="109"/>
      <c r="F190" s="109"/>
    </row>
    <row r="191">
      <c r="E191" s="109"/>
      <c r="F191" s="109"/>
    </row>
    <row r="192">
      <c r="E192" s="109"/>
      <c r="F192" s="109"/>
    </row>
    <row r="193">
      <c r="E193" s="109"/>
      <c r="F193" s="109"/>
    </row>
    <row r="194">
      <c r="E194" s="109"/>
      <c r="F194" s="109"/>
    </row>
    <row r="195">
      <c r="E195" s="109"/>
      <c r="F195" s="109"/>
    </row>
    <row r="196">
      <c r="E196" s="109"/>
      <c r="F196" s="109"/>
    </row>
    <row r="197">
      <c r="E197" s="109"/>
      <c r="F197" s="109"/>
    </row>
    <row r="198">
      <c r="E198" s="109"/>
      <c r="F198" s="109"/>
    </row>
    <row r="199">
      <c r="E199" s="109"/>
      <c r="F199" s="109"/>
    </row>
    <row r="200">
      <c r="E200" s="109"/>
      <c r="F200" s="109"/>
    </row>
    <row r="201">
      <c r="E201" s="109"/>
      <c r="F201" s="109"/>
    </row>
    <row r="202">
      <c r="E202" s="109"/>
      <c r="F202" s="109"/>
    </row>
    <row r="203">
      <c r="E203" s="109"/>
      <c r="F203" s="109"/>
    </row>
    <row r="204">
      <c r="E204" s="109"/>
      <c r="F204" s="109"/>
    </row>
    <row r="205">
      <c r="E205" s="109"/>
      <c r="F205" s="109"/>
    </row>
    <row r="206">
      <c r="E206" s="109"/>
      <c r="F206" s="109"/>
    </row>
    <row r="207">
      <c r="E207" s="109"/>
      <c r="F207" s="109"/>
    </row>
    <row r="208">
      <c r="E208" s="109"/>
      <c r="F208" s="109"/>
    </row>
    <row r="209">
      <c r="E209" s="109"/>
      <c r="F209" s="109"/>
    </row>
    <row r="210">
      <c r="E210" s="109"/>
      <c r="F210" s="109"/>
    </row>
    <row r="211">
      <c r="E211" s="109"/>
      <c r="F211" s="109"/>
    </row>
    <row r="212">
      <c r="E212" s="109"/>
      <c r="F212" s="109"/>
    </row>
    <row r="213">
      <c r="E213" s="109"/>
      <c r="F213" s="109"/>
    </row>
    <row r="214">
      <c r="E214" s="109"/>
      <c r="F214" s="109"/>
    </row>
    <row r="215">
      <c r="E215" s="109"/>
      <c r="F215" s="109"/>
    </row>
    <row r="216">
      <c r="E216" s="109"/>
      <c r="F216" s="109"/>
    </row>
    <row r="217">
      <c r="E217" s="109"/>
      <c r="F217" s="109"/>
    </row>
    <row r="218">
      <c r="E218" s="109"/>
      <c r="F218" s="109"/>
    </row>
    <row r="219">
      <c r="E219" s="109"/>
      <c r="F219" s="109"/>
    </row>
    <row r="220">
      <c r="E220" s="109"/>
      <c r="F220" s="109"/>
    </row>
    <row r="221">
      <c r="E221" s="109"/>
      <c r="F221" s="109"/>
    </row>
    <row r="222">
      <c r="E222" s="109"/>
      <c r="F222" s="109"/>
    </row>
    <row r="223">
      <c r="E223" s="109"/>
      <c r="F223" s="109"/>
    </row>
    <row r="224">
      <c r="E224" s="109"/>
      <c r="F224" s="109"/>
    </row>
    <row r="225">
      <c r="E225" s="109"/>
      <c r="F225" s="109"/>
    </row>
    <row r="226">
      <c r="E226" s="109"/>
      <c r="F226" s="109"/>
    </row>
    <row r="227">
      <c r="E227" s="109"/>
      <c r="F227" s="109"/>
    </row>
    <row r="228">
      <c r="E228" s="109"/>
      <c r="F228" s="109"/>
    </row>
    <row r="229">
      <c r="E229" s="109"/>
      <c r="F229" s="109"/>
    </row>
    <row r="230">
      <c r="E230" s="109"/>
      <c r="F230" s="109"/>
    </row>
    <row r="231">
      <c r="E231" s="109"/>
      <c r="F231" s="109"/>
    </row>
    <row r="232">
      <c r="E232" s="109"/>
      <c r="F232" s="109"/>
    </row>
    <row r="233">
      <c r="E233" s="109"/>
      <c r="F233" s="109"/>
    </row>
    <row r="234">
      <c r="E234" s="109"/>
      <c r="F234" s="109"/>
    </row>
    <row r="235">
      <c r="E235" s="109"/>
      <c r="F235" s="109"/>
    </row>
    <row r="236">
      <c r="E236" s="109"/>
      <c r="F236" s="109"/>
    </row>
    <row r="237">
      <c r="E237" s="109"/>
      <c r="F237" s="109"/>
    </row>
    <row r="238">
      <c r="E238" s="109"/>
      <c r="F238" s="109"/>
    </row>
    <row r="239">
      <c r="E239" s="109"/>
      <c r="F239" s="109"/>
    </row>
    <row r="240">
      <c r="E240" s="109"/>
      <c r="F240" s="109"/>
    </row>
    <row r="241">
      <c r="E241" s="109"/>
      <c r="F241" s="109"/>
    </row>
    <row r="242">
      <c r="E242" s="109"/>
      <c r="F242" s="109"/>
    </row>
    <row r="243">
      <c r="E243" s="109"/>
      <c r="F243" s="109"/>
    </row>
    <row r="244">
      <c r="E244" s="109"/>
      <c r="F244" s="109"/>
    </row>
    <row r="245">
      <c r="E245" s="109"/>
      <c r="F245" s="109"/>
    </row>
    <row r="246">
      <c r="E246" s="109"/>
      <c r="F246" s="109"/>
    </row>
    <row r="247">
      <c r="E247" s="109"/>
      <c r="F247" s="109"/>
    </row>
    <row r="248">
      <c r="E248" s="109"/>
      <c r="F248" s="109"/>
    </row>
    <row r="249">
      <c r="E249" s="109"/>
      <c r="F249" s="109"/>
    </row>
    <row r="250">
      <c r="E250" s="109"/>
      <c r="F250" s="109"/>
    </row>
    <row r="251">
      <c r="E251" s="109"/>
      <c r="F251" s="109"/>
    </row>
    <row r="252">
      <c r="E252" s="109"/>
      <c r="F252" s="109"/>
    </row>
    <row r="253">
      <c r="E253" s="109"/>
      <c r="F253" s="109"/>
    </row>
    <row r="254">
      <c r="E254" s="109"/>
      <c r="F254" s="109"/>
    </row>
    <row r="255">
      <c r="E255" s="109"/>
      <c r="F255" s="109"/>
    </row>
    <row r="256">
      <c r="E256" s="109"/>
      <c r="F256" s="109"/>
    </row>
    <row r="257">
      <c r="E257" s="109"/>
      <c r="F257" s="109"/>
    </row>
    <row r="258">
      <c r="E258" s="109"/>
      <c r="F258" s="109"/>
    </row>
    <row r="259">
      <c r="E259" s="109"/>
      <c r="F259" s="109"/>
    </row>
    <row r="260">
      <c r="E260" s="109"/>
      <c r="F260" s="109"/>
    </row>
    <row r="261">
      <c r="E261" s="109"/>
      <c r="F261" s="109"/>
    </row>
    <row r="262">
      <c r="E262" s="109"/>
      <c r="F262" s="109"/>
    </row>
    <row r="263">
      <c r="E263" s="109"/>
      <c r="F263" s="109"/>
    </row>
    <row r="264">
      <c r="E264" s="109"/>
      <c r="F264" s="109"/>
    </row>
    <row r="265">
      <c r="E265" s="109"/>
      <c r="F265" s="109"/>
    </row>
    <row r="266">
      <c r="E266" s="109"/>
      <c r="F266" s="109"/>
    </row>
    <row r="267">
      <c r="E267" s="109"/>
      <c r="F267" s="109"/>
    </row>
    <row r="268">
      <c r="E268" s="109"/>
      <c r="F268" s="109"/>
    </row>
    <row r="269">
      <c r="E269" s="109"/>
      <c r="F269" s="109"/>
    </row>
    <row r="270">
      <c r="E270" s="109"/>
      <c r="F270" s="109"/>
    </row>
    <row r="271">
      <c r="E271" s="109"/>
      <c r="F271" s="109"/>
    </row>
    <row r="272">
      <c r="E272" s="109"/>
      <c r="F272" s="109"/>
    </row>
    <row r="273">
      <c r="E273" s="109"/>
      <c r="F273" s="109"/>
    </row>
    <row r="274">
      <c r="E274" s="109"/>
      <c r="F274" s="109"/>
    </row>
    <row r="275">
      <c r="E275" s="109"/>
      <c r="F275" s="109"/>
    </row>
    <row r="276">
      <c r="E276" s="109"/>
      <c r="F276" s="109"/>
    </row>
    <row r="277">
      <c r="E277" s="109"/>
      <c r="F277" s="109"/>
    </row>
    <row r="278">
      <c r="E278" s="109"/>
      <c r="F278" s="109"/>
    </row>
    <row r="279">
      <c r="E279" s="109"/>
      <c r="F279" s="109"/>
    </row>
    <row r="280">
      <c r="E280" s="109"/>
      <c r="F280" s="109"/>
    </row>
    <row r="281">
      <c r="E281" s="109"/>
      <c r="F281" s="109"/>
    </row>
    <row r="282">
      <c r="E282" s="109"/>
      <c r="F282" s="109"/>
    </row>
    <row r="283">
      <c r="E283" s="109"/>
      <c r="F283" s="109"/>
    </row>
    <row r="284">
      <c r="E284" s="109"/>
      <c r="F284" s="109"/>
    </row>
    <row r="285">
      <c r="E285" s="109"/>
      <c r="F285" s="109"/>
    </row>
    <row r="286">
      <c r="E286" s="109"/>
      <c r="F286" s="109"/>
    </row>
    <row r="287">
      <c r="E287" s="109"/>
      <c r="F287" s="109"/>
    </row>
    <row r="288">
      <c r="E288" s="109"/>
      <c r="F288" s="109"/>
    </row>
    <row r="289">
      <c r="E289" s="109"/>
      <c r="F289" s="109"/>
    </row>
    <row r="290">
      <c r="E290" s="109"/>
      <c r="F290" s="109"/>
    </row>
    <row r="291">
      <c r="E291" s="109"/>
      <c r="F291" s="109"/>
    </row>
    <row r="292">
      <c r="E292" s="109"/>
      <c r="F292" s="109"/>
    </row>
    <row r="293">
      <c r="E293" s="109"/>
      <c r="F293" s="109"/>
    </row>
    <row r="294">
      <c r="E294" s="109"/>
      <c r="F294" s="109"/>
    </row>
    <row r="295">
      <c r="E295" s="109"/>
      <c r="F295" s="109"/>
    </row>
    <row r="296">
      <c r="E296" s="109"/>
      <c r="F296" s="109"/>
    </row>
    <row r="297">
      <c r="E297" s="109"/>
      <c r="F297" s="109"/>
    </row>
    <row r="298">
      <c r="E298" s="109"/>
      <c r="F298" s="109"/>
    </row>
    <row r="299">
      <c r="E299" s="109"/>
      <c r="F299" s="109"/>
    </row>
    <row r="300">
      <c r="E300" s="109"/>
      <c r="F300" s="109"/>
    </row>
    <row r="301">
      <c r="E301" s="109"/>
      <c r="F301" s="109"/>
    </row>
    <row r="302">
      <c r="E302" s="109"/>
      <c r="F302" s="109"/>
    </row>
    <row r="303">
      <c r="E303" s="109"/>
      <c r="F303" s="109"/>
    </row>
    <row r="304">
      <c r="E304" s="109"/>
      <c r="F304" s="109"/>
    </row>
    <row r="305">
      <c r="E305" s="109"/>
      <c r="F305" s="109"/>
    </row>
    <row r="306">
      <c r="E306" s="109"/>
      <c r="F306" s="109"/>
    </row>
    <row r="307">
      <c r="E307" s="109"/>
      <c r="F307" s="109"/>
    </row>
    <row r="308">
      <c r="E308" s="109"/>
      <c r="F308" s="109"/>
    </row>
    <row r="309">
      <c r="E309" s="109"/>
      <c r="F309" s="109"/>
    </row>
    <row r="310">
      <c r="E310" s="109"/>
      <c r="F310" s="109"/>
    </row>
    <row r="311">
      <c r="E311" s="109"/>
      <c r="F311" s="109"/>
    </row>
    <row r="312">
      <c r="E312" s="109"/>
      <c r="F312" s="109"/>
    </row>
    <row r="313">
      <c r="E313" s="109"/>
      <c r="F313" s="109"/>
    </row>
    <row r="314">
      <c r="E314" s="109"/>
      <c r="F314" s="109"/>
    </row>
    <row r="315">
      <c r="E315" s="109"/>
      <c r="F315" s="109"/>
    </row>
    <row r="316">
      <c r="E316" s="109"/>
      <c r="F316" s="109"/>
    </row>
    <row r="317">
      <c r="E317" s="109"/>
      <c r="F317" s="109"/>
    </row>
    <row r="318">
      <c r="E318" s="109"/>
      <c r="F318" s="109"/>
    </row>
    <row r="319">
      <c r="E319" s="109"/>
      <c r="F319" s="109"/>
    </row>
    <row r="320">
      <c r="E320" s="109"/>
      <c r="F320" s="109"/>
    </row>
    <row r="321">
      <c r="E321" s="109"/>
      <c r="F321" s="109"/>
    </row>
    <row r="322">
      <c r="E322" s="109"/>
      <c r="F322" s="109"/>
    </row>
    <row r="323">
      <c r="E323" s="109"/>
      <c r="F323" s="109"/>
    </row>
    <row r="324">
      <c r="E324" s="109"/>
      <c r="F324" s="109"/>
    </row>
    <row r="325">
      <c r="E325" s="109"/>
      <c r="F325" s="109"/>
    </row>
    <row r="326">
      <c r="E326" s="109"/>
      <c r="F326" s="109"/>
    </row>
    <row r="327">
      <c r="E327" s="109"/>
      <c r="F327" s="109"/>
    </row>
    <row r="328">
      <c r="E328" s="109"/>
      <c r="F328" s="109"/>
    </row>
    <row r="329">
      <c r="E329" s="109"/>
      <c r="F329" s="109"/>
    </row>
    <row r="330">
      <c r="E330" s="109"/>
      <c r="F330" s="109"/>
    </row>
    <row r="331">
      <c r="E331" s="109"/>
      <c r="F331" s="109"/>
    </row>
    <row r="332">
      <c r="E332" s="109"/>
      <c r="F332" s="109"/>
    </row>
    <row r="333">
      <c r="E333" s="109"/>
      <c r="F333" s="109"/>
    </row>
    <row r="334">
      <c r="E334" s="109"/>
      <c r="F334" s="109"/>
    </row>
    <row r="335">
      <c r="E335" s="109"/>
      <c r="F335" s="109"/>
    </row>
    <row r="336">
      <c r="E336" s="109"/>
      <c r="F336" s="109"/>
    </row>
    <row r="337">
      <c r="E337" s="109"/>
      <c r="F337" s="109"/>
    </row>
    <row r="338">
      <c r="E338" s="109"/>
      <c r="F338" s="109"/>
    </row>
    <row r="339">
      <c r="E339" s="109"/>
      <c r="F339" s="109"/>
    </row>
    <row r="340">
      <c r="E340" s="109"/>
      <c r="F340" s="109"/>
    </row>
    <row r="341">
      <c r="E341" s="109"/>
      <c r="F341" s="109"/>
    </row>
    <row r="342">
      <c r="E342" s="109"/>
      <c r="F342" s="109"/>
    </row>
    <row r="343">
      <c r="E343" s="109"/>
      <c r="F343" s="109"/>
    </row>
    <row r="344">
      <c r="E344" s="109"/>
      <c r="F344" s="109"/>
    </row>
    <row r="345">
      <c r="E345" s="109"/>
      <c r="F345" s="109"/>
    </row>
    <row r="346">
      <c r="E346" s="109"/>
      <c r="F346" s="109"/>
    </row>
    <row r="347">
      <c r="E347" s="109"/>
      <c r="F347" s="109"/>
    </row>
    <row r="348">
      <c r="E348" s="109"/>
      <c r="F348" s="109"/>
    </row>
    <row r="349">
      <c r="E349" s="109"/>
      <c r="F349" s="109"/>
    </row>
    <row r="350">
      <c r="E350" s="109"/>
      <c r="F350" s="109"/>
    </row>
    <row r="351">
      <c r="E351" s="109"/>
      <c r="F351" s="109"/>
    </row>
    <row r="352">
      <c r="E352" s="109"/>
      <c r="F352" s="109"/>
    </row>
    <row r="353">
      <c r="E353" s="109"/>
      <c r="F353" s="109"/>
    </row>
    <row r="354">
      <c r="E354" s="109"/>
      <c r="F354" s="109"/>
    </row>
    <row r="355">
      <c r="E355" s="109"/>
      <c r="F355" s="109"/>
    </row>
    <row r="356">
      <c r="E356" s="109"/>
      <c r="F356" s="109"/>
    </row>
    <row r="357">
      <c r="E357" s="109"/>
      <c r="F357" s="109"/>
    </row>
    <row r="358">
      <c r="E358" s="109"/>
      <c r="F358" s="109"/>
    </row>
    <row r="359">
      <c r="E359" s="109"/>
      <c r="F359" s="109"/>
    </row>
    <row r="360">
      <c r="E360" s="109"/>
      <c r="F360" s="109"/>
    </row>
    <row r="361">
      <c r="E361" s="109"/>
      <c r="F361" s="109"/>
    </row>
    <row r="362">
      <c r="E362" s="109"/>
      <c r="F362" s="109"/>
    </row>
    <row r="363">
      <c r="E363" s="109"/>
      <c r="F363" s="109"/>
    </row>
    <row r="364">
      <c r="E364" s="109"/>
      <c r="F364" s="109"/>
    </row>
    <row r="365">
      <c r="E365" s="109"/>
      <c r="F365" s="109"/>
    </row>
    <row r="366">
      <c r="E366" s="109"/>
      <c r="F366" s="109"/>
    </row>
    <row r="367">
      <c r="E367" s="109"/>
      <c r="F367" s="109"/>
    </row>
    <row r="368">
      <c r="E368" s="109"/>
      <c r="F368" s="109"/>
    </row>
    <row r="369">
      <c r="E369" s="109"/>
      <c r="F369" s="109"/>
    </row>
    <row r="370">
      <c r="E370" s="109"/>
      <c r="F370" s="109"/>
    </row>
    <row r="371">
      <c r="E371" s="109"/>
      <c r="F371" s="109"/>
    </row>
    <row r="372">
      <c r="E372" s="109"/>
      <c r="F372" s="109"/>
    </row>
    <row r="373">
      <c r="E373" s="109"/>
      <c r="F373" s="109"/>
    </row>
    <row r="374">
      <c r="E374" s="109"/>
      <c r="F374" s="109"/>
    </row>
    <row r="375">
      <c r="E375" s="109"/>
      <c r="F375" s="109"/>
    </row>
    <row r="376">
      <c r="E376" s="109"/>
      <c r="F376" s="109"/>
    </row>
    <row r="377">
      <c r="E377" s="109"/>
      <c r="F377" s="109"/>
    </row>
    <row r="378">
      <c r="E378" s="109"/>
      <c r="F378" s="109"/>
    </row>
    <row r="379">
      <c r="E379" s="109"/>
      <c r="F379" s="109"/>
    </row>
    <row r="380">
      <c r="E380" s="109"/>
      <c r="F380" s="109"/>
    </row>
    <row r="381">
      <c r="E381" s="109"/>
      <c r="F381" s="109"/>
    </row>
    <row r="382">
      <c r="E382" s="109"/>
      <c r="F382" s="109"/>
    </row>
    <row r="383">
      <c r="E383" s="109"/>
      <c r="F383" s="109"/>
    </row>
    <row r="384">
      <c r="E384" s="109"/>
      <c r="F384" s="109"/>
    </row>
    <row r="385">
      <c r="E385" s="109"/>
      <c r="F385" s="109"/>
    </row>
    <row r="386">
      <c r="E386" s="109"/>
      <c r="F386" s="109"/>
    </row>
    <row r="387">
      <c r="E387" s="109"/>
      <c r="F387" s="109"/>
    </row>
    <row r="388">
      <c r="E388" s="109"/>
      <c r="F388" s="109"/>
    </row>
    <row r="389">
      <c r="E389" s="109"/>
      <c r="F389" s="109"/>
    </row>
    <row r="390">
      <c r="E390" s="109"/>
      <c r="F390" s="109"/>
    </row>
    <row r="391">
      <c r="E391" s="109"/>
      <c r="F391" s="109"/>
    </row>
    <row r="392">
      <c r="E392" s="109"/>
      <c r="F392" s="109"/>
    </row>
    <row r="393">
      <c r="E393" s="109"/>
      <c r="F393" s="109"/>
    </row>
    <row r="394">
      <c r="E394" s="109"/>
      <c r="F394" s="109"/>
    </row>
    <row r="395">
      <c r="E395" s="109"/>
      <c r="F395" s="109"/>
    </row>
    <row r="396">
      <c r="E396" s="109"/>
      <c r="F396" s="109"/>
    </row>
    <row r="397">
      <c r="E397" s="109"/>
      <c r="F397" s="109"/>
    </row>
    <row r="398">
      <c r="E398" s="109"/>
      <c r="F398" s="109"/>
    </row>
    <row r="399">
      <c r="E399" s="109"/>
      <c r="F399" s="109"/>
    </row>
    <row r="400">
      <c r="E400" s="109"/>
      <c r="F400" s="109"/>
    </row>
    <row r="401">
      <c r="E401" s="109"/>
      <c r="F401" s="109"/>
    </row>
    <row r="402">
      <c r="E402" s="109"/>
      <c r="F402" s="109"/>
    </row>
    <row r="403">
      <c r="E403" s="109"/>
      <c r="F403" s="109"/>
    </row>
    <row r="404">
      <c r="E404" s="109"/>
      <c r="F404" s="109"/>
    </row>
    <row r="405">
      <c r="E405" s="109"/>
      <c r="F405" s="109"/>
    </row>
    <row r="406">
      <c r="E406" s="109"/>
      <c r="F406" s="109"/>
    </row>
    <row r="407">
      <c r="E407" s="109"/>
      <c r="F407" s="109"/>
    </row>
    <row r="408">
      <c r="E408" s="109"/>
      <c r="F408" s="109"/>
    </row>
    <row r="409">
      <c r="E409" s="109"/>
      <c r="F409" s="109"/>
    </row>
    <row r="410">
      <c r="E410" s="109"/>
      <c r="F410" s="109"/>
    </row>
    <row r="411">
      <c r="E411" s="109"/>
      <c r="F411" s="109"/>
    </row>
    <row r="412">
      <c r="E412" s="109"/>
      <c r="F412" s="109"/>
    </row>
    <row r="413">
      <c r="E413" s="109"/>
      <c r="F413" s="109"/>
    </row>
    <row r="414">
      <c r="E414" s="109"/>
      <c r="F414" s="109"/>
    </row>
    <row r="415">
      <c r="E415" s="109"/>
      <c r="F415" s="109"/>
    </row>
    <row r="416">
      <c r="E416" s="109"/>
      <c r="F416" s="109"/>
    </row>
    <row r="417">
      <c r="E417" s="109"/>
      <c r="F417" s="109"/>
    </row>
    <row r="418">
      <c r="E418" s="109"/>
      <c r="F418" s="109"/>
    </row>
    <row r="419">
      <c r="E419" s="109"/>
      <c r="F419" s="109"/>
    </row>
    <row r="420">
      <c r="E420" s="109"/>
      <c r="F420" s="109"/>
    </row>
    <row r="421">
      <c r="E421" s="109"/>
      <c r="F421" s="109"/>
    </row>
    <row r="422">
      <c r="E422" s="109"/>
      <c r="F422" s="109"/>
    </row>
    <row r="423">
      <c r="E423" s="109"/>
      <c r="F423" s="109"/>
    </row>
    <row r="424">
      <c r="E424" s="109"/>
      <c r="F424" s="109"/>
    </row>
    <row r="425">
      <c r="E425" s="109"/>
      <c r="F425" s="109"/>
    </row>
    <row r="426">
      <c r="E426" s="109"/>
      <c r="F426" s="109"/>
    </row>
    <row r="427">
      <c r="E427" s="109"/>
      <c r="F427" s="109"/>
    </row>
    <row r="428">
      <c r="E428" s="109"/>
      <c r="F428" s="109"/>
    </row>
    <row r="429">
      <c r="E429" s="109"/>
      <c r="F429" s="109"/>
    </row>
    <row r="430">
      <c r="E430" s="109"/>
      <c r="F430" s="109"/>
    </row>
    <row r="431">
      <c r="E431" s="109"/>
      <c r="F431" s="109"/>
    </row>
    <row r="432">
      <c r="E432" s="109"/>
      <c r="F432" s="109"/>
    </row>
    <row r="433">
      <c r="E433" s="109"/>
      <c r="F433" s="109"/>
    </row>
    <row r="434">
      <c r="E434" s="109"/>
      <c r="F434" s="109"/>
    </row>
    <row r="435">
      <c r="E435" s="109"/>
      <c r="F435" s="109"/>
    </row>
    <row r="436">
      <c r="E436" s="109"/>
      <c r="F436" s="109"/>
    </row>
    <row r="437">
      <c r="E437" s="109"/>
      <c r="F437" s="109"/>
    </row>
    <row r="438">
      <c r="E438" s="109"/>
      <c r="F438" s="109"/>
    </row>
    <row r="439">
      <c r="E439" s="109"/>
      <c r="F439" s="109"/>
    </row>
    <row r="440">
      <c r="E440" s="109"/>
      <c r="F440" s="109"/>
    </row>
    <row r="441">
      <c r="E441" s="109"/>
      <c r="F441" s="109"/>
    </row>
    <row r="442">
      <c r="E442" s="109"/>
      <c r="F442" s="109"/>
    </row>
    <row r="443">
      <c r="E443" s="109"/>
      <c r="F443" s="109"/>
    </row>
    <row r="444">
      <c r="E444" s="109"/>
      <c r="F444" s="109"/>
    </row>
    <row r="445">
      <c r="E445" s="109"/>
      <c r="F445" s="109"/>
    </row>
    <row r="446">
      <c r="E446" s="109"/>
      <c r="F446" s="109"/>
    </row>
    <row r="447">
      <c r="E447" s="109"/>
      <c r="F447" s="109"/>
    </row>
    <row r="448">
      <c r="E448" s="109"/>
      <c r="F448" s="109"/>
    </row>
    <row r="449">
      <c r="E449" s="109"/>
      <c r="F449" s="109"/>
    </row>
    <row r="450">
      <c r="E450" s="109"/>
      <c r="F450" s="109"/>
    </row>
    <row r="451">
      <c r="E451" s="109"/>
      <c r="F451" s="109"/>
    </row>
    <row r="452">
      <c r="E452" s="109"/>
      <c r="F452" s="109"/>
    </row>
    <row r="453">
      <c r="E453" s="109"/>
      <c r="F453" s="109"/>
    </row>
    <row r="454">
      <c r="E454" s="109"/>
      <c r="F454" s="109"/>
    </row>
    <row r="455">
      <c r="E455" s="109"/>
      <c r="F455" s="109"/>
    </row>
    <row r="456">
      <c r="E456" s="109"/>
      <c r="F456" s="109"/>
    </row>
    <row r="457">
      <c r="E457" s="109"/>
      <c r="F457" s="109"/>
    </row>
    <row r="458">
      <c r="E458" s="109"/>
      <c r="F458" s="109"/>
    </row>
    <row r="459">
      <c r="E459" s="109"/>
      <c r="F459" s="109"/>
    </row>
    <row r="460">
      <c r="E460" s="109"/>
      <c r="F460" s="109"/>
    </row>
    <row r="461">
      <c r="E461" s="109"/>
      <c r="F461" s="109"/>
    </row>
    <row r="462">
      <c r="E462" s="109"/>
      <c r="F462" s="109"/>
    </row>
    <row r="463">
      <c r="E463" s="109"/>
      <c r="F463" s="109"/>
    </row>
    <row r="464">
      <c r="E464" s="109"/>
      <c r="F464" s="109"/>
    </row>
    <row r="465">
      <c r="E465" s="109"/>
      <c r="F465" s="109"/>
    </row>
    <row r="466">
      <c r="E466" s="109"/>
      <c r="F466" s="109"/>
    </row>
    <row r="467">
      <c r="E467" s="109"/>
      <c r="F467" s="109"/>
    </row>
    <row r="468">
      <c r="E468" s="109"/>
      <c r="F468" s="109"/>
    </row>
    <row r="469">
      <c r="E469" s="109"/>
      <c r="F469" s="109"/>
    </row>
    <row r="470">
      <c r="E470" s="109"/>
      <c r="F470" s="109"/>
    </row>
    <row r="471">
      <c r="E471" s="109"/>
      <c r="F471" s="109"/>
    </row>
    <row r="472">
      <c r="E472" s="109"/>
      <c r="F472" s="109"/>
    </row>
    <row r="473">
      <c r="E473" s="109"/>
      <c r="F473" s="109"/>
    </row>
    <row r="474">
      <c r="E474" s="109"/>
      <c r="F474" s="109"/>
    </row>
    <row r="475">
      <c r="E475" s="109"/>
      <c r="F475" s="109"/>
    </row>
    <row r="476">
      <c r="E476" s="109"/>
      <c r="F476" s="109"/>
    </row>
    <row r="477">
      <c r="E477" s="109"/>
      <c r="F477" s="109"/>
    </row>
    <row r="478">
      <c r="E478" s="109"/>
      <c r="F478" s="109"/>
    </row>
    <row r="479">
      <c r="E479" s="109"/>
      <c r="F479" s="109"/>
    </row>
    <row r="480">
      <c r="E480" s="109"/>
      <c r="F480" s="109"/>
    </row>
    <row r="481">
      <c r="E481" s="109"/>
      <c r="F481" s="109"/>
    </row>
    <row r="482">
      <c r="E482" s="109"/>
      <c r="F482" s="109"/>
    </row>
    <row r="483">
      <c r="E483" s="109"/>
      <c r="F483" s="109"/>
    </row>
    <row r="484">
      <c r="E484" s="109"/>
      <c r="F484" s="109"/>
    </row>
    <row r="485">
      <c r="E485" s="109"/>
      <c r="F485" s="109"/>
    </row>
    <row r="486">
      <c r="E486" s="109"/>
      <c r="F486" s="109"/>
    </row>
    <row r="487">
      <c r="E487" s="109"/>
      <c r="F487" s="109"/>
    </row>
    <row r="488">
      <c r="E488" s="109"/>
      <c r="F488" s="109"/>
    </row>
    <row r="489">
      <c r="E489" s="109"/>
      <c r="F489" s="109"/>
    </row>
    <row r="490">
      <c r="E490" s="109"/>
      <c r="F490" s="109"/>
    </row>
    <row r="491">
      <c r="E491" s="109"/>
      <c r="F491" s="109"/>
    </row>
    <row r="492">
      <c r="E492" s="109"/>
      <c r="F492" s="109"/>
    </row>
    <row r="493">
      <c r="E493" s="109"/>
      <c r="F493" s="109"/>
    </row>
    <row r="494">
      <c r="E494" s="109"/>
      <c r="F494" s="109"/>
    </row>
    <row r="495">
      <c r="E495" s="109"/>
      <c r="F495" s="109"/>
    </row>
    <row r="496">
      <c r="E496" s="109"/>
      <c r="F496" s="109"/>
    </row>
    <row r="497">
      <c r="E497" s="109"/>
      <c r="F497" s="109"/>
    </row>
    <row r="498">
      <c r="E498" s="109"/>
      <c r="F498" s="109"/>
    </row>
    <row r="499">
      <c r="E499" s="109"/>
      <c r="F499" s="109"/>
    </row>
    <row r="500">
      <c r="E500" s="109"/>
      <c r="F500" s="109"/>
    </row>
    <row r="501">
      <c r="E501" s="109"/>
      <c r="F501" s="109"/>
    </row>
    <row r="502">
      <c r="E502" s="109"/>
      <c r="F502" s="109"/>
    </row>
    <row r="503">
      <c r="E503" s="109"/>
      <c r="F503" s="109"/>
    </row>
    <row r="504">
      <c r="E504" s="109"/>
      <c r="F504" s="109"/>
    </row>
    <row r="505">
      <c r="E505" s="109"/>
      <c r="F505" s="109"/>
    </row>
    <row r="506">
      <c r="E506" s="109"/>
      <c r="F506" s="109"/>
    </row>
    <row r="507">
      <c r="E507" s="109"/>
      <c r="F507" s="109"/>
    </row>
    <row r="508">
      <c r="E508" s="109"/>
      <c r="F508" s="109"/>
    </row>
    <row r="509">
      <c r="E509" s="109"/>
      <c r="F509" s="109"/>
    </row>
    <row r="510">
      <c r="E510" s="109"/>
      <c r="F510" s="109"/>
    </row>
    <row r="511">
      <c r="E511" s="109"/>
      <c r="F511" s="109"/>
    </row>
    <row r="512">
      <c r="E512" s="109"/>
      <c r="F512" s="109"/>
    </row>
    <row r="513">
      <c r="E513" s="109"/>
      <c r="F513" s="109"/>
    </row>
    <row r="514">
      <c r="E514" s="109"/>
      <c r="F514" s="109"/>
    </row>
    <row r="515">
      <c r="E515" s="109"/>
      <c r="F515" s="109"/>
    </row>
    <row r="516">
      <c r="E516" s="109"/>
      <c r="F516" s="109"/>
    </row>
    <row r="517">
      <c r="E517" s="109"/>
      <c r="F517" s="109"/>
    </row>
    <row r="518">
      <c r="E518" s="109"/>
      <c r="F518" s="109"/>
    </row>
    <row r="519">
      <c r="E519" s="109"/>
      <c r="F519" s="109"/>
    </row>
    <row r="520">
      <c r="E520" s="109"/>
      <c r="F520" s="109"/>
    </row>
    <row r="521">
      <c r="E521" s="109"/>
      <c r="F521" s="109"/>
    </row>
    <row r="522">
      <c r="E522" s="109"/>
      <c r="F522" s="109"/>
    </row>
    <row r="523">
      <c r="E523" s="109"/>
      <c r="F523" s="109"/>
    </row>
    <row r="524">
      <c r="E524" s="109"/>
      <c r="F524" s="109"/>
    </row>
    <row r="525">
      <c r="E525" s="109"/>
      <c r="F525" s="109"/>
    </row>
    <row r="526">
      <c r="E526" s="109"/>
      <c r="F526" s="109"/>
    </row>
    <row r="527">
      <c r="E527" s="109"/>
      <c r="F527" s="109"/>
    </row>
    <row r="528">
      <c r="E528" s="109"/>
      <c r="F528" s="109"/>
    </row>
    <row r="529">
      <c r="E529" s="109"/>
      <c r="F529" s="109"/>
    </row>
    <row r="530">
      <c r="E530" s="109"/>
      <c r="F530" s="109"/>
    </row>
    <row r="531">
      <c r="E531" s="109"/>
      <c r="F531" s="109"/>
    </row>
    <row r="532">
      <c r="E532" s="109"/>
      <c r="F532" s="109"/>
    </row>
    <row r="533">
      <c r="E533" s="109"/>
      <c r="F533" s="109"/>
    </row>
    <row r="534">
      <c r="E534" s="109"/>
      <c r="F534" s="109"/>
    </row>
    <row r="535">
      <c r="E535" s="109"/>
      <c r="F535" s="109"/>
    </row>
    <row r="536">
      <c r="E536" s="109"/>
      <c r="F536" s="109"/>
    </row>
    <row r="537">
      <c r="E537" s="109"/>
      <c r="F537" s="109"/>
    </row>
    <row r="538">
      <c r="E538" s="109"/>
      <c r="F538" s="109"/>
    </row>
    <row r="539">
      <c r="E539" s="109"/>
      <c r="F539" s="109"/>
    </row>
    <row r="540">
      <c r="E540" s="109"/>
      <c r="F540" s="109"/>
    </row>
    <row r="541">
      <c r="E541" s="109"/>
      <c r="F541" s="109"/>
    </row>
    <row r="542">
      <c r="E542" s="109"/>
      <c r="F542" s="109"/>
    </row>
    <row r="543">
      <c r="E543" s="109"/>
      <c r="F543" s="109"/>
    </row>
    <row r="544">
      <c r="E544" s="109"/>
      <c r="F544" s="109"/>
    </row>
    <row r="545">
      <c r="E545" s="109"/>
      <c r="F545" s="109"/>
    </row>
    <row r="546">
      <c r="E546" s="109"/>
      <c r="F546" s="109"/>
    </row>
    <row r="547">
      <c r="E547" s="109"/>
      <c r="F547" s="109"/>
    </row>
    <row r="548">
      <c r="E548" s="109"/>
      <c r="F548" s="109"/>
    </row>
    <row r="549">
      <c r="E549" s="109"/>
      <c r="F549" s="109"/>
    </row>
    <row r="550">
      <c r="E550" s="109"/>
      <c r="F550" s="109"/>
    </row>
    <row r="551">
      <c r="E551" s="109"/>
      <c r="F551" s="109"/>
    </row>
    <row r="552">
      <c r="E552" s="109"/>
      <c r="F552" s="109"/>
    </row>
    <row r="553">
      <c r="E553" s="109"/>
      <c r="F553" s="109"/>
    </row>
    <row r="554">
      <c r="E554" s="109"/>
      <c r="F554" s="109"/>
    </row>
    <row r="555">
      <c r="E555" s="109"/>
      <c r="F555" s="109"/>
    </row>
    <row r="556">
      <c r="E556" s="109"/>
      <c r="F556" s="109"/>
    </row>
    <row r="557">
      <c r="E557" s="109"/>
      <c r="F557" s="109"/>
    </row>
    <row r="558">
      <c r="E558" s="109"/>
      <c r="F558" s="109"/>
    </row>
    <row r="559">
      <c r="E559" s="109"/>
      <c r="F559" s="109"/>
    </row>
    <row r="560">
      <c r="E560" s="109"/>
      <c r="F560" s="109"/>
    </row>
    <row r="561">
      <c r="E561" s="109"/>
      <c r="F561" s="109"/>
    </row>
    <row r="562">
      <c r="E562" s="109"/>
      <c r="F562" s="109"/>
    </row>
    <row r="563">
      <c r="E563" s="109"/>
      <c r="F563" s="109"/>
    </row>
    <row r="564">
      <c r="E564" s="109"/>
      <c r="F564" s="109"/>
    </row>
    <row r="565">
      <c r="E565" s="109"/>
      <c r="F565" s="109"/>
    </row>
    <row r="566">
      <c r="E566" s="109"/>
      <c r="F566" s="109"/>
    </row>
    <row r="567">
      <c r="E567" s="109"/>
      <c r="F567" s="109"/>
    </row>
    <row r="568">
      <c r="E568" s="109"/>
      <c r="F568" s="109"/>
    </row>
    <row r="569">
      <c r="E569" s="109"/>
      <c r="F569" s="109"/>
    </row>
    <row r="570">
      <c r="E570" s="109"/>
      <c r="F570" s="109"/>
    </row>
    <row r="571">
      <c r="E571" s="109"/>
      <c r="F571" s="109"/>
    </row>
    <row r="572">
      <c r="E572" s="109"/>
      <c r="F572" s="109"/>
    </row>
    <row r="573">
      <c r="E573" s="109"/>
      <c r="F573" s="109"/>
    </row>
    <row r="574">
      <c r="E574" s="109"/>
      <c r="F574" s="109"/>
    </row>
    <row r="575">
      <c r="E575" s="109"/>
      <c r="F575" s="109"/>
    </row>
    <row r="576">
      <c r="E576" s="109"/>
      <c r="F576" s="109"/>
    </row>
    <row r="577">
      <c r="E577" s="109"/>
      <c r="F577" s="109"/>
    </row>
    <row r="578">
      <c r="E578" s="109"/>
      <c r="F578" s="109"/>
    </row>
    <row r="579">
      <c r="E579" s="109"/>
      <c r="F579" s="109"/>
    </row>
    <row r="580">
      <c r="E580" s="109"/>
      <c r="F580" s="109"/>
    </row>
    <row r="581">
      <c r="E581" s="109"/>
      <c r="F581" s="109"/>
    </row>
    <row r="582">
      <c r="E582" s="109"/>
      <c r="F582" s="109"/>
    </row>
    <row r="583">
      <c r="E583" s="109"/>
      <c r="F583" s="109"/>
    </row>
    <row r="584">
      <c r="E584" s="109"/>
      <c r="F584" s="109"/>
    </row>
    <row r="585">
      <c r="E585" s="109"/>
      <c r="F585" s="109"/>
    </row>
    <row r="586">
      <c r="E586" s="109"/>
      <c r="F586" s="109"/>
    </row>
    <row r="587">
      <c r="E587" s="109"/>
      <c r="F587" s="109"/>
    </row>
    <row r="588">
      <c r="E588" s="109"/>
      <c r="F588" s="109"/>
    </row>
    <row r="589">
      <c r="E589" s="109"/>
      <c r="F589" s="109"/>
    </row>
    <row r="590">
      <c r="E590" s="109"/>
      <c r="F590" s="109"/>
    </row>
    <row r="591">
      <c r="E591" s="109"/>
      <c r="F591" s="109"/>
    </row>
    <row r="592">
      <c r="E592" s="109"/>
      <c r="F592" s="109"/>
    </row>
    <row r="593">
      <c r="E593" s="109"/>
      <c r="F593" s="109"/>
    </row>
    <row r="594">
      <c r="E594" s="109"/>
      <c r="F594" s="109"/>
    </row>
    <row r="595">
      <c r="E595" s="109"/>
      <c r="F595" s="109"/>
    </row>
    <row r="596">
      <c r="E596" s="109"/>
      <c r="F596" s="109"/>
    </row>
    <row r="597">
      <c r="E597" s="109"/>
      <c r="F597" s="109"/>
    </row>
    <row r="598">
      <c r="E598" s="109"/>
      <c r="F598" s="109"/>
    </row>
    <row r="599">
      <c r="E599" s="109"/>
      <c r="F599" s="109"/>
    </row>
    <row r="600">
      <c r="E600" s="109"/>
      <c r="F600" s="109"/>
    </row>
    <row r="601">
      <c r="E601" s="109"/>
      <c r="F601" s="109"/>
    </row>
    <row r="602">
      <c r="E602" s="109"/>
      <c r="F602" s="109"/>
    </row>
    <row r="603">
      <c r="E603" s="109"/>
      <c r="F603" s="109"/>
    </row>
    <row r="604">
      <c r="E604" s="109"/>
      <c r="F604" s="109"/>
    </row>
    <row r="605">
      <c r="E605" s="109"/>
      <c r="F605" s="109"/>
    </row>
    <row r="606">
      <c r="E606" s="109"/>
      <c r="F606" s="109"/>
    </row>
    <row r="607">
      <c r="E607" s="109"/>
      <c r="F607" s="109"/>
    </row>
    <row r="608">
      <c r="E608" s="109"/>
      <c r="F608" s="109"/>
    </row>
    <row r="609">
      <c r="E609" s="109"/>
      <c r="F609" s="109"/>
    </row>
    <row r="610">
      <c r="E610" s="109"/>
      <c r="F610" s="109"/>
    </row>
    <row r="611">
      <c r="E611" s="109"/>
      <c r="F611" s="109"/>
    </row>
    <row r="612">
      <c r="E612" s="109"/>
      <c r="F612" s="109"/>
    </row>
    <row r="613">
      <c r="E613" s="109"/>
      <c r="F613" s="109"/>
    </row>
    <row r="614">
      <c r="E614" s="109"/>
      <c r="F614" s="109"/>
    </row>
    <row r="615">
      <c r="E615" s="109"/>
      <c r="F615" s="109"/>
    </row>
    <row r="616">
      <c r="E616" s="109"/>
      <c r="F616" s="109"/>
    </row>
    <row r="617">
      <c r="E617" s="109"/>
      <c r="F617" s="109"/>
    </row>
    <row r="618">
      <c r="E618" s="109"/>
      <c r="F618" s="109"/>
    </row>
    <row r="619">
      <c r="E619" s="109"/>
      <c r="F619" s="109"/>
    </row>
    <row r="620">
      <c r="E620" s="109"/>
      <c r="F620" s="109"/>
    </row>
    <row r="621">
      <c r="E621" s="109"/>
      <c r="F621" s="109"/>
    </row>
    <row r="622">
      <c r="E622" s="109"/>
      <c r="F622" s="109"/>
    </row>
    <row r="623">
      <c r="E623" s="109"/>
      <c r="F623" s="109"/>
    </row>
    <row r="624">
      <c r="E624" s="109"/>
      <c r="F624" s="109"/>
    </row>
    <row r="625">
      <c r="E625" s="109"/>
      <c r="F625" s="109"/>
    </row>
    <row r="626">
      <c r="E626" s="109"/>
      <c r="F626" s="109"/>
    </row>
    <row r="627">
      <c r="E627" s="109"/>
      <c r="F627" s="109"/>
    </row>
    <row r="628">
      <c r="E628" s="109"/>
      <c r="F628" s="109"/>
    </row>
    <row r="629">
      <c r="E629" s="109"/>
      <c r="F629" s="109"/>
    </row>
    <row r="630">
      <c r="E630" s="109"/>
      <c r="F630" s="109"/>
    </row>
    <row r="631">
      <c r="E631" s="109"/>
      <c r="F631" s="109"/>
    </row>
    <row r="632">
      <c r="E632" s="109"/>
      <c r="F632" s="109"/>
    </row>
    <row r="633">
      <c r="E633" s="109"/>
      <c r="F633" s="109"/>
    </row>
    <row r="634">
      <c r="E634" s="109"/>
      <c r="F634" s="109"/>
    </row>
    <row r="635">
      <c r="E635" s="109"/>
      <c r="F635" s="109"/>
    </row>
    <row r="636">
      <c r="E636" s="109"/>
      <c r="F636" s="109"/>
    </row>
    <row r="637">
      <c r="E637" s="109"/>
      <c r="F637" s="109"/>
    </row>
    <row r="638">
      <c r="E638" s="109"/>
      <c r="F638" s="109"/>
    </row>
    <row r="639">
      <c r="E639" s="109"/>
      <c r="F639" s="109"/>
    </row>
    <row r="640">
      <c r="E640" s="109"/>
      <c r="F640" s="109"/>
    </row>
    <row r="641">
      <c r="E641" s="109"/>
      <c r="F641" s="109"/>
    </row>
    <row r="642">
      <c r="E642" s="109"/>
      <c r="F642" s="109"/>
    </row>
    <row r="643">
      <c r="E643" s="109"/>
      <c r="F643" s="109"/>
    </row>
    <row r="644">
      <c r="E644" s="109"/>
      <c r="F644" s="109"/>
    </row>
    <row r="645">
      <c r="E645" s="109"/>
      <c r="F645" s="109"/>
    </row>
    <row r="646">
      <c r="E646" s="109"/>
      <c r="F646" s="109"/>
    </row>
    <row r="647">
      <c r="E647" s="109"/>
      <c r="F647" s="109"/>
    </row>
    <row r="648">
      <c r="E648" s="109"/>
      <c r="F648" s="109"/>
    </row>
    <row r="649">
      <c r="E649" s="109"/>
      <c r="F649" s="109"/>
    </row>
    <row r="650">
      <c r="E650" s="109"/>
      <c r="F650" s="109"/>
    </row>
    <row r="651">
      <c r="E651" s="109"/>
      <c r="F651" s="109"/>
    </row>
    <row r="652">
      <c r="E652" s="109"/>
      <c r="F652" s="109"/>
    </row>
    <row r="653">
      <c r="E653" s="109"/>
      <c r="F653" s="109"/>
    </row>
    <row r="654">
      <c r="E654" s="109"/>
      <c r="F654" s="109"/>
    </row>
    <row r="655">
      <c r="E655" s="109"/>
      <c r="F655" s="109"/>
    </row>
    <row r="656">
      <c r="E656" s="109"/>
      <c r="F656" s="109"/>
    </row>
    <row r="657">
      <c r="E657" s="109"/>
      <c r="F657" s="109"/>
    </row>
    <row r="658">
      <c r="E658" s="109"/>
      <c r="F658" s="109"/>
    </row>
    <row r="659">
      <c r="E659" s="109"/>
      <c r="F659" s="109"/>
    </row>
    <row r="660">
      <c r="E660" s="109"/>
      <c r="F660" s="109"/>
    </row>
    <row r="661">
      <c r="E661" s="109"/>
      <c r="F661" s="109"/>
    </row>
    <row r="662">
      <c r="E662" s="109"/>
      <c r="F662" s="109"/>
    </row>
    <row r="663">
      <c r="E663" s="109"/>
      <c r="F663" s="109"/>
    </row>
    <row r="664">
      <c r="E664" s="109"/>
      <c r="F664" s="109"/>
    </row>
    <row r="665">
      <c r="E665" s="109"/>
      <c r="F665" s="109"/>
    </row>
    <row r="666">
      <c r="E666" s="109"/>
      <c r="F666" s="109"/>
    </row>
    <row r="667">
      <c r="E667" s="109"/>
      <c r="F667" s="109"/>
    </row>
    <row r="668">
      <c r="E668" s="109"/>
      <c r="F668" s="109"/>
    </row>
    <row r="669">
      <c r="E669" s="109"/>
      <c r="F669" s="109"/>
    </row>
    <row r="670">
      <c r="E670" s="109"/>
      <c r="F670" s="109"/>
    </row>
    <row r="671">
      <c r="E671" s="109"/>
      <c r="F671" s="109"/>
    </row>
    <row r="672">
      <c r="E672" s="109"/>
      <c r="F672" s="109"/>
    </row>
    <row r="673">
      <c r="E673" s="109"/>
      <c r="F673" s="109"/>
    </row>
    <row r="674">
      <c r="E674" s="109"/>
      <c r="F674" s="109"/>
    </row>
    <row r="675">
      <c r="E675" s="109"/>
      <c r="F675" s="109"/>
    </row>
    <row r="676">
      <c r="E676" s="109"/>
      <c r="F676" s="109"/>
    </row>
    <row r="677">
      <c r="E677" s="109"/>
      <c r="F677" s="109"/>
    </row>
    <row r="678">
      <c r="E678" s="109"/>
      <c r="F678" s="109"/>
    </row>
    <row r="679">
      <c r="E679" s="109"/>
      <c r="F679" s="109"/>
    </row>
    <row r="680">
      <c r="E680" s="109"/>
      <c r="F680" s="109"/>
    </row>
    <row r="681">
      <c r="E681" s="109"/>
      <c r="F681" s="109"/>
    </row>
    <row r="682">
      <c r="E682" s="109"/>
      <c r="F682" s="109"/>
    </row>
    <row r="683">
      <c r="E683" s="109"/>
      <c r="F683" s="109"/>
    </row>
    <row r="684">
      <c r="E684" s="109"/>
      <c r="F684" s="109"/>
    </row>
    <row r="685">
      <c r="E685" s="109"/>
      <c r="F685" s="109"/>
    </row>
    <row r="686">
      <c r="E686" s="109"/>
      <c r="F686" s="109"/>
    </row>
    <row r="687">
      <c r="E687" s="109"/>
      <c r="F687" s="109"/>
    </row>
    <row r="688">
      <c r="E688" s="109"/>
      <c r="F688" s="109"/>
    </row>
    <row r="689">
      <c r="E689" s="109"/>
      <c r="F689" s="109"/>
    </row>
    <row r="690">
      <c r="E690" s="109"/>
      <c r="F690" s="109"/>
    </row>
    <row r="691">
      <c r="E691" s="109"/>
      <c r="F691" s="109"/>
    </row>
    <row r="692">
      <c r="E692" s="109"/>
      <c r="F692" s="109"/>
    </row>
    <row r="693">
      <c r="E693" s="109"/>
      <c r="F693" s="109"/>
    </row>
    <row r="694">
      <c r="E694" s="109"/>
      <c r="F694" s="109"/>
    </row>
    <row r="695">
      <c r="E695" s="109"/>
      <c r="F695" s="109"/>
    </row>
    <row r="696">
      <c r="E696" s="109"/>
      <c r="F696" s="109"/>
    </row>
    <row r="697">
      <c r="E697" s="109"/>
      <c r="F697" s="109"/>
    </row>
    <row r="698">
      <c r="E698" s="109"/>
      <c r="F698" s="109"/>
    </row>
    <row r="699">
      <c r="E699" s="109"/>
      <c r="F699" s="109"/>
    </row>
    <row r="700">
      <c r="E700" s="109"/>
      <c r="F700" s="109"/>
    </row>
    <row r="701">
      <c r="E701" s="109"/>
      <c r="F701" s="109"/>
    </row>
    <row r="702">
      <c r="E702" s="109"/>
      <c r="F702" s="109"/>
    </row>
    <row r="703">
      <c r="E703" s="109"/>
      <c r="F703" s="109"/>
    </row>
    <row r="704">
      <c r="E704" s="109"/>
      <c r="F704" s="109"/>
    </row>
    <row r="705">
      <c r="E705" s="109"/>
      <c r="F705" s="109"/>
    </row>
    <row r="706">
      <c r="E706" s="109"/>
      <c r="F706" s="109"/>
    </row>
    <row r="707">
      <c r="E707" s="109"/>
      <c r="F707" s="109"/>
    </row>
    <row r="708">
      <c r="E708" s="109"/>
      <c r="F708" s="109"/>
    </row>
    <row r="709">
      <c r="E709" s="109"/>
      <c r="F709" s="109"/>
    </row>
    <row r="710">
      <c r="E710" s="109"/>
      <c r="F710" s="109"/>
    </row>
    <row r="711">
      <c r="E711" s="109"/>
      <c r="F711" s="109"/>
    </row>
    <row r="712">
      <c r="E712" s="109"/>
      <c r="F712" s="109"/>
    </row>
    <row r="713">
      <c r="E713" s="109"/>
      <c r="F713" s="109"/>
    </row>
    <row r="714">
      <c r="E714" s="109"/>
      <c r="F714" s="109"/>
    </row>
    <row r="715">
      <c r="E715" s="109"/>
      <c r="F715" s="109"/>
    </row>
    <row r="716">
      <c r="E716" s="109"/>
      <c r="F716" s="109"/>
    </row>
    <row r="717">
      <c r="E717" s="109"/>
      <c r="F717" s="109"/>
    </row>
    <row r="718">
      <c r="E718" s="109"/>
      <c r="F718" s="109"/>
    </row>
    <row r="719">
      <c r="E719" s="109"/>
      <c r="F719" s="109"/>
    </row>
    <row r="720">
      <c r="E720" s="109"/>
      <c r="F720" s="109"/>
    </row>
    <row r="721">
      <c r="E721" s="109"/>
      <c r="F721" s="109"/>
    </row>
    <row r="722">
      <c r="E722" s="109"/>
      <c r="F722" s="109"/>
    </row>
    <row r="723">
      <c r="E723" s="109"/>
      <c r="F723" s="109"/>
    </row>
    <row r="724">
      <c r="E724" s="109"/>
      <c r="F724" s="109"/>
    </row>
    <row r="725">
      <c r="E725" s="109"/>
      <c r="F725" s="109"/>
    </row>
    <row r="726">
      <c r="E726" s="109"/>
      <c r="F726" s="109"/>
    </row>
    <row r="727">
      <c r="E727" s="109"/>
      <c r="F727" s="109"/>
    </row>
    <row r="728">
      <c r="E728" s="109"/>
      <c r="F728" s="109"/>
    </row>
    <row r="729">
      <c r="E729" s="109"/>
      <c r="F729" s="109"/>
    </row>
    <row r="730">
      <c r="E730" s="109"/>
      <c r="F730" s="109"/>
    </row>
    <row r="731">
      <c r="E731" s="109"/>
      <c r="F731" s="109"/>
    </row>
    <row r="732">
      <c r="E732" s="109"/>
      <c r="F732" s="109"/>
    </row>
    <row r="733">
      <c r="E733" s="109"/>
      <c r="F733" s="109"/>
    </row>
    <row r="734">
      <c r="E734" s="109"/>
      <c r="F734" s="109"/>
    </row>
    <row r="735">
      <c r="E735" s="109"/>
      <c r="F735" s="109"/>
    </row>
    <row r="736">
      <c r="E736" s="109"/>
      <c r="F736" s="109"/>
    </row>
    <row r="737">
      <c r="E737" s="109"/>
      <c r="F737" s="109"/>
    </row>
    <row r="738">
      <c r="E738" s="109"/>
      <c r="F738" s="109"/>
    </row>
    <row r="739">
      <c r="E739" s="109"/>
      <c r="F739" s="109"/>
    </row>
    <row r="740">
      <c r="E740" s="109"/>
      <c r="F740" s="109"/>
    </row>
    <row r="741">
      <c r="E741" s="109"/>
      <c r="F741" s="109"/>
    </row>
    <row r="742">
      <c r="E742" s="109"/>
      <c r="F742" s="109"/>
    </row>
    <row r="743">
      <c r="E743" s="109"/>
      <c r="F743" s="109"/>
    </row>
    <row r="744">
      <c r="E744" s="109"/>
      <c r="F744" s="109"/>
    </row>
    <row r="745">
      <c r="E745" s="109"/>
      <c r="F745" s="109"/>
    </row>
    <row r="746">
      <c r="E746" s="109"/>
      <c r="F746" s="109"/>
    </row>
    <row r="747">
      <c r="E747" s="109"/>
      <c r="F747" s="109"/>
    </row>
    <row r="748">
      <c r="E748" s="109"/>
      <c r="F748" s="109"/>
    </row>
    <row r="749">
      <c r="E749" s="109"/>
      <c r="F749" s="109"/>
    </row>
    <row r="750">
      <c r="E750" s="109"/>
      <c r="F750" s="109"/>
    </row>
    <row r="751">
      <c r="E751" s="109"/>
      <c r="F751" s="109"/>
    </row>
    <row r="752">
      <c r="E752" s="109"/>
      <c r="F752" s="109"/>
    </row>
    <row r="753">
      <c r="E753" s="109"/>
      <c r="F753" s="109"/>
    </row>
    <row r="754">
      <c r="E754" s="109"/>
      <c r="F754" s="109"/>
    </row>
    <row r="755">
      <c r="E755" s="109"/>
      <c r="F755" s="109"/>
    </row>
    <row r="756">
      <c r="E756" s="109"/>
      <c r="F756" s="109"/>
    </row>
    <row r="757">
      <c r="E757" s="109"/>
      <c r="F757" s="109"/>
    </row>
    <row r="758">
      <c r="E758" s="109"/>
      <c r="F758" s="109"/>
    </row>
    <row r="759">
      <c r="E759" s="109"/>
      <c r="F759" s="109"/>
    </row>
    <row r="760">
      <c r="E760" s="109"/>
      <c r="F760" s="109"/>
    </row>
    <row r="761">
      <c r="E761" s="109"/>
      <c r="F761" s="109"/>
    </row>
    <row r="762">
      <c r="E762" s="109"/>
      <c r="F762" s="109"/>
    </row>
    <row r="763">
      <c r="E763" s="109"/>
      <c r="F763" s="109"/>
    </row>
    <row r="764">
      <c r="E764" s="109"/>
      <c r="F764" s="109"/>
    </row>
    <row r="765">
      <c r="E765" s="109"/>
      <c r="F765" s="109"/>
    </row>
    <row r="766">
      <c r="E766" s="109"/>
      <c r="F766" s="109"/>
    </row>
    <row r="767">
      <c r="E767" s="109"/>
      <c r="F767" s="109"/>
    </row>
    <row r="768">
      <c r="E768" s="109"/>
      <c r="F768" s="109"/>
    </row>
    <row r="769">
      <c r="E769" s="109"/>
      <c r="F769" s="109"/>
    </row>
    <row r="770">
      <c r="E770" s="109"/>
      <c r="F770" s="109"/>
    </row>
    <row r="771">
      <c r="E771" s="109"/>
      <c r="F771" s="109"/>
    </row>
    <row r="772">
      <c r="E772" s="109"/>
      <c r="F772" s="109"/>
    </row>
    <row r="773">
      <c r="E773" s="109"/>
      <c r="F773" s="109"/>
    </row>
    <row r="774">
      <c r="E774" s="109"/>
      <c r="F774" s="109"/>
    </row>
    <row r="775">
      <c r="E775" s="109"/>
      <c r="F775" s="109"/>
    </row>
    <row r="776">
      <c r="E776" s="109"/>
      <c r="F776" s="109"/>
    </row>
    <row r="777">
      <c r="E777" s="109"/>
      <c r="F777" s="109"/>
    </row>
    <row r="778">
      <c r="E778" s="109"/>
      <c r="F778" s="109"/>
    </row>
    <row r="779">
      <c r="E779" s="109"/>
      <c r="F779" s="109"/>
    </row>
    <row r="780">
      <c r="E780" s="109"/>
      <c r="F780" s="109"/>
    </row>
    <row r="781">
      <c r="E781" s="109"/>
      <c r="F781" s="109"/>
    </row>
    <row r="782">
      <c r="E782" s="109"/>
      <c r="F782" s="109"/>
    </row>
    <row r="783">
      <c r="E783" s="109"/>
      <c r="F783" s="109"/>
    </row>
    <row r="784">
      <c r="E784" s="109"/>
      <c r="F784" s="109"/>
    </row>
    <row r="785">
      <c r="E785" s="109"/>
      <c r="F785" s="109"/>
    </row>
    <row r="786">
      <c r="E786" s="109"/>
      <c r="F786" s="109"/>
    </row>
    <row r="787">
      <c r="E787" s="109"/>
      <c r="F787" s="109"/>
    </row>
    <row r="788">
      <c r="E788" s="109"/>
      <c r="F788" s="109"/>
    </row>
    <row r="789">
      <c r="E789" s="109"/>
      <c r="F789" s="109"/>
    </row>
    <row r="790">
      <c r="E790" s="109"/>
      <c r="F790" s="109"/>
    </row>
    <row r="791">
      <c r="E791" s="109"/>
      <c r="F791" s="109"/>
    </row>
    <row r="792">
      <c r="E792" s="109"/>
      <c r="F792" s="109"/>
    </row>
    <row r="793">
      <c r="E793" s="109"/>
      <c r="F793" s="109"/>
    </row>
    <row r="794">
      <c r="E794" s="109"/>
      <c r="F794" s="109"/>
    </row>
    <row r="795">
      <c r="E795" s="109"/>
      <c r="F795" s="109"/>
    </row>
    <row r="796">
      <c r="E796" s="109"/>
      <c r="F796" s="109"/>
    </row>
    <row r="797">
      <c r="E797" s="109"/>
      <c r="F797" s="109"/>
    </row>
    <row r="798">
      <c r="E798" s="109"/>
      <c r="F798" s="109"/>
    </row>
    <row r="799">
      <c r="E799" s="109"/>
      <c r="F799" s="109"/>
    </row>
    <row r="800">
      <c r="E800" s="109"/>
      <c r="F800" s="109"/>
    </row>
    <row r="801">
      <c r="E801" s="109"/>
      <c r="F801" s="109"/>
    </row>
    <row r="802">
      <c r="E802" s="109"/>
      <c r="F802" s="109"/>
    </row>
    <row r="803">
      <c r="E803" s="109"/>
      <c r="F803" s="109"/>
    </row>
    <row r="804">
      <c r="E804" s="109"/>
      <c r="F804" s="109"/>
    </row>
    <row r="805">
      <c r="E805" s="109"/>
      <c r="F805" s="109"/>
    </row>
    <row r="806">
      <c r="E806" s="109"/>
      <c r="F806" s="109"/>
    </row>
    <row r="807">
      <c r="E807" s="109"/>
      <c r="F807" s="109"/>
    </row>
    <row r="808">
      <c r="E808" s="109"/>
      <c r="F808" s="109"/>
    </row>
    <row r="809">
      <c r="E809" s="109"/>
      <c r="F809" s="109"/>
    </row>
    <row r="810">
      <c r="E810" s="109"/>
      <c r="F810" s="109"/>
    </row>
    <row r="811">
      <c r="E811" s="109"/>
      <c r="F811" s="109"/>
    </row>
    <row r="812">
      <c r="E812" s="109"/>
      <c r="F812" s="109"/>
    </row>
    <row r="813">
      <c r="E813" s="109"/>
      <c r="F813" s="109"/>
    </row>
    <row r="814">
      <c r="E814" s="109"/>
      <c r="F814" s="109"/>
    </row>
    <row r="815">
      <c r="E815" s="109"/>
      <c r="F815" s="109"/>
    </row>
    <row r="816">
      <c r="E816" s="109"/>
      <c r="F816" s="109"/>
    </row>
    <row r="817">
      <c r="E817" s="109"/>
      <c r="F817" s="109"/>
    </row>
    <row r="818">
      <c r="E818" s="109"/>
      <c r="F818" s="109"/>
    </row>
    <row r="819">
      <c r="E819" s="109"/>
      <c r="F819" s="109"/>
    </row>
    <row r="820">
      <c r="E820" s="109"/>
      <c r="F820" s="109"/>
    </row>
    <row r="821">
      <c r="E821" s="109"/>
      <c r="F821" s="109"/>
    </row>
    <row r="822">
      <c r="E822" s="109"/>
      <c r="F822" s="109"/>
    </row>
    <row r="823">
      <c r="E823" s="109"/>
      <c r="F823" s="109"/>
    </row>
    <row r="824">
      <c r="E824" s="109"/>
      <c r="F824" s="109"/>
    </row>
    <row r="825">
      <c r="E825" s="109"/>
      <c r="F825" s="109"/>
    </row>
    <row r="826">
      <c r="E826" s="109"/>
      <c r="F826" s="109"/>
    </row>
    <row r="827">
      <c r="E827" s="109"/>
      <c r="F827" s="109"/>
    </row>
    <row r="828">
      <c r="E828" s="109"/>
      <c r="F828" s="109"/>
    </row>
    <row r="829">
      <c r="E829" s="109"/>
      <c r="F829" s="109"/>
    </row>
    <row r="830">
      <c r="E830" s="109"/>
      <c r="F830" s="109"/>
    </row>
    <row r="831">
      <c r="E831" s="109"/>
      <c r="F831" s="109"/>
    </row>
    <row r="832">
      <c r="E832" s="109"/>
      <c r="F832" s="109"/>
    </row>
    <row r="833">
      <c r="E833" s="109"/>
      <c r="F833" s="109"/>
    </row>
    <row r="834">
      <c r="E834" s="109"/>
      <c r="F834" s="109"/>
    </row>
    <row r="835">
      <c r="E835" s="109"/>
      <c r="F835" s="109"/>
    </row>
    <row r="836">
      <c r="E836" s="109"/>
      <c r="F836" s="109"/>
    </row>
    <row r="837">
      <c r="E837" s="109"/>
      <c r="F837" s="109"/>
    </row>
    <row r="838">
      <c r="E838" s="109"/>
      <c r="F838" s="109"/>
    </row>
    <row r="839">
      <c r="E839" s="109"/>
      <c r="F839" s="109"/>
    </row>
    <row r="840">
      <c r="E840" s="109"/>
      <c r="F840" s="109"/>
    </row>
    <row r="841">
      <c r="E841" s="109"/>
      <c r="F841" s="109"/>
    </row>
    <row r="842">
      <c r="E842" s="109"/>
      <c r="F842" s="109"/>
    </row>
    <row r="843">
      <c r="E843" s="109"/>
      <c r="F843" s="109"/>
    </row>
    <row r="844">
      <c r="E844" s="109"/>
      <c r="F844" s="109"/>
    </row>
    <row r="845">
      <c r="E845" s="109"/>
      <c r="F845" s="109"/>
    </row>
    <row r="846">
      <c r="E846" s="109"/>
      <c r="F846" s="109"/>
    </row>
    <row r="847">
      <c r="E847" s="109"/>
      <c r="F847" s="109"/>
    </row>
    <row r="848">
      <c r="E848" s="109"/>
      <c r="F848" s="109"/>
    </row>
    <row r="849">
      <c r="E849" s="109"/>
      <c r="F849" s="109"/>
    </row>
    <row r="850">
      <c r="E850" s="109"/>
      <c r="F850" s="109"/>
    </row>
    <row r="851">
      <c r="E851" s="109"/>
      <c r="F851" s="109"/>
    </row>
    <row r="852">
      <c r="E852" s="109"/>
      <c r="F852" s="109"/>
    </row>
    <row r="853">
      <c r="E853" s="109"/>
      <c r="F853" s="109"/>
    </row>
    <row r="854">
      <c r="E854" s="109"/>
      <c r="F854" s="109"/>
    </row>
    <row r="855">
      <c r="E855" s="109"/>
      <c r="F855" s="109"/>
    </row>
    <row r="856">
      <c r="E856" s="109"/>
      <c r="F856" s="109"/>
    </row>
    <row r="857">
      <c r="E857" s="109"/>
      <c r="F857" s="109"/>
    </row>
    <row r="858">
      <c r="E858" s="109"/>
      <c r="F858" s="109"/>
    </row>
    <row r="859">
      <c r="E859" s="109"/>
      <c r="F859" s="109"/>
    </row>
    <row r="860">
      <c r="E860" s="109"/>
      <c r="F860" s="109"/>
    </row>
    <row r="861">
      <c r="E861" s="109"/>
      <c r="F861" s="109"/>
    </row>
    <row r="862">
      <c r="E862" s="109"/>
      <c r="F862" s="109"/>
    </row>
    <row r="863">
      <c r="E863" s="109"/>
      <c r="F863" s="109"/>
    </row>
    <row r="864">
      <c r="E864" s="109"/>
      <c r="F864" s="109"/>
    </row>
    <row r="865">
      <c r="E865" s="109"/>
      <c r="F865" s="109"/>
    </row>
    <row r="866">
      <c r="E866" s="109"/>
      <c r="F866" s="109"/>
    </row>
    <row r="867">
      <c r="E867" s="109"/>
      <c r="F867" s="109"/>
    </row>
    <row r="868">
      <c r="E868" s="109"/>
      <c r="F868" s="109"/>
    </row>
    <row r="869">
      <c r="E869" s="109"/>
      <c r="F869" s="109"/>
    </row>
    <row r="870">
      <c r="E870" s="109"/>
      <c r="F870" s="109"/>
    </row>
    <row r="871">
      <c r="E871" s="109"/>
      <c r="F871" s="109"/>
    </row>
    <row r="872">
      <c r="E872" s="109"/>
      <c r="F872" s="109"/>
    </row>
    <row r="873">
      <c r="E873" s="109"/>
      <c r="F873" s="109"/>
    </row>
    <row r="874">
      <c r="E874" s="109"/>
      <c r="F874" s="109"/>
    </row>
    <row r="875">
      <c r="E875" s="109"/>
      <c r="F875" s="109"/>
    </row>
    <row r="876">
      <c r="E876" s="109"/>
      <c r="F876" s="109"/>
    </row>
    <row r="877">
      <c r="E877" s="109"/>
      <c r="F877" s="109"/>
    </row>
    <row r="878">
      <c r="E878" s="109"/>
      <c r="F878" s="109"/>
    </row>
    <row r="879">
      <c r="E879" s="109"/>
      <c r="F879" s="109"/>
    </row>
    <row r="880">
      <c r="E880" s="109"/>
      <c r="F880" s="109"/>
    </row>
    <row r="881">
      <c r="E881" s="109"/>
      <c r="F881" s="109"/>
    </row>
    <row r="882">
      <c r="E882" s="109"/>
      <c r="F882" s="109"/>
    </row>
    <row r="883">
      <c r="E883" s="109"/>
      <c r="F883" s="109"/>
    </row>
    <row r="884">
      <c r="E884" s="109"/>
      <c r="F884" s="109"/>
    </row>
    <row r="885">
      <c r="E885" s="109"/>
      <c r="F885" s="109"/>
    </row>
    <row r="886">
      <c r="E886" s="109"/>
      <c r="F886" s="109"/>
    </row>
    <row r="887">
      <c r="E887" s="109"/>
      <c r="F887" s="109"/>
    </row>
    <row r="888">
      <c r="E888" s="109"/>
      <c r="F888" s="109"/>
    </row>
    <row r="889">
      <c r="E889" s="109"/>
      <c r="F889" s="109"/>
    </row>
    <row r="890">
      <c r="E890" s="109"/>
      <c r="F890" s="109"/>
    </row>
    <row r="891">
      <c r="E891" s="109"/>
      <c r="F891" s="109"/>
    </row>
    <row r="892">
      <c r="E892" s="109"/>
      <c r="F892" s="109"/>
    </row>
    <row r="893">
      <c r="E893" s="109"/>
      <c r="F893" s="109"/>
    </row>
    <row r="894">
      <c r="E894" s="109"/>
      <c r="F894" s="109"/>
    </row>
    <row r="895">
      <c r="E895" s="109"/>
      <c r="F895" s="109"/>
    </row>
    <row r="896">
      <c r="E896" s="109"/>
      <c r="F896" s="109"/>
    </row>
    <row r="897">
      <c r="E897" s="109"/>
      <c r="F897" s="109"/>
    </row>
    <row r="898">
      <c r="E898" s="109"/>
      <c r="F898" s="109"/>
    </row>
    <row r="899">
      <c r="E899" s="109"/>
      <c r="F899" s="109"/>
    </row>
    <row r="900">
      <c r="E900" s="109"/>
      <c r="F900" s="109"/>
    </row>
    <row r="901">
      <c r="E901" s="109"/>
      <c r="F901" s="109"/>
    </row>
    <row r="902">
      <c r="E902" s="109"/>
      <c r="F902" s="109"/>
    </row>
    <row r="903">
      <c r="E903" s="109"/>
      <c r="F903" s="109"/>
    </row>
    <row r="904">
      <c r="E904" s="109"/>
      <c r="F904" s="109"/>
    </row>
    <row r="905">
      <c r="E905" s="109"/>
      <c r="F905" s="109"/>
    </row>
    <row r="906">
      <c r="E906" s="109"/>
      <c r="F906" s="109"/>
    </row>
    <row r="907">
      <c r="E907" s="109"/>
      <c r="F907" s="109"/>
    </row>
    <row r="908">
      <c r="E908" s="109"/>
      <c r="F908" s="109"/>
    </row>
    <row r="909">
      <c r="E909" s="109"/>
      <c r="F909" s="109"/>
    </row>
    <row r="910">
      <c r="E910" s="109"/>
      <c r="F910" s="109"/>
    </row>
    <row r="911">
      <c r="E911" s="109"/>
      <c r="F911" s="109"/>
    </row>
    <row r="912">
      <c r="E912" s="109"/>
      <c r="F912" s="109"/>
    </row>
    <row r="913">
      <c r="E913" s="109"/>
      <c r="F913" s="109"/>
    </row>
    <row r="914">
      <c r="E914" s="109"/>
      <c r="F914" s="109"/>
    </row>
    <row r="915">
      <c r="E915" s="109"/>
      <c r="F915" s="109"/>
    </row>
    <row r="916">
      <c r="E916" s="109"/>
      <c r="F916" s="109"/>
    </row>
    <row r="917">
      <c r="E917" s="109"/>
      <c r="F917" s="109"/>
    </row>
    <row r="918">
      <c r="E918" s="109"/>
      <c r="F918" s="109"/>
    </row>
    <row r="919">
      <c r="E919" s="109"/>
      <c r="F919" s="109"/>
    </row>
    <row r="920">
      <c r="E920" s="109"/>
      <c r="F920" s="109"/>
    </row>
    <row r="921">
      <c r="E921" s="109"/>
      <c r="F921" s="109"/>
    </row>
    <row r="922">
      <c r="E922" s="109"/>
      <c r="F922" s="109"/>
    </row>
    <row r="923">
      <c r="E923" s="109"/>
      <c r="F923" s="109"/>
    </row>
    <row r="924">
      <c r="E924" s="109"/>
      <c r="F924" s="109"/>
    </row>
    <row r="925">
      <c r="E925" s="109"/>
      <c r="F925" s="109"/>
    </row>
    <row r="926">
      <c r="E926" s="109"/>
      <c r="F926" s="109"/>
    </row>
    <row r="927">
      <c r="E927" s="109"/>
      <c r="F927" s="109"/>
    </row>
    <row r="928">
      <c r="E928" s="109"/>
      <c r="F928" s="109"/>
    </row>
    <row r="929">
      <c r="E929" s="109"/>
      <c r="F929" s="109"/>
    </row>
    <row r="930">
      <c r="E930" s="109"/>
      <c r="F930" s="109"/>
    </row>
    <row r="931">
      <c r="E931" s="109"/>
      <c r="F931" s="109"/>
    </row>
    <row r="932">
      <c r="E932" s="109"/>
      <c r="F932" s="109"/>
    </row>
    <row r="933">
      <c r="E933" s="109"/>
      <c r="F933" s="109"/>
    </row>
    <row r="934">
      <c r="E934" s="109"/>
      <c r="F934" s="109"/>
    </row>
    <row r="935">
      <c r="E935" s="109"/>
      <c r="F935" s="109"/>
    </row>
    <row r="936">
      <c r="E936" s="109"/>
      <c r="F936" s="109"/>
    </row>
    <row r="937">
      <c r="E937" s="109"/>
      <c r="F937" s="109"/>
    </row>
    <row r="938">
      <c r="E938" s="109"/>
      <c r="F938" s="109"/>
    </row>
    <row r="939">
      <c r="E939" s="109"/>
      <c r="F939" s="109"/>
    </row>
    <row r="940">
      <c r="E940" s="109"/>
      <c r="F940" s="109"/>
    </row>
    <row r="941">
      <c r="E941" s="109"/>
      <c r="F941" s="109"/>
    </row>
    <row r="942">
      <c r="E942" s="109"/>
      <c r="F942" s="109"/>
    </row>
    <row r="943">
      <c r="E943" s="109"/>
      <c r="F943" s="109"/>
    </row>
    <row r="944">
      <c r="E944" s="109"/>
      <c r="F944" s="109"/>
    </row>
    <row r="945">
      <c r="E945" s="109"/>
      <c r="F945" s="109"/>
    </row>
    <row r="946">
      <c r="E946" s="109"/>
      <c r="F946" s="109"/>
    </row>
    <row r="947">
      <c r="E947" s="109"/>
      <c r="F947" s="109"/>
    </row>
    <row r="948">
      <c r="E948" s="109"/>
      <c r="F948" s="109"/>
    </row>
    <row r="949">
      <c r="E949" s="109"/>
      <c r="F949" s="109"/>
    </row>
    <row r="950">
      <c r="E950" s="109"/>
      <c r="F950" s="109"/>
    </row>
    <row r="951">
      <c r="E951" s="109"/>
      <c r="F951" s="109"/>
    </row>
    <row r="952">
      <c r="E952" s="109"/>
      <c r="F952" s="109"/>
    </row>
    <row r="953">
      <c r="E953" s="109"/>
      <c r="F953" s="109"/>
    </row>
    <row r="954">
      <c r="E954" s="109"/>
      <c r="F954" s="109"/>
    </row>
    <row r="955">
      <c r="E955" s="109"/>
      <c r="F955" s="109"/>
    </row>
    <row r="956">
      <c r="E956" s="109"/>
      <c r="F956" s="109"/>
    </row>
    <row r="957">
      <c r="E957" s="109"/>
      <c r="F957" s="109"/>
    </row>
    <row r="958">
      <c r="E958" s="109"/>
      <c r="F958" s="109"/>
    </row>
    <row r="959">
      <c r="E959" s="109"/>
      <c r="F959" s="109"/>
    </row>
    <row r="960">
      <c r="E960" s="109"/>
      <c r="F960" s="109"/>
    </row>
    <row r="961">
      <c r="E961" s="109"/>
      <c r="F961" s="109"/>
    </row>
    <row r="962">
      <c r="E962" s="109"/>
      <c r="F962" s="109"/>
    </row>
    <row r="963">
      <c r="E963" s="109"/>
      <c r="F963" s="109"/>
    </row>
    <row r="964">
      <c r="E964" s="109"/>
      <c r="F964" s="109"/>
    </row>
    <row r="965">
      <c r="E965" s="109"/>
      <c r="F965" s="109"/>
    </row>
    <row r="966">
      <c r="E966" s="109"/>
      <c r="F966" s="109"/>
    </row>
    <row r="967">
      <c r="E967" s="109"/>
      <c r="F967" s="109"/>
    </row>
    <row r="968">
      <c r="E968" s="109"/>
      <c r="F968" s="109"/>
    </row>
    <row r="969">
      <c r="E969" s="109"/>
      <c r="F969" s="109"/>
    </row>
    <row r="970">
      <c r="E970" s="109"/>
      <c r="F970" s="109"/>
    </row>
    <row r="971">
      <c r="E971" s="109"/>
      <c r="F971" s="109"/>
    </row>
    <row r="972">
      <c r="E972" s="109"/>
      <c r="F972" s="109"/>
    </row>
    <row r="973">
      <c r="E973" s="109"/>
      <c r="F973" s="109"/>
    </row>
    <row r="974">
      <c r="E974" s="109"/>
      <c r="F974" s="109"/>
    </row>
    <row r="975">
      <c r="E975" s="109"/>
      <c r="F975" s="109"/>
    </row>
    <row r="976">
      <c r="E976" s="109"/>
      <c r="F976" s="109"/>
    </row>
    <row r="977">
      <c r="E977" s="109"/>
      <c r="F977" s="109"/>
    </row>
    <row r="978">
      <c r="E978" s="109"/>
      <c r="F978" s="109"/>
    </row>
    <row r="979">
      <c r="E979" s="109"/>
      <c r="F979" s="109"/>
    </row>
    <row r="980">
      <c r="E980" s="109"/>
      <c r="F980" s="109"/>
    </row>
    <row r="981">
      <c r="E981" s="109"/>
      <c r="F981" s="109"/>
    </row>
    <row r="982">
      <c r="E982" s="109"/>
      <c r="F982" s="109"/>
    </row>
    <row r="983">
      <c r="E983" s="109"/>
      <c r="F983" s="109"/>
    </row>
    <row r="984">
      <c r="E984" s="109"/>
      <c r="F984" s="109"/>
    </row>
    <row r="985">
      <c r="E985" s="109"/>
      <c r="F985" s="109"/>
    </row>
    <row r="986">
      <c r="E986" s="109"/>
      <c r="F986" s="109"/>
    </row>
    <row r="987">
      <c r="E987" s="109"/>
      <c r="F987" s="109"/>
    </row>
    <row r="988">
      <c r="E988" s="109"/>
      <c r="F988" s="109"/>
    </row>
    <row r="989">
      <c r="E989" s="109"/>
      <c r="F989" s="109"/>
    </row>
    <row r="990">
      <c r="E990" s="109"/>
      <c r="F990" s="109"/>
    </row>
    <row r="991">
      <c r="E991" s="109"/>
      <c r="F991" s="109"/>
    </row>
    <row r="992">
      <c r="E992" s="109"/>
      <c r="F992" s="109"/>
    </row>
    <row r="993">
      <c r="E993" s="109"/>
      <c r="F993" s="109"/>
    </row>
    <row r="994">
      <c r="E994" s="109"/>
      <c r="F994" s="109"/>
    </row>
    <row r="995">
      <c r="E995" s="109"/>
      <c r="F995" s="109"/>
    </row>
    <row r="996">
      <c r="E996" s="109"/>
      <c r="F996" s="109"/>
    </row>
    <row r="997">
      <c r="E997" s="109"/>
      <c r="F997" s="109"/>
    </row>
    <row r="998">
      <c r="E998" s="109"/>
      <c r="F998" s="109"/>
    </row>
    <row r="999">
      <c r="E999" s="109"/>
      <c r="F999" s="109"/>
    </row>
    <row r="1000">
      <c r="E1000" s="109"/>
      <c r="F1000" s="109"/>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1.0"/>
    <col customWidth="1" min="2" max="2" width="14.44"/>
  </cols>
  <sheetData>
    <row r="1">
      <c r="A1" s="6" t="s">
        <v>43</v>
      </c>
      <c r="B1" s="6" t="s">
        <v>3</v>
      </c>
      <c r="C1" s="6" t="s">
        <v>2891</v>
      </c>
      <c r="D1" s="6" t="s">
        <v>2892</v>
      </c>
      <c r="E1" s="6" t="s">
        <v>2893</v>
      </c>
      <c r="F1" s="6" t="s">
        <v>2894</v>
      </c>
      <c r="G1" s="6" t="s">
        <v>2895</v>
      </c>
    </row>
    <row r="2">
      <c r="A2" s="6" t="s">
        <v>2896</v>
      </c>
      <c r="B2" s="6" t="s">
        <v>1080</v>
      </c>
      <c r="C2" s="6" t="s">
        <v>2897</v>
      </c>
      <c r="D2" s="9">
        <v>40020.0</v>
      </c>
      <c r="E2" s="6">
        <v>13.0</v>
      </c>
      <c r="F2" s="6">
        <v>4000.0</v>
      </c>
      <c r="G2" s="6">
        <v>89.0</v>
      </c>
    </row>
    <row r="3">
      <c r="A3" s="6" t="s">
        <v>2898</v>
      </c>
      <c r="B3" s="6" t="s">
        <v>1080</v>
      </c>
      <c r="C3" s="6" t="s">
        <v>2897</v>
      </c>
      <c r="D3" s="9">
        <v>458695.0</v>
      </c>
      <c r="E3" s="6">
        <v>13.0</v>
      </c>
      <c r="F3" s="6">
        <v>4000.0</v>
      </c>
      <c r="G3" s="6">
        <v>121.0</v>
      </c>
    </row>
    <row r="4">
      <c r="A4" s="6" t="s">
        <v>2899</v>
      </c>
      <c r="B4" s="6" t="s">
        <v>2525</v>
      </c>
      <c r="C4" s="6" t="s">
        <v>2900</v>
      </c>
      <c r="D4" s="9">
        <v>104.0</v>
      </c>
      <c r="E4" s="6">
        <v>29.0</v>
      </c>
      <c r="F4" s="6">
        <v>38000.0</v>
      </c>
      <c r="G4" s="6">
        <v>37.0</v>
      </c>
    </row>
    <row r="5">
      <c r="A5" s="6" t="s">
        <v>2901</v>
      </c>
      <c r="B5" s="6" t="s">
        <v>2525</v>
      </c>
      <c r="C5" s="6" t="s">
        <v>2900</v>
      </c>
      <c r="D5" s="9">
        <v>138178.0</v>
      </c>
      <c r="E5" s="6">
        <v>29.0</v>
      </c>
      <c r="F5" s="6">
        <v>38000.0</v>
      </c>
      <c r="G5" s="6">
        <v>47.0</v>
      </c>
    </row>
    <row r="6">
      <c r="A6" s="6" t="s">
        <v>2902</v>
      </c>
      <c r="B6" s="6" t="s">
        <v>2525</v>
      </c>
      <c r="C6" s="6" t="s">
        <v>2900</v>
      </c>
      <c r="D6" s="9">
        <v>316456.0</v>
      </c>
      <c r="E6" s="6">
        <v>29.0</v>
      </c>
      <c r="F6" s="6">
        <v>38000.0</v>
      </c>
      <c r="G6" s="6">
        <v>95.0</v>
      </c>
    </row>
    <row r="7">
      <c r="A7" s="6" t="s">
        <v>2903</v>
      </c>
      <c r="B7" s="6" t="s">
        <v>2525</v>
      </c>
      <c r="C7" s="6" t="s">
        <v>2900</v>
      </c>
      <c r="D7" s="9">
        <v>53352.0</v>
      </c>
      <c r="E7" s="6">
        <v>29.0</v>
      </c>
      <c r="F7" s="6">
        <v>38000.0</v>
      </c>
      <c r="G7" s="6">
        <v>165.0</v>
      </c>
    </row>
    <row r="8">
      <c r="A8" s="6" t="s">
        <v>2904</v>
      </c>
      <c r="B8" s="6" t="s">
        <v>569</v>
      </c>
      <c r="C8" s="6" t="s">
        <v>2905</v>
      </c>
      <c r="D8" s="9">
        <v>14570.0</v>
      </c>
      <c r="E8" s="6">
        <v>39.0</v>
      </c>
      <c r="F8" s="6">
        <v>18000.0</v>
      </c>
      <c r="G8" s="6">
        <v>41.0</v>
      </c>
    </row>
    <row r="9">
      <c r="A9" s="6" t="s">
        <v>2906</v>
      </c>
      <c r="B9" s="6" t="s">
        <v>569</v>
      </c>
      <c r="C9" s="6" t="s">
        <v>2905</v>
      </c>
      <c r="D9" s="9">
        <v>10849.0</v>
      </c>
      <c r="E9" s="6">
        <v>39.0</v>
      </c>
      <c r="F9" s="6">
        <v>18000.0</v>
      </c>
      <c r="G9" s="6">
        <v>45.0</v>
      </c>
    </row>
    <row r="10">
      <c r="A10" s="6" t="s">
        <v>2907</v>
      </c>
      <c r="B10" s="6" t="s">
        <v>569</v>
      </c>
      <c r="C10" s="6" t="s">
        <v>2905</v>
      </c>
      <c r="D10" s="9">
        <v>880329.0</v>
      </c>
      <c r="E10" s="6">
        <v>39.0</v>
      </c>
      <c r="F10" s="6">
        <v>18000.0</v>
      </c>
      <c r="G10" s="6">
        <v>49.0</v>
      </c>
    </row>
    <row r="11">
      <c r="A11" s="6" t="s">
        <v>2908</v>
      </c>
      <c r="B11" s="6" t="s">
        <v>2909</v>
      </c>
      <c r="C11" s="6" t="s">
        <v>2910</v>
      </c>
      <c r="D11" s="9">
        <v>77226.0</v>
      </c>
      <c r="E11" s="6">
        <v>40.0</v>
      </c>
      <c r="F11" s="6">
        <v>55000.0</v>
      </c>
      <c r="G11" s="6">
        <v>17.0</v>
      </c>
    </row>
    <row r="12">
      <c r="A12" s="6" t="s">
        <v>2911</v>
      </c>
      <c r="B12" s="6" t="s">
        <v>2909</v>
      </c>
      <c r="C12" s="6" t="s">
        <v>2910</v>
      </c>
      <c r="D12" s="9">
        <v>77784.0</v>
      </c>
      <c r="E12" s="6">
        <v>40.0</v>
      </c>
      <c r="F12" s="6">
        <v>55000.0</v>
      </c>
      <c r="G12" s="6">
        <v>27.0</v>
      </c>
    </row>
    <row r="13">
      <c r="A13" s="6" t="s">
        <v>2912</v>
      </c>
      <c r="B13" s="6" t="s">
        <v>2909</v>
      </c>
      <c r="C13" s="6" t="s">
        <v>2910</v>
      </c>
      <c r="D13" s="9">
        <v>525970.0</v>
      </c>
      <c r="E13" s="6">
        <v>40.0</v>
      </c>
      <c r="F13" s="6">
        <v>55000.0</v>
      </c>
      <c r="G13" s="6">
        <v>109.0</v>
      </c>
    </row>
    <row r="14">
      <c r="A14" s="6" t="s">
        <v>2913</v>
      </c>
      <c r="B14" s="6" t="s">
        <v>2909</v>
      </c>
      <c r="C14" s="6" t="s">
        <v>2910</v>
      </c>
      <c r="D14" s="9">
        <v>74.0</v>
      </c>
      <c r="E14" s="6">
        <v>40.0</v>
      </c>
      <c r="F14" s="6">
        <v>55000.0</v>
      </c>
      <c r="G14" s="6">
        <v>125.0</v>
      </c>
    </row>
    <row r="15">
      <c r="A15" s="6" t="s">
        <v>2914</v>
      </c>
      <c r="B15" s="6" t="s">
        <v>1308</v>
      </c>
      <c r="C15" s="6" t="s">
        <v>2910</v>
      </c>
      <c r="D15" s="9">
        <v>5815.0</v>
      </c>
      <c r="E15" s="6">
        <v>40.0</v>
      </c>
      <c r="F15" s="6">
        <v>75000.0</v>
      </c>
      <c r="G15" s="6">
        <v>113.0</v>
      </c>
    </row>
    <row r="16">
      <c r="A16" s="6" t="s">
        <v>2915</v>
      </c>
      <c r="B16" s="6" t="s">
        <v>1308</v>
      </c>
      <c r="C16" s="6" t="s">
        <v>2910</v>
      </c>
      <c r="D16" s="9">
        <v>44.0</v>
      </c>
      <c r="E16" s="6">
        <v>40.0</v>
      </c>
      <c r="F16" s="6">
        <v>75000.0</v>
      </c>
      <c r="G16" s="6">
        <v>131.0</v>
      </c>
    </row>
    <row r="17">
      <c r="A17" s="6" t="s">
        <v>2916</v>
      </c>
      <c r="B17" s="6" t="s">
        <v>1308</v>
      </c>
      <c r="C17" s="6" t="s">
        <v>2910</v>
      </c>
      <c r="D17" s="9">
        <v>407170.0</v>
      </c>
      <c r="E17" s="6">
        <v>40.0</v>
      </c>
      <c r="F17" s="6">
        <v>75000.0</v>
      </c>
      <c r="G17" s="6">
        <v>143.0</v>
      </c>
    </row>
    <row r="18">
      <c r="A18" s="6" t="s">
        <v>2917</v>
      </c>
      <c r="B18" s="6" t="s">
        <v>1308</v>
      </c>
      <c r="C18" s="6" t="s">
        <v>2910</v>
      </c>
      <c r="D18" s="9">
        <v>37.0</v>
      </c>
      <c r="E18" s="6">
        <v>40.0</v>
      </c>
      <c r="F18" s="6">
        <v>75000.0</v>
      </c>
      <c r="G18" s="6">
        <v>145.0</v>
      </c>
    </row>
    <row r="19">
      <c r="A19" s="6" t="s">
        <v>2918</v>
      </c>
      <c r="B19" s="6" t="s">
        <v>893</v>
      </c>
      <c r="C19" s="6" t="s">
        <v>2919</v>
      </c>
      <c r="D19" s="9">
        <v>843.0</v>
      </c>
      <c r="E19" s="6">
        <v>41.0</v>
      </c>
      <c r="F19" s="6">
        <v>59000.0</v>
      </c>
      <c r="G19" s="6">
        <v>5.0</v>
      </c>
    </row>
    <row r="20">
      <c r="A20" s="6" t="s">
        <v>2920</v>
      </c>
      <c r="B20" s="6" t="s">
        <v>893</v>
      </c>
      <c r="C20" s="6" t="s">
        <v>2919</v>
      </c>
      <c r="D20" s="9">
        <v>650019.0</v>
      </c>
      <c r="E20" s="6">
        <v>41.0</v>
      </c>
      <c r="F20" s="6">
        <v>59000.0</v>
      </c>
      <c r="G20" s="6">
        <v>51.0</v>
      </c>
    </row>
    <row r="21">
      <c r="A21" s="6" t="s">
        <v>2921</v>
      </c>
      <c r="B21" s="6" t="s">
        <v>893</v>
      </c>
      <c r="C21" s="6" t="s">
        <v>2919</v>
      </c>
      <c r="D21" s="9">
        <v>1641.0</v>
      </c>
      <c r="E21" s="6">
        <v>41.0</v>
      </c>
      <c r="F21" s="6">
        <v>59000.0</v>
      </c>
      <c r="G21" s="6">
        <v>67.0</v>
      </c>
    </row>
    <row r="22">
      <c r="A22" s="6" t="s">
        <v>2922</v>
      </c>
      <c r="B22" s="6" t="s">
        <v>475</v>
      </c>
      <c r="C22" s="6" t="s">
        <v>2923</v>
      </c>
      <c r="D22" s="9">
        <v>0.0</v>
      </c>
      <c r="E22" s="6">
        <v>48.0</v>
      </c>
      <c r="F22" s="6">
        <v>5000.0</v>
      </c>
      <c r="G22" s="6">
        <v>21.0</v>
      </c>
    </row>
    <row r="23">
      <c r="A23" s="6" t="s">
        <v>2924</v>
      </c>
      <c r="B23" s="6" t="s">
        <v>475</v>
      </c>
      <c r="C23" s="6" t="s">
        <v>2923</v>
      </c>
      <c r="D23" s="9">
        <v>933.0</v>
      </c>
      <c r="E23" s="6">
        <v>48.0</v>
      </c>
      <c r="F23" s="6">
        <v>5000.0</v>
      </c>
      <c r="G23" s="6">
        <v>209.0</v>
      </c>
    </row>
    <row r="24">
      <c r="A24" s="6" t="s">
        <v>2925</v>
      </c>
      <c r="B24" s="6" t="s">
        <v>475</v>
      </c>
      <c r="C24" s="6" t="s">
        <v>2923</v>
      </c>
      <c r="D24" s="9">
        <v>900642.0</v>
      </c>
      <c r="E24" s="6">
        <v>48.0</v>
      </c>
      <c r="F24" s="6">
        <v>5000.0</v>
      </c>
      <c r="G24" s="6">
        <v>453.0</v>
      </c>
    </row>
    <row r="25">
      <c r="A25" s="6" t="s">
        <v>2926</v>
      </c>
      <c r="B25" s="6" t="s">
        <v>475</v>
      </c>
      <c r="C25" s="6" t="s">
        <v>2923</v>
      </c>
      <c r="D25" s="9">
        <v>60280.0</v>
      </c>
      <c r="E25" s="6">
        <v>48.0</v>
      </c>
      <c r="F25" s="6">
        <v>5000.0</v>
      </c>
      <c r="G25" s="6">
        <v>491.0</v>
      </c>
    </row>
    <row r="26">
      <c r="A26" s="6" t="s">
        <v>2927</v>
      </c>
      <c r="B26" s="6" t="s">
        <v>2928</v>
      </c>
      <c r="C26" s="6" t="s">
        <v>2923</v>
      </c>
      <c r="D26" s="9">
        <v>51750.0</v>
      </c>
      <c r="E26" s="6">
        <v>48.0</v>
      </c>
      <c r="F26" s="6">
        <v>19000.0</v>
      </c>
      <c r="G26" s="6">
        <v>85.0</v>
      </c>
    </row>
    <row r="27">
      <c r="A27" s="6" t="s">
        <v>2929</v>
      </c>
      <c r="B27" s="6" t="s">
        <v>2928</v>
      </c>
      <c r="C27" s="6" t="s">
        <v>2923</v>
      </c>
      <c r="D27" s="9">
        <v>1224081.0</v>
      </c>
      <c r="E27" s="6">
        <v>48.0</v>
      </c>
      <c r="F27" s="6">
        <v>19000.0</v>
      </c>
      <c r="G27" s="6">
        <v>113.0</v>
      </c>
    </row>
    <row r="28">
      <c r="A28" s="6" t="s">
        <v>2930</v>
      </c>
      <c r="B28" s="6" t="s">
        <v>2928</v>
      </c>
      <c r="C28" s="6" t="s">
        <v>2923</v>
      </c>
      <c r="D28" s="9">
        <v>28540.0</v>
      </c>
      <c r="E28" s="6">
        <v>48.0</v>
      </c>
      <c r="F28" s="6">
        <v>19000.0</v>
      </c>
      <c r="G28" s="6">
        <v>121.0</v>
      </c>
    </row>
    <row r="29">
      <c r="A29" s="6" t="s">
        <v>2931</v>
      </c>
      <c r="B29" s="6" t="s">
        <v>2928</v>
      </c>
      <c r="C29" s="6" t="s">
        <v>2923</v>
      </c>
      <c r="D29" s="9">
        <v>4.0</v>
      </c>
      <c r="E29" s="6">
        <v>48.0</v>
      </c>
      <c r="F29" s="6">
        <v>19000.0</v>
      </c>
      <c r="G29" s="6">
        <v>257.0</v>
      </c>
    </row>
    <row r="30">
      <c r="A30" s="6" t="s">
        <v>2932</v>
      </c>
      <c r="B30" s="6" t="s">
        <v>2928</v>
      </c>
      <c r="C30" s="6" t="s">
        <v>2923</v>
      </c>
      <c r="D30" s="9">
        <v>4.0</v>
      </c>
      <c r="E30" s="6">
        <v>48.0</v>
      </c>
      <c r="F30" s="6">
        <v>19000.0</v>
      </c>
      <c r="G30" s="6">
        <v>397.0</v>
      </c>
    </row>
    <row r="31">
      <c r="A31" s="6" t="s">
        <v>2930</v>
      </c>
      <c r="B31" s="6" t="s">
        <v>510</v>
      </c>
      <c r="C31" s="6" t="s">
        <v>2923</v>
      </c>
      <c r="D31" s="9">
        <v>16998.0</v>
      </c>
      <c r="E31" s="6">
        <v>48.0</v>
      </c>
      <c r="F31" s="6">
        <v>27000.0</v>
      </c>
      <c r="G31" s="6">
        <v>121.0</v>
      </c>
    </row>
    <row r="32">
      <c r="A32" s="6" t="s">
        <v>2933</v>
      </c>
      <c r="B32" s="6" t="s">
        <v>510</v>
      </c>
      <c r="C32" s="6" t="s">
        <v>2923</v>
      </c>
      <c r="D32" s="9">
        <v>0.0</v>
      </c>
      <c r="E32" s="6">
        <v>48.0</v>
      </c>
      <c r="F32" s="6">
        <v>27000.0</v>
      </c>
      <c r="G32" s="6">
        <v>251.0</v>
      </c>
    </row>
    <row r="33">
      <c r="A33" s="6" t="s">
        <v>2934</v>
      </c>
      <c r="B33" s="6" t="s">
        <v>510</v>
      </c>
      <c r="C33" s="6" t="s">
        <v>2923</v>
      </c>
      <c r="D33" s="9">
        <v>1246.0</v>
      </c>
      <c r="E33" s="6">
        <v>48.0</v>
      </c>
      <c r="F33" s="6">
        <v>27000.0</v>
      </c>
      <c r="G33" s="6">
        <v>367.0</v>
      </c>
    </row>
    <row r="34">
      <c r="A34" s="6" t="s">
        <v>2935</v>
      </c>
      <c r="B34" s="6" t="s">
        <v>510</v>
      </c>
      <c r="C34" s="6" t="s">
        <v>2923</v>
      </c>
      <c r="D34" s="9">
        <v>900671.0</v>
      </c>
      <c r="E34" s="6">
        <v>48.0</v>
      </c>
      <c r="F34" s="6">
        <v>27000.0</v>
      </c>
      <c r="G34" s="6">
        <v>439.0</v>
      </c>
    </row>
    <row r="35">
      <c r="A35" s="6" t="s">
        <v>2936</v>
      </c>
      <c r="B35" s="6" t="s">
        <v>510</v>
      </c>
      <c r="C35" s="6" t="s">
        <v>2923</v>
      </c>
      <c r="D35" s="9">
        <v>0.0</v>
      </c>
      <c r="E35" s="6">
        <v>48.0</v>
      </c>
      <c r="F35" s="6">
        <v>27000.0</v>
      </c>
      <c r="G35" s="6">
        <v>497.0</v>
      </c>
    </row>
    <row r="36">
      <c r="A36" s="6" t="s">
        <v>2937</v>
      </c>
      <c r="B36" s="6" t="s">
        <v>2938</v>
      </c>
      <c r="C36" s="6" t="s">
        <v>2923</v>
      </c>
      <c r="D36" s="9">
        <v>42369.0</v>
      </c>
      <c r="E36" s="6">
        <v>48.0</v>
      </c>
      <c r="F36" s="6">
        <v>35000.0</v>
      </c>
      <c r="G36" s="6">
        <v>157.0</v>
      </c>
    </row>
    <row r="37">
      <c r="A37" s="6" t="s">
        <v>2939</v>
      </c>
      <c r="B37" s="6" t="s">
        <v>2938</v>
      </c>
      <c r="C37" s="6" t="s">
        <v>2923</v>
      </c>
      <c r="D37" s="9">
        <v>2255442.0</v>
      </c>
      <c r="E37" s="6">
        <v>48.0</v>
      </c>
      <c r="F37" s="6">
        <v>35000.0</v>
      </c>
      <c r="G37" s="6">
        <v>201.0</v>
      </c>
    </row>
    <row r="38">
      <c r="A38" s="6" t="s">
        <v>2940</v>
      </c>
      <c r="B38" s="6" t="s">
        <v>2938</v>
      </c>
      <c r="C38" s="6" t="s">
        <v>2923</v>
      </c>
      <c r="D38" s="9">
        <v>6769.0</v>
      </c>
      <c r="E38" s="6">
        <v>48.0</v>
      </c>
      <c r="F38" s="6">
        <v>35000.0</v>
      </c>
      <c r="G38" s="6">
        <v>339.0</v>
      </c>
    </row>
    <row r="39">
      <c r="A39" s="6" t="s">
        <v>2941</v>
      </c>
      <c r="B39" s="6" t="s">
        <v>2938</v>
      </c>
      <c r="C39" s="6" t="s">
        <v>2923</v>
      </c>
      <c r="D39" s="9">
        <v>0.0</v>
      </c>
      <c r="E39" s="6">
        <v>48.0</v>
      </c>
      <c r="F39" s="6">
        <v>35000.0</v>
      </c>
      <c r="G39" s="6">
        <v>473.0</v>
      </c>
    </row>
    <row r="40">
      <c r="A40" s="6" t="s">
        <v>2942</v>
      </c>
      <c r="B40" s="6" t="s">
        <v>2943</v>
      </c>
      <c r="C40" s="6" t="s">
        <v>2923</v>
      </c>
      <c r="D40" s="9">
        <v>1434620.0</v>
      </c>
      <c r="E40" s="6">
        <v>48.0</v>
      </c>
      <c r="F40" s="6">
        <v>65000.0</v>
      </c>
      <c r="G40" s="6">
        <v>29.0</v>
      </c>
    </row>
    <row r="41">
      <c r="A41" s="6" t="s">
        <v>2944</v>
      </c>
      <c r="B41" s="6" t="s">
        <v>2943</v>
      </c>
      <c r="C41" s="6" t="s">
        <v>2923</v>
      </c>
      <c r="D41" s="9">
        <v>0.0</v>
      </c>
      <c r="E41" s="6">
        <v>48.0</v>
      </c>
      <c r="F41" s="6">
        <v>65000.0</v>
      </c>
      <c r="G41" s="6">
        <v>91.0</v>
      </c>
    </row>
    <row r="42">
      <c r="A42" s="6" t="s">
        <v>2945</v>
      </c>
      <c r="B42" s="6" t="s">
        <v>2943</v>
      </c>
      <c r="C42" s="6" t="s">
        <v>2923</v>
      </c>
      <c r="D42" s="9">
        <v>5.0</v>
      </c>
      <c r="E42" s="6">
        <v>48.0</v>
      </c>
      <c r="F42" s="6">
        <v>65000.0</v>
      </c>
      <c r="G42" s="6">
        <v>325.0</v>
      </c>
    </row>
    <row r="43">
      <c r="A43" s="6" t="s">
        <v>2946</v>
      </c>
      <c r="B43" s="6" t="s">
        <v>955</v>
      </c>
      <c r="C43" s="6" t="s">
        <v>2947</v>
      </c>
      <c r="D43" s="9">
        <v>577222.0</v>
      </c>
      <c r="E43" s="6">
        <v>55.0</v>
      </c>
      <c r="F43" s="6">
        <v>53000.0</v>
      </c>
      <c r="G43" s="6">
        <v>79.0</v>
      </c>
    </row>
    <row r="44">
      <c r="A44" s="6" t="s">
        <v>2921</v>
      </c>
      <c r="B44" s="6" t="s">
        <v>955</v>
      </c>
      <c r="C44" s="6" t="s">
        <v>2947</v>
      </c>
      <c r="D44" s="9">
        <v>0.0</v>
      </c>
      <c r="E44" s="6">
        <v>55.0</v>
      </c>
      <c r="F44" s="6">
        <v>53000.0</v>
      </c>
      <c r="G44" s="6">
        <v>131.0</v>
      </c>
    </row>
    <row r="45">
      <c r="A45" s="6" t="s">
        <v>2948</v>
      </c>
      <c r="B45" s="6" t="s">
        <v>955</v>
      </c>
      <c r="C45" s="6" t="s">
        <v>2947</v>
      </c>
      <c r="D45" s="9">
        <v>0.0</v>
      </c>
      <c r="E45" s="6">
        <v>55.0</v>
      </c>
      <c r="F45" s="6">
        <v>53000.0</v>
      </c>
      <c r="G45" s="6">
        <v>133.0</v>
      </c>
    </row>
    <row r="62">
      <c r="G62" s="6" t="s">
        <v>2949</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2022-04-21T06:22:10Z</dcterms:created>
  <dc:creator>USER</dc:creator>
</cp:coreProperties>
</file>